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aurbogu\AppData\Local\Microsoft\Windows\Temporary Internet Files\Content.Outlook\KWN9TAMO\"/>
    </mc:Choice>
  </mc:AlternateContent>
  <bookViews>
    <workbookView xWindow="0" yWindow="0" windowWidth="12000" windowHeight="5250" tabRatio="0" firstSheet="8" activeTab="10"/>
  </bookViews>
  <sheets>
    <sheet name="Seguimiento ASR New" sheetId="33" state="hidden" r:id="rId1"/>
    <sheet name="Sábana Ppto" sheetId="28" state="hidden" r:id="rId2"/>
    <sheet name="BD IPS" sheetId="32" state="hidden" r:id="rId3"/>
    <sheet name="BD ASR" sheetId="17" state="hidden" r:id="rId4"/>
    <sheet name="TD Cumpl" sheetId="26" state="hidden" r:id="rId5"/>
    <sheet name="Tres meses" sheetId="34" state="hidden" r:id="rId6"/>
    <sheet name="Back" sheetId="25" state="hidden" r:id="rId7"/>
    <sheet name="TD_Tablero" sheetId="29" state="hidden" r:id="rId8"/>
    <sheet name="Corte Año Móvil" sheetId="31" r:id="rId9"/>
    <sheet name="TABLERO" sheetId="30" r:id="rId10"/>
    <sheet name="INICIO" sheetId="27" r:id="rId11"/>
  </sheets>
  <externalReferences>
    <externalReference r:id="rId12"/>
  </externalReferences>
  <definedNames>
    <definedName name="_xlnm._FilterDatabase" localSheetId="6" hidden="1">Back!$B$1:$G$68</definedName>
    <definedName name="_xlnm._FilterDatabase" localSheetId="3" hidden="1">'BD ASR'!$A$1:$Z$2043</definedName>
    <definedName name="_xlnm._FilterDatabase" localSheetId="2" hidden="1">'BD IPS'!$B$1:$J$257</definedName>
    <definedName name="_xlnm._FilterDatabase" localSheetId="0" hidden="1">'Seguimiento ASR New'!$H$3:$M$86</definedName>
    <definedName name="_xlnm._FilterDatabase" localSheetId="4" hidden="1">'TD Cumpl'!$A$5:$AB$64</definedName>
    <definedName name="BD_ASR" localSheetId="2">OFFSET('[1]BD ASR'!$A$1,0,0,COUNTA('[1]BD ASR'!$A:$A),COUNTA('[1]BD ASR'!$1:$1))</definedName>
    <definedName name="BD_ASR" localSheetId="0">OFFSET('[1]BD ASR'!$A$1,0,0,COUNTA('[1]BD ASR'!$A:$A),COUNTA('[1]BD ASR'!$1:$1))</definedName>
    <definedName name="BD_ASR" localSheetId="5">OFFSET('[1]BD ASR'!$A$1,0,0,COUNTA('[1]BD ASR'!$A:$A),COUNTA('[1]BD ASR'!$1:$1))</definedName>
    <definedName name="BD_ASR">OFFSET('BD ASR'!$A$1,0,0,COUNTA('BD ASR'!$A:$A),COUNTA('BD ASR'!$1:$1))</definedName>
    <definedName name="cantidadLentes">SUMIFS('BD ASR'!$U:$U,'BD ASR'!$G:$G,TABLERO!$I$3,'BD ASR'!$D:$D,TABLERO!$I1,'BD ASR'!$C:$C,TABLERO!A$6)</definedName>
    <definedName name="CantidadMonturas">SUMIFS('BD ASR'!$S:$S,'BD ASR'!$G:$G,TABLERO!$I$3,'BD ASR'!$D:$D,TABLERO!$I1,'BD ASR'!$C:$C,TABLERO!A$6)</definedName>
    <definedName name="SegmentaciónDeDatos_NOMBRE">#N/A</definedName>
    <definedName name="SegmentaciónDeDatos_Punto_de_Vista">#N/A</definedName>
    <definedName name="ventasLentes">SUMIFS('BD ASR'!$V:$V,'BD ASR'!$G:$G,TABLERO!$I$3,'BD ASR'!$D:$D,TABLERO!$I1,'BD ASR'!$C:$C,TABLERO!A$6)</definedName>
    <definedName name="ventasMonturas">SUMIFS('BD ASR'!$T:$T,'BD ASR'!$G:$G,TABLERO!$I$3,'BD ASR'!$D:$D,TABLERO!$I1,'BD ASR'!$C:$C,TABLERO!A$6)</definedName>
    <definedName name="VentasTotales">SUMIFS('BD ASR'!$K:$K,'BD ASR'!$G:$G,TABLERO!$I$3,'BD ASR'!$D:$D,TABLERO!$I1,'BD ASR'!$C:$C,TABLERO!A$6)</definedName>
  </definedNames>
  <calcPr calcId="162913"/>
  <pivotCaches>
    <pivotCache cacheId="0" r:id="rId13"/>
    <pivotCache cacheId="1"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5" i="30" l="1"/>
  <c r="I34" i="30"/>
  <c r="I33" i="30"/>
  <c r="I31" i="30"/>
  <c r="I36" i="30" s="1"/>
  <c r="P3" i="30" l="1"/>
  <c r="I30" i="30" l="1"/>
  <c r="I25" i="30" l="1"/>
  <c r="I24" i="30" s="1"/>
  <c r="L7" i="33" l="1"/>
  <c r="L8" i="33"/>
  <c r="L9" i="33"/>
  <c r="L10" i="33"/>
  <c r="L11" i="33"/>
  <c r="L12" i="33"/>
  <c r="L13" i="33"/>
  <c r="L14" i="33"/>
  <c r="L15" i="33"/>
  <c r="L16" i="33"/>
  <c r="L17" i="33"/>
  <c r="L18" i="33"/>
  <c r="L19" i="33"/>
  <c r="L20" i="33"/>
  <c r="L21" i="33"/>
  <c r="L22" i="33"/>
  <c r="L23" i="33"/>
  <c r="L24" i="33"/>
  <c r="L25" i="33"/>
  <c r="L26" i="33"/>
  <c r="L27" i="33"/>
  <c r="L28" i="33"/>
  <c r="L29" i="33"/>
  <c r="L30" i="33"/>
  <c r="L31" i="33"/>
  <c r="L32" i="33"/>
  <c r="L33" i="33"/>
  <c r="L34" i="33"/>
  <c r="L35" i="33"/>
  <c r="L36" i="33"/>
  <c r="L37" i="33"/>
  <c r="L38" i="33"/>
  <c r="L39" i="33"/>
  <c r="L40" i="33"/>
  <c r="L41" i="33"/>
  <c r="L42" i="33"/>
  <c r="L43" i="33"/>
  <c r="L46" i="33"/>
  <c r="L47" i="33"/>
  <c r="L48" i="33"/>
  <c r="L49" i="33"/>
  <c r="L50" i="33"/>
  <c r="L52" i="33"/>
  <c r="L53" i="33"/>
  <c r="L54" i="33"/>
  <c r="L55" i="33"/>
  <c r="L56" i="33"/>
  <c r="L57" i="33"/>
  <c r="L59" i="33"/>
  <c r="L60" i="33"/>
  <c r="L61" i="33"/>
  <c r="L62" i="33"/>
  <c r="L63" i="33"/>
  <c r="L64" i="33"/>
  <c r="L65" i="33"/>
  <c r="L66" i="33"/>
  <c r="L67" i="33"/>
  <c r="L68" i="33"/>
  <c r="L69" i="33"/>
  <c r="L70" i="33"/>
  <c r="L71" i="33"/>
  <c r="L72" i="33"/>
  <c r="L73" i="33"/>
  <c r="L74" i="33"/>
  <c r="L75" i="33"/>
  <c r="L76" i="33"/>
  <c r="L77" i="33"/>
  <c r="L78" i="33"/>
  <c r="L79" i="33"/>
  <c r="L80" i="33"/>
  <c r="L81" i="33"/>
  <c r="L82" i="33"/>
  <c r="L83" i="33"/>
  <c r="L84" i="33"/>
  <c r="L85" i="33"/>
  <c r="L86" i="33"/>
  <c r="L4" i="33"/>
  <c r="J82" i="33" l="1"/>
  <c r="K82" i="33"/>
  <c r="M82" i="33" s="1"/>
  <c r="J83" i="33"/>
  <c r="K83" i="33"/>
  <c r="M83" i="33" s="1"/>
  <c r="J84" i="33"/>
  <c r="K84" i="33"/>
  <c r="M84" i="33" s="1"/>
  <c r="J85" i="33"/>
  <c r="K85" i="33"/>
  <c r="M85" i="33" s="1"/>
  <c r="J86" i="33"/>
  <c r="K86" i="33" s="1"/>
  <c r="M86" i="33" s="1"/>
  <c r="I84" i="33"/>
  <c r="I85" i="33"/>
  <c r="I86" i="33"/>
  <c r="Y1979" i="17"/>
  <c r="Y1980" i="17"/>
  <c r="Y1981" i="17"/>
  <c r="Y1982" i="17"/>
  <c r="Y1983" i="17"/>
  <c r="Y1984" i="17"/>
  <c r="Y1985" i="17"/>
  <c r="Y1986" i="17"/>
  <c r="Y1987" i="17"/>
  <c r="Y1988" i="17"/>
  <c r="Y1989" i="17"/>
  <c r="Y1990" i="17"/>
  <c r="Y1991" i="17"/>
  <c r="Y1992" i="17"/>
  <c r="Y1993" i="17"/>
  <c r="Y1994" i="17"/>
  <c r="Y1995" i="17"/>
  <c r="Y1996" i="17"/>
  <c r="Y1997" i="17"/>
  <c r="Y1998" i="17"/>
  <c r="Y1999" i="17"/>
  <c r="Y2000" i="17"/>
  <c r="Y2001" i="17"/>
  <c r="Y2002" i="17"/>
  <c r="Y2003" i="17"/>
  <c r="Y2004" i="17"/>
  <c r="Y2005" i="17"/>
  <c r="Y2006" i="17"/>
  <c r="Y2007" i="17"/>
  <c r="Y2008" i="17"/>
  <c r="Y2009" i="17"/>
  <c r="Y2010" i="17"/>
  <c r="Y2011" i="17"/>
  <c r="Y2012" i="17"/>
  <c r="Y2013" i="17"/>
  <c r="Y2014" i="17"/>
  <c r="Y2015" i="17"/>
  <c r="Y2016" i="17"/>
  <c r="Y2017" i="17"/>
  <c r="Y2018" i="17"/>
  <c r="Y2019" i="17"/>
  <c r="Y2020" i="17"/>
  <c r="Y2021" i="17"/>
  <c r="Y2022" i="17"/>
  <c r="Y2023" i="17"/>
  <c r="Y2024" i="17"/>
  <c r="Y2025" i="17"/>
  <c r="Y2026" i="17"/>
  <c r="Y2027" i="17"/>
  <c r="Y2028" i="17"/>
  <c r="Y2029" i="17"/>
  <c r="Y2030" i="17"/>
  <c r="Y2031" i="17"/>
  <c r="Y2032" i="17"/>
  <c r="Y2033" i="17"/>
  <c r="Y2034" i="17"/>
  <c r="Y2035" i="17"/>
  <c r="Y2036" i="17"/>
  <c r="Y2037" i="17"/>
  <c r="Y2038" i="17"/>
  <c r="Y2039" i="17"/>
  <c r="Y2040" i="17"/>
  <c r="Y2041" i="17"/>
  <c r="Y2042" i="17"/>
  <c r="Y2043" i="17"/>
  <c r="Y2" i="17"/>
  <c r="Y3" i="17"/>
  <c r="Y4" i="17"/>
  <c r="Y5" i="17"/>
  <c r="Y6" i="17"/>
  <c r="Y7" i="17"/>
  <c r="Y8" i="17"/>
  <c r="Y9" i="17"/>
  <c r="Y10" i="17"/>
  <c r="Y11" i="17"/>
  <c r="Y12" i="17"/>
  <c r="Y13" i="17"/>
  <c r="Y14" i="17"/>
  <c r="Y15" i="17"/>
  <c r="Y16" i="17"/>
  <c r="Y17" i="17"/>
  <c r="Y18" i="17"/>
  <c r="Y19" i="17"/>
  <c r="Y20" i="17"/>
  <c r="Y21" i="17"/>
  <c r="Y22" i="17"/>
  <c r="Y23" i="17"/>
  <c r="Y24" i="17"/>
  <c r="Y25" i="17"/>
  <c r="Y26" i="17"/>
  <c r="Y27" i="17"/>
  <c r="Y28" i="17"/>
  <c r="Y29" i="17"/>
  <c r="Y30" i="17"/>
  <c r="Y31" i="17"/>
  <c r="Y32" i="17"/>
  <c r="Y33" i="17"/>
  <c r="Y34" i="17"/>
  <c r="Y35" i="17"/>
  <c r="Y36" i="17"/>
  <c r="Y37" i="17"/>
  <c r="Y38" i="17"/>
  <c r="Y39" i="17"/>
  <c r="Y40" i="17"/>
  <c r="Y41" i="17"/>
  <c r="Y42" i="17"/>
  <c r="Y43" i="17"/>
  <c r="Y44" i="17"/>
  <c r="Y45" i="17"/>
  <c r="Y46" i="17"/>
  <c r="Y47" i="17"/>
  <c r="Y48" i="17"/>
  <c r="Y49" i="17"/>
  <c r="Y50" i="17"/>
  <c r="Y51" i="17"/>
  <c r="Y52" i="17"/>
  <c r="Y53" i="17"/>
  <c r="Y54" i="17"/>
  <c r="Y55" i="17"/>
  <c r="Y56" i="17"/>
  <c r="Y57" i="17"/>
  <c r="Y58" i="17"/>
  <c r="Y59" i="17"/>
  <c r="Y60" i="17"/>
  <c r="Y61" i="17"/>
  <c r="Y62" i="17"/>
  <c r="Y63" i="17"/>
  <c r="Y64" i="17"/>
  <c r="Y65" i="17"/>
  <c r="Y66" i="17"/>
  <c r="Y67" i="17"/>
  <c r="Y68" i="17"/>
  <c r="Y69" i="17"/>
  <c r="Y70" i="17"/>
  <c r="Y71" i="17"/>
  <c r="Y72" i="17"/>
  <c r="Y73" i="17"/>
  <c r="Y74" i="17"/>
  <c r="Y75" i="17"/>
  <c r="Y76" i="17"/>
  <c r="Y77" i="17"/>
  <c r="Y78" i="17"/>
  <c r="Y79" i="17"/>
  <c r="Y80" i="17"/>
  <c r="Y81" i="17"/>
  <c r="Y82" i="17"/>
  <c r="Y83" i="17"/>
  <c r="Y84" i="17"/>
  <c r="Y85" i="17"/>
  <c r="Y86" i="17"/>
  <c r="Y87" i="17"/>
  <c r="Y88" i="17"/>
  <c r="Y89" i="17"/>
  <c r="Y90" i="17"/>
  <c r="Y91" i="17"/>
  <c r="Y92" i="17"/>
  <c r="Y93" i="17"/>
  <c r="Y94" i="17"/>
  <c r="Y95" i="17"/>
  <c r="Y96" i="17"/>
  <c r="Y97" i="17"/>
  <c r="Y98" i="17"/>
  <c r="Y99" i="17"/>
  <c r="Y100" i="17"/>
  <c r="Y101" i="17"/>
  <c r="Y102" i="17"/>
  <c r="Y103" i="17"/>
  <c r="Y104" i="17"/>
  <c r="Y105" i="17"/>
  <c r="Y106" i="17"/>
  <c r="Y107" i="17"/>
  <c r="Y108" i="17"/>
  <c r="Y109" i="17"/>
  <c r="Y110" i="17"/>
  <c r="Y111" i="17"/>
  <c r="Y112" i="17"/>
  <c r="Y113" i="17"/>
  <c r="Y114" i="17"/>
  <c r="Y115" i="17"/>
  <c r="Y116" i="17"/>
  <c r="Y117" i="17"/>
  <c r="Y118" i="17"/>
  <c r="Y119" i="17"/>
  <c r="Y120" i="17"/>
  <c r="Y121" i="17"/>
  <c r="Y122" i="17"/>
  <c r="Y123" i="17"/>
  <c r="Y124" i="17"/>
  <c r="Y125" i="17"/>
  <c r="Y126" i="17"/>
  <c r="Y127" i="17"/>
  <c r="Y128" i="17"/>
  <c r="Y129" i="17"/>
  <c r="Y130" i="17"/>
  <c r="Y131" i="17"/>
  <c r="Y132" i="17"/>
  <c r="Y133" i="17"/>
  <c r="Y134" i="17"/>
  <c r="Y135" i="17"/>
  <c r="Y136" i="17"/>
  <c r="Y137" i="17"/>
  <c r="Y138" i="17"/>
  <c r="Y139" i="17"/>
  <c r="Y140" i="17"/>
  <c r="Y141" i="17"/>
  <c r="Y142" i="17"/>
  <c r="Y143" i="17"/>
  <c r="Y144" i="17"/>
  <c r="Y145" i="17"/>
  <c r="Y146" i="17"/>
  <c r="Y147" i="17"/>
  <c r="Y148" i="17"/>
  <c r="Y149" i="17"/>
  <c r="Y150" i="17"/>
  <c r="Y151" i="17"/>
  <c r="Y152" i="17"/>
  <c r="Y153" i="17"/>
  <c r="Y154" i="17"/>
  <c r="Y155" i="17"/>
  <c r="Y156" i="17"/>
  <c r="Y157" i="17"/>
  <c r="Y158" i="17"/>
  <c r="Y159" i="17"/>
  <c r="Y160" i="17"/>
  <c r="Y161" i="17"/>
  <c r="Y162" i="17"/>
  <c r="Y163" i="17"/>
  <c r="Y164" i="17"/>
  <c r="Y165" i="17"/>
  <c r="Y166" i="17"/>
  <c r="Y167" i="17"/>
  <c r="Y168" i="17"/>
  <c r="Y169" i="17"/>
  <c r="Y170" i="17"/>
  <c r="Y171" i="17"/>
  <c r="Y172" i="17"/>
  <c r="Y173" i="17"/>
  <c r="Y174" i="17"/>
  <c r="Y175" i="17"/>
  <c r="Y176" i="17"/>
  <c r="Y177" i="17"/>
  <c r="Y178" i="17"/>
  <c r="Y179" i="17"/>
  <c r="Y180" i="17"/>
  <c r="Y181" i="17"/>
  <c r="Y182" i="17"/>
  <c r="Y183" i="17"/>
  <c r="Y184" i="17"/>
  <c r="Y185" i="17"/>
  <c r="Y186" i="17"/>
  <c r="Y187" i="17"/>
  <c r="Y188" i="17"/>
  <c r="Y189" i="17"/>
  <c r="Y190" i="17"/>
  <c r="Y191" i="17"/>
  <c r="Y192" i="17"/>
  <c r="Y193" i="17"/>
  <c r="Y194" i="17"/>
  <c r="Y195" i="17"/>
  <c r="Y196" i="17"/>
  <c r="Y197" i="17"/>
  <c r="Y198" i="17"/>
  <c r="Y199" i="17"/>
  <c r="Y200" i="17"/>
  <c r="Y201" i="17"/>
  <c r="Y202" i="17"/>
  <c r="Y203" i="17"/>
  <c r="Y204" i="17"/>
  <c r="Y205" i="17"/>
  <c r="Y206" i="17"/>
  <c r="Y207" i="17"/>
  <c r="Y208" i="17"/>
  <c r="Y209" i="17"/>
  <c r="Y210" i="17"/>
  <c r="Y211" i="17"/>
  <c r="Y212" i="17"/>
  <c r="Y213" i="17"/>
  <c r="Y214" i="17"/>
  <c r="Y215" i="17"/>
  <c r="Y216" i="17"/>
  <c r="Y217" i="17"/>
  <c r="Y218" i="17"/>
  <c r="Y219" i="17"/>
  <c r="Y220" i="17"/>
  <c r="Y221" i="17"/>
  <c r="Y222" i="17"/>
  <c r="Y223" i="17"/>
  <c r="Y224" i="17"/>
  <c r="Y225" i="17"/>
  <c r="Y226" i="17"/>
  <c r="Y227" i="17"/>
  <c r="Y228" i="17"/>
  <c r="Y229" i="17"/>
  <c r="Y230" i="17"/>
  <c r="Y231" i="17"/>
  <c r="Y232" i="17"/>
  <c r="Y233" i="17"/>
  <c r="Y234" i="17"/>
  <c r="Y235" i="17"/>
  <c r="Y236" i="17"/>
  <c r="Y237" i="17"/>
  <c r="Y238" i="17"/>
  <c r="Y239" i="17"/>
  <c r="Y240" i="17"/>
  <c r="Y241" i="17"/>
  <c r="Y242" i="17"/>
  <c r="Y243" i="17"/>
  <c r="Y244" i="17"/>
  <c r="Y245" i="17"/>
  <c r="Y246" i="17"/>
  <c r="Y247" i="17"/>
  <c r="Y248" i="17"/>
  <c r="Y249" i="17"/>
  <c r="Y250" i="17"/>
  <c r="Y251" i="17"/>
  <c r="Y252" i="17"/>
  <c r="Y253" i="17"/>
  <c r="Y254" i="17"/>
  <c r="Y255" i="17"/>
  <c r="Y256" i="17"/>
  <c r="Y257" i="17"/>
  <c r="Y258" i="17"/>
  <c r="Y259" i="17"/>
  <c r="Y260" i="17"/>
  <c r="Y261" i="17"/>
  <c r="Y262" i="17"/>
  <c r="Y263" i="17"/>
  <c r="Y264" i="17"/>
  <c r="Y265" i="17"/>
  <c r="Y266" i="17"/>
  <c r="Y267" i="17"/>
  <c r="Y268" i="17"/>
  <c r="Y269" i="17"/>
  <c r="Y270" i="17"/>
  <c r="Y271" i="17"/>
  <c r="Y272" i="17"/>
  <c r="Y273" i="17"/>
  <c r="Y274" i="17"/>
  <c r="Y275" i="17"/>
  <c r="Y276" i="17"/>
  <c r="Y277" i="17"/>
  <c r="Y278" i="17"/>
  <c r="Y279" i="17"/>
  <c r="Y280" i="17"/>
  <c r="Y281" i="17"/>
  <c r="Y282" i="17"/>
  <c r="Y283" i="17"/>
  <c r="Y284" i="17"/>
  <c r="Y285" i="17"/>
  <c r="Y286" i="17"/>
  <c r="Y287" i="17"/>
  <c r="Y288" i="17"/>
  <c r="Y289" i="17"/>
  <c r="Y290" i="17"/>
  <c r="Y291" i="17"/>
  <c r="Y292" i="17"/>
  <c r="Y293" i="17"/>
  <c r="Y294" i="17"/>
  <c r="Y295" i="17"/>
  <c r="Y296" i="17"/>
  <c r="Y297" i="17"/>
  <c r="Y298" i="17"/>
  <c r="Y299" i="17"/>
  <c r="Y300" i="17"/>
  <c r="Y301" i="17"/>
  <c r="Y302" i="17"/>
  <c r="Y303" i="17"/>
  <c r="Y304" i="17"/>
  <c r="Y305" i="17"/>
  <c r="Y306" i="17"/>
  <c r="Y307" i="17"/>
  <c r="Y308" i="17"/>
  <c r="Y309" i="17"/>
  <c r="Y310" i="17"/>
  <c r="Y311" i="17"/>
  <c r="Y312" i="17"/>
  <c r="Y313" i="17"/>
  <c r="Y314" i="17"/>
  <c r="Y315" i="17"/>
  <c r="Y316" i="17"/>
  <c r="Y317" i="17"/>
  <c r="Y318" i="17"/>
  <c r="Y319" i="17"/>
  <c r="Y320" i="17"/>
  <c r="Y321" i="17"/>
  <c r="Y322" i="17"/>
  <c r="Y323" i="17"/>
  <c r="Y324" i="17"/>
  <c r="Y325" i="17"/>
  <c r="Y326" i="17"/>
  <c r="Y327" i="17"/>
  <c r="Y328" i="17"/>
  <c r="Y329" i="17"/>
  <c r="Y330" i="17"/>
  <c r="Y331" i="17"/>
  <c r="Y332" i="17"/>
  <c r="Y333" i="17"/>
  <c r="Y334" i="17"/>
  <c r="Y335" i="17"/>
  <c r="Y336" i="17"/>
  <c r="Y337" i="17"/>
  <c r="Y338" i="17"/>
  <c r="Y339" i="17"/>
  <c r="Y340" i="17"/>
  <c r="Y341" i="17"/>
  <c r="Y342" i="17"/>
  <c r="Y343" i="17"/>
  <c r="Y344" i="17"/>
  <c r="Y345" i="17"/>
  <c r="Y346" i="17"/>
  <c r="Y347" i="17"/>
  <c r="Y348" i="17"/>
  <c r="Y349" i="17"/>
  <c r="Y350" i="17"/>
  <c r="Y351" i="17"/>
  <c r="Y352" i="17"/>
  <c r="Y353" i="17"/>
  <c r="Y354" i="17"/>
  <c r="Y355" i="17"/>
  <c r="Y356" i="17"/>
  <c r="Y357" i="17"/>
  <c r="Y358" i="17"/>
  <c r="Y359" i="17"/>
  <c r="Y360" i="17"/>
  <c r="Y361" i="17"/>
  <c r="Y362" i="17"/>
  <c r="Y363" i="17"/>
  <c r="Y364" i="17"/>
  <c r="Y365" i="17"/>
  <c r="Y366" i="17"/>
  <c r="Y367" i="17"/>
  <c r="Y368" i="17"/>
  <c r="Y369" i="17"/>
  <c r="Y370" i="17"/>
  <c r="Y371" i="17"/>
  <c r="Y372" i="17"/>
  <c r="Y373" i="17"/>
  <c r="Y374" i="17"/>
  <c r="Y375" i="17"/>
  <c r="Y376" i="17"/>
  <c r="Y377" i="17"/>
  <c r="Y378" i="17"/>
  <c r="Y379" i="17"/>
  <c r="Y380" i="17"/>
  <c r="Y381" i="17"/>
  <c r="Y382" i="17"/>
  <c r="Y383" i="17"/>
  <c r="Y384" i="17"/>
  <c r="Y385" i="17"/>
  <c r="Y386" i="17"/>
  <c r="Y387" i="17"/>
  <c r="Y388" i="17"/>
  <c r="Y389" i="17"/>
  <c r="Y390" i="17"/>
  <c r="Y391" i="17"/>
  <c r="Y392" i="17"/>
  <c r="Y393" i="17"/>
  <c r="Y394" i="17"/>
  <c r="Y395" i="17"/>
  <c r="Y396" i="17"/>
  <c r="Y397" i="17"/>
  <c r="Y398" i="17"/>
  <c r="Y399" i="17"/>
  <c r="Y400" i="17"/>
  <c r="Y401" i="17"/>
  <c r="Y402" i="17"/>
  <c r="Y403" i="17"/>
  <c r="Y404" i="17"/>
  <c r="Y405" i="17"/>
  <c r="Y406" i="17"/>
  <c r="Y407" i="17"/>
  <c r="Y408" i="17"/>
  <c r="Y409" i="17"/>
  <c r="Y410" i="17"/>
  <c r="Y411" i="17"/>
  <c r="Y412" i="17"/>
  <c r="Y413" i="17"/>
  <c r="Y414" i="17"/>
  <c r="Y415" i="17"/>
  <c r="Y416" i="17"/>
  <c r="Y417" i="17"/>
  <c r="Y418" i="17"/>
  <c r="Y419" i="17"/>
  <c r="Y420" i="17"/>
  <c r="Y421" i="17"/>
  <c r="Y422" i="17"/>
  <c r="Y423" i="17"/>
  <c r="Y424" i="17"/>
  <c r="Y425" i="17"/>
  <c r="Y426" i="17"/>
  <c r="Y427" i="17"/>
  <c r="Y428" i="17"/>
  <c r="Y429" i="17"/>
  <c r="Y430" i="17"/>
  <c r="Y431" i="17"/>
  <c r="Y432" i="17"/>
  <c r="Y433" i="17"/>
  <c r="Y434" i="17"/>
  <c r="Y435" i="17"/>
  <c r="Y436" i="17"/>
  <c r="Y437" i="17"/>
  <c r="Y438" i="17"/>
  <c r="Y439" i="17"/>
  <c r="Y440" i="17"/>
  <c r="Y441" i="17"/>
  <c r="Y442" i="17"/>
  <c r="Y443" i="17"/>
  <c r="Y444" i="17"/>
  <c r="Y445" i="17"/>
  <c r="Y446" i="17"/>
  <c r="Y447" i="17"/>
  <c r="Y448" i="17"/>
  <c r="N418" i="17" l="1"/>
  <c r="R418" i="17" s="1"/>
  <c r="P418" i="17"/>
  <c r="Q418" i="17" s="1"/>
  <c r="N419" i="17"/>
  <c r="R419" i="17" s="1"/>
  <c r="P419" i="17"/>
  <c r="Q419" i="17" s="1"/>
  <c r="N420" i="17"/>
  <c r="R420" i="17" s="1"/>
  <c r="P420" i="17"/>
  <c r="Q420" i="17" s="1"/>
  <c r="N421" i="17"/>
  <c r="R421" i="17" s="1"/>
  <c r="P421" i="17"/>
  <c r="Q421" i="17" s="1"/>
  <c r="N422" i="17"/>
  <c r="R422" i="17" s="1"/>
  <c r="P422" i="17"/>
  <c r="Q422" i="17" s="1"/>
  <c r="N423" i="17"/>
  <c r="R423" i="17" s="1"/>
  <c r="P423" i="17"/>
  <c r="Q423" i="17" s="1"/>
  <c r="N424" i="17"/>
  <c r="R424" i="17" s="1"/>
  <c r="P424" i="17"/>
  <c r="Q424" i="17" s="1"/>
  <c r="N425" i="17"/>
  <c r="R425" i="17" s="1"/>
  <c r="P425" i="17"/>
  <c r="Q425" i="17" s="1"/>
  <c r="N426" i="17"/>
  <c r="R426" i="17" s="1"/>
  <c r="P426" i="17"/>
  <c r="Q426" i="17" s="1"/>
  <c r="N427" i="17"/>
  <c r="R427" i="17" s="1"/>
  <c r="P427" i="17"/>
  <c r="Q427" i="17" s="1"/>
  <c r="N428" i="17"/>
  <c r="R428" i="17" s="1"/>
  <c r="P428" i="17"/>
  <c r="Q428" i="17" s="1"/>
  <c r="N429" i="17"/>
  <c r="R429" i="17" s="1"/>
  <c r="P429" i="17"/>
  <c r="Q429" i="17" s="1"/>
  <c r="N430" i="17"/>
  <c r="R430" i="17" s="1"/>
  <c r="P430" i="17"/>
  <c r="Q430" i="17" s="1"/>
  <c r="N431" i="17"/>
  <c r="R431" i="17" s="1"/>
  <c r="P431" i="17"/>
  <c r="Q431" i="17" s="1"/>
  <c r="N432" i="17"/>
  <c r="R432" i="17" s="1"/>
  <c r="P432" i="17"/>
  <c r="Q432" i="17" s="1"/>
  <c r="N433" i="17"/>
  <c r="R433" i="17" s="1"/>
  <c r="P433" i="17"/>
  <c r="Q433" i="17" s="1"/>
  <c r="N434" i="17"/>
  <c r="R434" i="17" s="1"/>
  <c r="P434" i="17"/>
  <c r="Q434" i="17" s="1"/>
  <c r="N435" i="17"/>
  <c r="R435" i="17" s="1"/>
  <c r="P435" i="17"/>
  <c r="Q435" i="17" s="1"/>
  <c r="N436" i="17"/>
  <c r="R436" i="17" s="1"/>
  <c r="P436" i="17"/>
  <c r="Q436" i="17" s="1"/>
  <c r="N437" i="17"/>
  <c r="R437" i="17" s="1"/>
  <c r="P437" i="17"/>
  <c r="Q437" i="17" s="1"/>
  <c r="N438" i="17"/>
  <c r="R438" i="17" s="1"/>
  <c r="P438" i="17"/>
  <c r="Q438" i="17" s="1"/>
  <c r="N439" i="17"/>
  <c r="R439" i="17" s="1"/>
  <c r="P439" i="17"/>
  <c r="Q439" i="17" s="1"/>
  <c r="N440" i="17"/>
  <c r="R440" i="17" s="1"/>
  <c r="P440" i="17"/>
  <c r="Q440" i="17" s="1"/>
  <c r="N441" i="17"/>
  <c r="R441" i="17" s="1"/>
  <c r="P441" i="17"/>
  <c r="Q441" i="17" s="1"/>
  <c r="N442" i="17"/>
  <c r="R442" i="17" s="1"/>
  <c r="P442" i="17"/>
  <c r="Q442" i="17" s="1"/>
  <c r="N443" i="17"/>
  <c r="R443" i="17" s="1"/>
  <c r="P443" i="17"/>
  <c r="Q443" i="17" s="1"/>
  <c r="N444" i="17"/>
  <c r="R444" i="17" s="1"/>
  <c r="P444" i="17"/>
  <c r="Q444" i="17" s="1"/>
  <c r="N445" i="17"/>
  <c r="R445" i="17" s="1"/>
  <c r="P445" i="17"/>
  <c r="Q445" i="17" s="1"/>
  <c r="N446" i="17"/>
  <c r="R446" i="17" s="1"/>
  <c r="P446" i="17"/>
  <c r="Q446" i="17" s="1"/>
  <c r="N447" i="17"/>
  <c r="R447" i="17" s="1"/>
  <c r="P447" i="17"/>
  <c r="Q447" i="17" s="1"/>
  <c r="N448" i="17"/>
  <c r="R448" i="17" s="1"/>
  <c r="P448" i="17"/>
  <c r="Q448" i="17" s="1"/>
  <c r="N198" i="17"/>
  <c r="R198" i="17" s="1"/>
  <c r="P198" i="17"/>
  <c r="Q198" i="17" s="1"/>
  <c r="N199" i="17"/>
  <c r="R199" i="17" s="1"/>
  <c r="P199" i="17"/>
  <c r="Q199" i="17" s="1"/>
  <c r="N200" i="17"/>
  <c r="R200" i="17" s="1"/>
  <c r="P200" i="17"/>
  <c r="Q200" i="17" s="1"/>
  <c r="N201" i="17"/>
  <c r="R201" i="17" s="1"/>
  <c r="P201" i="17"/>
  <c r="Q201" i="17" s="1"/>
  <c r="N202" i="17"/>
  <c r="R202" i="17" s="1"/>
  <c r="P202" i="17"/>
  <c r="Q202" i="17" s="1"/>
  <c r="N203" i="17"/>
  <c r="R203" i="17" s="1"/>
  <c r="P203" i="17"/>
  <c r="Q203" i="17" s="1"/>
  <c r="N204" i="17"/>
  <c r="R204" i="17" s="1"/>
  <c r="P204" i="17"/>
  <c r="Q204" i="17" s="1"/>
  <c r="N205" i="17"/>
  <c r="R205" i="17" s="1"/>
  <c r="P205" i="17"/>
  <c r="Q205" i="17" s="1"/>
  <c r="N206" i="17"/>
  <c r="R206" i="17" s="1"/>
  <c r="P206" i="17"/>
  <c r="Q206" i="17" s="1"/>
  <c r="N207" i="17"/>
  <c r="R207" i="17" s="1"/>
  <c r="P207" i="17"/>
  <c r="Q207" i="17" s="1"/>
  <c r="N208" i="17"/>
  <c r="R208" i="17" s="1"/>
  <c r="P208" i="17"/>
  <c r="Q208" i="17" s="1"/>
  <c r="N209" i="17"/>
  <c r="R209" i="17" s="1"/>
  <c r="P209" i="17"/>
  <c r="Q209" i="17" s="1"/>
  <c r="N210" i="17"/>
  <c r="R210" i="17" s="1"/>
  <c r="P210" i="17"/>
  <c r="Q210" i="17" s="1"/>
  <c r="N211" i="17"/>
  <c r="R211" i="17" s="1"/>
  <c r="P211" i="17"/>
  <c r="Q211" i="17" s="1"/>
  <c r="N212" i="17"/>
  <c r="R212" i="17" s="1"/>
  <c r="P212" i="17"/>
  <c r="Q212" i="17" s="1"/>
  <c r="N213" i="17"/>
  <c r="R213" i="17" s="1"/>
  <c r="P213" i="17"/>
  <c r="Q213" i="17" s="1"/>
  <c r="N214" i="17"/>
  <c r="R214" i="17" s="1"/>
  <c r="P214" i="17"/>
  <c r="Q214" i="17" s="1"/>
  <c r="N215" i="17"/>
  <c r="R215" i="17" s="1"/>
  <c r="P215" i="17"/>
  <c r="Q215" i="17" s="1"/>
  <c r="N216" i="17"/>
  <c r="R216" i="17" s="1"/>
  <c r="P216" i="17"/>
  <c r="Q216" i="17" s="1"/>
  <c r="N217" i="17"/>
  <c r="R217" i="17" s="1"/>
  <c r="P217" i="17"/>
  <c r="Q217" i="17" s="1"/>
  <c r="N218" i="17"/>
  <c r="R218" i="17" s="1"/>
  <c r="P218" i="17"/>
  <c r="Q218" i="17" s="1"/>
  <c r="N219" i="17"/>
  <c r="R219" i="17" s="1"/>
  <c r="P219" i="17"/>
  <c r="Q219" i="17" s="1"/>
  <c r="N220" i="17"/>
  <c r="R220" i="17" s="1"/>
  <c r="P220" i="17"/>
  <c r="Q220" i="17" s="1"/>
  <c r="N221" i="17"/>
  <c r="R221" i="17" s="1"/>
  <c r="P221" i="17"/>
  <c r="Q221" i="17" s="1"/>
  <c r="N222" i="17"/>
  <c r="R222" i="17" s="1"/>
  <c r="P222" i="17"/>
  <c r="Q222" i="17" s="1"/>
  <c r="N223" i="17"/>
  <c r="R223" i="17" s="1"/>
  <c r="P223" i="17"/>
  <c r="Q223" i="17" s="1"/>
  <c r="N224" i="17"/>
  <c r="R224" i="17" s="1"/>
  <c r="P224" i="17"/>
  <c r="Q224" i="17" s="1"/>
  <c r="N225" i="17"/>
  <c r="R225" i="17" s="1"/>
  <c r="P225" i="17"/>
  <c r="Q225" i="17" s="1"/>
  <c r="N226" i="17"/>
  <c r="R226" i="17" s="1"/>
  <c r="P226" i="17"/>
  <c r="Q226" i="17" s="1"/>
  <c r="N227" i="17"/>
  <c r="R227" i="17" s="1"/>
  <c r="P227" i="17"/>
  <c r="Q227" i="17" s="1"/>
  <c r="N228" i="17"/>
  <c r="R228" i="17" s="1"/>
  <c r="P228" i="17"/>
  <c r="Q228" i="17" s="1"/>
  <c r="N229" i="17"/>
  <c r="R229" i="17" s="1"/>
  <c r="P229" i="17"/>
  <c r="Q229" i="17" s="1"/>
  <c r="N230" i="17"/>
  <c r="P230" i="17"/>
  <c r="Q230" i="17" s="1"/>
  <c r="N231" i="17"/>
  <c r="R231" i="17" s="1"/>
  <c r="P231" i="17"/>
  <c r="Q231" i="17" s="1"/>
  <c r="N232" i="17"/>
  <c r="R232" i="17" s="1"/>
  <c r="P232" i="17"/>
  <c r="Q232" i="17" s="1"/>
  <c r="N233" i="17"/>
  <c r="R233" i="17" s="1"/>
  <c r="P233" i="17"/>
  <c r="Q233" i="17" s="1"/>
  <c r="N234" i="17"/>
  <c r="R234" i="17" s="1"/>
  <c r="P234" i="17"/>
  <c r="Q234" i="17" s="1"/>
  <c r="N235" i="17"/>
  <c r="R235" i="17" s="1"/>
  <c r="P235" i="17"/>
  <c r="Q235" i="17" s="1"/>
  <c r="N236" i="17"/>
  <c r="R236" i="17" s="1"/>
  <c r="P236" i="17"/>
  <c r="Q236" i="17" s="1"/>
  <c r="N237" i="17"/>
  <c r="R237" i="17" s="1"/>
  <c r="P237" i="17"/>
  <c r="Q237" i="17" s="1"/>
  <c r="N238" i="17"/>
  <c r="R238" i="17" s="1"/>
  <c r="P238" i="17"/>
  <c r="Q238" i="17" s="1"/>
  <c r="N239" i="17"/>
  <c r="R239" i="17" s="1"/>
  <c r="P239" i="17"/>
  <c r="Q239" i="17" s="1"/>
  <c r="N240" i="17"/>
  <c r="R240" i="17" s="1"/>
  <c r="P240" i="17"/>
  <c r="Q240" i="17" s="1"/>
  <c r="N241" i="17"/>
  <c r="R241" i="17" s="1"/>
  <c r="P241" i="17"/>
  <c r="Q241" i="17" s="1"/>
  <c r="N242" i="17"/>
  <c r="R242" i="17" s="1"/>
  <c r="P242" i="17"/>
  <c r="Q242" i="17" s="1"/>
  <c r="N243" i="17"/>
  <c r="R243" i="17" s="1"/>
  <c r="P243" i="17"/>
  <c r="Q243" i="17" s="1"/>
  <c r="N244" i="17"/>
  <c r="R244" i="17" s="1"/>
  <c r="P244" i="17"/>
  <c r="Q244" i="17" s="1"/>
  <c r="N245" i="17"/>
  <c r="R245" i="17" s="1"/>
  <c r="P245" i="17"/>
  <c r="Q245" i="17" s="1"/>
  <c r="N246" i="17"/>
  <c r="R246" i="17" s="1"/>
  <c r="P246" i="17"/>
  <c r="Q246" i="17" s="1"/>
  <c r="N247" i="17"/>
  <c r="R247" i="17" s="1"/>
  <c r="P247" i="17"/>
  <c r="Q247" i="17" s="1"/>
  <c r="N248" i="17"/>
  <c r="R248" i="17" s="1"/>
  <c r="P248" i="17"/>
  <c r="Q248" i="17" s="1"/>
  <c r="N249" i="17"/>
  <c r="R249" i="17" s="1"/>
  <c r="P249" i="17"/>
  <c r="Q249" i="17" s="1"/>
  <c r="N250" i="17"/>
  <c r="R250" i="17" s="1"/>
  <c r="P250" i="17"/>
  <c r="Q250" i="17" s="1"/>
  <c r="N251" i="17"/>
  <c r="R251" i="17" s="1"/>
  <c r="P251" i="17"/>
  <c r="Q251" i="17" s="1"/>
  <c r="N252" i="17"/>
  <c r="R252" i="17" s="1"/>
  <c r="P252" i="17"/>
  <c r="Q252" i="17" s="1"/>
  <c r="N253" i="17"/>
  <c r="R253" i="17" s="1"/>
  <c r="P253" i="17"/>
  <c r="Q253" i="17" s="1"/>
  <c r="N254" i="17"/>
  <c r="R254" i="17" s="1"/>
  <c r="P254" i="17"/>
  <c r="Q254" i="17" s="1"/>
  <c r="N255" i="17"/>
  <c r="R255" i="17" s="1"/>
  <c r="P255" i="17"/>
  <c r="Q255" i="17" s="1"/>
  <c r="N256" i="17"/>
  <c r="R256" i="17" s="1"/>
  <c r="P256" i="17"/>
  <c r="Q256" i="17" s="1"/>
  <c r="N257" i="17"/>
  <c r="R257" i="17" s="1"/>
  <c r="P257" i="17"/>
  <c r="Q257" i="17" s="1"/>
  <c r="N258" i="17"/>
  <c r="R258" i="17" s="1"/>
  <c r="P258" i="17"/>
  <c r="Q258" i="17" s="1"/>
  <c r="N259" i="17"/>
  <c r="R259" i="17" s="1"/>
  <c r="P259" i="17"/>
  <c r="Q259" i="17" s="1"/>
  <c r="N260" i="17"/>
  <c r="R260" i="17" s="1"/>
  <c r="P260" i="17"/>
  <c r="Q260" i="17" s="1"/>
  <c r="N261" i="17"/>
  <c r="R261" i="17" s="1"/>
  <c r="P261" i="17"/>
  <c r="Q261" i="17" s="1"/>
  <c r="N262" i="17"/>
  <c r="R262" i="17" s="1"/>
  <c r="P262" i="17"/>
  <c r="Q262" i="17" s="1"/>
  <c r="N263" i="17"/>
  <c r="R263" i="17" s="1"/>
  <c r="P263" i="17"/>
  <c r="Q263" i="17" s="1"/>
  <c r="N264" i="17"/>
  <c r="R264" i="17" s="1"/>
  <c r="P264" i="17"/>
  <c r="Q264" i="17" s="1"/>
  <c r="N265" i="17"/>
  <c r="R265" i="17" s="1"/>
  <c r="P265" i="17"/>
  <c r="Q265" i="17" s="1"/>
  <c r="N266" i="17"/>
  <c r="R266" i="17" s="1"/>
  <c r="P266" i="17"/>
  <c r="Q266" i="17" s="1"/>
  <c r="N267" i="17"/>
  <c r="R267" i="17" s="1"/>
  <c r="P267" i="17"/>
  <c r="Q267" i="17" s="1"/>
  <c r="N268" i="17"/>
  <c r="R268" i="17" s="1"/>
  <c r="P268" i="17"/>
  <c r="Q268" i="17" s="1"/>
  <c r="N269" i="17"/>
  <c r="P269" i="17"/>
  <c r="Q269" i="17" s="1"/>
  <c r="N270" i="17"/>
  <c r="R270" i="17" s="1"/>
  <c r="P270" i="17"/>
  <c r="Q270" i="17" s="1"/>
  <c r="N271" i="17"/>
  <c r="R271" i="17" s="1"/>
  <c r="P271" i="17"/>
  <c r="Q271" i="17" s="1"/>
  <c r="N272" i="17"/>
  <c r="R272" i="17" s="1"/>
  <c r="P272" i="17"/>
  <c r="Q272" i="17" s="1"/>
  <c r="N273" i="17"/>
  <c r="R273" i="17" s="1"/>
  <c r="P273" i="17"/>
  <c r="Q273" i="17" s="1"/>
  <c r="N274" i="17"/>
  <c r="R274" i="17" s="1"/>
  <c r="P274" i="17"/>
  <c r="Q274" i="17" s="1"/>
  <c r="N275" i="17"/>
  <c r="R275" i="17" s="1"/>
  <c r="P275" i="17"/>
  <c r="Q275" i="17" s="1"/>
  <c r="N276" i="17"/>
  <c r="R276" i="17" s="1"/>
  <c r="P276" i="17"/>
  <c r="Q276" i="17" s="1"/>
  <c r="N277" i="17"/>
  <c r="R277" i="17" s="1"/>
  <c r="P277" i="17"/>
  <c r="Q277" i="17" s="1"/>
  <c r="N278" i="17"/>
  <c r="R278" i="17" s="1"/>
  <c r="P278" i="17"/>
  <c r="Q278" i="17" s="1"/>
  <c r="N279" i="17"/>
  <c r="R279" i="17" s="1"/>
  <c r="P279" i="17"/>
  <c r="Q279" i="17" s="1"/>
  <c r="N280" i="17"/>
  <c r="R280" i="17" s="1"/>
  <c r="P280" i="17"/>
  <c r="Q280" i="17" s="1"/>
  <c r="N281" i="17"/>
  <c r="R281" i="17" s="1"/>
  <c r="P281" i="17"/>
  <c r="Q281" i="17" s="1"/>
  <c r="N282" i="17"/>
  <c r="R282" i="17" s="1"/>
  <c r="P282" i="17"/>
  <c r="Q282" i="17" s="1"/>
  <c r="N283" i="17"/>
  <c r="R283" i="17" s="1"/>
  <c r="P283" i="17"/>
  <c r="Q283" i="17" s="1"/>
  <c r="N284" i="17"/>
  <c r="R284" i="17" s="1"/>
  <c r="P284" i="17"/>
  <c r="Q284" i="17" s="1"/>
  <c r="N285" i="17"/>
  <c r="R285" i="17" s="1"/>
  <c r="P285" i="17"/>
  <c r="Q285" i="17" s="1"/>
  <c r="N286" i="17"/>
  <c r="R286" i="17" s="1"/>
  <c r="P286" i="17"/>
  <c r="Q286" i="17" s="1"/>
  <c r="N287" i="17"/>
  <c r="R287" i="17" s="1"/>
  <c r="P287" i="17"/>
  <c r="Q287" i="17" s="1"/>
  <c r="N288" i="17"/>
  <c r="R288" i="17" s="1"/>
  <c r="P288" i="17"/>
  <c r="Q288" i="17" s="1"/>
  <c r="N289" i="17"/>
  <c r="R289" i="17" s="1"/>
  <c r="P289" i="17"/>
  <c r="Q289" i="17" s="1"/>
  <c r="N290" i="17"/>
  <c r="R290" i="17" s="1"/>
  <c r="P290" i="17"/>
  <c r="Q290" i="17" s="1"/>
  <c r="N291" i="17"/>
  <c r="R291" i="17" s="1"/>
  <c r="P291" i="17"/>
  <c r="Q291" i="17" s="1"/>
  <c r="N292" i="17"/>
  <c r="R292" i="17" s="1"/>
  <c r="P292" i="17"/>
  <c r="Q292" i="17" s="1"/>
  <c r="N293" i="17"/>
  <c r="R293" i="17" s="1"/>
  <c r="P293" i="17"/>
  <c r="Q293" i="17" s="1"/>
  <c r="N294" i="17"/>
  <c r="R294" i="17" s="1"/>
  <c r="P294" i="17"/>
  <c r="Q294" i="17" s="1"/>
  <c r="N295" i="17"/>
  <c r="R295" i="17" s="1"/>
  <c r="P295" i="17"/>
  <c r="Q295" i="17" s="1"/>
  <c r="N296" i="17"/>
  <c r="R296" i="17" s="1"/>
  <c r="P296" i="17"/>
  <c r="Q296" i="17" s="1"/>
  <c r="N297" i="17"/>
  <c r="R297" i="17" s="1"/>
  <c r="P297" i="17"/>
  <c r="Q297" i="17" s="1"/>
  <c r="N298" i="17"/>
  <c r="R298" i="17" s="1"/>
  <c r="P298" i="17"/>
  <c r="Q298" i="17" s="1"/>
  <c r="N299" i="17"/>
  <c r="R299" i="17" s="1"/>
  <c r="P299" i="17"/>
  <c r="Q299" i="17" s="1"/>
  <c r="N300" i="17"/>
  <c r="R300" i="17" s="1"/>
  <c r="P300" i="17"/>
  <c r="Q300" i="17" s="1"/>
  <c r="N301" i="17"/>
  <c r="R301" i="17" s="1"/>
  <c r="P301" i="17"/>
  <c r="Q301" i="17" s="1"/>
  <c r="N302" i="17"/>
  <c r="R302" i="17" s="1"/>
  <c r="P302" i="17"/>
  <c r="Q302" i="17" s="1"/>
  <c r="N303" i="17"/>
  <c r="R303" i="17" s="1"/>
  <c r="P303" i="17"/>
  <c r="Q303" i="17" s="1"/>
  <c r="N304" i="17"/>
  <c r="R304" i="17" s="1"/>
  <c r="P304" i="17"/>
  <c r="Q304" i="17" s="1"/>
  <c r="N305" i="17"/>
  <c r="P305" i="17"/>
  <c r="Q305" i="17" s="1"/>
  <c r="N306" i="17"/>
  <c r="R306" i="17" s="1"/>
  <c r="P306" i="17"/>
  <c r="Q306" i="17" s="1"/>
  <c r="N307" i="17"/>
  <c r="R307" i="17" s="1"/>
  <c r="P307" i="17"/>
  <c r="Q307" i="17" s="1"/>
  <c r="N308" i="17"/>
  <c r="R308" i="17" s="1"/>
  <c r="P308" i="17"/>
  <c r="Q308" i="17" s="1"/>
  <c r="N309" i="17"/>
  <c r="R309" i="17" s="1"/>
  <c r="P309" i="17"/>
  <c r="Q309" i="17" s="1"/>
  <c r="N310" i="17"/>
  <c r="R310" i="17" s="1"/>
  <c r="P310" i="17"/>
  <c r="Q310" i="17" s="1"/>
  <c r="N311" i="17"/>
  <c r="R311" i="17" s="1"/>
  <c r="P311" i="17"/>
  <c r="Q311" i="17" s="1"/>
  <c r="N312" i="17"/>
  <c r="R312" i="17" s="1"/>
  <c r="P312" i="17"/>
  <c r="Q312" i="17" s="1"/>
  <c r="N313" i="17"/>
  <c r="R313" i="17" s="1"/>
  <c r="P313" i="17"/>
  <c r="Q313" i="17" s="1"/>
  <c r="N314" i="17"/>
  <c r="R314" i="17" s="1"/>
  <c r="P314" i="17"/>
  <c r="Q314" i="17" s="1"/>
  <c r="N315" i="17"/>
  <c r="R315" i="17" s="1"/>
  <c r="P315" i="17"/>
  <c r="Q315" i="17" s="1"/>
  <c r="N316" i="17"/>
  <c r="R316" i="17" s="1"/>
  <c r="P316" i="17"/>
  <c r="Q316" i="17" s="1"/>
  <c r="N317" i="17"/>
  <c r="R317" i="17" s="1"/>
  <c r="P317" i="17"/>
  <c r="Q317" i="17" s="1"/>
  <c r="N318" i="17"/>
  <c r="R318" i="17" s="1"/>
  <c r="P318" i="17"/>
  <c r="Q318" i="17" s="1"/>
  <c r="N319" i="17"/>
  <c r="R319" i="17" s="1"/>
  <c r="P319" i="17"/>
  <c r="Q319" i="17" s="1"/>
  <c r="N320" i="17"/>
  <c r="R320" i="17" s="1"/>
  <c r="P320" i="17"/>
  <c r="Q320" i="17" s="1"/>
  <c r="N321" i="17"/>
  <c r="R321" i="17" s="1"/>
  <c r="P321" i="17"/>
  <c r="Q321" i="17" s="1"/>
  <c r="N322" i="17"/>
  <c r="R322" i="17" s="1"/>
  <c r="P322" i="17"/>
  <c r="Q322" i="17" s="1"/>
  <c r="N323" i="17"/>
  <c r="R323" i="17" s="1"/>
  <c r="P323" i="17"/>
  <c r="Q323" i="17" s="1"/>
  <c r="N324" i="17"/>
  <c r="R324" i="17" s="1"/>
  <c r="P324" i="17"/>
  <c r="Q324" i="17" s="1"/>
  <c r="N325" i="17"/>
  <c r="R325" i="17" s="1"/>
  <c r="P325" i="17"/>
  <c r="Q325" i="17" s="1"/>
  <c r="N326" i="17"/>
  <c r="R326" i="17" s="1"/>
  <c r="P326" i="17"/>
  <c r="Q326" i="17" s="1"/>
  <c r="N327" i="17"/>
  <c r="R327" i="17" s="1"/>
  <c r="P327" i="17"/>
  <c r="Q327" i="17" s="1"/>
  <c r="N328" i="17"/>
  <c r="R328" i="17" s="1"/>
  <c r="P328" i="17"/>
  <c r="Q328" i="17" s="1"/>
  <c r="N329" i="17"/>
  <c r="R329" i="17" s="1"/>
  <c r="P329" i="17"/>
  <c r="Q329" i="17" s="1"/>
  <c r="N330" i="17"/>
  <c r="R330" i="17" s="1"/>
  <c r="P330" i="17"/>
  <c r="Q330" i="17" s="1"/>
  <c r="N331" i="17"/>
  <c r="R331" i="17" s="1"/>
  <c r="P331" i="17"/>
  <c r="Q331" i="17" s="1"/>
  <c r="N332" i="17"/>
  <c r="R332" i="17" s="1"/>
  <c r="P332" i="17"/>
  <c r="Q332" i="17" s="1"/>
  <c r="N333" i="17"/>
  <c r="R333" i="17" s="1"/>
  <c r="P333" i="17"/>
  <c r="Q333" i="17" s="1"/>
  <c r="N334" i="17"/>
  <c r="R334" i="17" s="1"/>
  <c r="P334" i="17"/>
  <c r="Q334" i="17" s="1"/>
  <c r="N335" i="17"/>
  <c r="R335" i="17" s="1"/>
  <c r="P335" i="17"/>
  <c r="Q335" i="17" s="1"/>
  <c r="N336" i="17"/>
  <c r="R336" i="17" s="1"/>
  <c r="P336" i="17"/>
  <c r="Q336" i="17" s="1"/>
  <c r="N337" i="17"/>
  <c r="R337" i="17" s="1"/>
  <c r="P337" i="17"/>
  <c r="Q337" i="17" s="1"/>
  <c r="N338" i="17"/>
  <c r="R338" i="17" s="1"/>
  <c r="P338" i="17"/>
  <c r="Q338" i="17" s="1"/>
  <c r="N339" i="17"/>
  <c r="R339" i="17" s="1"/>
  <c r="P339" i="17"/>
  <c r="Q339" i="17" s="1"/>
  <c r="N340" i="17"/>
  <c r="R340" i="17" s="1"/>
  <c r="P340" i="17"/>
  <c r="Q340" i="17" s="1"/>
  <c r="N341" i="17"/>
  <c r="R341" i="17" s="1"/>
  <c r="P341" i="17"/>
  <c r="Q341" i="17" s="1"/>
  <c r="N342" i="17"/>
  <c r="P342" i="17"/>
  <c r="Q342" i="17" s="1"/>
  <c r="N343" i="17"/>
  <c r="R343" i="17" s="1"/>
  <c r="P343" i="17"/>
  <c r="Q343" i="17" s="1"/>
  <c r="N344" i="17"/>
  <c r="R344" i="17" s="1"/>
  <c r="P344" i="17"/>
  <c r="Q344" i="17" s="1"/>
  <c r="N345" i="17"/>
  <c r="R345" i="17" s="1"/>
  <c r="P345" i="17"/>
  <c r="Q345" i="17" s="1"/>
  <c r="N346" i="17"/>
  <c r="R346" i="17" s="1"/>
  <c r="P346" i="17"/>
  <c r="Q346" i="17" s="1"/>
  <c r="N347" i="17"/>
  <c r="R347" i="17" s="1"/>
  <c r="P347" i="17"/>
  <c r="Q347" i="17" s="1"/>
  <c r="N348" i="17"/>
  <c r="R348" i="17" s="1"/>
  <c r="P348" i="17"/>
  <c r="Q348" i="17" s="1"/>
  <c r="N349" i="17"/>
  <c r="R349" i="17" s="1"/>
  <c r="P349" i="17"/>
  <c r="Q349" i="17" s="1"/>
  <c r="N350" i="17"/>
  <c r="R350" i="17" s="1"/>
  <c r="P350" i="17"/>
  <c r="Q350" i="17" s="1"/>
  <c r="N351" i="17"/>
  <c r="R351" i="17" s="1"/>
  <c r="P351" i="17"/>
  <c r="Q351" i="17" s="1"/>
  <c r="N352" i="17"/>
  <c r="R352" i="17" s="1"/>
  <c r="P352" i="17"/>
  <c r="Q352" i="17" s="1"/>
  <c r="N353" i="17"/>
  <c r="R353" i="17" s="1"/>
  <c r="P353" i="17"/>
  <c r="Q353" i="17" s="1"/>
  <c r="N354" i="17"/>
  <c r="R354" i="17" s="1"/>
  <c r="P354" i="17"/>
  <c r="Q354" i="17" s="1"/>
  <c r="N355" i="17"/>
  <c r="R355" i="17" s="1"/>
  <c r="P355" i="17"/>
  <c r="Q355" i="17" s="1"/>
  <c r="N356" i="17"/>
  <c r="R356" i="17" s="1"/>
  <c r="P356" i="17"/>
  <c r="Q356" i="17" s="1"/>
  <c r="N357" i="17"/>
  <c r="R357" i="17" s="1"/>
  <c r="P357" i="17"/>
  <c r="Q357" i="17" s="1"/>
  <c r="N358" i="17"/>
  <c r="R358" i="17" s="1"/>
  <c r="P358" i="17"/>
  <c r="Q358" i="17" s="1"/>
  <c r="N359" i="17"/>
  <c r="R359" i="17" s="1"/>
  <c r="P359" i="17"/>
  <c r="Q359" i="17" s="1"/>
  <c r="N360" i="17"/>
  <c r="R360" i="17" s="1"/>
  <c r="P360" i="17"/>
  <c r="Q360" i="17" s="1"/>
  <c r="N361" i="17"/>
  <c r="R361" i="17" s="1"/>
  <c r="P361" i="17"/>
  <c r="Q361" i="17" s="1"/>
  <c r="N362" i="17"/>
  <c r="R362" i="17" s="1"/>
  <c r="P362" i="17"/>
  <c r="Q362" i="17" s="1"/>
  <c r="N363" i="17"/>
  <c r="R363" i="17" s="1"/>
  <c r="P363" i="17"/>
  <c r="Q363" i="17" s="1"/>
  <c r="N364" i="17"/>
  <c r="R364" i="17" s="1"/>
  <c r="P364" i="17"/>
  <c r="Q364" i="17" s="1"/>
  <c r="N365" i="17"/>
  <c r="R365" i="17" s="1"/>
  <c r="P365" i="17"/>
  <c r="Q365" i="17" s="1"/>
  <c r="N366" i="17"/>
  <c r="R366" i="17" s="1"/>
  <c r="P366" i="17"/>
  <c r="Q366" i="17" s="1"/>
  <c r="N367" i="17"/>
  <c r="R367" i="17" s="1"/>
  <c r="P367" i="17"/>
  <c r="Q367" i="17" s="1"/>
  <c r="N368" i="17"/>
  <c r="R368" i="17" s="1"/>
  <c r="P368" i="17"/>
  <c r="Q368" i="17" s="1"/>
  <c r="N369" i="17"/>
  <c r="R369" i="17" s="1"/>
  <c r="P369" i="17"/>
  <c r="Q369" i="17" s="1"/>
  <c r="N370" i="17"/>
  <c r="R370" i="17" s="1"/>
  <c r="P370" i="17"/>
  <c r="Q370" i="17" s="1"/>
  <c r="N371" i="17"/>
  <c r="R371" i="17" s="1"/>
  <c r="P371" i="17"/>
  <c r="Q371" i="17" s="1"/>
  <c r="N372" i="17"/>
  <c r="R372" i="17" s="1"/>
  <c r="P372" i="17"/>
  <c r="Q372" i="17" s="1"/>
  <c r="N373" i="17"/>
  <c r="R373" i="17" s="1"/>
  <c r="P373" i="17"/>
  <c r="Q373" i="17" s="1"/>
  <c r="N374" i="17"/>
  <c r="R374" i="17" s="1"/>
  <c r="P374" i="17"/>
  <c r="Q374" i="17" s="1"/>
  <c r="N375" i="17"/>
  <c r="R375" i="17" s="1"/>
  <c r="P375" i="17"/>
  <c r="Q375" i="17" s="1"/>
  <c r="N376" i="17"/>
  <c r="P376" i="17"/>
  <c r="Q376" i="17" s="1"/>
  <c r="N377" i="17"/>
  <c r="R377" i="17" s="1"/>
  <c r="P377" i="17"/>
  <c r="Q377" i="17" s="1"/>
  <c r="N378" i="17"/>
  <c r="R378" i="17" s="1"/>
  <c r="P378" i="17"/>
  <c r="Q378" i="17" s="1"/>
  <c r="N379" i="17"/>
  <c r="R379" i="17" s="1"/>
  <c r="P379" i="17"/>
  <c r="Q379" i="17" s="1"/>
  <c r="N380" i="17"/>
  <c r="R380" i="17" s="1"/>
  <c r="P380" i="17"/>
  <c r="Q380" i="17" s="1"/>
  <c r="N381" i="17"/>
  <c r="R381" i="17" s="1"/>
  <c r="P381" i="17"/>
  <c r="Q381" i="17" s="1"/>
  <c r="N382" i="17"/>
  <c r="R382" i="17" s="1"/>
  <c r="P382" i="17"/>
  <c r="Q382" i="17" s="1"/>
  <c r="N383" i="17"/>
  <c r="R383" i="17" s="1"/>
  <c r="P383" i="17"/>
  <c r="Q383" i="17" s="1"/>
  <c r="N384" i="17"/>
  <c r="R384" i="17" s="1"/>
  <c r="P384" i="17"/>
  <c r="Q384" i="17" s="1"/>
  <c r="N385" i="17"/>
  <c r="R385" i="17" s="1"/>
  <c r="P385" i="17"/>
  <c r="Q385" i="17" s="1"/>
  <c r="N386" i="17"/>
  <c r="R386" i="17" s="1"/>
  <c r="P386" i="17"/>
  <c r="Q386" i="17" s="1"/>
  <c r="N387" i="17"/>
  <c r="R387" i="17" s="1"/>
  <c r="P387" i="17"/>
  <c r="Q387" i="17" s="1"/>
  <c r="N388" i="17"/>
  <c r="R388" i="17" s="1"/>
  <c r="P388" i="17"/>
  <c r="Q388" i="17" s="1"/>
  <c r="N389" i="17"/>
  <c r="R389" i="17" s="1"/>
  <c r="P389" i="17"/>
  <c r="Q389" i="17" s="1"/>
  <c r="N390" i="17"/>
  <c r="R390" i="17" s="1"/>
  <c r="P390" i="17"/>
  <c r="Q390" i="17" s="1"/>
  <c r="N391" i="17"/>
  <c r="R391" i="17" s="1"/>
  <c r="P391" i="17"/>
  <c r="Q391" i="17" s="1"/>
  <c r="N392" i="17"/>
  <c r="R392" i="17" s="1"/>
  <c r="P392" i="17"/>
  <c r="Q392" i="17" s="1"/>
  <c r="N393" i="17"/>
  <c r="R393" i="17" s="1"/>
  <c r="P393" i="17"/>
  <c r="Q393" i="17" s="1"/>
  <c r="N394" i="17"/>
  <c r="R394" i="17" s="1"/>
  <c r="P394" i="17"/>
  <c r="Q394" i="17" s="1"/>
  <c r="N395" i="17"/>
  <c r="R395" i="17" s="1"/>
  <c r="P395" i="17"/>
  <c r="Q395" i="17" s="1"/>
  <c r="N396" i="17"/>
  <c r="R396" i="17" s="1"/>
  <c r="P396" i="17"/>
  <c r="Q396" i="17" s="1"/>
  <c r="N397" i="17"/>
  <c r="R397" i="17" s="1"/>
  <c r="P397" i="17"/>
  <c r="Q397" i="17" s="1"/>
  <c r="N398" i="17"/>
  <c r="R398" i="17" s="1"/>
  <c r="P398" i="17"/>
  <c r="Q398" i="17" s="1"/>
  <c r="N399" i="17"/>
  <c r="R399" i="17" s="1"/>
  <c r="P399" i="17"/>
  <c r="Q399" i="17" s="1"/>
  <c r="N400" i="17"/>
  <c r="R400" i="17" s="1"/>
  <c r="P400" i="17"/>
  <c r="Q400" i="17" s="1"/>
  <c r="N401" i="17"/>
  <c r="R401" i="17" s="1"/>
  <c r="P401" i="17"/>
  <c r="Q401" i="17" s="1"/>
  <c r="N402" i="17"/>
  <c r="R402" i="17" s="1"/>
  <c r="P402" i="17"/>
  <c r="Q402" i="17" s="1"/>
  <c r="N403" i="17"/>
  <c r="R403" i="17" s="1"/>
  <c r="P403" i="17"/>
  <c r="Q403" i="17" s="1"/>
  <c r="N404" i="17"/>
  <c r="R404" i="17" s="1"/>
  <c r="P404" i="17"/>
  <c r="Q404" i="17" s="1"/>
  <c r="N405" i="17"/>
  <c r="R405" i="17" s="1"/>
  <c r="P405" i="17"/>
  <c r="Q405" i="17" s="1"/>
  <c r="N406" i="17"/>
  <c r="R406" i="17" s="1"/>
  <c r="P406" i="17"/>
  <c r="Q406" i="17" s="1"/>
  <c r="N407" i="17"/>
  <c r="R407" i="17" s="1"/>
  <c r="P407" i="17"/>
  <c r="Q407" i="17" s="1"/>
  <c r="N408" i="17"/>
  <c r="R408" i="17" s="1"/>
  <c r="P408" i="17"/>
  <c r="Q408" i="17" s="1"/>
  <c r="N409" i="17"/>
  <c r="R409" i="17" s="1"/>
  <c r="P409" i="17"/>
  <c r="Q409" i="17" s="1"/>
  <c r="N410" i="17"/>
  <c r="R410" i="17" s="1"/>
  <c r="P410" i="17"/>
  <c r="Q410" i="17" s="1"/>
  <c r="N411" i="17"/>
  <c r="R411" i="17" s="1"/>
  <c r="P411" i="17"/>
  <c r="Q411" i="17" s="1"/>
  <c r="N412" i="17"/>
  <c r="P412" i="17"/>
  <c r="Q412" i="17" s="1"/>
  <c r="N413" i="17"/>
  <c r="R413" i="17" s="1"/>
  <c r="P413" i="17"/>
  <c r="Q413" i="17" s="1"/>
  <c r="N414" i="17"/>
  <c r="R414" i="17" s="1"/>
  <c r="P414" i="17"/>
  <c r="Q414" i="17" s="1"/>
  <c r="N415" i="17"/>
  <c r="R415" i="17" s="1"/>
  <c r="P415" i="17"/>
  <c r="Q415" i="17" s="1"/>
  <c r="N416" i="17"/>
  <c r="R416" i="17" s="1"/>
  <c r="P416" i="17"/>
  <c r="Q416" i="17" s="1"/>
  <c r="N417" i="17"/>
  <c r="R417" i="17" s="1"/>
  <c r="P417" i="17"/>
  <c r="Q417" i="17" s="1"/>
  <c r="N3" i="17"/>
  <c r="P3" i="17"/>
  <c r="Q3" i="17" s="1"/>
  <c r="N4" i="17"/>
  <c r="R4" i="17" s="1"/>
  <c r="P4" i="17"/>
  <c r="Q4" i="17" s="1"/>
  <c r="N5" i="17"/>
  <c r="R5" i="17" s="1"/>
  <c r="P5" i="17"/>
  <c r="Q5" i="17" s="1"/>
  <c r="N6" i="17"/>
  <c r="R6" i="17" s="1"/>
  <c r="P6" i="17"/>
  <c r="Q6" i="17" s="1"/>
  <c r="N7" i="17"/>
  <c r="R7" i="17" s="1"/>
  <c r="P7" i="17"/>
  <c r="Q7" i="17" s="1"/>
  <c r="N8" i="17"/>
  <c r="R8" i="17" s="1"/>
  <c r="P8" i="17"/>
  <c r="Q8" i="17" s="1"/>
  <c r="N9" i="17"/>
  <c r="R9" i="17" s="1"/>
  <c r="P9" i="17"/>
  <c r="Q9" i="17" s="1"/>
  <c r="N10" i="17"/>
  <c r="R10" i="17" s="1"/>
  <c r="P10" i="17"/>
  <c r="Q10" i="17" s="1"/>
  <c r="N11" i="17"/>
  <c r="R11" i="17" s="1"/>
  <c r="P11" i="17"/>
  <c r="Q11" i="17" s="1"/>
  <c r="N12" i="17"/>
  <c r="R12" i="17" s="1"/>
  <c r="P12" i="17"/>
  <c r="Q12" i="17" s="1"/>
  <c r="N13" i="17"/>
  <c r="R13" i="17" s="1"/>
  <c r="P13" i="17"/>
  <c r="Q13" i="17" s="1"/>
  <c r="N14" i="17"/>
  <c r="R14" i="17" s="1"/>
  <c r="P14" i="17"/>
  <c r="Q14" i="17" s="1"/>
  <c r="N15" i="17"/>
  <c r="R15" i="17" s="1"/>
  <c r="P15" i="17"/>
  <c r="Q15" i="17" s="1"/>
  <c r="N16" i="17"/>
  <c r="R16" i="17" s="1"/>
  <c r="P16" i="17"/>
  <c r="Q16" i="17" s="1"/>
  <c r="N17" i="17"/>
  <c r="R17" i="17" s="1"/>
  <c r="P17" i="17"/>
  <c r="Q17" i="17" s="1"/>
  <c r="N18" i="17"/>
  <c r="R18" i="17" s="1"/>
  <c r="P18" i="17"/>
  <c r="Q18" i="17" s="1"/>
  <c r="N19" i="17"/>
  <c r="R19" i="17" s="1"/>
  <c r="P19" i="17"/>
  <c r="Q19" i="17" s="1"/>
  <c r="N20" i="17"/>
  <c r="R20" i="17" s="1"/>
  <c r="P20" i="17"/>
  <c r="Q20" i="17" s="1"/>
  <c r="N21" i="17"/>
  <c r="R21" i="17" s="1"/>
  <c r="P21" i="17"/>
  <c r="Q21" i="17" s="1"/>
  <c r="N22" i="17"/>
  <c r="R22" i="17" s="1"/>
  <c r="P22" i="17"/>
  <c r="Q22" i="17" s="1"/>
  <c r="N23" i="17"/>
  <c r="R23" i="17" s="1"/>
  <c r="P23" i="17"/>
  <c r="Q23" i="17" s="1"/>
  <c r="N24" i="17"/>
  <c r="R24" i="17" s="1"/>
  <c r="P24" i="17"/>
  <c r="Q24" i="17" s="1"/>
  <c r="N25" i="17"/>
  <c r="R25" i="17" s="1"/>
  <c r="P25" i="17"/>
  <c r="Q25" i="17" s="1"/>
  <c r="N26" i="17"/>
  <c r="R26" i="17" s="1"/>
  <c r="P26" i="17"/>
  <c r="Q26" i="17" s="1"/>
  <c r="N27" i="17"/>
  <c r="R27" i="17" s="1"/>
  <c r="P27" i="17"/>
  <c r="Q27" i="17" s="1"/>
  <c r="N28" i="17"/>
  <c r="R28" i="17" s="1"/>
  <c r="P28" i="17"/>
  <c r="Q28" i="17" s="1"/>
  <c r="N29" i="17"/>
  <c r="R29" i="17" s="1"/>
  <c r="P29" i="17"/>
  <c r="Q29" i="17" s="1"/>
  <c r="N30" i="17"/>
  <c r="R30" i="17" s="1"/>
  <c r="P30" i="17"/>
  <c r="Q30" i="17" s="1"/>
  <c r="N31" i="17"/>
  <c r="R31" i="17" s="1"/>
  <c r="P31" i="17"/>
  <c r="Q31" i="17" s="1"/>
  <c r="N32" i="17"/>
  <c r="R32" i="17" s="1"/>
  <c r="P32" i="17"/>
  <c r="Q32" i="17" s="1"/>
  <c r="N33" i="17"/>
  <c r="R33" i="17" s="1"/>
  <c r="P33" i="17"/>
  <c r="Q33" i="17" s="1"/>
  <c r="N34" i="17"/>
  <c r="R34" i="17" s="1"/>
  <c r="P34" i="17"/>
  <c r="Q34" i="17" s="1"/>
  <c r="N35" i="17"/>
  <c r="R35" i="17" s="1"/>
  <c r="P35" i="17"/>
  <c r="Q35" i="17" s="1"/>
  <c r="N36" i="17"/>
  <c r="R36" i="17" s="1"/>
  <c r="P36" i="17"/>
  <c r="Q36" i="17" s="1"/>
  <c r="N37" i="17"/>
  <c r="R37" i="17" s="1"/>
  <c r="P37" i="17"/>
  <c r="Q37" i="17" s="1"/>
  <c r="N38" i="17"/>
  <c r="P38" i="17"/>
  <c r="Q38" i="17" s="1"/>
  <c r="N39" i="17"/>
  <c r="R39" i="17" s="1"/>
  <c r="P39" i="17"/>
  <c r="Q39" i="17" s="1"/>
  <c r="N40" i="17"/>
  <c r="R40" i="17" s="1"/>
  <c r="P40" i="17"/>
  <c r="Q40" i="17" s="1"/>
  <c r="N41" i="17"/>
  <c r="R41" i="17" s="1"/>
  <c r="P41" i="17"/>
  <c r="Q41" i="17" s="1"/>
  <c r="N42" i="17"/>
  <c r="R42" i="17" s="1"/>
  <c r="P42" i="17"/>
  <c r="Q42" i="17" s="1"/>
  <c r="N43" i="17"/>
  <c r="R43" i="17" s="1"/>
  <c r="P43" i="17"/>
  <c r="Q43" i="17" s="1"/>
  <c r="N44" i="17"/>
  <c r="R44" i="17" s="1"/>
  <c r="P44" i="17"/>
  <c r="Q44" i="17" s="1"/>
  <c r="N45" i="17"/>
  <c r="R45" i="17" s="1"/>
  <c r="P45" i="17"/>
  <c r="Q45" i="17" s="1"/>
  <c r="N46" i="17"/>
  <c r="R46" i="17" s="1"/>
  <c r="P46" i="17"/>
  <c r="Q46" i="17" s="1"/>
  <c r="N47" i="17"/>
  <c r="R47" i="17" s="1"/>
  <c r="P47" i="17"/>
  <c r="Q47" i="17" s="1"/>
  <c r="N48" i="17"/>
  <c r="R48" i="17" s="1"/>
  <c r="P48" i="17"/>
  <c r="Q48" i="17" s="1"/>
  <c r="N49" i="17"/>
  <c r="R49" i="17" s="1"/>
  <c r="P49" i="17"/>
  <c r="Q49" i="17" s="1"/>
  <c r="N50" i="17"/>
  <c r="R50" i="17" s="1"/>
  <c r="P50" i="17"/>
  <c r="Q50" i="17" s="1"/>
  <c r="N51" i="17"/>
  <c r="R51" i="17" s="1"/>
  <c r="P51" i="17"/>
  <c r="Q51" i="17" s="1"/>
  <c r="N52" i="17"/>
  <c r="R52" i="17" s="1"/>
  <c r="P52" i="17"/>
  <c r="Q52" i="17" s="1"/>
  <c r="N53" i="17"/>
  <c r="R53" i="17" s="1"/>
  <c r="P53" i="17"/>
  <c r="Q53" i="17" s="1"/>
  <c r="N54" i="17"/>
  <c r="R54" i="17" s="1"/>
  <c r="P54" i="17"/>
  <c r="Q54" i="17" s="1"/>
  <c r="N55" i="17"/>
  <c r="R55" i="17" s="1"/>
  <c r="P55" i="17"/>
  <c r="Q55" i="17" s="1"/>
  <c r="N56" i="17"/>
  <c r="R56" i="17" s="1"/>
  <c r="P56" i="17"/>
  <c r="Q56" i="17" s="1"/>
  <c r="N57" i="17"/>
  <c r="R57" i="17" s="1"/>
  <c r="P57" i="17"/>
  <c r="Q57" i="17" s="1"/>
  <c r="N58" i="17"/>
  <c r="R58" i="17" s="1"/>
  <c r="P58" i="17"/>
  <c r="Q58" i="17" s="1"/>
  <c r="N59" i="17"/>
  <c r="R59" i="17" s="1"/>
  <c r="P59" i="17"/>
  <c r="Q59" i="17" s="1"/>
  <c r="N60" i="17"/>
  <c r="R60" i="17" s="1"/>
  <c r="P60" i="17"/>
  <c r="Q60" i="17" s="1"/>
  <c r="N61" i="17"/>
  <c r="R61" i="17" s="1"/>
  <c r="P61" i="17"/>
  <c r="Q61" i="17" s="1"/>
  <c r="N62" i="17"/>
  <c r="R62" i="17" s="1"/>
  <c r="P62" i="17"/>
  <c r="Q62" i="17" s="1"/>
  <c r="N63" i="17"/>
  <c r="R63" i="17" s="1"/>
  <c r="P63" i="17"/>
  <c r="Q63" i="17" s="1"/>
  <c r="N64" i="17"/>
  <c r="R64" i="17" s="1"/>
  <c r="P64" i="17"/>
  <c r="Q64" i="17" s="1"/>
  <c r="N65" i="17"/>
  <c r="R65" i="17" s="1"/>
  <c r="P65" i="17"/>
  <c r="Q65" i="17" s="1"/>
  <c r="N66" i="17"/>
  <c r="R66" i="17" s="1"/>
  <c r="P66" i="17"/>
  <c r="Q66" i="17" s="1"/>
  <c r="N67" i="17"/>
  <c r="R67" i="17" s="1"/>
  <c r="P67" i="17"/>
  <c r="Q67" i="17" s="1"/>
  <c r="N68" i="17"/>
  <c r="R68" i="17" s="1"/>
  <c r="P68" i="17"/>
  <c r="Q68" i="17" s="1"/>
  <c r="N69" i="17"/>
  <c r="R69" i="17" s="1"/>
  <c r="P69" i="17"/>
  <c r="Q69" i="17" s="1"/>
  <c r="N70" i="17"/>
  <c r="R70" i="17" s="1"/>
  <c r="P70" i="17"/>
  <c r="Q70" i="17" s="1"/>
  <c r="N71" i="17"/>
  <c r="R71" i="17" s="1"/>
  <c r="P71" i="17"/>
  <c r="Q71" i="17" s="1"/>
  <c r="N72" i="17"/>
  <c r="R72" i="17" s="1"/>
  <c r="P72" i="17"/>
  <c r="Q72" i="17" s="1"/>
  <c r="N73" i="17"/>
  <c r="P73" i="17"/>
  <c r="Q73" i="17" s="1"/>
  <c r="N74" i="17"/>
  <c r="R74" i="17" s="1"/>
  <c r="P74" i="17"/>
  <c r="Q74" i="17" s="1"/>
  <c r="N75" i="17"/>
  <c r="R75" i="17" s="1"/>
  <c r="P75" i="17"/>
  <c r="Q75" i="17" s="1"/>
  <c r="N76" i="17"/>
  <c r="R76" i="17" s="1"/>
  <c r="P76" i="17"/>
  <c r="Q76" i="17" s="1"/>
  <c r="N77" i="17"/>
  <c r="R77" i="17" s="1"/>
  <c r="P77" i="17"/>
  <c r="Q77" i="17" s="1"/>
  <c r="N78" i="17"/>
  <c r="R78" i="17" s="1"/>
  <c r="P78" i="17"/>
  <c r="Q78" i="17" s="1"/>
  <c r="N79" i="17"/>
  <c r="R79" i="17" s="1"/>
  <c r="P79" i="17"/>
  <c r="Q79" i="17" s="1"/>
  <c r="N80" i="17"/>
  <c r="R80" i="17" s="1"/>
  <c r="P80" i="17"/>
  <c r="Q80" i="17" s="1"/>
  <c r="N81" i="17"/>
  <c r="R81" i="17" s="1"/>
  <c r="P81" i="17"/>
  <c r="Q81" i="17" s="1"/>
  <c r="N82" i="17"/>
  <c r="R82" i="17" s="1"/>
  <c r="P82" i="17"/>
  <c r="Q82" i="17" s="1"/>
  <c r="N83" i="17"/>
  <c r="R83" i="17" s="1"/>
  <c r="P83" i="17"/>
  <c r="Q83" i="17" s="1"/>
  <c r="N84" i="17"/>
  <c r="R84" i="17" s="1"/>
  <c r="P84" i="17"/>
  <c r="Q84" i="17" s="1"/>
  <c r="N85" i="17"/>
  <c r="R85" i="17" s="1"/>
  <c r="P85" i="17"/>
  <c r="Q85" i="17" s="1"/>
  <c r="N86" i="17"/>
  <c r="R86" i="17" s="1"/>
  <c r="P86" i="17"/>
  <c r="Q86" i="17" s="1"/>
  <c r="N87" i="17"/>
  <c r="R87" i="17" s="1"/>
  <c r="P87" i="17"/>
  <c r="Q87" i="17" s="1"/>
  <c r="N88" i="17"/>
  <c r="R88" i="17" s="1"/>
  <c r="P88" i="17"/>
  <c r="Q88" i="17" s="1"/>
  <c r="N89" i="17"/>
  <c r="R89" i="17" s="1"/>
  <c r="P89" i="17"/>
  <c r="Q89" i="17" s="1"/>
  <c r="N90" i="17"/>
  <c r="R90" i="17" s="1"/>
  <c r="P90" i="17"/>
  <c r="Q90" i="17" s="1"/>
  <c r="N91" i="17"/>
  <c r="R91" i="17" s="1"/>
  <c r="P91" i="17"/>
  <c r="Q91" i="17" s="1"/>
  <c r="N92" i="17"/>
  <c r="R92" i="17" s="1"/>
  <c r="P92" i="17"/>
  <c r="Q92" i="17" s="1"/>
  <c r="N93" i="17"/>
  <c r="R93" i="17" s="1"/>
  <c r="P93" i="17"/>
  <c r="Q93" i="17" s="1"/>
  <c r="N94" i="17"/>
  <c r="R94" i="17" s="1"/>
  <c r="P94" i="17"/>
  <c r="Q94" i="17" s="1"/>
  <c r="N95" i="17"/>
  <c r="R95" i="17" s="1"/>
  <c r="P95" i="17"/>
  <c r="Q95" i="17" s="1"/>
  <c r="N96" i="17"/>
  <c r="R96" i="17" s="1"/>
  <c r="P96" i="17"/>
  <c r="Q96" i="17" s="1"/>
  <c r="N97" i="17"/>
  <c r="R97" i="17" s="1"/>
  <c r="P97" i="17"/>
  <c r="Q97" i="17" s="1"/>
  <c r="N98" i="17"/>
  <c r="R98" i="17" s="1"/>
  <c r="P98" i="17"/>
  <c r="Q98" i="17" s="1"/>
  <c r="N99" i="17"/>
  <c r="R99" i="17" s="1"/>
  <c r="P99" i="17"/>
  <c r="Q99" i="17" s="1"/>
  <c r="N100" i="17"/>
  <c r="R100" i="17" s="1"/>
  <c r="P100" i="17"/>
  <c r="Q100" i="17" s="1"/>
  <c r="N101" i="17"/>
  <c r="R101" i="17" s="1"/>
  <c r="P101" i="17"/>
  <c r="Q101" i="17" s="1"/>
  <c r="N102" i="17"/>
  <c r="R102" i="17" s="1"/>
  <c r="P102" i="17"/>
  <c r="Q102" i="17" s="1"/>
  <c r="N103" i="17"/>
  <c r="R103" i="17" s="1"/>
  <c r="P103" i="17"/>
  <c r="Q103" i="17" s="1"/>
  <c r="N104" i="17"/>
  <c r="R104" i="17" s="1"/>
  <c r="P104" i="17"/>
  <c r="Q104" i="17" s="1"/>
  <c r="N105" i="17"/>
  <c r="R105" i="17" s="1"/>
  <c r="P105" i="17"/>
  <c r="Q105" i="17" s="1"/>
  <c r="N106" i="17"/>
  <c r="R106" i="17" s="1"/>
  <c r="P106" i="17"/>
  <c r="Q106" i="17" s="1"/>
  <c r="N107" i="17"/>
  <c r="R107" i="17" s="1"/>
  <c r="P107" i="17"/>
  <c r="Q107" i="17" s="1"/>
  <c r="N108" i="17"/>
  <c r="P108" i="17"/>
  <c r="Q108" i="17" s="1"/>
  <c r="N109" i="17"/>
  <c r="R109" i="17" s="1"/>
  <c r="P109" i="17"/>
  <c r="Q109" i="17" s="1"/>
  <c r="N110" i="17"/>
  <c r="R110" i="17" s="1"/>
  <c r="P110" i="17"/>
  <c r="Q110" i="17" s="1"/>
  <c r="N111" i="17"/>
  <c r="R111" i="17" s="1"/>
  <c r="P111" i="17"/>
  <c r="Q111" i="17" s="1"/>
  <c r="N112" i="17"/>
  <c r="R112" i="17" s="1"/>
  <c r="P112" i="17"/>
  <c r="Q112" i="17" s="1"/>
  <c r="N113" i="17"/>
  <c r="R113" i="17" s="1"/>
  <c r="P113" i="17"/>
  <c r="Q113" i="17" s="1"/>
  <c r="N114" i="17"/>
  <c r="R114" i="17" s="1"/>
  <c r="P114" i="17"/>
  <c r="Q114" i="17" s="1"/>
  <c r="N115" i="17"/>
  <c r="R115" i="17" s="1"/>
  <c r="P115" i="17"/>
  <c r="Q115" i="17" s="1"/>
  <c r="N116" i="17"/>
  <c r="R116" i="17" s="1"/>
  <c r="P116" i="17"/>
  <c r="Q116" i="17" s="1"/>
  <c r="N117" i="17"/>
  <c r="R117" i="17" s="1"/>
  <c r="P117" i="17"/>
  <c r="Q117" i="17" s="1"/>
  <c r="N118" i="17"/>
  <c r="R118" i="17" s="1"/>
  <c r="P118" i="17"/>
  <c r="Q118" i="17" s="1"/>
  <c r="N119" i="17"/>
  <c r="R119" i="17" s="1"/>
  <c r="P119" i="17"/>
  <c r="Q119" i="17" s="1"/>
  <c r="N120" i="17"/>
  <c r="R120" i="17" s="1"/>
  <c r="P120" i="17"/>
  <c r="Q120" i="17" s="1"/>
  <c r="N121" i="17"/>
  <c r="R121" i="17" s="1"/>
  <c r="P121" i="17"/>
  <c r="Q121" i="17" s="1"/>
  <c r="N122" i="17"/>
  <c r="R122" i="17" s="1"/>
  <c r="P122" i="17"/>
  <c r="Q122" i="17" s="1"/>
  <c r="N123" i="17"/>
  <c r="R123" i="17" s="1"/>
  <c r="P123" i="17"/>
  <c r="Q123" i="17" s="1"/>
  <c r="N124" i="17"/>
  <c r="R124" i="17" s="1"/>
  <c r="P124" i="17"/>
  <c r="Q124" i="17" s="1"/>
  <c r="N125" i="17"/>
  <c r="R125" i="17" s="1"/>
  <c r="P125" i="17"/>
  <c r="Q125" i="17" s="1"/>
  <c r="N126" i="17"/>
  <c r="R126" i="17" s="1"/>
  <c r="P126" i="17"/>
  <c r="Q126" i="17" s="1"/>
  <c r="N127" i="17"/>
  <c r="R127" i="17" s="1"/>
  <c r="P127" i="17"/>
  <c r="Q127" i="17" s="1"/>
  <c r="N128" i="17"/>
  <c r="R128" i="17" s="1"/>
  <c r="P128" i="17"/>
  <c r="Q128" i="17" s="1"/>
  <c r="N129" i="17"/>
  <c r="R129" i="17" s="1"/>
  <c r="P129" i="17"/>
  <c r="Q129" i="17" s="1"/>
  <c r="N130" i="17"/>
  <c r="R130" i="17" s="1"/>
  <c r="P130" i="17"/>
  <c r="Q130" i="17" s="1"/>
  <c r="N131" i="17"/>
  <c r="R131" i="17" s="1"/>
  <c r="P131" i="17"/>
  <c r="Q131" i="17" s="1"/>
  <c r="N132" i="17"/>
  <c r="R132" i="17" s="1"/>
  <c r="P132" i="17"/>
  <c r="Q132" i="17" s="1"/>
  <c r="N133" i="17"/>
  <c r="R133" i="17" s="1"/>
  <c r="P133" i="17"/>
  <c r="Q133" i="17" s="1"/>
  <c r="N134" i="17"/>
  <c r="R134" i="17" s="1"/>
  <c r="P134" i="17"/>
  <c r="Q134" i="17" s="1"/>
  <c r="N135" i="17"/>
  <c r="R135" i="17" s="1"/>
  <c r="P135" i="17"/>
  <c r="Q135" i="17" s="1"/>
  <c r="N136" i="17"/>
  <c r="R136" i="17" s="1"/>
  <c r="P136" i="17"/>
  <c r="Q136" i="17" s="1"/>
  <c r="N137" i="17"/>
  <c r="R137" i="17" s="1"/>
  <c r="P137" i="17"/>
  <c r="Q137" i="17" s="1"/>
  <c r="N138" i="17"/>
  <c r="R138" i="17" s="1"/>
  <c r="P138" i="17"/>
  <c r="Q138" i="17" s="1"/>
  <c r="N139" i="17"/>
  <c r="R139" i="17" s="1"/>
  <c r="P139" i="17"/>
  <c r="Q139" i="17" s="1"/>
  <c r="N140" i="17"/>
  <c r="R140" i="17" s="1"/>
  <c r="P140" i="17"/>
  <c r="Q140" i="17" s="1"/>
  <c r="N141" i="17"/>
  <c r="R141" i="17" s="1"/>
  <c r="P141" i="17"/>
  <c r="Q141" i="17" s="1"/>
  <c r="N142" i="17"/>
  <c r="P142" i="17"/>
  <c r="Q142" i="17" s="1"/>
  <c r="N143" i="17"/>
  <c r="R143" i="17" s="1"/>
  <c r="P143" i="17"/>
  <c r="Q143" i="17" s="1"/>
  <c r="N144" i="17"/>
  <c r="R144" i="17" s="1"/>
  <c r="P144" i="17"/>
  <c r="Q144" i="17" s="1"/>
  <c r="N145" i="17"/>
  <c r="R145" i="17" s="1"/>
  <c r="P145" i="17"/>
  <c r="Q145" i="17" s="1"/>
  <c r="N146" i="17"/>
  <c r="R146" i="17" s="1"/>
  <c r="P146" i="17"/>
  <c r="Q146" i="17" s="1"/>
  <c r="N147" i="17"/>
  <c r="R147" i="17" s="1"/>
  <c r="P147" i="17"/>
  <c r="Q147" i="17" s="1"/>
  <c r="N148" i="17"/>
  <c r="R148" i="17" s="1"/>
  <c r="P148" i="17"/>
  <c r="Q148" i="17" s="1"/>
  <c r="N149" i="17"/>
  <c r="R149" i="17" s="1"/>
  <c r="P149" i="17"/>
  <c r="Q149" i="17" s="1"/>
  <c r="N150" i="17"/>
  <c r="R150" i="17" s="1"/>
  <c r="P150" i="17"/>
  <c r="Q150" i="17" s="1"/>
  <c r="N151" i="17"/>
  <c r="R151" i="17" s="1"/>
  <c r="P151" i="17"/>
  <c r="Q151" i="17" s="1"/>
  <c r="N152" i="17"/>
  <c r="R152" i="17" s="1"/>
  <c r="P152" i="17"/>
  <c r="Q152" i="17" s="1"/>
  <c r="N153" i="17"/>
  <c r="R153" i="17" s="1"/>
  <c r="P153" i="17"/>
  <c r="Q153" i="17" s="1"/>
  <c r="N154" i="17"/>
  <c r="R154" i="17" s="1"/>
  <c r="P154" i="17"/>
  <c r="Q154" i="17" s="1"/>
  <c r="N155" i="17"/>
  <c r="R155" i="17" s="1"/>
  <c r="P155" i="17"/>
  <c r="Q155" i="17" s="1"/>
  <c r="N156" i="17"/>
  <c r="R156" i="17" s="1"/>
  <c r="P156" i="17"/>
  <c r="Q156" i="17" s="1"/>
  <c r="N157" i="17"/>
  <c r="R157" i="17" s="1"/>
  <c r="P157" i="17"/>
  <c r="Q157" i="17" s="1"/>
  <c r="N158" i="17"/>
  <c r="R158" i="17" s="1"/>
  <c r="P158" i="17"/>
  <c r="Q158" i="17" s="1"/>
  <c r="N159" i="17"/>
  <c r="R159" i="17" s="1"/>
  <c r="P159" i="17"/>
  <c r="Q159" i="17" s="1"/>
  <c r="N160" i="17"/>
  <c r="R160" i="17" s="1"/>
  <c r="P160" i="17"/>
  <c r="Q160" i="17" s="1"/>
  <c r="N161" i="17"/>
  <c r="R161" i="17" s="1"/>
  <c r="P161" i="17"/>
  <c r="Q161" i="17" s="1"/>
  <c r="N162" i="17"/>
  <c r="R162" i="17" s="1"/>
  <c r="P162" i="17"/>
  <c r="Q162" i="17" s="1"/>
  <c r="N163" i="17"/>
  <c r="R163" i="17" s="1"/>
  <c r="P163" i="17"/>
  <c r="Q163" i="17" s="1"/>
  <c r="N164" i="17"/>
  <c r="R164" i="17" s="1"/>
  <c r="P164" i="17"/>
  <c r="Q164" i="17" s="1"/>
  <c r="N165" i="17"/>
  <c r="R165" i="17" s="1"/>
  <c r="P165" i="17"/>
  <c r="Q165" i="17" s="1"/>
  <c r="N166" i="17"/>
  <c r="R166" i="17" s="1"/>
  <c r="P166" i="17"/>
  <c r="Q166" i="17" s="1"/>
  <c r="N167" i="17"/>
  <c r="R167" i="17" s="1"/>
  <c r="P167" i="17"/>
  <c r="Q167" i="17" s="1"/>
  <c r="N168" i="17"/>
  <c r="R168" i="17" s="1"/>
  <c r="P168" i="17"/>
  <c r="Q168" i="17" s="1"/>
  <c r="N169" i="17"/>
  <c r="R169" i="17" s="1"/>
  <c r="P169" i="17"/>
  <c r="Q169" i="17" s="1"/>
  <c r="N170" i="17"/>
  <c r="R170" i="17" s="1"/>
  <c r="P170" i="17"/>
  <c r="Q170" i="17" s="1"/>
  <c r="N171" i="17"/>
  <c r="R171" i="17" s="1"/>
  <c r="P171" i="17"/>
  <c r="Q171" i="17" s="1"/>
  <c r="N172" i="17"/>
  <c r="R172" i="17" s="1"/>
  <c r="P172" i="17"/>
  <c r="Q172" i="17" s="1"/>
  <c r="N173" i="17"/>
  <c r="R173" i="17" s="1"/>
  <c r="P173" i="17"/>
  <c r="Q173" i="17" s="1"/>
  <c r="N174" i="17"/>
  <c r="R174" i="17" s="1"/>
  <c r="P174" i="17"/>
  <c r="Q174" i="17" s="1"/>
  <c r="N175" i="17"/>
  <c r="R175" i="17" s="1"/>
  <c r="P175" i="17"/>
  <c r="Q175" i="17" s="1"/>
  <c r="N176" i="17"/>
  <c r="R176" i="17" s="1"/>
  <c r="P176" i="17"/>
  <c r="Q176" i="17" s="1"/>
  <c r="N177" i="17"/>
  <c r="R177" i="17" s="1"/>
  <c r="P177" i="17"/>
  <c r="Q177" i="17" s="1"/>
  <c r="N178" i="17"/>
  <c r="R178" i="17" s="1"/>
  <c r="P178" i="17"/>
  <c r="Q178" i="17" s="1"/>
  <c r="N179" i="17"/>
  <c r="R179" i="17" s="1"/>
  <c r="P179" i="17"/>
  <c r="Q179" i="17" s="1"/>
  <c r="N180" i="17"/>
  <c r="R180" i="17" s="1"/>
  <c r="P180" i="17"/>
  <c r="Q180" i="17" s="1"/>
  <c r="N181" i="17"/>
  <c r="R181" i="17" s="1"/>
  <c r="P181" i="17"/>
  <c r="Q181" i="17" s="1"/>
  <c r="N182" i="17"/>
  <c r="R182" i="17" s="1"/>
  <c r="P182" i="17"/>
  <c r="Q182" i="17" s="1"/>
  <c r="N183" i="17"/>
  <c r="R183" i="17" s="1"/>
  <c r="P183" i="17"/>
  <c r="Q183" i="17" s="1"/>
  <c r="N184" i="17"/>
  <c r="R184" i="17" s="1"/>
  <c r="P184" i="17"/>
  <c r="Q184" i="17" s="1"/>
  <c r="N185" i="17"/>
  <c r="R185" i="17" s="1"/>
  <c r="P185" i="17"/>
  <c r="Q185" i="17" s="1"/>
  <c r="N186" i="17"/>
  <c r="P186" i="17"/>
  <c r="Q186" i="17" s="1"/>
  <c r="N187" i="17"/>
  <c r="R187" i="17" s="1"/>
  <c r="P187" i="17"/>
  <c r="Q187" i="17" s="1"/>
  <c r="N188" i="17"/>
  <c r="R188" i="17" s="1"/>
  <c r="P188" i="17"/>
  <c r="Q188" i="17" s="1"/>
  <c r="N189" i="17"/>
  <c r="R189" i="17" s="1"/>
  <c r="P189" i="17"/>
  <c r="Q189" i="17" s="1"/>
  <c r="N190" i="17"/>
  <c r="R190" i="17" s="1"/>
  <c r="P190" i="17"/>
  <c r="Q190" i="17" s="1"/>
  <c r="N191" i="17"/>
  <c r="R191" i="17" s="1"/>
  <c r="P191" i="17"/>
  <c r="Q191" i="17" s="1"/>
  <c r="N192" i="17"/>
  <c r="R192" i="17" s="1"/>
  <c r="P192" i="17"/>
  <c r="Q192" i="17" s="1"/>
  <c r="N193" i="17"/>
  <c r="R193" i="17" s="1"/>
  <c r="P193" i="17"/>
  <c r="Q193" i="17" s="1"/>
  <c r="N194" i="17"/>
  <c r="R194" i="17" s="1"/>
  <c r="P194" i="17"/>
  <c r="Q194" i="17" s="1"/>
  <c r="N195" i="17"/>
  <c r="R195" i="17" s="1"/>
  <c r="P195" i="17"/>
  <c r="Q195" i="17" s="1"/>
  <c r="N196" i="17"/>
  <c r="R196" i="17" s="1"/>
  <c r="P196" i="17"/>
  <c r="Q196" i="17" s="1"/>
  <c r="N197" i="17"/>
  <c r="R197" i="17" s="1"/>
  <c r="P197" i="17"/>
  <c r="Q197" i="17" s="1"/>
  <c r="A2" i="17"/>
  <c r="B2" i="17"/>
  <c r="A3" i="17"/>
  <c r="B3" i="17"/>
  <c r="A4" i="17"/>
  <c r="B4" i="17"/>
  <c r="A5" i="17"/>
  <c r="B5" i="17"/>
  <c r="A6" i="17"/>
  <c r="B6" i="17"/>
  <c r="A7" i="17"/>
  <c r="B7" i="17"/>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61" i="17"/>
  <c r="B61" i="17"/>
  <c r="A62" i="17"/>
  <c r="B62" i="17"/>
  <c r="A63" i="17"/>
  <c r="B63" i="17"/>
  <c r="A64" i="17"/>
  <c r="B64" i="17"/>
  <c r="A65" i="17"/>
  <c r="B65" i="17"/>
  <c r="A66" i="17"/>
  <c r="B66" i="17"/>
  <c r="A67" i="17"/>
  <c r="B67" i="17"/>
  <c r="A68" i="17"/>
  <c r="B68" i="17"/>
  <c r="A69" i="17"/>
  <c r="B69" i="17"/>
  <c r="A70" i="17"/>
  <c r="B70" i="17"/>
  <c r="A71" i="17"/>
  <c r="B71" i="17"/>
  <c r="A72" i="17"/>
  <c r="B72" i="17"/>
  <c r="A73" i="17"/>
  <c r="B73" i="17"/>
  <c r="A74" i="17"/>
  <c r="B74" i="17"/>
  <c r="A75" i="17"/>
  <c r="B75" i="17"/>
  <c r="A76" i="17"/>
  <c r="B76" i="17"/>
  <c r="A77" i="17"/>
  <c r="B77" i="17"/>
  <c r="A78" i="17"/>
  <c r="B78" i="17"/>
  <c r="A79" i="17"/>
  <c r="B79" i="17"/>
  <c r="A80" i="17"/>
  <c r="B80" i="17"/>
  <c r="A81" i="17"/>
  <c r="B81" i="17"/>
  <c r="A82" i="17"/>
  <c r="B82" i="17"/>
  <c r="A83" i="17"/>
  <c r="B83" i="17"/>
  <c r="A84" i="17"/>
  <c r="B84" i="17"/>
  <c r="A85" i="17"/>
  <c r="B85" i="17"/>
  <c r="A86" i="17"/>
  <c r="B86" i="17"/>
  <c r="A87" i="17"/>
  <c r="B87" i="17"/>
  <c r="A88" i="17"/>
  <c r="B88" i="17"/>
  <c r="A89" i="17"/>
  <c r="B89" i="17"/>
  <c r="A90" i="17"/>
  <c r="B90" i="17"/>
  <c r="A91" i="17"/>
  <c r="B91" i="17"/>
  <c r="A92" i="17"/>
  <c r="B92" i="17"/>
  <c r="A93" i="17"/>
  <c r="B93" i="17"/>
  <c r="A94" i="17"/>
  <c r="B94" i="17"/>
  <c r="A95" i="17"/>
  <c r="B95" i="17"/>
  <c r="A96" i="17"/>
  <c r="B96" i="17"/>
  <c r="A97" i="17"/>
  <c r="B97" i="17"/>
  <c r="A98" i="17"/>
  <c r="B98" i="17"/>
  <c r="A99" i="17"/>
  <c r="B99" i="17"/>
  <c r="A100" i="17"/>
  <c r="B100" i="17"/>
  <c r="A101" i="17"/>
  <c r="B101" i="17"/>
  <c r="A102" i="17"/>
  <c r="B102" i="17"/>
  <c r="A103" i="17"/>
  <c r="B103" i="17"/>
  <c r="A104" i="17"/>
  <c r="B104" i="17"/>
  <c r="A105" i="17"/>
  <c r="B105" i="17"/>
  <c r="A106" i="17"/>
  <c r="B106" i="17"/>
  <c r="A107" i="17"/>
  <c r="B107" i="17"/>
  <c r="A108" i="17"/>
  <c r="B108" i="17"/>
  <c r="A109" i="17"/>
  <c r="B109" i="17"/>
  <c r="A110" i="17"/>
  <c r="B110" i="17"/>
  <c r="A111" i="17"/>
  <c r="B111" i="17"/>
  <c r="A112" i="17"/>
  <c r="B112" i="17"/>
  <c r="A113" i="17"/>
  <c r="B113" i="17"/>
  <c r="A114" i="17"/>
  <c r="B114" i="17"/>
  <c r="A115" i="17"/>
  <c r="B115" i="17"/>
  <c r="A116" i="17"/>
  <c r="B116" i="17"/>
  <c r="A117" i="17"/>
  <c r="B117" i="17"/>
  <c r="A118" i="17"/>
  <c r="B118" i="17"/>
  <c r="A119" i="17"/>
  <c r="B119" i="17"/>
  <c r="A120" i="17"/>
  <c r="B120" i="17"/>
  <c r="A121" i="17"/>
  <c r="B121" i="17"/>
  <c r="A122" i="17"/>
  <c r="B122" i="17"/>
  <c r="A123" i="17"/>
  <c r="B123" i="17"/>
  <c r="A124" i="17"/>
  <c r="B124" i="17"/>
  <c r="A125" i="17"/>
  <c r="B125" i="17"/>
  <c r="A126" i="17"/>
  <c r="B126" i="17"/>
  <c r="A127" i="17"/>
  <c r="B127" i="17"/>
  <c r="A128" i="17"/>
  <c r="B128" i="17"/>
  <c r="A129" i="17"/>
  <c r="B129" i="17"/>
  <c r="A130" i="17"/>
  <c r="B130" i="17"/>
  <c r="A131" i="17"/>
  <c r="B131" i="17"/>
  <c r="A132" i="17"/>
  <c r="B132" i="17"/>
  <c r="A133" i="17"/>
  <c r="B133" i="17"/>
  <c r="A134" i="17"/>
  <c r="B134" i="17"/>
  <c r="A135" i="17"/>
  <c r="B135" i="17"/>
  <c r="A136" i="17"/>
  <c r="B136" i="17"/>
  <c r="A137" i="17"/>
  <c r="B137" i="17"/>
  <c r="A138" i="17"/>
  <c r="B138" i="17"/>
  <c r="A139" i="17"/>
  <c r="B139" i="17"/>
  <c r="A140" i="17"/>
  <c r="B140" i="17"/>
  <c r="A141" i="17"/>
  <c r="B141" i="17"/>
  <c r="A142" i="17"/>
  <c r="B142" i="17"/>
  <c r="A143" i="17"/>
  <c r="B143" i="17"/>
  <c r="A144" i="17"/>
  <c r="B144" i="17"/>
  <c r="A145" i="17"/>
  <c r="B145" i="17"/>
  <c r="A146" i="17"/>
  <c r="B146" i="17"/>
  <c r="A147" i="17"/>
  <c r="B147" i="17"/>
  <c r="A148" i="17"/>
  <c r="B148" i="17"/>
  <c r="A149" i="17"/>
  <c r="B149" i="17"/>
  <c r="A150" i="17"/>
  <c r="B150" i="17"/>
  <c r="A151" i="17"/>
  <c r="B151" i="17"/>
  <c r="A152" i="17"/>
  <c r="B152" i="17"/>
  <c r="A153" i="17"/>
  <c r="B153" i="17"/>
  <c r="A154" i="17"/>
  <c r="B154" i="17"/>
  <c r="A155" i="17"/>
  <c r="B155" i="17"/>
  <c r="A156" i="17"/>
  <c r="B156" i="17"/>
  <c r="A157" i="17"/>
  <c r="B157" i="17"/>
  <c r="A158" i="17"/>
  <c r="B158" i="17"/>
  <c r="A159" i="17"/>
  <c r="B159" i="17"/>
  <c r="A160" i="17"/>
  <c r="B160" i="17"/>
  <c r="A161" i="17"/>
  <c r="B161" i="17"/>
  <c r="A162" i="17"/>
  <c r="B162" i="17"/>
  <c r="A163" i="17"/>
  <c r="B163" i="17"/>
  <c r="A164" i="17"/>
  <c r="B164" i="17"/>
  <c r="A165" i="17"/>
  <c r="B165" i="17"/>
  <c r="A166" i="17"/>
  <c r="B166" i="17"/>
  <c r="A167" i="17"/>
  <c r="B167" i="17"/>
  <c r="A168" i="17"/>
  <c r="B168" i="17"/>
  <c r="A169" i="17"/>
  <c r="B169" i="17"/>
  <c r="A170" i="17"/>
  <c r="B170" i="17"/>
  <c r="A171" i="17"/>
  <c r="B171" i="17"/>
  <c r="A172" i="17"/>
  <c r="B172" i="17"/>
  <c r="A173" i="17"/>
  <c r="B173" i="17"/>
  <c r="A174" i="17"/>
  <c r="B174" i="17"/>
  <c r="A175" i="17"/>
  <c r="B175" i="17"/>
  <c r="A176" i="17"/>
  <c r="B176" i="17"/>
  <c r="A177" i="17"/>
  <c r="B177" i="17"/>
  <c r="A178" i="17"/>
  <c r="B178" i="17"/>
  <c r="A179" i="17"/>
  <c r="B179" i="17"/>
  <c r="A180" i="17"/>
  <c r="B180" i="17"/>
  <c r="A181" i="17"/>
  <c r="B181" i="17"/>
  <c r="A182" i="17"/>
  <c r="B182" i="17"/>
  <c r="A183" i="17"/>
  <c r="B183" i="17"/>
  <c r="A184" i="17"/>
  <c r="B184" i="17"/>
  <c r="A185" i="17"/>
  <c r="B185" i="17"/>
  <c r="A186" i="17"/>
  <c r="B186" i="17"/>
  <c r="A187" i="17"/>
  <c r="B187" i="17"/>
  <c r="A188" i="17"/>
  <c r="B188" i="17"/>
  <c r="A189" i="17"/>
  <c r="B189" i="17"/>
  <c r="A190" i="17"/>
  <c r="B190" i="17"/>
  <c r="A191" i="17"/>
  <c r="B191" i="17"/>
  <c r="A192" i="17"/>
  <c r="B192" i="17"/>
  <c r="A193" i="17"/>
  <c r="B193" i="17"/>
  <c r="A194" i="17"/>
  <c r="B194" i="17"/>
  <c r="A195" i="17"/>
  <c r="B195" i="17"/>
  <c r="A196" i="17"/>
  <c r="B196" i="17"/>
  <c r="A197" i="17"/>
  <c r="B197" i="17"/>
  <c r="A198" i="17"/>
  <c r="B198" i="17"/>
  <c r="A199" i="17"/>
  <c r="B199" i="17"/>
  <c r="A200" i="17"/>
  <c r="B200" i="17"/>
  <c r="A201" i="17"/>
  <c r="B201" i="17"/>
  <c r="A202" i="17"/>
  <c r="B202" i="17"/>
  <c r="A203" i="17"/>
  <c r="B203" i="17"/>
  <c r="A204" i="17"/>
  <c r="B204" i="17"/>
  <c r="A205" i="17"/>
  <c r="B205" i="17"/>
  <c r="A206" i="17"/>
  <c r="B206" i="17"/>
  <c r="A207" i="17"/>
  <c r="B207" i="17"/>
  <c r="A208" i="17"/>
  <c r="B208" i="17"/>
  <c r="A209" i="17"/>
  <c r="B209" i="17"/>
  <c r="A210" i="17"/>
  <c r="B210" i="17"/>
  <c r="A211" i="17"/>
  <c r="B211" i="17"/>
  <c r="A212" i="17"/>
  <c r="B212" i="17"/>
  <c r="A213" i="17"/>
  <c r="B213" i="17"/>
  <c r="A214" i="17"/>
  <c r="B214" i="17"/>
  <c r="A215" i="17"/>
  <c r="B215" i="17"/>
  <c r="A216" i="17"/>
  <c r="B216" i="17"/>
  <c r="A217" i="17"/>
  <c r="B217" i="17"/>
  <c r="A218" i="17"/>
  <c r="B218" i="17"/>
  <c r="A219" i="17"/>
  <c r="B219" i="17"/>
  <c r="A220" i="17"/>
  <c r="B220" i="17"/>
  <c r="A221" i="17"/>
  <c r="B221" i="17"/>
  <c r="A222" i="17"/>
  <c r="B222" i="17"/>
  <c r="A223" i="17"/>
  <c r="B223" i="17"/>
  <c r="A224" i="17"/>
  <c r="B224" i="17"/>
  <c r="A225" i="17"/>
  <c r="B225" i="17"/>
  <c r="A226" i="17"/>
  <c r="B226" i="17"/>
  <c r="A227" i="17"/>
  <c r="B227" i="17"/>
  <c r="A228" i="17"/>
  <c r="B228" i="17"/>
  <c r="A229" i="17"/>
  <c r="B229" i="17"/>
  <c r="A230" i="17"/>
  <c r="B230" i="17"/>
  <c r="A231" i="17"/>
  <c r="B231" i="17"/>
  <c r="A232" i="17"/>
  <c r="B232" i="17"/>
  <c r="A233" i="17"/>
  <c r="B233" i="17"/>
  <c r="A234" i="17"/>
  <c r="B234" i="17"/>
  <c r="A235" i="17"/>
  <c r="B235" i="17"/>
  <c r="A236" i="17"/>
  <c r="B236" i="17"/>
  <c r="A237" i="17"/>
  <c r="B237" i="17"/>
  <c r="A238" i="17"/>
  <c r="B238" i="17"/>
  <c r="A239" i="17"/>
  <c r="B239" i="17"/>
  <c r="A240" i="17"/>
  <c r="B240" i="17"/>
  <c r="A241" i="17"/>
  <c r="B241" i="17"/>
  <c r="A242" i="17"/>
  <c r="B242" i="17"/>
  <c r="A243" i="17"/>
  <c r="B243" i="17"/>
  <c r="A244" i="17"/>
  <c r="B244" i="17"/>
  <c r="A245" i="17"/>
  <c r="B245" i="17"/>
  <c r="A246" i="17"/>
  <c r="B246" i="17"/>
  <c r="A247" i="17"/>
  <c r="B247" i="17"/>
  <c r="A248" i="17"/>
  <c r="B248" i="17"/>
  <c r="A249" i="17"/>
  <c r="B249" i="17"/>
  <c r="A250" i="17"/>
  <c r="B250" i="17"/>
  <c r="A251" i="17"/>
  <c r="B251" i="17"/>
  <c r="A252" i="17"/>
  <c r="B252" i="17"/>
  <c r="A253" i="17"/>
  <c r="B253" i="17"/>
  <c r="A254" i="17"/>
  <c r="B254" i="17"/>
  <c r="A255" i="17"/>
  <c r="B255" i="17"/>
  <c r="A256" i="17"/>
  <c r="B256" i="17"/>
  <c r="A257" i="17"/>
  <c r="B257" i="17"/>
  <c r="A258" i="17"/>
  <c r="B258" i="17"/>
  <c r="A259" i="17"/>
  <c r="B259" i="17"/>
  <c r="A260" i="17"/>
  <c r="B260" i="17"/>
  <c r="A261" i="17"/>
  <c r="B261" i="17"/>
  <c r="A262" i="17"/>
  <c r="B262" i="17"/>
  <c r="A263" i="17"/>
  <c r="B263" i="17"/>
  <c r="A264" i="17"/>
  <c r="B264" i="17"/>
  <c r="A265" i="17"/>
  <c r="B265" i="17"/>
  <c r="A266" i="17"/>
  <c r="B266" i="17"/>
  <c r="A267" i="17"/>
  <c r="B267" i="17"/>
  <c r="A268" i="17"/>
  <c r="B268" i="17"/>
  <c r="A269" i="17"/>
  <c r="B269" i="17"/>
  <c r="A270" i="17"/>
  <c r="B270" i="17"/>
  <c r="A271" i="17"/>
  <c r="B271" i="17"/>
  <c r="A272" i="17"/>
  <c r="B272" i="17"/>
  <c r="A273" i="17"/>
  <c r="B273" i="17"/>
  <c r="A274" i="17"/>
  <c r="B274" i="17"/>
  <c r="A275" i="17"/>
  <c r="B275" i="17"/>
  <c r="A276" i="17"/>
  <c r="B276" i="17"/>
  <c r="A277" i="17"/>
  <c r="B277" i="17"/>
  <c r="A278" i="17"/>
  <c r="B278" i="17"/>
  <c r="A279" i="17"/>
  <c r="B279" i="17"/>
  <c r="A280" i="17"/>
  <c r="B280" i="17"/>
  <c r="A281" i="17"/>
  <c r="B281" i="17"/>
  <c r="A282" i="17"/>
  <c r="B282" i="17"/>
  <c r="A283" i="17"/>
  <c r="B283" i="17"/>
  <c r="A284" i="17"/>
  <c r="B284" i="17"/>
  <c r="A285" i="17"/>
  <c r="B285" i="17"/>
  <c r="A286" i="17"/>
  <c r="B286" i="17"/>
  <c r="A287" i="17"/>
  <c r="B287" i="17"/>
  <c r="A288" i="17"/>
  <c r="B288" i="17"/>
  <c r="A289" i="17"/>
  <c r="B289" i="17"/>
  <c r="A290" i="17"/>
  <c r="B290" i="17"/>
  <c r="A291" i="17"/>
  <c r="B291" i="17"/>
  <c r="A292" i="17"/>
  <c r="B292" i="17"/>
  <c r="A293" i="17"/>
  <c r="B293" i="17"/>
  <c r="A294" i="17"/>
  <c r="B294" i="17"/>
  <c r="A295" i="17"/>
  <c r="B295" i="17"/>
  <c r="A296" i="17"/>
  <c r="B296" i="17"/>
  <c r="A297" i="17"/>
  <c r="B297" i="17"/>
  <c r="A298" i="17"/>
  <c r="B298" i="17"/>
  <c r="A299" i="17"/>
  <c r="B299" i="17"/>
  <c r="A300" i="17"/>
  <c r="B300" i="17"/>
  <c r="A301" i="17"/>
  <c r="B301" i="17"/>
  <c r="A302" i="17"/>
  <c r="B302" i="17"/>
  <c r="A303" i="17"/>
  <c r="B303" i="17"/>
  <c r="A304" i="17"/>
  <c r="B304" i="17"/>
  <c r="A305" i="17"/>
  <c r="B305" i="17"/>
  <c r="A306" i="17"/>
  <c r="B306" i="17"/>
  <c r="A307" i="17"/>
  <c r="B307" i="17"/>
  <c r="A308" i="17"/>
  <c r="B308" i="17"/>
  <c r="A309" i="17"/>
  <c r="B309" i="17"/>
  <c r="A310" i="17"/>
  <c r="B310" i="17"/>
  <c r="A311" i="17"/>
  <c r="B311" i="17"/>
  <c r="A312" i="17"/>
  <c r="B312" i="17"/>
  <c r="A313" i="17"/>
  <c r="B313" i="17"/>
  <c r="A314" i="17"/>
  <c r="B314" i="17"/>
  <c r="A315" i="17"/>
  <c r="B315" i="17"/>
  <c r="A316" i="17"/>
  <c r="B316" i="17"/>
  <c r="A317" i="17"/>
  <c r="B317" i="17"/>
  <c r="A318" i="17"/>
  <c r="B318" i="17"/>
  <c r="A319" i="17"/>
  <c r="B319" i="17"/>
  <c r="A320" i="17"/>
  <c r="B320" i="17"/>
  <c r="A321" i="17"/>
  <c r="B321" i="17"/>
  <c r="A322" i="17"/>
  <c r="B322" i="17"/>
  <c r="A323" i="17"/>
  <c r="B323" i="17"/>
  <c r="A324" i="17"/>
  <c r="B324" i="17"/>
  <c r="A325" i="17"/>
  <c r="B325" i="17"/>
  <c r="A326" i="17"/>
  <c r="B326" i="17"/>
  <c r="A327" i="17"/>
  <c r="B327" i="17"/>
  <c r="A328" i="17"/>
  <c r="B328" i="17"/>
  <c r="A329" i="17"/>
  <c r="B329" i="17"/>
  <c r="A330" i="17"/>
  <c r="B330" i="17"/>
  <c r="A331" i="17"/>
  <c r="B331" i="17"/>
  <c r="A332" i="17"/>
  <c r="B332" i="17"/>
  <c r="A333" i="17"/>
  <c r="B333" i="17"/>
  <c r="A334" i="17"/>
  <c r="B334" i="17"/>
  <c r="A335" i="17"/>
  <c r="B335" i="17"/>
  <c r="A336" i="17"/>
  <c r="B336" i="17"/>
  <c r="A337" i="17"/>
  <c r="B337" i="17"/>
  <c r="A338" i="17"/>
  <c r="B338" i="17"/>
  <c r="A339" i="17"/>
  <c r="B339" i="17"/>
  <c r="A340" i="17"/>
  <c r="B340" i="17"/>
  <c r="A341" i="17"/>
  <c r="B341" i="17"/>
  <c r="A342" i="17"/>
  <c r="B342" i="17"/>
  <c r="A343" i="17"/>
  <c r="B343" i="17"/>
  <c r="A344" i="17"/>
  <c r="B344" i="17"/>
  <c r="A345" i="17"/>
  <c r="B345" i="17"/>
  <c r="A346" i="17"/>
  <c r="B346" i="17"/>
  <c r="A347" i="17"/>
  <c r="B347" i="17"/>
  <c r="A348" i="17"/>
  <c r="B348" i="17"/>
  <c r="A349" i="17"/>
  <c r="B349" i="17"/>
  <c r="A350" i="17"/>
  <c r="B350" i="17"/>
  <c r="A351" i="17"/>
  <c r="B351" i="17"/>
  <c r="A352" i="17"/>
  <c r="B352" i="17"/>
  <c r="A353" i="17"/>
  <c r="B353" i="17"/>
  <c r="A354" i="17"/>
  <c r="B354" i="17"/>
  <c r="A355" i="17"/>
  <c r="B355" i="17"/>
  <c r="A356" i="17"/>
  <c r="B356" i="17"/>
  <c r="A357" i="17"/>
  <c r="B357" i="17"/>
  <c r="A358" i="17"/>
  <c r="B358" i="17"/>
  <c r="A359" i="17"/>
  <c r="B359" i="17"/>
  <c r="A360" i="17"/>
  <c r="B360" i="17"/>
  <c r="A361" i="17"/>
  <c r="B361" i="17"/>
  <c r="A362" i="17"/>
  <c r="B362" i="17"/>
  <c r="A363" i="17"/>
  <c r="B363" i="17"/>
  <c r="A364" i="17"/>
  <c r="B364" i="17"/>
  <c r="A365" i="17"/>
  <c r="B365" i="17"/>
  <c r="A366" i="17"/>
  <c r="B366" i="17"/>
  <c r="A367" i="17"/>
  <c r="B367" i="17"/>
  <c r="A368" i="17"/>
  <c r="B368" i="17"/>
  <c r="A369" i="17"/>
  <c r="B369" i="17"/>
  <c r="A370" i="17"/>
  <c r="B370" i="17"/>
  <c r="A371" i="17"/>
  <c r="B371" i="17"/>
  <c r="A372" i="17"/>
  <c r="B372" i="17"/>
  <c r="A373" i="17"/>
  <c r="B373" i="17"/>
  <c r="A374" i="17"/>
  <c r="B374" i="17"/>
  <c r="A375" i="17"/>
  <c r="B375" i="17"/>
  <c r="A376" i="17"/>
  <c r="B376" i="17"/>
  <c r="A377" i="17"/>
  <c r="B377" i="17"/>
  <c r="A378" i="17"/>
  <c r="B378" i="17"/>
  <c r="A379" i="17"/>
  <c r="B379" i="17"/>
  <c r="A380" i="17"/>
  <c r="B380" i="17"/>
  <c r="A381" i="17"/>
  <c r="B381" i="17"/>
  <c r="A382" i="17"/>
  <c r="B382" i="17"/>
  <c r="A383" i="17"/>
  <c r="B383" i="17"/>
  <c r="A384" i="17"/>
  <c r="B384" i="17"/>
  <c r="A385" i="17"/>
  <c r="B385" i="17"/>
  <c r="A386" i="17"/>
  <c r="B386" i="17"/>
  <c r="A387" i="17"/>
  <c r="B387" i="17"/>
  <c r="A388" i="17"/>
  <c r="B388" i="17"/>
  <c r="A389" i="17"/>
  <c r="B389" i="17"/>
  <c r="A390" i="17"/>
  <c r="B390" i="17"/>
  <c r="A391" i="17"/>
  <c r="B391" i="17"/>
  <c r="A392" i="17"/>
  <c r="B392" i="17"/>
  <c r="A393" i="17"/>
  <c r="B393" i="17"/>
  <c r="A394" i="17"/>
  <c r="B394" i="17"/>
  <c r="A395" i="17"/>
  <c r="B395" i="17"/>
  <c r="A396" i="17"/>
  <c r="B396" i="17"/>
  <c r="A397" i="17"/>
  <c r="B397" i="17"/>
  <c r="A398" i="17"/>
  <c r="B398" i="17"/>
  <c r="A399" i="17"/>
  <c r="B399" i="17"/>
  <c r="A400" i="17"/>
  <c r="B400" i="17"/>
  <c r="A401" i="17"/>
  <c r="B401" i="17"/>
  <c r="A402" i="17"/>
  <c r="B402" i="17"/>
  <c r="A403" i="17"/>
  <c r="B403" i="17"/>
  <c r="A404" i="17"/>
  <c r="B404" i="17"/>
  <c r="A405" i="17"/>
  <c r="B405" i="17"/>
  <c r="A406" i="17"/>
  <c r="B406" i="17"/>
  <c r="A407" i="17"/>
  <c r="B407" i="17"/>
  <c r="A408" i="17"/>
  <c r="B408" i="17"/>
  <c r="A409" i="17"/>
  <c r="B409" i="17"/>
  <c r="A410" i="17"/>
  <c r="B410" i="17"/>
  <c r="A411" i="17"/>
  <c r="B411" i="17"/>
  <c r="A412" i="17"/>
  <c r="B412" i="17"/>
  <c r="A413" i="17"/>
  <c r="B413" i="17"/>
  <c r="A414" i="17"/>
  <c r="B414" i="17"/>
  <c r="A415" i="17"/>
  <c r="B415" i="17"/>
  <c r="A416" i="17"/>
  <c r="B416" i="17"/>
  <c r="A417" i="17"/>
  <c r="B417" i="17"/>
  <c r="A418" i="17"/>
  <c r="B418" i="17"/>
  <c r="A419" i="17"/>
  <c r="B419" i="17"/>
  <c r="A420" i="17"/>
  <c r="B420" i="17"/>
  <c r="A421" i="17"/>
  <c r="B421" i="17"/>
  <c r="A422" i="17"/>
  <c r="B422" i="17"/>
  <c r="A423" i="17"/>
  <c r="B423" i="17"/>
  <c r="A424" i="17"/>
  <c r="B424" i="17"/>
  <c r="A425" i="17"/>
  <c r="B425" i="17"/>
  <c r="A426" i="17"/>
  <c r="B426" i="17"/>
  <c r="A427" i="17"/>
  <c r="B427" i="17"/>
  <c r="A428" i="17"/>
  <c r="B428" i="17"/>
  <c r="A429" i="17"/>
  <c r="B429" i="17"/>
  <c r="A430" i="17"/>
  <c r="B430" i="17"/>
  <c r="A431" i="17"/>
  <c r="B431" i="17"/>
  <c r="A432" i="17"/>
  <c r="B432" i="17"/>
  <c r="A433" i="17"/>
  <c r="B433" i="17"/>
  <c r="A434" i="17"/>
  <c r="B434" i="17"/>
  <c r="A435" i="17"/>
  <c r="B435" i="17"/>
  <c r="A436" i="17"/>
  <c r="B436" i="17"/>
  <c r="A437" i="17"/>
  <c r="B437" i="17"/>
  <c r="A438" i="17"/>
  <c r="B438" i="17"/>
  <c r="A439" i="17"/>
  <c r="B439" i="17"/>
  <c r="A440" i="17"/>
  <c r="B440" i="17"/>
  <c r="A441" i="17"/>
  <c r="B441" i="17"/>
  <c r="A442" i="17"/>
  <c r="B442" i="17"/>
  <c r="A443" i="17"/>
  <c r="B443" i="17"/>
  <c r="A444" i="17"/>
  <c r="B444" i="17"/>
  <c r="A445" i="17"/>
  <c r="B445" i="17"/>
  <c r="A446" i="17"/>
  <c r="B446" i="17"/>
  <c r="A447" i="17"/>
  <c r="B447" i="17"/>
  <c r="A448" i="17"/>
  <c r="B448" i="17"/>
  <c r="N2" i="17"/>
  <c r="R2" i="17" s="1"/>
  <c r="P2" i="17"/>
  <c r="Q2" i="17" s="1"/>
  <c r="K5" i="33" l="1"/>
  <c r="K6" i="33"/>
  <c r="K9" i="33"/>
  <c r="M9" i="33" s="1"/>
  <c r="K14" i="33"/>
  <c r="M14" i="33" s="1"/>
  <c r="K16" i="33"/>
  <c r="M16" i="33" s="1"/>
  <c r="K17" i="33"/>
  <c r="M17" i="33" s="1"/>
  <c r="K23" i="33"/>
  <c r="M23" i="33" s="1"/>
  <c r="K27" i="33"/>
  <c r="M27" i="33" s="1"/>
  <c r="K36" i="33"/>
  <c r="M36" i="33" s="1"/>
  <c r="K37" i="33"/>
  <c r="M37" i="33" s="1"/>
  <c r="K42" i="33"/>
  <c r="M42" i="33" s="1"/>
  <c r="K43" i="33"/>
  <c r="M43" i="33" s="1"/>
  <c r="K45" i="33"/>
  <c r="K48" i="33"/>
  <c r="M48" i="33" s="1"/>
  <c r="K50" i="33"/>
  <c r="M50" i="33" s="1"/>
  <c r="K52" i="33"/>
  <c r="M52" i="33" s="1"/>
  <c r="K55" i="33"/>
  <c r="M55" i="33" s="1"/>
  <c r="K58" i="33"/>
  <c r="K59" i="33"/>
  <c r="M59" i="33" s="1"/>
  <c r="K61" i="33"/>
  <c r="M61" i="33" s="1"/>
  <c r="K66" i="33"/>
  <c r="M66" i="33" s="1"/>
  <c r="K71" i="33"/>
  <c r="M71" i="33" s="1"/>
  <c r="K75" i="33"/>
  <c r="M75" i="33" s="1"/>
  <c r="K76" i="33"/>
  <c r="M76" i="33" s="1"/>
  <c r="J4" i="33"/>
  <c r="K4" i="33" s="1"/>
  <c r="M4" i="33" s="1"/>
  <c r="J5" i="33"/>
  <c r="J6" i="33"/>
  <c r="J7" i="33"/>
  <c r="K7" i="33" s="1"/>
  <c r="M7" i="33" s="1"/>
  <c r="J8" i="33"/>
  <c r="J9" i="33"/>
  <c r="J10" i="33"/>
  <c r="K10" i="33" s="1"/>
  <c r="M10" i="33" s="1"/>
  <c r="J11" i="33"/>
  <c r="K11" i="33" s="1"/>
  <c r="M11" i="33" s="1"/>
  <c r="J12" i="33"/>
  <c r="K12" i="33" s="1"/>
  <c r="M12" i="33" s="1"/>
  <c r="J13" i="33"/>
  <c r="K13" i="33" s="1"/>
  <c r="M13" i="33" s="1"/>
  <c r="J14" i="33"/>
  <c r="J15" i="33"/>
  <c r="K15" i="33" s="1"/>
  <c r="M15" i="33" s="1"/>
  <c r="J16" i="33"/>
  <c r="J17" i="33"/>
  <c r="J18" i="33"/>
  <c r="K18" i="33" s="1"/>
  <c r="M18" i="33" s="1"/>
  <c r="J19" i="33"/>
  <c r="K19" i="33" s="1"/>
  <c r="M19" i="33" s="1"/>
  <c r="J20" i="33"/>
  <c r="K20" i="33" s="1"/>
  <c r="M20" i="33" s="1"/>
  <c r="J21" i="33"/>
  <c r="K21" i="33" s="1"/>
  <c r="M21" i="33" s="1"/>
  <c r="J22" i="33"/>
  <c r="K22" i="33" s="1"/>
  <c r="M22" i="33" s="1"/>
  <c r="J23" i="33"/>
  <c r="J24" i="33"/>
  <c r="K24" i="33" s="1"/>
  <c r="M24" i="33" s="1"/>
  <c r="J25" i="33"/>
  <c r="K25" i="33" s="1"/>
  <c r="M25" i="33" s="1"/>
  <c r="J26" i="33"/>
  <c r="K26" i="33" s="1"/>
  <c r="M26" i="33" s="1"/>
  <c r="J27" i="33"/>
  <c r="J28" i="33"/>
  <c r="K28" i="33" s="1"/>
  <c r="M28" i="33" s="1"/>
  <c r="J29" i="33"/>
  <c r="K29" i="33" s="1"/>
  <c r="M29" i="33" s="1"/>
  <c r="J30" i="33"/>
  <c r="K30" i="33" s="1"/>
  <c r="M30" i="33" s="1"/>
  <c r="J31" i="33"/>
  <c r="K31" i="33" s="1"/>
  <c r="M31" i="33" s="1"/>
  <c r="J32" i="33"/>
  <c r="K32" i="33" s="1"/>
  <c r="M32" i="33" s="1"/>
  <c r="J33" i="33"/>
  <c r="K33" i="33" s="1"/>
  <c r="M33" i="33" s="1"/>
  <c r="J34" i="33"/>
  <c r="K34" i="33" s="1"/>
  <c r="M34" i="33" s="1"/>
  <c r="J35" i="33"/>
  <c r="K35" i="33" s="1"/>
  <c r="M35" i="33" s="1"/>
  <c r="J36" i="33"/>
  <c r="J37" i="33"/>
  <c r="J38" i="33"/>
  <c r="K38" i="33" s="1"/>
  <c r="M38" i="33" s="1"/>
  <c r="J39" i="33"/>
  <c r="K39" i="33" s="1"/>
  <c r="M39" i="33" s="1"/>
  <c r="J40" i="33"/>
  <c r="K40" i="33" s="1"/>
  <c r="M40" i="33" s="1"/>
  <c r="J41" i="33"/>
  <c r="K41" i="33" s="1"/>
  <c r="M41" i="33" s="1"/>
  <c r="J42" i="33"/>
  <c r="J43" i="33"/>
  <c r="J44" i="33"/>
  <c r="K44" i="33" s="1"/>
  <c r="J45" i="33"/>
  <c r="J46" i="33"/>
  <c r="K46" i="33" s="1"/>
  <c r="M46" i="33" s="1"/>
  <c r="J47" i="33"/>
  <c r="K47" i="33" s="1"/>
  <c r="M47" i="33" s="1"/>
  <c r="J48" i="33"/>
  <c r="J49" i="33"/>
  <c r="K49" i="33" s="1"/>
  <c r="M49" i="33" s="1"/>
  <c r="J50" i="33"/>
  <c r="J51" i="33"/>
  <c r="K51" i="33" s="1"/>
  <c r="J52" i="33"/>
  <c r="J53" i="33"/>
  <c r="K53" i="33" s="1"/>
  <c r="M53" i="33" s="1"/>
  <c r="J54" i="33"/>
  <c r="K54" i="33" s="1"/>
  <c r="M54" i="33" s="1"/>
  <c r="J55" i="33"/>
  <c r="J56" i="33"/>
  <c r="K56" i="33" s="1"/>
  <c r="M56" i="33" s="1"/>
  <c r="J57" i="33"/>
  <c r="K57" i="33" s="1"/>
  <c r="M57" i="33" s="1"/>
  <c r="J58" i="33"/>
  <c r="J59" i="33"/>
  <c r="J60" i="33"/>
  <c r="K60" i="33" s="1"/>
  <c r="M60" i="33" s="1"/>
  <c r="J61" i="33"/>
  <c r="J62" i="33"/>
  <c r="K62" i="33" s="1"/>
  <c r="M62" i="33" s="1"/>
  <c r="J63" i="33"/>
  <c r="K63" i="33" s="1"/>
  <c r="M63" i="33" s="1"/>
  <c r="J64" i="33"/>
  <c r="K64" i="33" s="1"/>
  <c r="M64" i="33" s="1"/>
  <c r="J65" i="33"/>
  <c r="K65" i="33" s="1"/>
  <c r="M65" i="33" s="1"/>
  <c r="J66" i="33"/>
  <c r="J67" i="33"/>
  <c r="K67" i="33" s="1"/>
  <c r="M67" i="33" s="1"/>
  <c r="J68" i="33"/>
  <c r="K68" i="33" s="1"/>
  <c r="M68" i="33" s="1"/>
  <c r="J69" i="33"/>
  <c r="K69" i="33" s="1"/>
  <c r="M69" i="33" s="1"/>
  <c r="J70" i="33"/>
  <c r="K70" i="33" s="1"/>
  <c r="M70" i="33" s="1"/>
  <c r="J71" i="33"/>
  <c r="J72" i="33"/>
  <c r="K72" i="33" s="1"/>
  <c r="M72" i="33" s="1"/>
  <c r="J73" i="33"/>
  <c r="K73" i="33" s="1"/>
  <c r="M73" i="33" s="1"/>
  <c r="J74" i="33"/>
  <c r="K74" i="33" s="1"/>
  <c r="M74" i="33" s="1"/>
  <c r="J75" i="33"/>
  <c r="J76" i="33"/>
  <c r="J77" i="33"/>
  <c r="K77" i="33" s="1"/>
  <c r="M77" i="33" s="1"/>
  <c r="J78" i="33"/>
  <c r="K78" i="33" s="1"/>
  <c r="M78" i="33" s="1"/>
  <c r="J79" i="33"/>
  <c r="K79" i="33" s="1"/>
  <c r="M79" i="33" s="1"/>
  <c r="J80" i="33"/>
  <c r="K80" i="33" s="1"/>
  <c r="M80" i="33" s="1"/>
  <c r="J81" i="33"/>
  <c r="K81" i="33" s="1"/>
  <c r="M81" i="33" s="1"/>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J89" i="33"/>
  <c r="K89" i="33"/>
  <c r="L89" i="33" s="1"/>
  <c r="J90" i="33"/>
  <c r="K90" i="33"/>
  <c r="L90" i="33"/>
  <c r="L58" i="33" l="1"/>
  <c r="M58" i="33" s="1"/>
  <c r="L6" i="33"/>
  <c r="M6" i="33" s="1"/>
  <c r="L51" i="33"/>
  <c r="M51" i="33" s="1"/>
  <c r="L44" i="33"/>
  <c r="M44" i="33" s="1"/>
  <c r="L45" i="33"/>
  <c r="M45" i="33" s="1"/>
  <c r="L5" i="33"/>
  <c r="M5" i="33" s="1"/>
  <c r="P5" i="33"/>
  <c r="K8" i="33"/>
  <c r="M8" i="33" s="1"/>
  <c r="P6" i="33"/>
  <c r="P4" i="33"/>
  <c r="AF17" i="30"/>
  <c r="AF16" i="30" s="1"/>
  <c r="AG16" i="30" s="1"/>
  <c r="AF12" i="30"/>
  <c r="AF11" i="30" s="1"/>
  <c r="AH11" i="30" s="1"/>
  <c r="AH16" i="30" l="1"/>
  <c r="R6" i="33"/>
  <c r="Q6" i="33"/>
  <c r="R4" i="33"/>
  <c r="R5" i="33"/>
  <c r="P7" i="33"/>
  <c r="Q5" i="33"/>
  <c r="Q4" i="33"/>
  <c r="AH17" i="30"/>
  <c r="AG17" i="30"/>
  <c r="D6" i="31"/>
  <c r="S4" i="33" l="1"/>
  <c r="S6" i="33"/>
  <c r="S5" i="33"/>
  <c r="R7" i="33"/>
  <c r="Q7" i="33"/>
  <c r="I19" i="30"/>
  <c r="O6" i="26"/>
  <c r="N451" i="17"/>
  <c r="R451" i="17" s="1"/>
  <c r="N452" i="17"/>
  <c r="R452" i="17" s="1"/>
  <c r="N453" i="17"/>
  <c r="R453" i="17" s="1"/>
  <c r="N454" i="17"/>
  <c r="R454" i="17" s="1"/>
  <c r="N455" i="17"/>
  <c r="R455" i="17" s="1"/>
  <c r="N456" i="17"/>
  <c r="R456" i="17" s="1"/>
  <c r="N457" i="17"/>
  <c r="R457" i="17" s="1"/>
  <c r="N458" i="17"/>
  <c r="R458" i="17" s="1"/>
  <c r="N459" i="17"/>
  <c r="R459" i="17" s="1"/>
  <c r="N460" i="17"/>
  <c r="R460" i="17" s="1"/>
  <c r="N461" i="17"/>
  <c r="R461" i="17" s="1"/>
  <c r="N462" i="17"/>
  <c r="R462" i="17" s="1"/>
  <c r="N463" i="17"/>
  <c r="R463" i="17" s="1"/>
  <c r="N464" i="17"/>
  <c r="R464" i="17" s="1"/>
  <c r="N465" i="17"/>
  <c r="R465" i="17" s="1"/>
  <c r="N466" i="17"/>
  <c r="R466" i="17" s="1"/>
  <c r="N467" i="17"/>
  <c r="R467" i="17" s="1"/>
  <c r="N468" i="17"/>
  <c r="R468" i="17" s="1"/>
  <c r="N469" i="17"/>
  <c r="R469" i="17" s="1"/>
  <c r="N470" i="17"/>
  <c r="R470" i="17" s="1"/>
  <c r="N471" i="17"/>
  <c r="R471" i="17" s="1"/>
  <c r="N472" i="17"/>
  <c r="R472" i="17" s="1"/>
  <c r="N473" i="17"/>
  <c r="R473" i="17" s="1"/>
  <c r="N474" i="17"/>
  <c r="R474" i="17" s="1"/>
  <c r="N475" i="17"/>
  <c r="R475" i="17" s="1"/>
  <c r="N476" i="17"/>
  <c r="R476" i="17" s="1"/>
  <c r="N477" i="17"/>
  <c r="R477" i="17" s="1"/>
  <c r="N478" i="17"/>
  <c r="R478" i="17" s="1"/>
  <c r="N479" i="17"/>
  <c r="R479" i="17" s="1"/>
  <c r="N480" i="17"/>
  <c r="R480" i="17" s="1"/>
  <c r="N481" i="17"/>
  <c r="R481" i="17" s="1"/>
  <c r="N482" i="17"/>
  <c r="R482" i="17" s="1"/>
  <c r="N483" i="17"/>
  <c r="R483" i="17" s="1"/>
  <c r="N484" i="17"/>
  <c r="R484" i="17" s="1"/>
  <c r="N485" i="17"/>
  <c r="R485" i="17" s="1"/>
  <c r="N486" i="17"/>
  <c r="R486" i="17" s="1"/>
  <c r="N487" i="17"/>
  <c r="R487" i="17" s="1"/>
  <c r="N488" i="17"/>
  <c r="R488" i="17" s="1"/>
  <c r="N489" i="17"/>
  <c r="R489" i="17" s="1"/>
  <c r="N490" i="17"/>
  <c r="R490" i="17" s="1"/>
  <c r="N491" i="17"/>
  <c r="R491" i="17" s="1"/>
  <c r="N492" i="17"/>
  <c r="R492" i="17" s="1"/>
  <c r="N493" i="17"/>
  <c r="R493" i="17" s="1"/>
  <c r="N494" i="17"/>
  <c r="R494" i="17" s="1"/>
  <c r="N495" i="17"/>
  <c r="R495" i="17" s="1"/>
  <c r="N496" i="17"/>
  <c r="R496" i="17" s="1"/>
  <c r="N497" i="17"/>
  <c r="R497" i="17" s="1"/>
  <c r="N498" i="17"/>
  <c r="R498" i="17" s="1"/>
  <c r="N499" i="17"/>
  <c r="R499" i="17" s="1"/>
  <c r="N500" i="17"/>
  <c r="R500" i="17" s="1"/>
  <c r="N501" i="17"/>
  <c r="R501" i="17" s="1"/>
  <c r="N502" i="17"/>
  <c r="N503" i="17"/>
  <c r="R503" i="17" s="1"/>
  <c r="N504" i="17"/>
  <c r="R504" i="17" s="1"/>
  <c r="N505" i="17"/>
  <c r="R505" i="17" s="1"/>
  <c r="N506" i="17"/>
  <c r="R506" i="17" s="1"/>
  <c r="N507" i="17"/>
  <c r="R507" i="17" s="1"/>
  <c r="N508" i="17"/>
  <c r="R508" i="17" s="1"/>
  <c r="N509" i="17"/>
  <c r="R509" i="17" s="1"/>
  <c r="N510" i="17"/>
  <c r="R510" i="17" s="1"/>
  <c r="N511" i="17"/>
  <c r="R511" i="17" s="1"/>
  <c r="N512" i="17"/>
  <c r="R512" i="17" s="1"/>
  <c r="N513" i="17"/>
  <c r="R513" i="17" s="1"/>
  <c r="N514" i="17"/>
  <c r="R514" i="17" s="1"/>
  <c r="N515" i="17"/>
  <c r="R515" i="17" s="1"/>
  <c r="N516" i="17"/>
  <c r="R516" i="17" s="1"/>
  <c r="N517" i="17"/>
  <c r="R517" i="17" s="1"/>
  <c r="N518" i="17"/>
  <c r="R518" i="17" s="1"/>
  <c r="N519" i="17"/>
  <c r="R519" i="17" s="1"/>
  <c r="N520" i="17"/>
  <c r="R520" i="17" s="1"/>
  <c r="N521" i="17"/>
  <c r="R521" i="17" s="1"/>
  <c r="N522" i="17"/>
  <c r="R522" i="17" s="1"/>
  <c r="N523" i="17"/>
  <c r="R523" i="17" s="1"/>
  <c r="N524" i="17"/>
  <c r="R524" i="17" s="1"/>
  <c r="N525" i="17"/>
  <c r="R525" i="17" s="1"/>
  <c r="N526" i="17"/>
  <c r="R526" i="17" s="1"/>
  <c r="N527" i="17"/>
  <c r="R527" i="17" s="1"/>
  <c r="N528" i="17"/>
  <c r="R528" i="17" s="1"/>
  <c r="N529" i="17"/>
  <c r="R529" i="17" s="1"/>
  <c r="N530" i="17"/>
  <c r="R530" i="17" s="1"/>
  <c r="N531" i="17"/>
  <c r="R531" i="17" s="1"/>
  <c r="N532" i="17"/>
  <c r="R532" i="17" s="1"/>
  <c r="N533" i="17"/>
  <c r="R533" i="17" s="1"/>
  <c r="N534" i="17"/>
  <c r="R534" i="17" s="1"/>
  <c r="N535" i="17"/>
  <c r="R535" i="17" s="1"/>
  <c r="N536" i="17"/>
  <c r="R536" i="17" s="1"/>
  <c r="N537" i="17"/>
  <c r="R537" i="17" s="1"/>
  <c r="N538" i="17"/>
  <c r="R538" i="17" s="1"/>
  <c r="N539" i="17"/>
  <c r="R539" i="17" s="1"/>
  <c r="N540" i="17"/>
  <c r="R540" i="17" s="1"/>
  <c r="N541" i="17"/>
  <c r="R541" i="17" s="1"/>
  <c r="N542" i="17"/>
  <c r="R542" i="17" s="1"/>
  <c r="N543" i="17"/>
  <c r="R543" i="17" s="1"/>
  <c r="N544" i="17"/>
  <c r="R544" i="17" s="1"/>
  <c r="N545" i="17"/>
  <c r="R545" i="17" s="1"/>
  <c r="N546" i="17"/>
  <c r="R546" i="17" s="1"/>
  <c r="N547" i="17"/>
  <c r="R547" i="17" s="1"/>
  <c r="N548" i="17"/>
  <c r="R548" i="17" s="1"/>
  <c r="N549" i="17"/>
  <c r="R549" i="17" s="1"/>
  <c r="N550" i="17"/>
  <c r="R550" i="17" s="1"/>
  <c r="N551" i="17"/>
  <c r="R551" i="17" s="1"/>
  <c r="N552" i="17"/>
  <c r="N553" i="17"/>
  <c r="R553" i="17" s="1"/>
  <c r="N554" i="17"/>
  <c r="R554" i="17" s="1"/>
  <c r="N555" i="17"/>
  <c r="R555" i="17" s="1"/>
  <c r="N556" i="17"/>
  <c r="R556" i="17" s="1"/>
  <c r="N557" i="17"/>
  <c r="R557" i="17" s="1"/>
  <c r="N558" i="17"/>
  <c r="R558" i="17" s="1"/>
  <c r="N559" i="17"/>
  <c r="R559" i="17" s="1"/>
  <c r="N560" i="17"/>
  <c r="R560" i="17" s="1"/>
  <c r="N561" i="17"/>
  <c r="R561" i="17" s="1"/>
  <c r="N562" i="17"/>
  <c r="R562" i="17" s="1"/>
  <c r="N563" i="17"/>
  <c r="R563" i="17" s="1"/>
  <c r="N564" i="17"/>
  <c r="R564" i="17" s="1"/>
  <c r="N565" i="17"/>
  <c r="R565" i="17" s="1"/>
  <c r="N566" i="17"/>
  <c r="R566" i="17" s="1"/>
  <c r="N567" i="17"/>
  <c r="R567" i="17" s="1"/>
  <c r="N568" i="17"/>
  <c r="R568" i="17" s="1"/>
  <c r="N569" i="17"/>
  <c r="R569" i="17" s="1"/>
  <c r="N570" i="17"/>
  <c r="R570" i="17" s="1"/>
  <c r="N571" i="17"/>
  <c r="R571" i="17" s="1"/>
  <c r="N572" i="17"/>
  <c r="R572" i="17" s="1"/>
  <c r="N573" i="17"/>
  <c r="R573" i="17" s="1"/>
  <c r="N574" i="17"/>
  <c r="R574" i="17" s="1"/>
  <c r="N575" i="17"/>
  <c r="R575" i="17" s="1"/>
  <c r="N576" i="17"/>
  <c r="R576" i="17" s="1"/>
  <c r="N577" i="17"/>
  <c r="R577" i="17" s="1"/>
  <c r="N578" i="17"/>
  <c r="R578" i="17" s="1"/>
  <c r="N579" i="17"/>
  <c r="R579" i="17" s="1"/>
  <c r="N580" i="17"/>
  <c r="R580" i="17" s="1"/>
  <c r="N581" i="17"/>
  <c r="R581" i="17" s="1"/>
  <c r="N582" i="17"/>
  <c r="R582" i="17" s="1"/>
  <c r="N583" i="17"/>
  <c r="R583" i="17" s="1"/>
  <c r="N584" i="17"/>
  <c r="R584" i="17" s="1"/>
  <c r="N585" i="17"/>
  <c r="R585" i="17" s="1"/>
  <c r="N586" i="17"/>
  <c r="R586" i="17" s="1"/>
  <c r="N587" i="17"/>
  <c r="R587" i="17" s="1"/>
  <c r="N588" i="17"/>
  <c r="R588" i="17" s="1"/>
  <c r="N589" i="17"/>
  <c r="R589" i="17" s="1"/>
  <c r="N590" i="17"/>
  <c r="R590" i="17" s="1"/>
  <c r="N591" i="17"/>
  <c r="R591" i="17" s="1"/>
  <c r="N592" i="17"/>
  <c r="R592" i="17" s="1"/>
  <c r="N593" i="17"/>
  <c r="R593" i="17" s="1"/>
  <c r="N594" i="17"/>
  <c r="R594" i="17" s="1"/>
  <c r="N595" i="17"/>
  <c r="R595" i="17" s="1"/>
  <c r="N596" i="17"/>
  <c r="R596" i="17" s="1"/>
  <c r="N597" i="17"/>
  <c r="R597" i="17" s="1"/>
  <c r="N598" i="17"/>
  <c r="R598" i="17" s="1"/>
  <c r="N599" i="17"/>
  <c r="R599" i="17" s="1"/>
  <c r="N600" i="17"/>
  <c r="R600" i="17" s="1"/>
  <c r="N601" i="17"/>
  <c r="R601" i="17" s="1"/>
  <c r="N602" i="17"/>
  <c r="R602" i="17" s="1"/>
  <c r="N603" i="17"/>
  <c r="R603" i="17" s="1"/>
  <c r="N604" i="17"/>
  <c r="R604" i="17" s="1"/>
  <c r="N605" i="17"/>
  <c r="R605" i="17" s="1"/>
  <c r="N606" i="17"/>
  <c r="N607" i="17"/>
  <c r="R607" i="17" s="1"/>
  <c r="N608" i="17"/>
  <c r="R608" i="17" s="1"/>
  <c r="N609" i="17"/>
  <c r="R609" i="17" s="1"/>
  <c r="N610" i="17"/>
  <c r="R610" i="17" s="1"/>
  <c r="N611" i="17"/>
  <c r="R611" i="17" s="1"/>
  <c r="N612" i="17"/>
  <c r="R612" i="17" s="1"/>
  <c r="N613" i="17"/>
  <c r="R613" i="17" s="1"/>
  <c r="N614" i="17"/>
  <c r="R614" i="17" s="1"/>
  <c r="N615" i="17"/>
  <c r="R615" i="17" s="1"/>
  <c r="N616" i="17"/>
  <c r="R616" i="17" s="1"/>
  <c r="N617" i="17"/>
  <c r="R617" i="17" s="1"/>
  <c r="N618" i="17"/>
  <c r="R618" i="17" s="1"/>
  <c r="N619" i="17"/>
  <c r="R619" i="17" s="1"/>
  <c r="N620" i="17"/>
  <c r="R620" i="17" s="1"/>
  <c r="N621" i="17"/>
  <c r="R621" i="17" s="1"/>
  <c r="N622" i="17"/>
  <c r="R622" i="17" s="1"/>
  <c r="N623" i="17"/>
  <c r="R623" i="17" s="1"/>
  <c r="N624" i="17"/>
  <c r="R624" i="17" s="1"/>
  <c r="N625" i="17"/>
  <c r="R625" i="17" s="1"/>
  <c r="N626" i="17"/>
  <c r="R626" i="17" s="1"/>
  <c r="N627" i="17"/>
  <c r="R627" i="17" s="1"/>
  <c r="N628" i="17"/>
  <c r="R628" i="17" s="1"/>
  <c r="N629" i="17"/>
  <c r="R629" i="17" s="1"/>
  <c r="N630" i="17"/>
  <c r="R630" i="17" s="1"/>
  <c r="N631" i="17"/>
  <c r="R631" i="17" s="1"/>
  <c r="N632" i="17"/>
  <c r="R632" i="17" s="1"/>
  <c r="N633" i="17"/>
  <c r="R633" i="17" s="1"/>
  <c r="N634" i="17"/>
  <c r="R634" i="17" s="1"/>
  <c r="N635" i="17"/>
  <c r="R635" i="17" s="1"/>
  <c r="N636" i="17"/>
  <c r="R636" i="17" s="1"/>
  <c r="N637" i="17"/>
  <c r="R637" i="17" s="1"/>
  <c r="N638" i="17"/>
  <c r="R638" i="17" s="1"/>
  <c r="N639" i="17"/>
  <c r="R639" i="17" s="1"/>
  <c r="N640" i="17"/>
  <c r="R640" i="17" s="1"/>
  <c r="N641" i="17"/>
  <c r="R641" i="17" s="1"/>
  <c r="N642" i="17"/>
  <c r="R642" i="17" s="1"/>
  <c r="N643" i="17"/>
  <c r="R643" i="17" s="1"/>
  <c r="N644" i="17"/>
  <c r="R644" i="17" s="1"/>
  <c r="N645" i="17"/>
  <c r="R645" i="17" s="1"/>
  <c r="N646" i="17"/>
  <c r="R646" i="17" s="1"/>
  <c r="N647" i="17"/>
  <c r="R647" i="17" s="1"/>
  <c r="N648" i="17"/>
  <c r="R648" i="17" s="1"/>
  <c r="N649" i="17"/>
  <c r="R649" i="17" s="1"/>
  <c r="N650" i="17"/>
  <c r="R650" i="17" s="1"/>
  <c r="N651" i="17"/>
  <c r="R651" i="17" s="1"/>
  <c r="N652" i="17"/>
  <c r="R652" i="17" s="1"/>
  <c r="N653" i="17"/>
  <c r="R653" i="17" s="1"/>
  <c r="N654" i="17"/>
  <c r="R654" i="17" s="1"/>
  <c r="N655" i="17"/>
  <c r="R655" i="17" s="1"/>
  <c r="N656" i="17"/>
  <c r="R656" i="17" s="1"/>
  <c r="N657" i="17"/>
  <c r="R657" i="17" s="1"/>
  <c r="N658" i="17"/>
  <c r="R658" i="17" s="1"/>
  <c r="N659" i="17"/>
  <c r="R659" i="17" s="1"/>
  <c r="N660" i="17"/>
  <c r="R660" i="17" s="1"/>
  <c r="N661" i="17"/>
  <c r="R661" i="17" s="1"/>
  <c r="N662" i="17"/>
  <c r="R662" i="17" s="1"/>
  <c r="N663" i="17"/>
  <c r="R663" i="17" s="1"/>
  <c r="N664" i="17"/>
  <c r="R664" i="17" s="1"/>
  <c r="N665" i="17"/>
  <c r="R665" i="17" s="1"/>
  <c r="N666" i="17"/>
  <c r="R666" i="17" s="1"/>
  <c r="N667" i="17"/>
  <c r="R667" i="17" s="1"/>
  <c r="N668" i="17"/>
  <c r="R668" i="17" s="1"/>
  <c r="N669" i="17"/>
  <c r="R669" i="17" s="1"/>
  <c r="N670" i="17"/>
  <c r="R670" i="17" s="1"/>
  <c r="N671" i="17"/>
  <c r="R671" i="17" s="1"/>
  <c r="N672" i="17"/>
  <c r="R672" i="17" s="1"/>
  <c r="N673" i="17"/>
  <c r="R673" i="17" s="1"/>
  <c r="N674" i="17"/>
  <c r="R674" i="17" s="1"/>
  <c r="N675" i="17"/>
  <c r="N676" i="17"/>
  <c r="R676" i="17" s="1"/>
  <c r="N677" i="17"/>
  <c r="R677" i="17" s="1"/>
  <c r="N678" i="17"/>
  <c r="R678" i="17" s="1"/>
  <c r="N679" i="17"/>
  <c r="R679" i="17" s="1"/>
  <c r="N680" i="17"/>
  <c r="R680" i="17" s="1"/>
  <c r="N681" i="17"/>
  <c r="R681" i="17" s="1"/>
  <c r="N682" i="17"/>
  <c r="R682" i="17" s="1"/>
  <c r="N683" i="17"/>
  <c r="R683" i="17" s="1"/>
  <c r="N684" i="17"/>
  <c r="R684" i="17" s="1"/>
  <c r="N685" i="17"/>
  <c r="R685" i="17" s="1"/>
  <c r="N686" i="17"/>
  <c r="R686" i="17" s="1"/>
  <c r="N687" i="17"/>
  <c r="R687" i="17" s="1"/>
  <c r="N688" i="17"/>
  <c r="R688" i="17" s="1"/>
  <c r="N689" i="17"/>
  <c r="R689" i="17" s="1"/>
  <c r="N690" i="17"/>
  <c r="R690" i="17" s="1"/>
  <c r="N691" i="17"/>
  <c r="R691" i="17" s="1"/>
  <c r="N692" i="17"/>
  <c r="R692" i="17" s="1"/>
  <c r="N693" i="17"/>
  <c r="R693" i="17" s="1"/>
  <c r="N694" i="17"/>
  <c r="R694" i="17" s="1"/>
  <c r="N695" i="17"/>
  <c r="R695" i="17" s="1"/>
  <c r="N696" i="17"/>
  <c r="R696" i="17" s="1"/>
  <c r="N697" i="17"/>
  <c r="R697" i="17" s="1"/>
  <c r="N698" i="17"/>
  <c r="R698" i="17" s="1"/>
  <c r="N699" i="17"/>
  <c r="R699" i="17" s="1"/>
  <c r="N700" i="17"/>
  <c r="R700" i="17" s="1"/>
  <c r="N701" i="17"/>
  <c r="R701" i="17" s="1"/>
  <c r="N702" i="17"/>
  <c r="R702" i="17" s="1"/>
  <c r="N703" i="17"/>
  <c r="R703" i="17" s="1"/>
  <c r="N704" i="17"/>
  <c r="R704" i="17" s="1"/>
  <c r="N705" i="17"/>
  <c r="R705" i="17" s="1"/>
  <c r="N706" i="17"/>
  <c r="R706" i="17" s="1"/>
  <c r="N707" i="17"/>
  <c r="R707" i="17" s="1"/>
  <c r="N708" i="17"/>
  <c r="R708" i="17" s="1"/>
  <c r="N709" i="17"/>
  <c r="R709" i="17" s="1"/>
  <c r="N710" i="17"/>
  <c r="R710" i="17" s="1"/>
  <c r="N711" i="17"/>
  <c r="R711" i="17" s="1"/>
  <c r="N712" i="17"/>
  <c r="R712" i="17" s="1"/>
  <c r="N713" i="17"/>
  <c r="R713" i="17" s="1"/>
  <c r="N714" i="17"/>
  <c r="R714" i="17" s="1"/>
  <c r="N715" i="17"/>
  <c r="R715" i="17" s="1"/>
  <c r="N716" i="17"/>
  <c r="R716" i="17" s="1"/>
  <c r="N717" i="17"/>
  <c r="R717" i="17" s="1"/>
  <c r="N718" i="17"/>
  <c r="R718" i="17" s="1"/>
  <c r="N719" i="17"/>
  <c r="R719" i="17" s="1"/>
  <c r="N720" i="17"/>
  <c r="R720" i="17" s="1"/>
  <c r="N721" i="17"/>
  <c r="R721" i="17" s="1"/>
  <c r="N722" i="17"/>
  <c r="R722" i="17" s="1"/>
  <c r="N723" i="17"/>
  <c r="R723" i="17" s="1"/>
  <c r="N724" i="17"/>
  <c r="R724" i="17" s="1"/>
  <c r="N725" i="17"/>
  <c r="R725" i="17" s="1"/>
  <c r="N726" i="17"/>
  <c r="R726" i="17" s="1"/>
  <c r="N727" i="17"/>
  <c r="R727" i="17" s="1"/>
  <c r="N728" i="17"/>
  <c r="R728" i="17" s="1"/>
  <c r="N729" i="17"/>
  <c r="R729" i="17" s="1"/>
  <c r="N730" i="17"/>
  <c r="R730" i="17" s="1"/>
  <c r="N731" i="17"/>
  <c r="R731" i="17" s="1"/>
  <c r="N732" i="17"/>
  <c r="R732" i="17" s="1"/>
  <c r="N733" i="17"/>
  <c r="R733" i="17" s="1"/>
  <c r="N734" i="17"/>
  <c r="R734" i="17" s="1"/>
  <c r="N735" i="17"/>
  <c r="R735" i="17" s="1"/>
  <c r="N736" i="17"/>
  <c r="R736" i="17" s="1"/>
  <c r="N737" i="17"/>
  <c r="R737" i="17" s="1"/>
  <c r="N738" i="17"/>
  <c r="R738" i="17" s="1"/>
  <c r="N739" i="17"/>
  <c r="R739" i="17" s="1"/>
  <c r="N740" i="17"/>
  <c r="R740" i="17" s="1"/>
  <c r="N741" i="17"/>
  <c r="N742" i="17"/>
  <c r="R742" i="17" s="1"/>
  <c r="N743" i="17"/>
  <c r="R743" i="17" s="1"/>
  <c r="N744" i="17"/>
  <c r="R744" i="17" s="1"/>
  <c r="N745" i="17"/>
  <c r="R745" i="17" s="1"/>
  <c r="N746" i="17"/>
  <c r="R746" i="17" s="1"/>
  <c r="N747" i="17"/>
  <c r="R747" i="17" s="1"/>
  <c r="N748" i="17"/>
  <c r="R748" i="17" s="1"/>
  <c r="N749" i="17"/>
  <c r="R749" i="17" s="1"/>
  <c r="N750" i="17"/>
  <c r="R750" i="17" s="1"/>
  <c r="N751" i="17"/>
  <c r="R751" i="17" s="1"/>
  <c r="N752" i="17"/>
  <c r="R752" i="17" s="1"/>
  <c r="N753" i="17"/>
  <c r="R753" i="17" s="1"/>
  <c r="N754" i="17"/>
  <c r="R754" i="17" s="1"/>
  <c r="N755" i="17"/>
  <c r="R755" i="17" s="1"/>
  <c r="N756" i="17"/>
  <c r="R756" i="17" s="1"/>
  <c r="N757" i="17"/>
  <c r="R757" i="17" s="1"/>
  <c r="N758" i="17"/>
  <c r="R758" i="17" s="1"/>
  <c r="N759" i="17"/>
  <c r="R759" i="17" s="1"/>
  <c r="N760" i="17"/>
  <c r="R760" i="17" s="1"/>
  <c r="N761" i="17"/>
  <c r="R761" i="17" s="1"/>
  <c r="N762" i="17"/>
  <c r="R762" i="17" s="1"/>
  <c r="N763" i="17"/>
  <c r="R763" i="17" s="1"/>
  <c r="N764" i="17"/>
  <c r="R764" i="17" s="1"/>
  <c r="N765" i="17"/>
  <c r="R765" i="17" s="1"/>
  <c r="N766" i="17"/>
  <c r="R766" i="17" s="1"/>
  <c r="N767" i="17"/>
  <c r="R767" i="17" s="1"/>
  <c r="N768" i="17"/>
  <c r="R768" i="17" s="1"/>
  <c r="N769" i="17"/>
  <c r="R769" i="17" s="1"/>
  <c r="N770" i="17"/>
  <c r="R770" i="17" s="1"/>
  <c r="N771" i="17"/>
  <c r="R771" i="17" s="1"/>
  <c r="N772" i="17"/>
  <c r="R772" i="17" s="1"/>
  <c r="N773" i="17"/>
  <c r="R773" i="17" s="1"/>
  <c r="N774" i="17"/>
  <c r="R774" i="17" s="1"/>
  <c r="N775" i="17"/>
  <c r="R775" i="17" s="1"/>
  <c r="N776" i="17"/>
  <c r="R776" i="17" s="1"/>
  <c r="N777" i="17"/>
  <c r="R777" i="17" s="1"/>
  <c r="N778" i="17"/>
  <c r="R778" i="17" s="1"/>
  <c r="N779" i="17"/>
  <c r="R779" i="17" s="1"/>
  <c r="N780" i="17"/>
  <c r="R780" i="17" s="1"/>
  <c r="N781" i="17"/>
  <c r="N782" i="17"/>
  <c r="R782" i="17" s="1"/>
  <c r="N783" i="17"/>
  <c r="R783" i="17" s="1"/>
  <c r="N784" i="17"/>
  <c r="R784" i="17" s="1"/>
  <c r="N785" i="17"/>
  <c r="R785" i="17" s="1"/>
  <c r="N786" i="17"/>
  <c r="R786" i="17" s="1"/>
  <c r="N787" i="17"/>
  <c r="R787" i="17" s="1"/>
  <c r="N788" i="17"/>
  <c r="R788" i="17" s="1"/>
  <c r="N789" i="17"/>
  <c r="R789" i="17" s="1"/>
  <c r="N790" i="17"/>
  <c r="R790" i="17" s="1"/>
  <c r="N791" i="17"/>
  <c r="R791" i="17" s="1"/>
  <c r="N792" i="17"/>
  <c r="R792" i="17" s="1"/>
  <c r="N793" i="17"/>
  <c r="R793" i="17" s="1"/>
  <c r="N794" i="17"/>
  <c r="R794" i="17" s="1"/>
  <c r="N795" i="17"/>
  <c r="R795" i="17" s="1"/>
  <c r="N796" i="17"/>
  <c r="R796" i="17" s="1"/>
  <c r="N797" i="17"/>
  <c r="R797" i="17" s="1"/>
  <c r="N798" i="17"/>
  <c r="R798" i="17" s="1"/>
  <c r="N799" i="17"/>
  <c r="R799" i="17" s="1"/>
  <c r="N800" i="17"/>
  <c r="R800" i="17" s="1"/>
  <c r="N801" i="17"/>
  <c r="R801" i="17" s="1"/>
  <c r="N802" i="17"/>
  <c r="R802" i="17" s="1"/>
  <c r="N803" i="17"/>
  <c r="R803" i="17" s="1"/>
  <c r="N804" i="17"/>
  <c r="R804" i="17" s="1"/>
  <c r="N805" i="17"/>
  <c r="R805" i="17" s="1"/>
  <c r="N806" i="17"/>
  <c r="R806" i="17" s="1"/>
  <c r="N807" i="17"/>
  <c r="R807" i="17" s="1"/>
  <c r="N808" i="17"/>
  <c r="R808" i="17" s="1"/>
  <c r="N809" i="17"/>
  <c r="R809" i="17" s="1"/>
  <c r="N810" i="17"/>
  <c r="R810" i="17" s="1"/>
  <c r="N811" i="17"/>
  <c r="R811" i="17" s="1"/>
  <c r="N812" i="17"/>
  <c r="R812" i="17" s="1"/>
  <c r="N813" i="17"/>
  <c r="R813" i="17" s="1"/>
  <c r="N814" i="17"/>
  <c r="R814" i="17" s="1"/>
  <c r="N815" i="17"/>
  <c r="R815" i="17" s="1"/>
  <c r="N816" i="17"/>
  <c r="R816" i="17" s="1"/>
  <c r="N817" i="17"/>
  <c r="R817" i="17" s="1"/>
  <c r="N818" i="17"/>
  <c r="R818" i="17" s="1"/>
  <c r="N819" i="17"/>
  <c r="R819" i="17" s="1"/>
  <c r="N820" i="17"/>
  <c r="R820" i="17" s="1"/>
  <c r="N821" i="17"/>
  <c r="R821" i="17" s="1"/>
  <c r="N822" i="17"/>
  <c r="R822" i="17" s="1"/>
  <c r="N823" i="17"/>
  <c r="R823" i="17" s="1"/>
  <c r="N824" i="17"/>
  <c r="R824" i="17" s="1"/>
  <c r="N825" i="17"/>
  <c r="R825" i="17" s="1"/>
  <c r="N826" i="17"/>
  <c r="R826" i="17" s="1"/>
  <c r="N827" i="17"/>
  <c r="R827" i="17" s="1"/>
  <c r="N828" i="17"/>
  <c r="R828" i="17" s="1"/>
  <c r="N829" i="17"/>
  <c r="R829" i="17" s="1"/>
  <c r="N830" i="17"/>
  <c r="R830" i="17" s="1"/>
  <c r="N831" i="17"/>
  <c r="R831" i="17" s="1"/>
  <c r="N832" i="17"/>
  <c r="R832" i="17" s="1"/>
  <c r="N833" i="17"/>
  <c r="N834" i="17"/>
  <c r="R834" i="17" s="1"/>
  <c r="N835" i="17"/>
  <c r="R835" i="17" s="1"/>
  <c r="N836" i="17"/>
  <c r="R836" i="17" s="1"/>
  <c r="N837" i="17"/>
  <c r="R837" i="17" s="1"/>
  <c r="N838" i="17"/>
  <c r="R838" i="17" s="1"/>
  <c r="N839" i="17"/>
  <c r="R839" i="17" s="1"/>
  <c r="N840" i="17"/>
  <c r="R840" i="17" s="1"/>
  <c r="N841" i="17"/>
  <c r="R841" i="17" s="1"/>
  <c r="N842" i="17"/>
  <c r="R842" i="17" s="1"/>
  <c r="N843" i="17"/>
  <c r="R843" i="17" s="1"/>
  <c r="N844" i="17"/>
  <c r="R844" i="17" s="1"/>
  <c r="N845" i="17"/>
  <c r="R845" i="17" s="1"/>
  <c r="N846" i="17"/>
  <c r="R846" i="17" s="1"/>
  <c r="N847" i="17"/>
  <c r="R847" i="17" s="1"/>
  <c r="N848" i="17"/>
  <c r="R848" i="17" s="1"/>
  <c r="N849" i="17"/>
  <c r="R849" i="17" s="1"/>
  <c r="N850" i="17"/>
  <c r="R850" i="17" s="1"/>
  <c r="N851" i="17"/>
  <c r="R851" i="17" s="1"/>
  <c r="N852" i="17"/>
  <c r="R852" i="17" s="1"/>
  <c r="N853" i="17"/>
  <c r="R853" i="17" s="1"/>
  <c r="N854" i="17"/>
  <c r="R854" i="17" s="1"/>
  <c r="N855" i="17"/>
  <c r="R855" i="17" s="1"/>
  <c r="N856" i="17"/>
  <c r="R856" i="17" s="1"/>
  <c r="N857" i="17"/>
  <c r="R857" i="17" s="1"/>
  <c r="N858" i="17"/>
  <c r="R858" i="17" s="1"/>
  <c r="N859" i="17"/>
  <c r="R859" i="17" s="1"/>
  <c r="N860" i="17"/>
  <c r="R860" i="17" s="1"/>
  <c r="N861" i="17"/>
  <c r="R861" i="17" s="1"/>
  <c r="N862" i="17"/>
  <c r="R862" i="17" s="1"/>
  <c r="N863" i="17"/>
  <c r="R863" i="17" s="1"/>
  <c r="N864" i="17"/>
  <c r="R864" i="17" s="1"/>
  <c r="N865" i="17"/>
  <c r="R865" i="17" s="1"/>
  <c r="N866" i="17"/>
  <c r="R866" i="17" s="1"/>
  <c r="N867" i="17"/>
  <c r="R867" i="17" s="1"/>
  <c r="N868" i="17"/>
  <c r="R868" i="17" s="1"/>
  <c r="N869" i="17"/>
  <c r="R869" i="17" s="1"/>
  <c r="N870" i="17"/>
  <c r="R870" i="17" s="1"/>
  <c r="N871" i="17"/>
  <c r="R871" i="17" s="1"/>
  <c r="N872" i="17"/>
  <c r="R872" i="17" s="1"/>
  <c r="N873" i="17"/>
  <c r="R873" i="17" s="1"/>
  <c r="N874" i="17"/>
  <c r="R874" i="17" s="1"/>
  <c r="N875" i="17"/>
  <c r="R875" i="17" s="1"/>
  <c r="N876" i="17"/>
  <c r="R876" i="17" s="1"/>
  <c r="N877" i="17"/>
  <c r="R877" i="17" s="1"/>
  <c r="N878" i="17"/>
  <c r="R878" i="17" s="1"/>
  <c r="N879" i="17"/>
  <c r="R879" i="17" s="1"/>
  <c r="N880" i="17"/>
  <c r="R880" i="17" s="1"/>
  <c r="N881" i="17"/>
  <c r="R881" i="17" s="1"/>
  <c r="N882" i="17"/>
  <c r="R882" i="17" s="1"/>
  <c r="N883" i="17"/>
  <c r="R883" i="17" s="1"/>
  <c r="N884" i="17"/>
  <c r="R884" i="17" s="1"/>
  <c r="N885" i="17"/>
  <c r="R885" i="17" s="1"/>
  <c r="N886" i="17"/>
  <c r="R886" i="17" s="1"/>
  <c r="N887" i="17"/>
  <c r="R887" i="17" s="1"/>
  <c r="N888" i="17"/>
  <c r="R888" i="17" s="1"/>
  <c r="N889" i="17"/>
  <c r="R889" i="17" s="1"/>
  <c r="N890" i="17"/>
  <c r="R890" i="17" s="1"/>
  <c r="N891" i="17"/>
  <c r="R891" i="17" s="1"/>
  <c r="N892" i="17"/>
  <c r="R892" i="17" s="1"/>
  <c r="N893" i="17"/>
  <c r="R893" i="17" s="1"/>
  <c r="N894" i="17"/>
  <c r="R894" i="17" s="1"/>
  <c r="N895" i="17"/>
  <c r="R895" i="17" s="1"/>
  <c r="N896" i="17"/>
  <c r="R896" i="17" s="1"/>
  <c r="N897" i="17"/>
  <c r="R897" i="17" s="1"/>
  <c r="N898" i="17"/>
  <c r="R898" i="17" s="1"/>
  <c r="N899" i="17"/>
  <c r="R899" i="17" s="1"/>
  <c r="N900" i="17"/>
  <c r="R900" i="17" s="1"/>
  <c r="N901" i="17"/>
  <c r="R901" i="17" s="1"/>
  <c r="N902" i="17"/>
  <c r="R902" i="17" s="1"/>
  <c r="N903" i="17"/>
  <c r="R903" i="17" s="1"/>
  <c r="N904" i="17"/>
  <c r="R904" i="17" s="1"/>
  <c r="N905" i="17"/>
  <c r="R905" i="17" s="1"/>
  <c r="N906" i="17"/>
  <c r="R906" i="17" s="1"/>
  <c r="N907" i="17"/>
  <c r="N908" i="17"/>
  <c r="R908" i="17" s="1"/>
  <c r="N909" i="17"/>
  <c r="R909" i="17" s="1"/>
  <c r="N910" i="17"/>
  <c r="R910" i="17" s="1"/>
  <c r="N911" i="17"/>
  <c r="R911" i="17" s="1"/>
  <c r="N912" i="17"/>
  <c r="R912" i="17" s="1"/>
  <c r="N913" i="17"/>
  <c r="R913" i="17" s="1"/>
  <c r="N914" i="17"/>
  <c r="R914" i="17" s="1"/>
  <c r="N915" i="17"/>
  <c r="R915" i="17" s="1"/>
  <c r="N916" i="17"/>
  <c r="R916" i="17" s="1"/>
  <c r="N917" i="17"/>
  <c r="R917" i="17" s="1"/>
  <c r="N918" i="17"/>
  <c r="R918" i="17" s="1"/>
  <c r="N919" i="17"/>
  <c r="R919" i="17" s="1"/>
  <c r="N920" i="17"/>
  <c r="R920" i="17" s="1"/>
  <c r="N921" i="17"/>
  <c r="R921" i="17" s="1"/>
  <c r="N922" i="17"/>
  <c r="R922" i="17" s="1"/>
  <c r="N923" i="17"/>
  <c r="R923" i="17" s="1"/>
  <c r="N924" i="17"/>
  <c r="R924" i="17" s="1"/>
  <c r="N925" i="17"/>
  <c r="R925" i="17" s="1"/>
  <c r="N926" i="17"/>
  <c r="R926" i="17" s="1"/>
  <c r="N927" i="17"/>
  <c r="R927" i="17" s="1"/>
  <c r="N928" i="17"/>
  <c r="R928" i="17" s="1"/>
  <c r="N929" i="17"/>
  <c r="R929" i="17" s="1"/>
  <c r="N930" i="17"/>
  <c r="R930" i="17" s="1"/>
  <c r="N931" i="17"/>
  <c r="R931" i="17" s="1"/>
  <c r="N932" i="17"/>
  <c r="R932" i="17" s="1"/>
  <c r="N933" i="17"/>
  <c r="R933" i="17" s="1"/>
  <c r="N934" i="17"/>
  <c r="R934" i="17" s="1"/>
  <c r="N935" i="17"/>
  <c r="R935" i="17" s="1"/>
  <c r="N936" i="17"/>
  <c r="R936" i="17" s="1"/>
  <c r="N937" i="17"/>
  <c r="R937" i="17" s="1"/>
  <c r="N938" i="17"/>
  <c r="R938" i="17" s="1"/>
  <c r="N939" i="17"/>
  <c r="R939" i="17" s="1"/>
  <c r="N940" i="17"/>
  <c r="R940" i="17" s="1"/>
  <c r="N941" i="17"/>
  <c r="R941" i="17" s="1"/>
  <c r="N942" i="17"/>
  <c r="R942" i="17" s="1"/>
  <c r="N943" i="17"/>
  <c r="R943" i="17" s="1"/>
  <c r="N944" i="17"/>
  <c r="R944" i="17" s="1"/>
  <c r="N945" i="17"/>
  <c r="R945" i="17" s="1"/>
  <c r="N946" i="17"/>
  <c r="R946" i="17" s="1"/>
  <c r="N947" i="17"/>
  <c r="R947" i="17" s="1"/>
  <c r="N948" i="17"/>
  <c r="R948" i="17" s="1"/>
  <c r="N949" i="17"/>
  <c r="R949" i="17" s="1"/>
  <c r="N950" i="17"/>
  <c r="R950" i="17" s="1"/>
  <c r="N951" i="17"/>
  <c r="R951" i="17" s="1"/>
  <c r="N952" i="17"/>
  <c r="R952" i="17" s="1"/>
  <c r="N953" i="17"/>
  <c r="R953" i="17" s="1"/>
  <c r="N954" i="17"/>
  <c r="R954" i="17" s="1"/>
  <c r="N955" i="17"/>
  <c r="R955" i="17" s="1"/>
  <c r="N956" i="17"/>
  <c r="R956" i="17" s="1"/>
  <c r="N957" i="17"/>
  <c r="R957" i="17" s="1"/>
  <c r="N958" i="17"/>
  <c r="R958" i="17" s="1"/>
  <c r="N959" i="17"/>
  <c r="R959" i="17" s="1"/>
  <c r="N960" i="17"/>
  <c r="R960" i="17" s="1"/>
  <c r="N961" i="17"/>
  <c r="R961" i="17" s="1"/>
  <c r="N962" i="17"/>
  <c r="N963" i="17"/>
  <c r="R963" i="17" s="1"/>
  <c r="N964" i="17"/>
  <c r="R964" i="17" s="1"/>
  <c r="N965" i="17"/>
  <c r="R965" i="17" s="1"/>
  <c r="N966" i="17"/>
  <c r="R966" i="17" s="1"/>
  <c r="N967" i="17"/>
  <c r="R967" i="17" s="1"/>
  <c r="N968" i="17"/>
  <c r="R968" i="17" s="1"/>
  <c r="N969" i="17"/>
  <c r="R969" i="17" s="1"/>
  <c r="N970" i="17"/>
  <c r="R970" i="17" s="1"/>
  <c r="N971" i="17"/>
  <c r="R971" i="17" s="1"/>
  <c r="N972" i="17"/>
  <c r="R972" i="17" s="1"/>
  <c r="N973" i="17"/>
  <c r="R973" i="17" s="1"/>
  <c r="N974" i="17"/>
  <c r="R974" i="17" s="1"/>
  <c r="N975" i="17"/>
  <c r="R975" i="17" s="1"/>
  <c r="N976" i="17"/>
  <c r="R976" i="17" s="1"/>
  <c r="N977" i="17"/>
  <c r="R977" i="17" s="1"/>
  <c r="N978" i="17"/>
  <c r="R978" i="17" s="1"/>
  <c r="N979" i="17"/>
  <c r="R979" i="17" s="1"/>
  <c r="N980" i="17"/>
  <c r="R980" i="17" s="1"/>
  <c r="N981" i="17"/>
  <c r="R981" i="17" s="1"/>
  <c r="N982" i="17"/>
  <c r="R982" i="17" s="1"/>
  <c r="N983" i="17"/>
  <c r="R983" i="17" s="1"/>
  <c r="N984" i="17"/>
  <c r="R984" i="17" s="1"/>
  <c r="N985" i="17"/>
  <c r="R985" i="17" s="1"/>
  <c r="N986" i="17"/>
  <c r="R986" i="17" s="1"/>
  <c r="N987" i="17"/>
  <c r="R987" i="17" s="1"/>
  <c r="N988" i="17"/>
  <c r="R988" i="17" s="1"/>
  <c r="N989" i="17"/>
  <c r="R989" i="17" s="1"/>
  <c r="N990" i="17"/>
  <c r="R990" i="17" s="1"/>
  <c r="N991" i="17"/>
  <c r="R991" i="17" s="1"/>
  <c r="N992" i="17"/>
  <c r="R992" i="17" s="1"/>
  <c r="N993" i="17"/>
  <c r="R993" i="17" s="1"/>
  <c r="N994" i="17"/>
  <c r="R994" i="17" s="1"/>
  <c r="N995" i="17"/>
  <c r="R995" i="17" s="1"/>
  <c r="N996" i="17"/>
  <c r="R996" i="17" s="1"/>
  <c r="N997" i="17"/>
  <c r="R997" i="17" s="1"/>
  <c r="N998" i="17"/>
  <c r="R998" i="17" s="1"/>
  <c r="N999" i="17"/>
  <c r="R999" i="17" s="1"/>
  <c r="N1000" i="17"/>
  <c r="R1000" i="17" s="1"/>
  <c r="N1001" i="17"/>
  <c r="R1001" i="17" s="1"/>
  <c r="N1002" i="17"/>
  <c r="R1002" i="17" s="1"/>
  <c r="N1003" i="17"/>
  <c r="R1003" i="17" s="1"/>
  <c r="N1004" i="17"/>
  <c r="R1004" i="17" s="1"/>
  <c r="N1005" i="17"/>
  <c r="R1005" i="17" s="1"/>
  <c r="N1006" i="17"/>
  <c r="R1006" i="17" s="1"/>
  <c r="N1007" i="17"/>
  <c r="R1007" i="17" s="1"/>
  <c r="N1008" i="17"/>
  <c r="R1008" i="17" s="1"/>
  <c r="N1009" i="17"/>
  <c r="R1009" i="17" s="1"/>
  <c r="N1010" i="17"/>
  <c r="R1010" i="17" s="1"/>
  <c r="N1011" i="17"/>
  <c r="R1011" i="17" s="1"/>
  <c r="N1012" i="17"/>
  <c r="R1012" i="17" s="1"/>
  <c r="N1013" i="17"/>
  <c r="R1013" i="17" s="1"/>
  <c r="N1014" i="17"/>
  <c r="N1015" i="17"/>
  <c r="R1015" i="17" s="1"/>
  <c r="N1016" i="17"/>
  <c r="R1016" i="17" s="1"/>
  <c r="N1017" i="17"/>
  <c r="R1017" i="17" s="1"/>
  <c r="N1018" i="17"/>
  <c r="R1018" i="17" s="1"/>
  <c r="N1019" i="17"/>
  <c r="R1019" i="17" s="1"/>
  <c r="N1020" i="17"/>
  <c r="R1020" i="17" s="1"/>
  <c r="N1021" i="17"/>
  <c r="R1021" i="17" s="1"/>
  <c r="N1022" i="17"/>
  <c r="R1022" i="17" s="1"/>
  <c r="N1023" i="17"/>
  <c r="R1023" i="17" s="1"/>
  <c r="N1024" i="17"/>
  <c r="R1024" i="17" s="1"/>
  <c r="N1025" i="17"/>
  <c r="R1025" i="17" s="1"/>
  <c r="N1026" i="17"/>
  <c r="R1026" i="17" s="1"/>
  <c r="N1027" i="17"/>
  <c r="R1027" i="17" s="1"/>
  <c r="N1028" i="17"/>
  <c r="R1028" i="17" s="1"/>
  <c r="N1029" i="17"/>
  <c r="R1029" i="17" s="1"/>
  <c r="N1030" i="17"/>
  <c r="R1030" i="17" s="1"/>
  <c r="N1031" i="17"/>
  <c r="R1031" i="17" s="1"/>
  <c r="N1032" i="17"/>
  <c r="R1032" i="17" s="1"/>
  <c r="N1033" i="17"/>
  <c r="R1033" i="17" s="1"/>
  <c r="N1034" i="17"/>
  <c r="R1034" i="17" s="1"/>
  <c r="N1035" i="17"/>
  <c r="R1035" i="17" s="1"/>
  <c r="N1036" i="17"/>
  <c r="R1036" i="17" s="1"/>
  <c r="N1037" i="17"/>
  <c r="R1037" i="17" s="1"/>
  <c r="N1038" i="17"/>
  <c r="R1038" i="17" s="1"/>
  <c r="N1039" i="17"/>
  <c r="R1039" i="17" s="1"/>
  <c r="N1040" i="17"/>
  <c r="R1040" i="17" s="1"/>
  <c r="N1041" i="17"/>
  <c r="R1041" i="17" s="1"/>
  <c r="N1042" i="17"/>
  <c r="R1042" i="17" s="1"/>
  <c r="N1043" i="17"/>
  <c r="N1044" i="17"/>
  <c r="R1044" i="17" s="1"/>
  <c r="N1045" i="17"/>
  <c r="R1045" i="17" s="1"/>
  <c r="N1046" i="17"/>
  <c r="R1046" i="17" s="1"/>
  <c r="N1047" i="17"/>
  <c r="R1047" i="17" s="1"/>
  <c r="N1048" i="17"/>
  <c r="R1048" i="17" s="1"/>
  <c r="N1049" i="17"/>
  <c r="R1049" i="17" s="1"/>
  <c r="N1050" i="17"/>
  <c r="R1050" i="17" s="1"/>
  <c r="N1051" i="17"/>
  <c r="R1051" i="17" s="1"/>
  <c r="N1052" i="17"/>
  <c r="R1052" i="17" s="1"/>
  <c r="N1053" i="17"/>
  <c r="R1053" i="17" s="1"/>
  <c r="N1054" i="17"/>
  <c r="R1054" i="17" s="1"/>
  <c r="N1055" i="17"/>
  <c r="R1055" i="17" s="1"/>
  <c r="N1056" i="17"/>
  <c r="R1056" i="17" s="1"/>
  <c r="N1057" i="17"/>
  <c r="R1057" i="17" s="1"/>
  <c r="N1058" i="17"/>
  <c r="R1058" i="17" s="1"/>
  <c r="N1059" i="17"/>
  <c r="R1059" i="17" s="1"/>
  <c r="N1060" i="17"/>
  <c r="R1060" i="17" s="1"/>
  <c r="N1061" i="17"/>
  <c r="R1061" i="17" s="1"/>
  <c r="N1062" i="17"/>
  <c r="R1062" i="17" s="1"/>
  <c r="N1063" i="17"/>
  <c r="R1063" i="17" s="1"/>
  <c r="N1064" i="17"/>
  <c r="R1064" i="17" s="1"/>
  <c r="N1065" i="17"/>
  <c r="R1065" i="17" s="1"/>
  <c r="N1066" i="17"/>
  <c r="R1066" i="17" s="1"/>
  <c r="N1067" i="17"/>
  <c r="R1067" i="17" s="1"/>
  <c r="N1068" i="17"/>
  <c r="R1068" i="17" s="1"/>
  <c r="N1069" i="17"/>
  <c r="R1069" i="17" s="1"/>
  <c r="N1070" i="17"/>
  <c r="R1070" i="17" s="1"/>
  <c r="N1071" i="17"/>
  <c r="R1071" i="17" s="1"/>
  <c r="N1072" i="17"/>
  <c r="R1072" i="17" s="1"/>
  <c r="N1073" i="17"/>
  <c r="R1073" i="17" s="1"/>
  <c r="N1074" i="17"/>
  <c r="R1074" i="17" s="1"/>
  <c r="N1075" i="17"/>
  <c r="R1075" i="17" s="1"/>
  <c r="N1076" i="17"/>
  <c r="R1076" i="17" s="1"/>
  <c r="N1077" i="17"/>
  <c r="R1077" i="17" s="1"/>
  <c r="N1078" i="17"/>
  <c r="R1078" i="17" s="1"/>
  <c r="N1079" i="17"/>
  <c r="R1079" i="17" s="1"/>
  <c r="N1080" i="17"/>
  <c r="R1080" i="17" s="1"/>
  <c r="N1081" i="17"/>
  <c r="R1081" i="17" s="1"/>
  <c r="N1082" i="17"/>
  <c r="R1082" i="17" s="1"/>
  <c r="N1083" i="17"/>
  <c r="R1083" i="17" s="1"/>
  <c r="N1084" i="17"/>
  <c r="R1084" i="17" s="1"/>
  <c r="N1085" i="17"/>
  <c r="R1085" i="17" s="1"/>
  <c r="N1086" i="17"/>
  <c r="R1086" i="17" s="1"/>
  <c r="N1087" i="17"/>
  <c r="R1087" i="17" s="1"/>
  <c r="N1088" i="17"/>
  <c r="R1088" i="17" s="1"/>
  <c r="N1089" i="17"/>
  <c r="R1089" i="17" s="1"/>
  <c r="N1090" i="17"/>
  <c r="R1090" i="17" s="1"/>
  <c r="N1091" i="17"/>
  <c r="R1091" i="17" s="1"/>
  <c r="N1092" i="17"/>
  <c r="R1092" i="17" s="1"/>
  <c r="N1093" i="17"/>
  <c r="R1093" i="17" s="1"/>
  <c r="N1094" i="17"/>
  <c r="R1094" i="17" s="1"/>
  <c r="N1095" i="17"/>
  <c r="R1095" i="17" s="1"/>
  <c r="N1096" i="17"/>
  <c r="R1096" i="17" s="1"/>
  <c r="N1097" i="17"/>
  <c r="R1097" i="17" s="1"/>
  <c r="N1098" i="17"/>
  <c r="R1098" i="17" s="1"/>
  <c r="N1099" i="17"/>
  <c r="N1100" i="17"/>
  <c r="R1100" i="17" s="1"/>
  <c r="N1101" i="17"/>
  <c r="R1101" i="17" s="1"/>
  <c r="N1102" i="17"/>
  <c r="R1102" i="17" s="1"/>
  <c r="N1103" i="17"/>
  <c r="R1103" i="17" s="1"/>
  <c r="N1104" i="17"/>
  <c r="R1104" i="17" s="1"/>
  <c r="N1105" i="17"/>
  <c r="R1105" i="17" s="1"/>
  <c r="N1106" i="17"/>
  <c r="R1106" i="17" s="1"/>
  <c r="N1107" i="17"/>
  <c r="R1107" i="17" s="1"/>
  <c r="N1108" i="17"/>
  <c r="R1108" i="17" s="1"/>
  <c r="N1109" i="17"/>
  <c r="R1109" i="17" s="1"/>
  <c r="N1110" i="17"/>
  <c r="R1110" i="17" s="1"/>
  <c r="N1111" i="17"/>
  <c r="R1111" i="17" s="1"/>
  <c r="N1112" i="17"/>
  <c r="R1112" i="17" s="1"/>
  <c r="N1113" i="17"/>
  <c r="R1113" i="17" s="1"/>
  <c r="N1114" i="17"/>
  <c r="R1114" i="17" s="1"/>
  <c r="N1115" i="17"/>
  <c r="R1115" i="17" s="1"/>
  <c r="N1116" i="17"/>
  <c r="R1116" i="17" s="1"/>
  <c r="N1117" i="17"/>
  <c r="R1117" i="17" s="1"/>
  <c r="N1118" i="17"/>
  <c r="R1118" i="17" s="1"/>
  <c r="N1119" i="17"/>
  <c r="R1119" i="17" s="1"/>
  <c r="N1120" i="17"/>
  <c r="R1120" i="17" s="1"/>
  <c r="N1121" i="17"/>
  <c r="R1121" i="17" s="1"/>
  <c r="N1122" i="17"/>
  <c r="R1122" i="17" s="1"/>
  <c r="N1123" i="17"/>
  <c r="R1123" i="17" s="1"/>
  <c r="N1124" i="17"/>
  <c r="R1124" i="17" s="1"/>
  <c r="N1125" i="17"/>
  <c r="R1125" i="17" s="1"/>
  <c r="N1126" i="17"/>
  <c r="R1126" i="17" s="1"/>
  <c r="N1127" i="17"/>
  <c r="R1127" i="17" s="1"/>
  <c r="N1128" i="17"/>
  <c r="R1128" i="17" s="1"/>
  <c r="N1129" i="17"/>
  <c r="R1129" i="17" s="1"/>
  <c r="N1130" i="17"/>
  <c r="R1130" i="17" s="1"/>
  <c r="N1131" i="17"/>
  <c r="R1131" i="17" s="1"/>
  <c r="N1132" i="17"/>
  <c r="R1132" i="17" s="1"/>
  <c r="N1133" i="17"/>
  <c r="R1133" i="17" s="1"/>
  <c r="N1134" i="17"/>
  <c r="R1134" i="17" s="1"/>
  <c r="N1135" i="17"/>
  <c r="R1135" i="17" s="1"/>
  <c r="N1136" i="17"/>
  <c r="R1136" i="17" s="1"/>
  <c r="N1137" i="17"/>
  <c r="R1137" i="17" s="1"/>
  <c r="N1138" i="17"/>
  <c r="R1138" i="17" s="1"/>
  <c r="N1139" i="17"/>
  <c r="R1139" i="17" s="1"/>
  <c r="N1140" i="17"/>
  <c r="R1140" i="17" s="1"/>
  <c r="N1141" i="17"/>
  <c r="R1141" i="17" s="1"/>
  <c r="N1142" i="17"/>
  <c r="R1142" i="17" s="1"/>
  <c r="N1143" i="17"/>
  <c r="R1143" i="17" s="1"/>
  <c r="N1144" i="17"/>
  <c r="R1144" i="17" s="1"/>
  <c r="N1145" i="17"/>
  <c r="R1145" i="17" s="1"/>
  <c r="N1146" i="17"/>
  <c r="R1146" i="17" s="1"/>
  <c r="N1147" i="17"/>
  <c r="R1147" i="17" s="1"/>
  <c r="N1148" i="17"/>
  <c r="R1148" i="17" s="1"/>
  <c r="N1149" i="17"/>
  <c r="R1149" i="17" s="1"/>
  <c r="N1150" i="17"/>
  <c r="R1150" i="17" s="1"/>
  <c r="N1151" i="17"/>
  <c r="R1151" i="17" s="1"/>
  <c r="N1152" i="17"/>
  <c r="R1152" i="17" s="1"/>
  <c r="N1153" i="17"/>
  <c r="R1153" i="17" s="1"/>
  <c r="N1154" i="17"/>
  <c r="R1154" i="17" s="1"/>
  <c r="N1155" i="17"/>
  <c r="R1155" i="17" s="1"/>
  <c r="N1156" i="17"/>
  <c r="R1156" i="17" s="1"/>
  <c r="N1157" i="17"/>
  <c r="R1157" i="17" s="1"/>
  <c r="N1158" i="17"/>
  <c r="R1158" i="17" s="1"/>
  <c r="N1159" i="17"/>
  <c r="R1159" i="17" s="1"/>
  <c r="N1160" i="17"/>
  <c r="R1160" i="17" s="1"/>
  <c r="N1161" i="17"/>
  <c r="R1161" i="17" s="1"/>
  <c r="N1162" i="17"/>
  <c r="R1162" i="17" s="1"/>
  <c r="N1163" i="17"/>
  <c r="R1163" i="17" s="1"/>
  <c r="N1164" i="17"/>
  <c r="R1164" i="17" s="1"/>
  <c r="N1165" i="17"/>
  <c r="N1166" i="17"/>
  <c r="R1166" i="17" s="1"/>
  <c r="N1167" i="17"/>
  <c r="R1167" i="17" s="1"/>
  <c r="N1168" i="17"/>
  <c r="R1168" i="17" s="1"/>
  <c r="N1169" i="17"/>
  <c r="R1169" i="17" s="1"/>
  <c r="N1170" i="17"/>
  <c r="R1170" i="17" s="1"/>
  <c r="N1171" i="17"/>
  <c r="R1171" i="17" s="1"/>
  <c r="N1172" i="17"/>
  <c r="R1172" i="17" s="1"/>
  <c r="N1173" i="17"/>
  <c r="R1173" i="17" s="1"/>
  <c r="N1174" i="17"/>
  <c r="R1174" i="17" s="1"/>
  <c r="N1175" i="17"/>
  <c r="R1175" i="17" s="1"/>
  <c r="N1176" i="17"/>
  <c r="R1176" i="17" s="1"/>
  <c r="N1177" i="17"/>
  <c r="R1177" i="17" s="1"/>
  <c r="N1178" i="17"/>
  <c r="R1178" i="17" s="1"/>
  <c r="N1179" i="17"/>
  <c r="R1179" i="17" s="1"/>
  <c r="N1180" i="17"/>
  <c r="R1180" i="17" s="1"/>
  <c r="N1181" i="17"/>
  <c r="R1181" i="17" s="1"/>
  <c r="N1182" i="17"/>
  <c r="R1182" i="17" s="1"/>
  <c r="N1183" i="17"/>
  <c r="R1183" i="17" s="1"/>
  <c r="N1184" i="17"/>
  <c r="R1184" i="17" s="1"/>
  <c r="N1185" i="17"/>
  <c r="R1185" i="17" s="1"/>
  <c r="N1186" i="17"/>
  <c r="R1186" i="17" s="1"/>
  <c r="N1187" i="17"/>
  <c r="R1187" i="17" s="1"/>
  <c r="N1188" i="17"/>
  <c r="R1188" i="17" s="1"/>
  <c r="N1189" i="17"/>
  <c r="R1189" i="17" s="1"/>
  <c r="N1190" i="17"/>
  <c r="R1190" i="17" s="1"/>
  <c r="N1191" i="17"/>
  <c r="R1191" i="17" s="1"/>
  <c r="N1192" i="17"/>
  <c r="R1192" i="17" s="1"/>
  <c r="N1193" i="17"/>
  <c r="R1193" i="17" s="1"/>
  <c r="N1194" i="17"/>
  <c r="R1194" i="17" s="1"/>
  <c r="N1195" i="17"/>
  <c r="R1195" i="17" s="1"/>
  <c r="N1196" i="17"/>
  <c r="R1196" i="17" s="1"/>
  <c r="N1197" i="17"/>
  <c r="R1197" i="17" s="1"/>
  <c r="N1198" i="17"/>
  <c r="R1198" i="17" s="1"/>
  <c r="N1199" i="17"/>
  <c r="R1199" i="17" s="1"/>
  <c r="N1200" i="17"/>
  <c r="R1200" i="17" s="1"/>
  <c r="N1201" i="17"/>
  <c r="R1201" i="17" s="1"/>
  <c r="N1202" i="17"/>
  <c r="R1202" i="17" s="1"/>
  <c r="N1203" i="17"/>
  <c r="R1203" i="17" s="1"/>
  <c r="N1204" i="17"/>
  <c r="R1204" i="17" s="1"/>
  <c r="N1205" i="17"/>
  <c r="R1205" i="17" s="1"/>
  <c r="N1206" i="17"/>
  <c r="R1206" i="17" s="1"/>
  <c r="N1207" i="17"/>
  <c r="R1207" i="17" s="1"/>
  <c r="N1208" i="17"/>
  <c r="R1208" i="17" s="1"/>
  <c r="N1209" i="17"/>
  <c r="R1209" i="17" s="1"/>
  <c r="N1210" i="17"/>
  <c r="R1210" i="17" s="1"/>
  <c r="N1211" i="17"/>
  <c r="R1211" i="17" s="1"/>
  <c r="N1212" i="17"/>
  <c r="R1212" i="17" s="1"/>
  <c r="N1213" i="17"/>
  <c r="R1213" i="17" s="1"/>
  <c r="N1214" i="17"/>
  <c r="R1214" i="17" s="1"/>
  <c r="N1215" i="17"/>
  <c r="R1215" i="17" s="1"/>
  <c r="N1216" i="17"/>
  <c r="R1216" i="17" s="1"/>
  <c r="N1217" i="17"/>
  <c r="R1217" i="17" s="1"/>
  <c r="N1218" i="17"/>
  <c r="R1218" i="17" s="1"/>
  <c r="N1219" i="17"/>
  <c r="R1219" i="17" s="1"/>
  <c r="N1220" i="17"/>
  <c r="R1220" i="17" s="1"/>
  <c r="N1221" i="17"/>
  <c r="R1221" i="17" s="1"/>
  <c r="N1222" i="17"/>
  <c r="R1222" i="17" s="1"/>
  <c r="N1223" i="17"/>
  <c r="R1223" i="17" s="1"/>
  <c r="N1224" i="17"/>
  <c r="R1224" i="17" s="1"/>
  <c r="N1225" i="17"/>
  <c r="R1225" i="17" s="1"/>
  <c r="N1226" i="17"/>
  <c r="R1226" i="17" s="1"/>
  <c r="N1227" i="17"/>
  <c r="R1227" i="17" s="1"/>
  <c r="N1228" i="17"/>
  <c r="R1228" i="17" s="1"/>
  <c r="N1229" i="17"/>
  <c r="R1229" i="17" s="1"/>
  <c r="N1230" i="17"/>
  <c r="N1231" i="17"/>
  <c r="R1231" i="17" s="1"/>
  <c r="N1232" i="17"/>
  <c r="R1232" i="17" s="1"/>
  <c r="N1233" i="17"/>
  <c r="R1233" i="17" s="1"/>
  <c r="N1234" i="17"/>
  <c r="R1234" i="17" s="1"/>
  <c r="N1235" i="17"/>
  <c r="R1235" i="17" s="1"/>
  <c r="N1236" i="17"/>
  <c r="R1236" i="17" s="1"/>
  <c r="N1237" i="17"/>
  <c r="R1237" i="17" s="1"/>
  <c r="N1238" i="17"/>
  <c r="R1238" i="17" s="1"/>
  <c r="N1239" i="17"/>
  <c r="R1239" i="17" s="1"/>
  <c r="N1240" i="17"/>
  <c r="R1240" i="17" s="1"/>
  <c r="N1241" i="17"/>
  <c r="R1241" i="17" s="1"/>
  <c r="N1242" i="17"/>
  <c r="R1242" i="17" s="1"/>
  <c r="N1243" i="17"/>
  <c r="R1243" i="17" s="1"/>
  <c r="N1244" i="17"/>
  <c r="R1244" i="17" s="1"/>
  <c r="N1245" i="17"/>
  <c r="R1245" i="17" s="1"/>
  <c r="N1246" i="17"/>
  <c r="R1246" i="17" s="1"/>
  <c r="N1247" i="17"/>
  <c r="R1247" i="17" s="1"/>
  <c r="N1248" i="17"/>
  <c r="R1248" i="17" s="1"/>
  <c r="N1249" i="17"/>
  <c r="R1249" i="17" s="1"/>
  <c r="N1250" i="17"/>
  <c r="R1250" i="17" s="1"/>
  <c r="N1251" i="17"/>
  <c r="R1251" i="17" s="1"/>
  <c r="N1252" i="17"/>
  <c r="R1252" i="17" s="1"/>
  <c r="N1253" i="17"/>
  <c r="R1253" i="17" s="1"/>
  <c r="N1254" i="17"/>
  <c r="R1254" i="17" s="1"/>
  <c r="N1255" i="17"/>
  <c r="R1255" i="17" s="1"/>
  <c r="N1256" i="17"/>
  <c r="R1256" i="17" s="1"/>
  <c r="N1257" i="17"/>
  <c r="R1257" i="17" s="1"/>
  <c r="N1258" i="17"/>
  <c r="R1258" i="17" s="1"/>
  <c r="N1259" i="17"/>
  <c r="R1259" i="17" s="1"/>
  <c r="N1260" i="17"/>
  <c r="R1260" i="17" s="1"/>
  <c r="N1261" i="17"/>
  <c r="R1261" i="17" s="1"/>
  <c r="N1262" i="17"/>
  <c r="R1262" i="17" s="1"/>
  <c r="N1263" i="17"/>
  <c r="R1263" i="17" s="1"/>
  <c r="N1264" i="17"/>
  <c r="R1264" i="17" s="1"/>
  <c r="N1265" i="17"/>
  <c r="R1265" i="17" s="1"/>
  <c r="N1266" i="17"/>
  <c r="R1266" i="17" s="1"/>
  <c r="N1267" i="17"/>
  <c r="R1267" i="17" s="1"/>
  <c r="N1268" i="17"/>
  <c r="R1268" i="17" s="1"/>
  <c r="N1269" i="17"/>
  <c r="R1269" i="17" s="1"/>
  <c r="N1270" i="17"/>
  <c r="R1270" i="17" s="1"/>
  <c r="N1271" i="17"/>
  <c r="R1271" i="17" s="1"/>
  <c r="N1272" i="17"/>
  <c r="R1272" i="17" s="1"/>
  <c r="N1273" i="17"/>
  <c r="R1273" i="17" s="1"/>
  <c r="N1274" i="17"/>
  <c r="R1274" i="17" s="1"/>
  <c r="N1275" i="17"/>
  <c r="R1275" i="17" s="1"/>
  <c r="N1276" i="17"/>
  <c r="R1276" i="17" s="1"/>
  <c r="N1277" i="17"/>
  <c r="R1277" i="17" s="1"/>
  <c r="N1278" i="17"/>
  <c r="R1278" i="17" s="1"/>
  <c r="N1279" i="17"/>
  <c r="R1279" i="17" s="1"/>
  <c r="N1280" i="17"/>
  <c r="R1280" i="17" s="1"/>
  <c r="N1281" i="17"/>
  <c r="R1281" i="17" s="1"/>
  <c r="N1282" i="17"/>
  <c r="R1282" i="17" s="1"/>
  <c r="N1283" i="17"/>
  <c r="R1283" i="17" s="1"/>
  <c r="N1284" i="17"/>
  <c r="R1284" i="17" s="1"/>
  <c r="N1285" i="17"/>
  <c r="R1285" i="17" s="1"/>
  <c r="N1286" i="17"/>
  <c r="R1286" i="17" s="1"/>
  <c r="N1287" i="17"/>
  <c r="N1288" i="17"/>
  <c r="R1288" i="17" s="1"/>
  <c r="N1289" i="17"/>
  <c r="R1289" i="17" s="1"/>
  <c r="N1290" i="17"/>
  <c r="R1290" i="17" s="1"/>
  <c r="N1291" i="17"/>
  <c r="R1291" i="17" s="1"/>
  <c r="N1292" i="17"/>
  <c r="R1292" i="17" s="1"/>
  <c r="N1293" i="17"/>
  <c r="R1293" i="17" s="1"/>
  <c r="N1294" i="17"/>
  <c r="R1294" i="17" s="1"/>
  <c r="N1295" i="17"/>
  <c r="R1295" i="17" s="1"/>
  <c r="N1296" i="17"/>
  <c r="R1296" i="17" s="1"/>
  <c r="N1297" i="17"/>
  <c r="R1297" i="17" s="1"/>
  <c r="N1298" i="17"/>
  <c r="R1298" i="17" s="1"/>
  <c r="N1299" i="17"/>
  <c r="R1299" i="17" s="1"/>
  <c r="N1300" i="17"/>
  <c r="R1300" i="17" s="1"/>
  <c r="N1301" i="17"/>
  <c r="R1301" i="17" s="1"/>
  <c r="N1302" i="17"/>
  <c r="R1302" i="17" s="1"/>
  <c r="N1303" i="17"/>
  <c r="R1303" i="17" s="1"/>
  <c r="N1304" i="17"/>
  <c r="R1304" i="17" s="1"/>
  <c r="N1305" i="17"/>
  <c r="R1305" i="17" s="1"/>
  <c r="N1306" i="17"/>
  <c r="R1306" i="17" s="1"/>
  <c r="N1307" i="17"/>
  <c r="R1307" i="17" s="1"/>
  <c r="N1308" i="17"/>
  <c r="R1308" i="17" s="1"/>
  <c r="N1309" i="17"/>
  <c r="R1309" i="17" s="1"/>
  <c r="N1310" i="17"/>
  <c r="R1310" i="17" s="1"/>
  <c r="N1311" i="17"/>
  <c r="R1311" i="17" s="1"/>
  <c r="N1312" i="17"/>
  <c r="R1312" i="17" s="1"/>
  <c r="N1313" i="17"/>
  <c r="R1313" i="17" s="1"/>
  <c r="N1314" i="17"/>
  <c r="R1314" i="17" s="1"/>
  <c r="N1315" i="17"/>
  <c r="R1315" i="17" s="1"/>
  <c r="N1316" i="17"/>
  <c r="R1316" i="17" s="1"/>
  <c r="N1317" i="17"/>
  <c r="R1317" i="17" s="1"/>
  <c r="N1318" i="17"/>
  <c r="R1318" i="17" s="1"/>
  <c r="N1319" i="17"/>
  <c r="R1319" i="17" s="1"/>
  <c r="N1320" i="17"/>
  <c r="R1320" i="17" s="1"/>
  <c r="N1321" i="17"/>
  <c r="R1321" i="17" s="1"/>
  <c r="N1322" i="17"/>
  <c r="R1322" i="17" s="1"/>
  <c r="N1323" i="17"/>
  <c r="R1323" i="17" s="1"/>
  <c r="N1324" i="17"/>
  <c r="R1324" i="17" s="1"/>
  <c r="N1325" i="17"/>
  <c r="R1325" i="17" s="1"/>
  <c r="N1326" i="17"/>
  <c r="R1326" i="17" s="1"/>
  <c r="N1327" i="17"/>
  <c r="R1327" i="17" s="1"/>
  <c r="N1328" i="17"/>
  <c r="R1328" i="17" s="1"/>
  <c r="N1329" i="17"/>
  <c r="R1329" i="17" s="1"/>
  <c r="N1330" i="17"/>
  <c r="R1330" i="17" s="1"/>
  <c r="N1331" i="17"/>
  <c r="R1331" i="17" s="1"/>
  <c r="N1332" i="17"/>
  <c r="R1332" i="17" s="1"/>
  <c r="N1333" i="17"/>
  <c r="R1333" i="17" s="1"/>
  <c r="N1334" i="17"/>
  <c r="R1334" i="17" s="1"/>
  <c r="N1335" i="17"/>
  <c r="R1335" i="17" s="1"/>
  <c r="N1336" i="17"/>
  <c r="R1336" i="17" s="1"/>
  <c r="N1337" i="17"/>
  <c r="R1337" i="17" s="1"/>
  <c r="N1338" i="17"/>
  <c r="R1338" i="17" s="1"/>
  <c r="N1339" i="17"/>
  <c r="R1339" i="17" s="1"/>
  <c r="N1340" i="17"/>
  <c r="R1340" i="17" s="1"/>
  <c r="N1341" i="17"/>
  <c r="R1341" i="17" s="1"/>
  <c r="N1342" i="17"/>
  <c r="N1343" i="17"/>
  <c r="R1343" i="17" s="1"/>
  <c r="N1344" i="17"/>
  <c r="R1344" i="17" s="1"/>
  <c r="N1345" i="17"/>
  <c r="R1345" i="17" s="1"/>
  <c r="N1346" i="17"/>
  <c r="R1346" i="17" s="1"/>
  <c r="N1347" i="17"/>
  <c r="R1347" i="17" s="1"/>
  <c r="N1348" i="17"/>
  <c r="R1348" i="17" s="1"/>
  <c r="N1349" i="17"/>
  <c r="R1349" i="17" s="1"/>
  <c r="N1350" i="17"/>
  <c r="R1350" i="17" s="1"/>
  <c r="N1351" i="17"/>
  <c r="R1351" i="17" s="1"/>
  <c r="N1352" i="17"/>
  <c r="R1352" i="17" s="1"/>
  <c r="N1353" i="17"/>
  <c r="R1353" i="17" s="1"/>
  <c r="N1354" i="17"/>
  <c r="R1354" i="17" s="1"/>
  <c r="N1355" i="17"/>
  <c r="R1355" i="17" s="1"/>
  <c r="N1356" i="17"/>
  <c r="R1356" i="17" s="1"/>
  <c r="N1357" i="17"/>
  <c r="R1357" i="17" s="1"/>
  <c r="N1358" i="17"/>
  <c r="R1358" i="17" s="1"/>
  <c r="N1359" i="17"/>
  <c r="R1359" i="17" s="1"/>
  <c r="N1360" i="17"/>
  <c r="R1360" i="17" s="1"/>
  <c r="N1361" i="17"/>
  <c r="R1361" i="17" s="1"/>
  <c r="N1362" i="17"/>
  <c r="R1362" i="17" s="1"/>
  <c r="N1363" i="17"/>
  <c r="R1363" i="17" s="1"/>
  <c r="N1364" i="17"/>
  <c r="R1364" i="17" s="1"/>
  <c r="N1365" i="17"/>
  <c r="R1365" i="17" s="1"/>
  <c r="N1366" i="17"/>
  <c r="R1366" i="17" s="1"/>
  <c r="N1367" i="17"/>
  <c r="R1367" i="17" s="1"/>
  <c r="N1368" i="17"/>
  <c r="R1368" i="17" s="1"/>
  <c r="N1369" i="17"/>
  <c r="R1369" i="17" s="1"/>
  <c r="N1370" i="17"/>
  <c r="R1370" i="17" s="1"/>
  <c r="N1371" i="17"/>
  <c r="R1371" i="17" s="1"/>
  <c r="N1372" i="17"/>
  <c r="R1372" i="17" s="1"/>
  <c r="N1373" i="17"/>
  <c r="R1373" i="17" s="1"/>
  <c r="N1374" i="17"/>
  <c r="R1374" i="17" s="1"/>
  <c r="N1375" i="17"/>
  <c r="R1375" i="17" s="1"/>
  <c r="N1376" i="17"/>
  <c r="R1376" i="17" s="1"/>
  <c r="N1377" i="17"/>
  <c r="R1377" i="17" s="1"/>
  <c r="N1378" i="17"/>
  <c r="R1378" i="17" s="1"/>
  <c r="N1379" i="17"/>
  <c r="R1379" i="17" s="1"/>
  <c r="N1380" i="17"/>
  <c r="R1380" i="17" s="1"/>
  <c r="N1381" i="17"/>
  <c r="R1381" i="17" s="1"/>
  <c r="N1382" i="17"/>
  <c r="R1382" i="17" s="1"/>
  <c r="N1383" i="17"/>
  <c r="R1383" i="17" s="1"/>
  <c r="N1384" i="17"/>
  <c r="R1384" i="17" s="1"/>
  <c r="N1385" i="17"/>
  <c r="R1385" i="17" s="1"/>
  <c r="N1386" i="17"/>
  <c r="R1386" i="17" s="1"/>
  <c r="N1387" i="17"/>
  <c r="R1387" i="17" s="1"/>
  <c r="N1388" i="17"/>
  <c r="R1388" i="17" s="1"/>
  <c r="N1389" i="17"/>
  <c r="R1389" i="17" s="1"/>
  <c r="N1390" i="17"/>
  <c r="R1390" i="17" s="1"/>
  <c r="N1391" i="17"/>
  <c r="R1391" i="17" s="1"/>
  <c r="N1392" i="17"/>
  <c r="R1392" i="17" s="1"/>
  <c r="N1393" i="17"/>
  <c r="R1393" i="17" s="1"/>
  <c r="N1394" i="17"/>
  <c r="R1394" i="17" s="1"/>
  <c r="N1395" i="17"/>
  <c r="R1395" i="17" s="1"/>
  <c r="N1396" i="17"/>
  <c r="R1396" i="17" s="1"/>
  <c r="N1397" i="17"/>
  <c r="R1397" i="17" s="1"/>
  <c r="N1398" i="17"/>
  <c r="R1398" i="17" s="1"/>
  <c r="N1399" i="17"/>
  <c r="R1399" i="17" s="1"/>
  <c r="N1400" i="17"/>
  <c r="N1401" i="17"/>
  <c r="R1401" i="17" s="1"/>
  <c r="N1402" i="17"/>
  <c r="R1402" i="17" s="1"/>
  <c r="N1403" i="17"/>
  <c r="R1403" i="17" s="1"/>
  <c r="N1404" i="17"/>
  <c r="R1404" i="17" s="1"/>
  <c r="N1405" i="17"/>
  <c r="R1405" i="17" s="1"/>
  <c r="N1406" i="17"/>
  <c r="R1406" i="17" s="1"/>
  <c r="N1407" i="17"/>
  <c r="R1407" i="17" s="1"/>
  <c r="N1408" i="17"/>
  <c r="R1408" i="17" s="1"/>
  <c r="N1409" i="17"/>
  <c r="R1409" i="17" s="1"/>
  <c r="N1410" i="17"/>
  <c r="R1410" i="17" s="1"/>
  <c r="N1411" i="17"/>
  <c r="R1411" i="17" s="1"/>
  <c r="N1412" i="17"/>
  <c r="R1412" i="17" s="1"/>
  <c r="N1413" i="17"/>
  <c r="R1413" i="17" s="1"/>
  <c r="N1414" i="17"/>
  <c r="R1414" i="17" s="1"/>
  <c r="N1415" i="17"/>
  <c r="R1415" i="17" s="1"/>
  <c r="N1416" i="17"/>
  <c r="R1416" i="17" s="1"/>
  <c r="N1417" i="17"/>
  <c r="R1417" i="17" s="1"/>
  <c r="N1418" i="17"/>
  <c r="R1418" i="17" s="1"/>
  <c r="N1419" i="17"/>
  <c r="R1419" i="17" s="1"/>
  <c r="N1420" i="17"/>
  <c r="R1420" i="17" s="1"/>
  <c r="N1421" i="17"/>
  <c r="R1421" i="17" s="1"/>
  <c r="N1422" i="17"/>
  <c r="R1422" i="17" s="1"/>
  <c r="N1423" i="17"/>
  <c r="R1423" i="17" s="1"/>
  <c r="N1424" i="17"/>
  <c r="R1424" i="17" s="1"/>
  <c r="N1425" i="17"/>
  <c r="R1425" i="17" s="1"/>
  <c r="N1426" i="17"/>
  <c r="R1426" i="17" s="1"/>
  <c r="N1427" i="17"/>
  <c r="R1427" i="17" s="1"/>
  <c r="N1428" i="17"/>
  <c r="R1428" i="17" s="1"/>
  <c r="N1429" i="17"/>
  <c r="R1429" i="17" s="1"/>
  <c r="N1430" i="17"/>
  <c r="R1430" i="17" s="1"/>
  <c r="N1431" i="17"/>
  <c r="R1431" i="17" s="1"/>
  <c r="N1432" i="17"/>
  <c r="R1432" i="17" s="1"/>
  <c r="N1433" i="17"/>
  <c r="R1433" i="17" s="1"/>
  <c r="N1434" i="17"/>
  <c r="R1434" i="17" s="1"/>
  <c r="N1435" i="17"/>
  <c r="R1435" i="17" s="1"/>
  <c r="N1436" i="17"/>
  <c r="R1436" i="17" s="1"/>
  <c r="N1437" i="17"/>
  <c r="R1437" i="17" s="1"/>
  <c r="N1438" i="17"/>
  <c r="R1438" i="17" s="1"/>
  <c r="N1439" i="17"/>
  <c r="R1439" i="17" s="1"/>
  <c r="N1440" i="17"/>
  <c r="R1440" i="17" s="1"/>
  <c r="N1441" i="17"/>
  <c r="R1441" i="17" s="1"/>
  <c r="N1442" i="17"/>
  <c r="R1442" i="17" s="1"/>
  <c r="N1443" i="17"/>
  <c r="R1443" i="17" s="1"/>
  <c r="N1444" i="17"/>
  <c r="R1444" i="17" s="1"/>
  <c r="N1445" i="17"/>
  <c r="R1445" i="17" s="1"/>
  <c r="N1446" i="17"/>
  <c r="R1446" i="17" s="1"/>
  <c r="N1447" i="17"/>
  <c r="R1447" i="17" s="1"/>
  <c r="N1448" i="17"/>
  <c r="R1448" i="17" s="1"/>
  <c r="N1449" i="17"/>
  <c r="R1449" i="17" s="1"/>
  <c r="N1450" i="17"/>
  <c r="R1450" i="17" s="1"/>
  <c r="N1451" i="17"/>
  <c r="R1451" i="17" s="1"/>
  <c r="N1452" i="17"/>
  <c r="R1452" i="17" s="1"/>
  <c r="N1453" i="17"/>
  <c r="R1453" i="17" s="1"/>
  <c r="N1454" i="17"/>
  <c r="R1454" i="17" s="1"/>
  <c r="N1455" i="17"/>
  <c r="R1455" i="17" s="1"/>
  <c r="N1456" i="17"/>
  <c r="R1456" i="17" s="1"/>
  <c r="N1457" i="17"/>
  <c r="R1457" i="17" s="1"/>
  <c r="N1458" i="17"/>
  <c r="R1458" i="17" s="1"/>
  <c r="N1459" i="17"/>
  <c r="R1459" i="17" s="1"/>
  <c r="N1460" i="17"/>
  <c r="R1460" i="17" s="1"/>
  <c r="N1461" i="17"/>
  <c r="N1462" i="17"/>
  <c r="R1462" i="17" s="1"/>
  <c r="N1463" i="17"/>
  <c r="R1463" i="17" s="1"/>
  <c r="N1464" i="17"/>
  <c r="R1464" i="17" s="1"/>
  <c r="N1465" i="17"/>
  <c r="R1465" i="17" s="1"/>
  <c r="N1466" i="17"/>
  <c r="R1466" i="17" s="1"/>
  <c r="N1467" i="17"/>
  <c r="R1467" i="17" s="1"/>
  <c r="N1468" i="17"/>
  <c r="R1468" i="17" s="1"/>
  <c r="N1469" i="17"/>
  <c r="R1469" i="17" s="1"/>
  <c r="N1470" i="17"/>
  <c r="R1470" i="17" s="1"/>
  <c r="N1471" i="17"/>
  <c r="R1471" i="17" s="1"/>
  <c r="N1472" i="17"/>
  <c r="R1472" i="17" s="1"/>
  <c r="N1473" i="17"/>
  <c r="R1473" i="17" s="1"/>
  <c r="N1474" i="17"/>
  <c r="R1474" i="17" s="1"/>
  <c r="N1475" i="17"/>
  <c r="R1475" i="17" s="1"/>
  <c r="N1476" i="17"/>
  <c r="R1476" i="17" s="1"/>
  <c r="N1477" i="17"/>
  <c r="R1477" i="17" s="1"/>
  <c r="N1478" i="17"/>
  <c r="R1478" i="17" s="1"/>
  <c r="N1479" i="17"/>
  <c r="R1479" i="17" s="1"/>
  <c r="N1480" i="17"/>
  <c r="R1480" i="17" s="1"/>
  <c r="N1481" i="17"/>
  <c r="R1481" i="17" s="1"/>
  <c r="N1482" i="17"/>
  <c r="R1482" i="17" s="1"/>
  <c r="N1483" i="17"/>
  <c r="R1483" i="17" s="1"/>
  <c r="N1484" i="17"/>
  <c r="R1484" i="17" s="1"/>
  <c r="N1485" i="17"/>
  <c r="R1485" i="17" s="1"/>
  <c r="N1486" i="17"/>
  <c r="R1486" i="17" s="1"/>
  <c r="N1487" i="17"/>
  <c r="R1487" i="17" s="1"/>
  <c r="N1488" i="17"/>
  <c r="R1488" i="17" s="1"/>
  <c r="N1489" i="17"/>
  <c r="R1489" i="17" s="1"/>
  <c r="N1490" i="17"/>
  <c r="R1490" i="17" s="1"/>
  <c r="N1491" i="17"/>
  <c r="R1491" i="17" s="1"/>
  <c r="N1492" i="17"/>
  <c r="R1492" i="17" s="1"/>
  <c r="N1493" i="17"/>
  <c r="R1493" i="17" s="1"/>
  <c r="N1494" i="17"/>
  <c r="R1494" i="17" s="1"/>
  <c r="N1495" i="17"/>
  <c r="R1495" i="17" s="1"/>
  <c r="N1496" i="17"/>
  <c r="R1496" i="17" s="1"/>
  <c r="N1497" i="17"/>
  <c r="R1497" i="17" s="1"/>
  <c r="N1498" i="17"/>
  <c r="R1498" i="17" s="1"/>
  <c r="N1499" i="17"/>
  <c r="R1499" i="17" s="1"/>
  <c r="N1500" i="17"/>
  <c r="R1500" i="17" s="1"/>
  <c r="N1501" i="17"/>
  <c r="R1501" i="17" s="1"/>
  <c r="N1502" i="17"/>
  <c r="R1502" i="17" s="1"/>
  <c r="N1503" i="17"/>
  <c r="R1503" i="17" s="1"/>
  <c r="N1504" i="17"/>
  <c r="R1504" i="17" s="1"/>
  <c r="N1505" i="17"/>
  <c r="R1505" i="17" s="1"/>
  <c r="N1506" i="17"/>
  <c r="R1506" i="17" s="1"/>
  <c r="N1507" i="17"/>
  <c r="R1507" i="17" s="1"/>
  <c r="N1508" i="17"/>
  <c r="R1508" i="17" s="1"/>
  <c r="N1509" i="17"/>
  <c r="R1509" i="17" s="1"/>
  <c r="N1510" i="17"/>
  <c r="R1510" i="17" s="1"/>
  <c r="N1511" i="17"/>
  <c r="R1511" i="17" s="1"/>
  <c r="N1512" i="17"/>
  <c r="R1512" i="17" s="1"/>
  <c r="N1513" i="17"/>
  <c r="R1513" i="17" s="1"/>
  <c r="N1514" i="17"/>
  <c r="R1514" i="17" s="1"/>
  <c r="N1515" i="17"/>
  <c r="R1515" i="17" s="1"/>
  <c r="N1516" i="17"/>
  <c r="R1516" i="17" s="1"/>
  <c r="N1517" i="17"/>
  <c r="R1517" i="17" s="1"/>
  <c r="N1518" i="17"/>
  <c r="R1518" i="17" s="1"/>
  <c r="N1519" i="17"/>
  <c r="R1519" i="17" s="1"/>
  <c r="N1520" i="17"/>
  <c r="R1520" i="17" s="1"/>
  <c r="N1521" i="17"/>
  <c r="R1521" i="17" s="1"/>
  <c r="N1522" i="17"/>
  <c r="R1522" i="17" s="1"/>
  <c r="N1523" i="17"/>
  <c r="N1524" i="17"/>
  <c r="R1524" i="17" s="1"/>
  <c r="N1525" i="17"/>
  <c r="R1525" i="17" s="1"/>
  <c r="N1526" i="17"/>
  <c r="R1526" i="17" s="1"/>
  <c r="N1527" i="17"/>
  <c r="R1527" i="17" s="1"/>
  <c r="N1528" i="17"/>
  <c r="R1528" i="17" s="1"/>
  <c r="N1529" i="17"/>
  <c r="R1529" i="17" s="1"/>
  <c r="N1530" i="17"/>
  <c r="R1530" i="17" s="1"/>
  <c r="N1531" i="17"/>
  <c r="R1531" i="17" s="1"/>
  <c r="N1532" i="17"/>
  <c r="R1532" i="17" s="1"/>
  <c r="N1533" i="17"/>
  <c r="R1533" i="17" s="1"/>
  <c r="N1534" i="17"/>
  <c r="R1534" i="17" s="1"/>
  <c r="N1535" i="17"/>
  <c r="R1535" i="17" s="1"/>
  <c r="N1536" i="17"/>
  <c r="R1536" i="17" s="1"/>
  <c r="N1537" i="17"/>
  <c r="R1537" i="17" s="1"/>
  <c r="N1538" i="17"/>
  <c r="R1538" i="17" s="1"/>
  <c r="N1539" i="17"/>
  <c r="R1539" i="17" s="1"/>
  <c r="N1540" i="17"/>
  <c r="R1540" i="17" s="1"/>
  <c r="N1541" i="17"/>
  <c r="R1541" i="17" s="1"/>
  <c r="N1542" i="17"/>
  <c r="R1542" i="17" s="1"/>
  <c r="N1543" i="17"/>
  <c r="R1543" i="17" s="1"/>
  <c r="N1544" i="17"/>
  <c r="R1544" i="17" s="1"/>
  <c r="N1545" i="17"/>
  <c r="R1545" i="17" s="1"/>
  <c r="N1546" i="17"/>
  <c r="R1546" i="17" s="1"/>
  <c r="N1547" i="17"/>
  <c r="R1547" i="17" s="1"/>
  <c r="N1548" i="17"/>
  <c r="R1548" i="17" s="1"/>
  <c r="N1549" i="17"/>
  <c r="R1549" i="17" s="1"/>
  <c r="N1550" i="17"/>
  <c r="R1550" i="17" s="1"/>
  <c r="N1551" i="17"/>
  <c r="R1551" i="17" s="1"/>
  <c r="N1552" i="17"/>
  <c r="R1552" i="17" s="1"/>
  <c r="N1553" i="17"/>
  <c r="R1553" i="17" s="1"/>
  <c r="N1554" i="17"/>
  <c r="R1554" i="17" s="1"/>
  <c r="N1555" i="17"/>
  <c r="R1555" i="17" s="1"/>
  <c r="N1556" i="17"/>
  <c r="R1556" i="17" s="1"/>
  <c r="N1557" i="17"/>
  <c r="R1557" i="17" s="1"/>
  <c r="N1558" i="17"/>
  <c r="R1558" i="17" s="1"/>
  <c r="N1559" i="17"/>
  <c r="R1559" i="17" s="1"/>
  <c r="N1560" i="17"/>
  <c r="R1560" i="17" s="1"/>
  <c r="N1561" i="17"/>
  <c r="R1561" i="17" s="1"/>
  <c r="N1562" i="17"/>
  <c r="R1562" i="17" s="1"/>
  <c r="N1563" i="17"/>
  <c r="R1563" i="17" s="1"/>
  <c r="N1564" i="17"/>
  <c r="R1564" i="17" s="1"/>
  <c r="N1565" i="17"/>
  <c r="R1565" i="17" s="1"/>
  <c r="N1566" i="17"/>
  <c r="R1566" i="17" s="1"/>
  <c r="N1567" i="17"/>
  <c r="R1567" i="17" s="1"/>
  <c r="N1568" i="17"/>
  <c r="R1568" i="17" s="1"/>
  <c r="N1569" i="17"/>
  <c r="R1569" i="17" s="1"/>
  <c r="N1570" i="17"/>
  <c r="R1570" i="17" s="1"/>
  <c r="N1571" i="17"/>
  <c r="R1571" i="17" s="1"/>
  <c r="N1572" i="17"/>
  <c r="R1572" i="17" s="1"/>
  <c r="N1573" i="17"/>
  <c r="R1573" i="17" s="1"/>
  <c r="N1574" i="17"/>
  <c r="R1574" i="17" s="1"/>
  <c r="N1575" i="17"/>
  <c r="R1575" i="17" s="1"/>
  <c r="N1576" i="17"/>
  <c r="R1576" i="17" s="1"/>
  <c r="N1577" i="17"/>
  <c r="R1577" i="17" s="1"/>
  <c r="N1578" i="17"/>
  <c r="R1578" i="17" s="1"/>
  <c r="N1579" i="17"/>
  <c r="R1579" i="17" s="1"/>
  <c r="N1580" i="17"/>
  <c r="R1580" i="17" s="1"/>
  <c r="N1581" i="17"/>
  <c r="N1582" i="17"/>
  <c r="R1582" i="17" s="1"/>
  <c r="N1583" i="17"/>
  <c r="R1583" i="17" s="1"/>
  <c r="N1584" i="17"/>
  <c r="R1584" i="17" s="1"/>
  <c r="N1585" i="17"/>
  <c r="R1585" i="17" s="1"/>
  <c r="N1586" i="17"/>
  <c r="R1586" i="17" s="1"/>
  <c r="N1587" i="17"/>
  <c r="R1587" i="17" s="1"/>
  <c r="N1588" i="17"/>
  <c r="R1588" i="17" s="1"/>
  <c r="N1589" i="17"/>
  <c r="R1589" i="17" s="1"/>
  <c r="N1590" i="17"/>
  <c r="R1590" i="17" s="1"/>
  <c r="N1591" i="17"/>
  <c r="R1591" i="17" s="1"/>
  <c r="N1592" i="17"/>
  <c r="R1592" i="17" s="1"/>
  <c r="N1593" i="17"/>
  <c r="R1593" i="17" s="1"/>
  <c r="N1594" i="17"/>
  <c r="R1594" i="17" s="1"/>
  <c r="N1595" i="17"/>
  <c r="R1595" i="17" s="1"/>
  <c r="N1596" i="17"/>
  <c r="R1596" i="17" s="1"/>
  <c r="N1597" i="17"/>
  <c r="R1597" i="17" s="1"/>
  <c r="N1598" i="17"/>
  <c r="R1598" i="17" s="1"/>
  <c r="N1599" i="17"/>
  <c r="R1599" i="17" s="1"/>
  <c r="N1600" i="17"/>
  <c r="R1600" i="17" s="1"/>
  <c r="N1601" i="17"/>
  <c r="R1601" i="17" s="1"/>
  <c r="N1602" i="17"/>
  <c r="R1602" i="17" s="1"/>
  <c r="N1603" i="17"/>
  <c r="R1603" i="17" s="1"/>
  <c r="N1604" i="17"/>
  <c r="R1604" i="17" s="1"/>
  <c r="N1605" i="17"/>
  <c r="R1605" i="17" s="1"/>
  <c r="N1606" i="17"/>
  <c r="R1606" i="17" s="1"/>
  <c r="N1607" i="17"/>
  <c r="R1607" i="17" s="1"/>
  <c r="N1608" i="17"/>
  <c r="R1608" i="17" s="1"/>
  <c r="N1609" i="17"/>
  <c r="R1609" i="17" s="1"/>
  <c r="N1610" i="17"/>
  <c r="R1610" i="17" s="1"/>
  <c r="N1611" i="17"/>
  <c r="R1611" i="17" s="1"/>
  <c r="N1612" i="17"/>
  <c r="R1612" i="17" s="1"/>
  <c r="N1613" i="17"/>
  <c r="R1613" i="17" s="1"/>
  <c r="N1614" i="17"/>
  <c r="R1614" i="17" s="1"/>
  <c r="N1615" i="17"/>
  <c r="R1615" i="17" s="1"/>
  <c r="N1616" i="17"/>
  <c r="R1616" i="17" s="1"/>
  <c r="N1617" i="17"/>
  <c r="R1617" i="17" s="1"/>
  <c r="N1618" i="17"/>
  <c r="R1618" i="17" s="1"/>
  <c r="N1619" i="17"/>
  <c r="R1619" i="17" s="1"/>
  <c r="N1620" i="17"/>
  <c r="R1620" i="17" s="1"/>
  <c r="N1621" i="17"/>
  <c r="R1621" i="17" s="1"/>
  <c r="N1622" i="17"/>
  <c r="R1622" i="17" s="1"/>
  <c r="N1623" i="17"/>
  <c r="R1623" i="17" s="1"/>
  <c r="N1624" i="17"/>
  <c r="R1624" i="17" s="1"/>
  <c r="N1625" i="17"/>
  <c r="R1625" i="17" s="1"/>
  <c r="N1626" i="17"/>
  <c r="R1626" i="17" s="1"/>
  <c r="N1627" i="17"/>
  <c r="R1627" i="17" s="1"/>
  <c r="N1628" i="17"/>
  <c r="R1628" i="17" s="1"/>
  <c r="N1629" i="17"/>
  <c r="R1629" i="17" s="1"/>
  <c r="N1630" i="17"/>
  <c r="R1630" i="17" s="1"/>
  <c r="N1631" i="17"/>
  <c r="R1631" i="17" s="1"/>
  <c r="N1632" i="17"/>
  <c r="R1632" i="17" s="1"/>
  <c r="N1633" i="17"/>
  <c r="R1633" i="17" s="1"/>
  <c r="N1634" i="17"/>
  <c r="R1634" i="17" s="1"/>
  <c r="N1635" i="17"/>
  <c r="R1635" i="17" s="1"/>
  <c r="N1636" i="17"/>
  <c r="R1636" i="17" s="1"/>
  <c r="N1637" i="17"/>
  <c r="R1637" i="17" s="1"/>
  <c r="N1638" i="17"/>
  <c r="R1638" i="17" s="1"/>
  <c r="N1639" i="17"/>
  <c r="R1639" i="17" s="1"/>
  <c r="N1640" i="17"/>
  <c r="N1641" i="17"/>
  <c r="R1641" i="17" s="1"/>
  <c r="N1642" i="17"/>
  <c r="R1642" i="17" s="1"/>
  <c r="N1643" i="17"/>
  <c r="R1643" i="17" s="1"/>
  <c r="N1644" i="17"/>
  <c r="R1644" i="17" s="1"/>
  <c r="N1645" i="17"/>
  <c r="R1645" i="17" s="1"/>
  <c r="N1646" i="17"/>
  <c r="R1646" i="17" s="1"/>
  <c r="N1647" i="17"/>
  <c r="R1647" i="17" s="1"/>
  <c r="N1648" i="17"/>
  <c r="R1648" i="17" s="1"/>
  <c r="N1649" i="17"/>
  <c r="R1649" i="17" s="1"/>
  <c r="N1650" i="17"/>
  <c r="R1650" i="17" s="1"/>
  <c r="N1651" i="17"/>
  <c r="R1651" i="17" s="1"/>
  <c r="N1652" i="17"/>
  <c r="R1652" i="17" s="1"/>
  <c r="N1653" i="17"/>
  <c r="R1653" i="17" s="1"/>
  <c r="N1654" i="17"/>
  <c r="R1654" i="17" s="1"/>
  <c r="N1655" i="17"/>
  <c r="R1655" i="17" s="1"/>
  <c r="N1656" i="17"/>
  <c r="R1656" i="17" s="1"/>
  <c r="N1657" i="17"/>
  <c r="R1657" i="17" s="1"/>
  <c r="N1658" i="17"/>
  <c r="R1658" i="17" s="1"/>
  <c r="N1659" i="17"/>
  <c r="R1659" i="17" s="1"/>
  <c r="N1660" i="17"/>
  <c r="R1660" i="17" s="1"/>
  <c r="N1661" i="17"/>
  <c r="R1661" i="17" s="1"/>
  <c r="N1662" i="17"/>
  <c r="R1662" i="17" s="1"/>
  <c r="N1663" i="17"/>
  <c r="R1663" i="17" s="1"/>
  <c r="N1664" i="17"/>
  <c r="R1664" i="17" s="1"/>
  <c r="N1665" i="17"/>
  <c r="R1665" i="17" s="1"/>
  <c r="N1666" i="17"/>
  <c r="R1666" i="17" s="1"/>
  <c r="N1667" i="17"/>
  <c r="R1667" i="17" s="1"/>
  <c r="N1668" i="17"/>
  <c r="R1668" i="17" s="1"/>
  <c r="N1669" i="17"/>
  <c r="R1669" i="17" s="1"/>
  <c r="N1670" i="17"/>
  <c r="R1670" i="17" s="1"/>
  <c r="N1671" i="17"/>
  <c r="R1671" i="17" s="1"/>
  <c r="N1672" i="17"/>
  <c r="R1672" i="17" s="1"/>
  <c r="N1673" i="17"/>
  <c r="R1673" i="17" s="1"/>
  <c r="N1674" i="17"/>
  <c r="R1674" i="17" s="1"/>
  <c r="N1675" i="17"/>
  <c r="R1675" i="17" s="1"/>
  <c r="N1676" i="17"/>
  <c r="R1676" i="17" s="1"/>
  <c r="N1677" i="17"/>
  <c r="R1677" i="17" s="1"/>
  <c r="N1678" i="17"/>
  <c r="R1678" i="17" s="1"/>
  <c r="N1679" i="17"/>
  <c r="R1679" i="17" s="1"/>
  <c r="N1680" i="17"/>
  <c r="R1680" i="17" s="1"/>
  <c r="N1681" i="17"/>
  <c r="R1681" i="17" s="1"/>
  <c r="N1682" i="17"/>
  <c r="R1682" i="17" s="1"/>
  <c r="N1683" i="17"/>
  <c r="R1683" i="17" s="1"/>
  <c r="N1684" i="17"/>
  <c r="R1684" i="17" s="1"/>
  <c r="N1685" i="17"/>
  <c r="R1685" i="17" s="1"/>
  <c r="N1686" i="17"/>
  <c r="R1686" i="17" s="1"/>
  <c r="N1687" i="17"/>
  <c r="R1687" i="17" s="1"/>
  <c r="N1688" i="17"/>
  <c r="R1688" i="17" s="1"/>
  <c r="N1689" i="17"/>
  <c r="R1689" i="17" s="1"/>
  <c r="N1690" i="17"/>
  <c r="R1690" i="17" s="1"/>
  <c r="N1691" i="17"/>
  <c r="R1691" i="17" s="1"/>
  <c r="N1692" i="17"/>
  <c r="R1692" i="17" s="1"/>
  <c r="N1693" i="17"/>
  <c r="R1693" i="17" s="1"/>
  <c r="N1694" i="17"/>
  <c r="R1694" i="17" s="1"/>
  <c r="N1695" i="17"/>
  <c r="R1695" i="17" s="1"/>
  <c r="N1696" i="17"/>
  <c r="R1696" i="17" s="1"/>
  <c r="N1697" i="17"/>
  <c r="R1697" i="17" s="1"/>
  <c r="N1698" i="17"/>
  <c r="R1698" i="17" s="1"/>
  <c r="N1699" i="17"/>
  <c r="R1699" i="17" s="1"/>
  <c r="N1700" i="17"/>
  <c r="R1700" i="17" s="1"/>
  <c r="N1701" i="17"/>
  <c r="R1701" i="17" s="1"/>
  <c r="N1702" i="17"/>
  <c r="R1702" i="17" s="1"/>
  <c r="N1703" i="17"/>
  <c r="R1703" i="17" s="1"/>
  <c r="N1704" i="17"/>
  <c r="R1704" i="17" s="1"/>
  <c r="N1705" i="17"/>
  <c r="R1705" i="17" s="1"/>
  <c r="N1706" i="17"/>
  <c r="R1706" i="17" s="1"/>
  <c r="N1707" i="17"/>
  <c r="N1708" i="17"/>
  <c r="R1708" i="17" s="1"/>
  <c r="N1709" i="17"/>
  <c r="R1709" i="17" s="1"/>
  <c r="N1710" i="17"/>
  <c r="R1710" i="17" s="1"/>
  <c r="N1711" i="17"/>
  <c r="R1711" i="17" s="1"/>
  <c r="N1712" i="17"/>
  <c r="R1712" i="17" s="1"/>
  <c r="N1713" i="17"/>
  <c r="R1713" i="17" s="1"/>
  <c r="N1714" i="17"/>
  <c r="R1714" i="17" s="1"/>
  <c r="N1715" i="17"/>
  <c r="R1715" i="17" s="1"/>
  <c r="N1716" i="17"/>
  <c r="R1716" i="17" s="1"/>
  <c r="N1717" i="17"/>
  <c r="R1717" i="17" s="1"/>
  <c r="N1718" i="17"/>
  <c r="R1718" i="17" s="1"/>
  <c r="N1719" i="17"/>
  <c r="R1719" i="17" s="1"/>
  <c r="N1720" i="17"/>
  <c r="R1720" i="17" s="1"/>
  <c r="N1721" i="17"/>
  <c r="R1721" i="17" s="1"/>
  <c r="N1722" i="17"/>
  <c r="R1722" i="17" s="1"/>
  <c r="N1723" i="17"/>
  <c r="R1723" i="17" s="1"/>
  <c r="N1724" i="17"/>
  <c r="R1724" i="17" s="1"/>
  <c r="N1725" i="17"/>
  <c r="R1725" i="17" s="1"/>
  <c r="N1726" i="17"/>
  <c r="R1726" i="17" s="1"/>
  <c r="N1727" i="17"/>
  <c r="R1727" i="17" s="1"/>
  <c r="N1728" i="17"/>
  <c r="R1728" i="17" s="1"/>
  <c r="N1729" i="17"/>
  <c r="R1729" i="17" s="1"/>
  <c r="N1730" i="17"/>
  <c r="R1730" i="17" s="1"/>
  <c r="N1731" i="17"/>
  <c r="R1731" i="17" s="1"/>
  <c r="N1732" i="17"/>
  <c r="R1732" i="17" s="1"/>
  <c r="N1733" i="17"/>
  <c r="R1733" i="17" s="1"/>
  <c r="N1734" i="17"/>
  <c r="R1734" i="17" s="1"/>
  <c r="N1735" i="17"/>
  <c r="R1735" i="17" s="1"/>
  <c r="N1736" i="17"/>
  <c r="R1736" i="17" s="1"/>
  <c r="N1737" i="17"/>
  <c r="R1737" i="17" s="1"/>
  <c r="N1738" i="17"/>
  <c r="R1738" i="17" s="1"/>
  <c r="N1739" i="17"/>
  <c r="R1739" i="17" s="1"/>
  <c r="N1740" i="17"/>
  <c r="R1740" i="17" s="1"/>
  <c r="N1741" i="17"/>
  <c r="R1741" i="17" s="1"/>
  <c r="N1742" i="17"/>
  <c r="R1742" i="17" s="1"/>
  <c r="N1743" i="17"/>
  <c r="R1743" i="17" s="1"/>
  <c r="N1744" i="17"/>
  <c r="R1744" i="17" s="1"/>
  <c r="N1745" i="17"/>
  <c r="R1745" i="17" s="1"/>
  <c r="N1746" i="17"/>
  <c r="R1746" i="17" s="1"/>
  <c r="N1747" i="17"/>
  <c r="R1747" i="17" s="1"/>
  <c r="N1748" i="17"/>
  <c r="R1748" i="17" s="1"/>
  <c r="N1749" i="17"/>
  <c r="R1749" i="17" s="1"/>
  <c r="N1750" i="17"/>
  <c r="R1750" i="17" s="1"/>
  <c r="N1751" i="17"/>
  <c r="R1751" i="17" s="1"/>
  <c r="N1752" i="17"/>
  <c r="R1752" i="17" s="1"/>
  <c r="N1753" i="17"/>
  <c r="R1753" i="17" s="1"/>
  <c r="N1754" i="17"/>
  <c r="R1754" i="17" s="1"/>
  <c r="N1755" i="17"/>
  <c r="R1755" i="17" s="1"/>
  <c r="N1756" i="17"/>
  <c r="R1756" i="17" s="1"/>
  <c r="N1757" i="17"/>
  <c r="R1757" i="17" s="1"/>
  <c r="N1758" i="17"/>
  <c r="R1758" i="17" s="1"/>
  <c r="N1759" i="17"/>
  <c r="R1759" i="17" s="1"/>
  <c r="N1760" i="17"/>
  <c r="R1760" i="17" s="1"/>
  <c r="N1761" i="17"/>
  <c r="R1761" i="17" s="1"/>
  <c r="N1762" i="17"/>
  <c r="R1762" i="17" s="1"/>
  <c r="N1763" i="17"/>
  <c r="R1763" i="17" s="1"/>
  <c r="N1764" i="17"/>
  <c r="R1764" i="17" s="1"/>
  <c r="N1765" i="17"/>
  <c r="R1765" i="17" s="1"/>
  <c r="N1766" i="17"/>
  <c r="R1766" i="17" s="1"/>
  <c r="N1767" i="17"/>
  <c r="R1767" i="17" s="1"/>
  <c r="N1768" i="17"/>
  <c r="R1768" i="17" s="1"/>
  <c r="N1769" i="17"/>
  <c r="R1769" i="17" s="1"/>
  <c r="N1770" i="17"/>
  <c r="R1770" i="17" s="1"/>
  <c r="N1771" i="17"/>
  <c r="R1771" i="17" s="1"/>
  <c r="N1772" i="17"/>
  <c r="R1772" i="17" s="1"/>
  <c r="N1773" i="17"/>
  <c r="R1773" i="17" s="1"/>
  <c r="N1774" i="17"/>
  <c r="R1774" i="17" s="1"/>
  <c r="N1775" i="17"/>
  <c r="R1775" i="17" s="1"/>
  <c r="N1776" i="17"/>
  <c r="N1777" i="17"/>
  <c r="R1777" i="17" s="1"/>
  <c r="N1778" i="17"/>
  <c r="R1778" i="17" s="1"/>
  <c r="N1779" i="17"/>
  <c r="R1779" i="17" s="1"/>
  <c r="N1780" i="17"/>
  <c r="R1780" i="17" s="1"/>
  <c r="N1781" i="17"/>
  <c r="R1781" i="17" s="1"/>
  <c r="N1782" i="17"/>
  <c r="R1782" i="17" s="1"/>
  <c r="N1783" i="17"/>
  <c r="R1783" i="17" s="1"/>
  <c r="N1784" i="17"/>
  <c r="R1784" i="17" s="1"/>
  <c r="N1785" i="17"/>
  <c r="R1785" i="17" s="1"/>
  <c r="N1786" i="17"/>
  <c r="R1786" i="17" s="1"/>
  <c r="N1787" i="17"/>
  <c r="R1787" i="17" s="1"/>
  <c r="N1788" i="17"/>
  <c r="R1788" i="17" s="1"/>
  <c r="N1789" i="17"/>
  <c r="R1789" i="17" s="1"/>
  <c r="N1790" i="17"/>
  <c r="R1790" i="17" s="1"/>
  <c r="N1791" i="17"/>
  <c r="R1791" i="17" s="1"/>
  <c r="N1792" i="17"/>
  <c r="R1792" i="17" s="1"/>
  <c r="N1793" i="17"/>
  <c r="R1793" i="17" s="1"/>
  <c r="N1794" i="17"/>
  <c r="R1794" i="17" s="1"/>
  <c r="N1795" i="17"/>
  <c r="R1795" i="17" s="1"/>
  <c r="N1796" i="17"/>
  <c r="R1796" i="17" s="1"/>
  <c r="N1797" i="17"/>
  <c r="R1797" i="17" s="1"/>
  <c r="N1798" i="17"/>
  <c r="R1798" i="17" s="1"/>
  <c r="N1799" i="17"/>
  <c r="R1799" i="17" s="1"/>
  <c r="N1800" i="17"/>
  <c r="R1800" i="17" s="1"/>
  <c r="N1801" i="17"/>
  <c r="R1801" i="17" s="1"/>
  <c r="N1802" i="17"/>
  <c r="R1802" i="17" s="1"/>
  <c r="N1803" i="17"/>
  <c r="R1803" i="17" s="1"/>
  <c r="N1804" i="17"/>
  <c r="R1804" i="17" s="1"/>
  <c r="N1805" i="17"/>
  <c r="R1805" i="17" s="1"/>
  <c r="N1806" i="17"/>
  <c r="R1806" i="17" s="1"/>
  <c r="N1807" i="17"/>
  <c r="R1807" i="17" s="1"/>
  <c r="N1808" i="17"/>
  <c r="R1808" i="17" s="1"/>
  <c r="N1809" i="17"/>
  <c r="R1809" i="17" s="1"/>
  <c r="N1810" i="17"/>
  <c r="R1810" i="17" s="1"/>
  <c r="N1811" i="17"/>
  <c r="R1811" i="17" s="1"/>
  <c r="N1812" i="17"/>
  <c r="R1812" i="17" s="1"/>
  <c r="N1813" i="17"/>
  <c r="R1813" i="17" s="1"/>
  <c r="N1814" i="17"/>
  <c r="R1814" i="17" s="1"/>
  <c r="N1815" i="17"/>
  <c r="R1815" i="17" s="1"/>
  <c r="N1816" i="17"/>
  <c r="R1816" i="17" s="1"/>
  <c r="N1817" i="17"/>
  <c r="R1817" i="17" s="1"/>
  <c r="N1818" i="17"/>
  <c r="R1818" i="17" s="1"/>
  <c r="N1819" i="17"/>
  <c r="R1819" i="17" s="1"/>
  <c r="N1820" i="17"/>
  <c r="R1820" i="17" s="1"/>
  <c r="N1821" i="17"/>
  <c r="R1821" i="17" s="1"/>
  <c r="N1822" i="17"/>
  <c r="R1822" i="17" s="1"/>
  <c r="N1823" i="17"/>
  <c r="R1823" i="17" s="1"/>
  <c r="N1824" i="17"/>
  <c r="R1824" i="17" s="1"/>
  <c r="N1825" i="17"/>
  <c r="R1825" i="17" s="1"/>
  <c r="N1826" i="17"/>
  <c r="R1826" i="17" s="1"/>
  <c r="N1827" i="17"/>
  <c r="R1827" i="17" s="1"/>
  <c r="N1828" i="17"/>
  <c r="R1828" i="17" s="1"/>
  <c r="N1829" i="17"/>
  <c r="R1829" i="17" s="1"/>
  <c r="N1830" i="17"/>
  <c r="R1830" i="17" s="1"/>
  <c r="N1831" i="17"/>
  <c r="R1831" i="17" s="1"/>
  <c r="N1832" i="17"/>
  <c r="R1832" i="17" s="1"/>
  <c r="N1833" i="17"/>
  <c r="R1833" i="17" s="1"/>
  <c r="N1834" i="17"/>
  <c r="R1834" i="17" s="1"/>
  <c r="N1835" i="17"/>
  <c r="R1835" i="17" s="1"/>
  <c r="N1836" i="17"/>
  <c r="R1836" i="17" s="1"/>
  <c r="N1837" i="17"/>
  <c r="R1837" i="17" s="1"/>
  <c r="N1838" i="17"/>
  <c r="R1838" i="17" s="1"/>
  <c r="N1839" i="17"/>
  <c r="R1839" i="17" s="1"/>
  <c r="N1840" i="17"/>
  <c r="R1840" i="17" s="1"/>
  <c r="N1841" i="17"/>
  <c r="R1841" i="17" s="1"/>
  <c r="N1842" i="17"/>
  <c r="R1842" i="17" s="1"/>
  <c r="N1843" i="17"/>
  <c r="R1843" i="17" s="1"/>
  <c r="N1844" i="17"/>
  <c r="R1844" i="17" s="1"/>
  <c r="N1845" i="17"/>
  <c r="R1845" i="17" s="1"/>
  <c r="N1846" i="17"/>
  <c r="R1846" i="17" s="1"/>
  <c r="N1847" i="17"/>
  <c r="N1848" i="17"/>
  <c r="R1848" i="17" s="1"/>
  <c r="N1849" i="17"/>
  <c r="R1849" i="17" s="1"/>
  <c r="N1850" i="17"/>
  <c r="R1850" i="17" s="1"/>
  <c r="N1851" i="17"/>
  <c r="R1851" i="17" s="1"/>
  <c r="N1852" i="17"/>
  <c r="R1852" i="17" s="1"/>
  <c r="N1853" i="17"/>
  <c r="R1853" i="17" s="1"/>
  <c r="N1854" i="17"/>
  <c r="R1854" i="17" s="1"/>
  <c r="N1855" i="17"/>
  <c r="R1855" i="17" s="1"/>
  <c r="N1856" i="17"/>
  <c r="R1856" i="17" s="1"/>
  <c r="N1857" i="17"/>
  <c r="R1857" i="17" s="1"/>
  <c r="N1858" i="17"/>
  <c r="R1858" i="17" s="1"/>
  <c r="N1859" i="17"/>
  <c r="R1859" i="17" s="1"/>
  <c r="N1860" i="17"/>
  <c r="R1860" i="17" s="1"/>
  <c r="N1861" i="17"/>
  <c r="R1861" i="17" s="1"/>
  <c r="N1862" i="17"/>
  <c r="R1862" i="17" s="1"/>
  <c r="N1863" i="17"/>
  <c r="R1863" i="17" s="1"/>
  <c r="N1864" i="17"/>
  <c r="R1864" i="17" s="1"/>
  <c r="N1865" i="17"/>
  <c r="R1865" i="17" s="1"/>
  <c r="N1866" i="17"/>
  <c r="R1866" i="17" s="1"/>
  <c r="N1867" i="17"/>
  <c r="R1867" i="17" s="1"/>
  <c r="N1868" i="17"/>
  <c r="R1868" i="17" s="1"/>
  <c r="N1869" i="17"/>
  <c r="R1869" i="17" s="1"/>
  <c r="N1870" i="17"/>
  <c r="R1870" i="17" s="1"/>
  <c r="N1871" i="17"/>
  <c r="R1871" i="17" s="1"/>
  <c r="N1872" i="17"/>
  <c r="R1872" i="17" s="1"/>
  <c r="N1873" i="17"/>
  <c r="R1873" i="17" s="1"/>
  <c r="N1874" i="17"/>
  <c r="R1874" i="17" s="1"/>
  <c r="N1875" i="17"/>
  <c r="R1875" i="17" s="1"/>
  <c r="N1876" i="17"/>
  <c r="R1876" i="17" s="1"/>
  <c r="N1877" i="17"/>
  <c r="R1877" i="17" s="1"/>
  <c r="N1878" i="17"/>
  <c r="R1878" i="17" s="1"/>
  <c r="N1879" i="17"/>
  <c r="R1879" i="17" s="1"/>
  <c r="N1880" i="17"/>
  <c r="R1880" i="17" s="1"/>
  <c r="N1881" i="17"/>
  <c r="R1881" i="17" s="1"/>
  <c r="N1882" i="17"/>
  <c r="R1882" i="17" s="1"/>
  <c r="N1883" i="17"/>
  <c r="R1883" i="17" s="1"/>
  <c r="N1884" i="17"/>
  <c r="R1884" i="17" s="1"/>
  <c r="N1885" i="17"/>
  <c r="R1885" i="17" s="1"/>
  <c r="N1886" i="17"/>
  <c r="R1886" i="17" s="1"/>
  <c r="N1887" i="17"/>
  <c r="R1887" i="17" s="1"/>
  <c r="N1888" i="17"/>
  <c r="R1888" i="17" s="1"/>
  <c r="N1889" i="17"/>
  <c r="R1889" i="17" s="1"/>
  <c r="N1890" i="17"/>
  <c r="R1890" i="17" s="1"/>
  <c r="N1891" i="17"/>
  <c r="R1891" i="17" s="1"/>
  <c r="N1892" i="17"/>
  <c r="R1892" i="17" s="1"/>
  <c r="N1893" i="17"/>
  <c r="R1893" i="17" s="1"/>
  <c r="N1894" i="17"/>
  <c r="R1894" i="17" s="1"/>
  <c r="N1895" i="17"/>
  <c r="R1895" i="17" s="1"/>
  <c r="N1896" i="17"/>
  <c r="R1896" i="17" s="1"/>
  <c r="N1897" i="17"/>
  <c r="R1897" i="17" s="1"/>
  <c r="N1898" i="17"/>
  <c r="R1898" i="17" s="1"/>
  <c r="N1899" i="17"/>
  <c r="R1899" i="17" s="1"/>
  <c r="N1900" i="17"/>
  <c r="R1900" i="17" s="1"/>
  <c r="N1901" i="17"/>
  <c r="R1901" i="17" s="1"/>
  <c r="N1902" i="17"/>
  <c r="R1902" i="17" s="1"/>
  <c r="N1903" i="17"/>
  <c r="R1903" i="17" s="1"/>
  <c r="N1904" i="17"/>
  <c r="R1904" i="17" s="1"/>
  <c r="N1905" i="17"/>
  <c r="R1905" i="17" s="1"/>
  <c r="N1906" i="17"/>
  <c r="R1906" i="17" s="1"/>
  <c r="N1907" i="17"/>
  <c r="R1907" i="17" s="1"/>
  <c r="N1908" i="17"/>
  <c r="R1908" i="17" s="1"/>
  <c r="N1909" i="17"/>
  <c r="R1909" i="17" s="1"/>
  <c r="N1910" i="17"/>
  <c r="R1910" i="17" s="1"/>
  <c r="N1911" i="17"/>
  <c r="R1911" i="17" s="1"/>
  <c r="N1912" i="17"/>
  <c r="R1912" i="17" s="1"/>
  <c r="N1913" i="17"/>
  <c r="R1913" i="17" s="1"/>
  <c r="N1914" i="17"/>
  <c r="R1914" i="17" s="1"/>
  <c r="N1915" i="17"/>
  <c r="N1916" i="17"/>
  <c r="R1916" i="17" s="1"/>
  <c r="N1917" i="17"/>
  <c r="R1917" i="17" s="1"/>
  <c r="N1918" i="17"/>
  <c r="R1918" i="17" s="1"/>
  <c r="N1919" i="17"/>
  <c r="R1919" i="17" s="1"/>
  <c r="N1920" i="17"/>
  <c r="R1920" i="17" s="1"/>
  <c r="N1921" i="17"/>
  <c r="R1921" i="17" s="1"/>
  <c r="N1922" i="17"/>
  <c r="R1922" i="17" s="1"/>
  <c r="N1923" i="17"/>
  <c r="R1923" i="17" s="1"/>
  <c r="N1924" i="17"/>
  <c r="R1924" i="17" s="1"/>
  <c r="N1925" i="17"/>
  <c r="R1925" i="17" s="1"/>
  <c r="N1926" i="17"/>
  <c r="R1926" i="17" s="1"/>
  <c r="N1927" i="17"/>
  <c r="R1927" i="17" s="1"/>
  <c r="N1928" i="17"/>
  <c r="R1928" i="17" s="1"/>
  <c r="N1929" i="17"/>
  <c r="R1929" i="17" s="1"/>
  <c r="N1930" i="17"/>
  <c r="R1930" i="17" s="1"/>
  <c r="N1931" i="17"/>
  <c r="R1931" i="17" s="1"/>
  <c r="N1932" i="17"/>
  <c r="R1932" i="17" s="1"/>
  <c r="N1933" i="17"/>
  <c r="R1933" i="17" s="1"/>
  <c r="N1934" i="17"/>
  <c r="R1934" i="17" s="1"/>
  <c r="N1935" i="17"/>
  <c r="R1935" i="17" s="1"/>
  <c r="N1936" i="17"/>
  <c r="R1936" i="17" s="1"/>
  <c r="N1937" i="17"/>
  <c r="R1937" i="17" s="1"/>
  <c r="N1938" i="17"/>
  <c r="R1938" i="17" s="1"/>
  <c r="N1939" i="17"/>
  <c r="R1939" i="17" s="1"/>
  <c r="N1940" i="17"/>
  <c r="R1940" i="17" s="1"/>
  <c r="N1941" i="17"/>
  <c r="R1941" i="17" s="1"/>
  <c r="N1942" i="17"/>
  <c r="R1942" i="17" s="1"/>
  <c r="N1943" i="17"/>
  <c r="R1943" i="17" s="1"/>
  <c r="N1944" i="17"/>
  <c r="R1944" i="17" s="1"/>
  <c r="N1945" i="17"/>
  <c r="R1945" i="17" s="1"/>
  <c r="N1946" i="17"/>
  <c r="R1946" i="17" s="1"/>
  <c r="N1947" i="17"/>
  <c r="R1947" i="17" s="1"/>
  <c r="N1948" i="17"/>
  <c r="R1948" i="17" s="1"/>
  <c r="N1949" i="17"/>
  <c r="R1949" i="17" s="1"/>
  <c r="N1950" i="17"/>
  <c r="R1950" i="17" s="1"/>
  <c r="N1951" i="17"/>
  <c r="R1951" i="17" s="1"/>
  <c r="N1952" i="17"/>
  <c r="R1952" i="17" s="1"/>
  <c r="N1953" i="17"/>
  <c r="R1953" i="17" s="1"/>
  <c r="N1954" i="17"/>
  <c r="R1954" i="17" s="1"/>
  <c r="N1955" i="17"/>
  <c r="R1955" i="17" s="1"/>
  <c r="N1956" i="17"/>
  <c r="R1956" i="17" s="1"/>
  <c r="N1957" i="17"/>
  <c r="R1957" i="17" s="1"/>
  <c r="N1958" i="17"/>
  <c r="R1958" i="17" s="1"/>
  <c r="N1959" i="17"/>
  <c r="R1959" i="17" s="1"/>
  <c r="N1960" i="17"/>
  <c r="R1960" i="17" s="1"/>
  <c r="N1961" i="17"/>
  <c r="R1961" i="17" s="1"/>
  <c r="N1962" i="17"/>
  <c r="R1962" i="17" s="1"/>
  <c r="N1963" i="17"/>
  <c r="R1963" i="17" s="1"/>
  <c r="N1964" i="17"/>
  <c r="R1964" i="17" s="1"/>
  <c r="N1965" i="17"/>
  <c r="R1965" i="17" s="1"/>
  <c r="N1966" i="17"/>
  <c r="R1966" i="17" s="1"/>
  <c r="N1967" i="17"/>
  <c r="R1967" i="17" s="1"/>
  <c r="N1968" i="17"/>
  <c r="R1968" i="17" s="1"/>
  <c r="N1969" i="17"/>
  <c r="R1969" i="17" s="1"/>
  <c r="N1970" i="17"/>
  <c r="R1970" i="17" s="1"/>
  <c r="N1971" i="17"/>
  <c r="R1971" i="17" s="1"/>
  <c r="N1972" i="17"/>
  <c r="R1972" i="17" s="1"/>
  <c r="N1973" i="17"/>
  <c r="R1973" i="17" s="1"/>
  <c r="N1974" i="17"/>
  <c r="R1974" i="17" s="1"/>
  <c r="N1975" i="17"/>
  <c r="R1975" i="17" s="1"/>
  <c r="N1976" i="17"/>
  <c r="R1976" i="17" s="1"/>
  <c r="N1977" i="17"/>
  <c r="R1977" i="17" s="1"/>
  <c r="N1978" i="17"/>
  <c r="R1978" i="17" s="1"/>
  <c r="N1979" i="17"/>
  <c r="R1979" i="17" s="1"/>
  <c r="N1980" i="17"/>
  <c r="R1980" i="17" s="1"/>
  <c r="N1981" i="17"/>
  <c r="R1981" i="17" s="1"/>
  <c r="N1982" i="17"/>
  <c r="R1982" i="17" s="1"/>
  <c r="N1983" i="17"/>
  <c r="R1983" i="17" s="1"/>
  <c r="N1984" i="17"/>
  <c r="R1984" i="17" s="1"/>
  <c r="N1985" i="17"/>
  <c r="R1985" i="17" s="1"/>
  <c r="N1986" i="17"/>
  <c r="R1986" i="17" s="1"/>
  <c r="N1987" i="17"/>
  <c r="N1988" i="17"/>
  <c r="R1988" i="17" s="1"/>
  <c r="N1989" i="17"/>
  <c r="R1989" i="17" s="1"/>
  <c r="N1990" i="17"/>
  <c r="R1990" i="17" s="1"/>
  <c r="N1991" i="17"/>
  <c r="R1991" i="17" s="1"/>
  <c r="N1992" i="17"/>
  <c r="R1992" i="17" s="1"/>
  <c r="N1993" i="17"/>
  <c r="R1993" i="17" s="1"/>
  <c r="N1994" i="17"/>
  <c r="R1994" i="17" s="1"/>
  <c r="N1995" i="17"/>
  <c r="R1995" i="17" s="1"/>
  <c r="N1996" i="17"/>
  <c r="R1996" i="17" s="1"/>
  <c r="N1997" i="17"/>
  <c r="R1997" i="17" s="1"/>
  <c r="N1998" i="17"/>
  <c r="R1998" i="17" s="1"/>
  <c r="N1999" i="17"/>
  <c r="R1999" i="17" s="1"/>
  <c r="N2000" i="17"/>
  <c r="R2000" i="17" s="1"/>
  <c r="N2001" i="17"/>
  <c r="R2001" i="17" s="1"/>
  <c r="N2002" i="17"/>
  <c r="R2002" i="17" s="1"/>
  <c r="N2003" i="17"/>
  <c r="R2003" i="17" s="1"/>
  <c r="N2004" i="17"/>
  <c r="R2004" i="17" s="1"/>
  <c r="N2005" i="17"/>
  <c r="R2005" i="17" s="1"/>
  <c r="N2006" i="17"/>
  <c r="R2006" i="17" s="1"/>
  <c r="N2007" i="17"/>
  <c r="R2007" i="17" s="1"/>
  <c r="N2008" i="17"/>
  <c r="R2008" i="17" s="1"/>
  <c r="N2009" i="17"/>
  <c r="R2009" i="17" s="1"/>
  <c r="N2010" i="17"/>
  <c r="R2010" i="17" s="1"/>
  <c r="N2011" i="17"/>
  <c r="R2011" i="17" s="1"/>
  <c r="N2012" i="17"/>
  <c r="R2012" i="17" s="1"/>
  <c r="N2013" i="17"/>
  <c r="R2013" i="17" s="1"/>
  <c r="N2014" i="17"/>
  <c r="R2014" i="17" s="1"/>
  <c r="N2015" i="17"/>
  <c r="R2015" i="17" s="1"/>
  <c r="N2016" i="17"/>
  <c r="R2016" i="17" s="1"/>
  <c r="N2017" i="17"/>
  <c r="R2017" i="17" s="1"/>
  <c r="N2018" i="17"/>
  <c r="R2018" i="17" s="1"/>
  <c r="N2019" i="17"/>
  <c r="R2019" i="17" s="1"/>
  <c r="N2020" i="17"/>
  <c r="R2020" i="17" s="1"/>
  <c r="N2021" i="17"/>
  <c r="R2021" i="17" s="1"/>
  <c r="N2022" i="17"/>
  <c r="R2022" i="17" s="1"/>
  <c r="N2023" i="17"/>
  <c r="R2023" i="17" s="1"/>
  <c r="N2024" i="17"/>
  <c r="R2024" i="17" s="1"/>
  <c r="N2025" i="17"/>
  <c r="R2025" i="17" s="1"/>
  <c r="N2026" i="17"/>
  <c r="R2026" i="17" s="1"/>
  <c r="N2027" i="17"/>
  <c r="R2027" i="17" s="1"/>
  <c r="N2028" i="17"/>
  <c r="R2028" i="17" s="1"/>
  <c r="N2029" i="17"/>
  <c r="R2029" i="17" s="1"/>
  <c r="N2030" i="17"/>
  <c r="R2030" i="17" s="1"/>
  <c r="N2031" i="17"/>
  <c r="R2031" i="17" s="1"/>
  <c r="N2032" i="17"/>
  <c r="R2032" i="17" s="1"/>
  <c r="N2033" i="17"/>
  <c r="R2033" i="17" s="1"/>
  <c r="N2034" i="17"/>
  <c r="R2034" i="17" s="1"/>
  <c r="N2035" i="17"/>
  <c r="R2035" i="17" s="1"/>
  <c r="N2036" i="17"/>
  <c r="R2036" i="17" s="1"/>
  <c r="N2037" i="17"/>
  <c r="R2037" i="17" s="1"/>
  <c r="N2038" i="17"/>
  <c r="R2038" i="17" s="1"/>
  <c r="N2039" i="17"/>
  <c r="R2039" i="17" s="1"/>
  <c r="N2040" i="17"/>
  <c r="R2040" i="17" s="1"/>
  <c r="N2041" i="17"/>
  <c r="R2041" i="17" s="1"/>
  <c r="N2042" i="17"/>
  <c r="R2042" i="17" s="1"/>
  <c r="N2043" i="17"/>
  <c r="R2043" i="17" s="1"/>
  <c r="N450" i="17"/>
  <c r="R450" i="17" s="1"/>
  <c r="P451" i="17"/>
  <c r="Q451" i="17" s="1"/>
  <c r="P452" i="17"/>
  <c r="Q452" i="17" s="1"/>
  <c r="P453" i="17"/>
  <c r="Q453" i="17" s="1"/>
  <c r="P454" i="17"/>
  <c r="Q454" i="17" s="1"/>
  <c r="P455" i="17"/>
  <c r="Q455" i="17" s="1"/>
  <c r="P456" i="17"/>
  <c r="Q456" i="17" s="1"/>
  <c r="P457" i="17"/>
  <c r="Q457" i="17" s="1"/>
  <c r="P458" i="17"/>
  <c r="Q458" i="17" s="1"/>
  <c r="P459" i="17"/>
  <c r="Q459" i="17" s="1"/>
  <c r="P460" i="17"/>
  <c r="Q460" i="17" s="1"/>
  <c r="P461" i="17"/>
  <c r="Q461" i="17" s="1"/>
  <c r="P462" i="17"/>
  <c r="Q462" i="17" s="1"/>
  <c r="P463" i="17"/>
  <c r="Q463" i="17" s="1"/>
  <c r="P464" i="17"/>
  <c r="Q464" i="17" s="1"/>
  <c r="P465" i="17"/>
  <c r="Q465" i="17" s="1"/>
  <c r="P466" i="17"/>
  <c r="Q466" i="17" s="1"/>
  <c r="P467" i="17"/>
  <c r="Q467" i="17" s="1"/>
  <c r="P468" i="17"/>
  <c r="Q468" i="17" s="1"/>
  <c r="P469" i="17"/>
  <c r="Q469" i="17" s="1"/>
  <c r="P470" i="17"/>
  <c r="Q470" i="17" s="1"/>
  <c r="P471" i="17"/>
  <c r="Q471" i="17" s="1"/>
  <c r="P472" i="17"/>
  <c r="Q472" i="17" s="1"/>
  <c r="P473" i="17"/>
  <c r="Q473" i="17" s="1"/>
  <c r="P474" i="17"/>
  <c r="Q474" i="17" s="1"/>
  <c r="P475" i="17"/>
  <c r="Q475" i="17" s="1"/>
  <c r="P476" i="17"/>
  <c r="Q476" i="17" s="1"/>
  <c r="P477" i="17"/>
  <c r="Q477" i="17" s="1"/>
  <c r="P478" i="17"/>
  <c r="Q478" i="17" s="1"/>
  <c r="P479" i="17"/>
  <c r="Q479" i="17" s="1"/>
  <c r="P480" i="17"/>
  <c r="Q480" i="17" s="1"/>
  <c r="P481" i="17"/>
  <c r="Q481" i="17" s="1"/>
  <c r="P482" i="17"/>
  <c r="Q482" i="17" s="1"/>
  <c r="P483" i="17"/>
  <c r="Q483" i="17" s="1"/>
  <c r="P484" i="17"/>
  <c r="Q484" i="17" s="1"/>
  <c r="P485" i="17"/>
  <c r="Q485" i="17" s="1"/>
  <c r="P486" i="17"/>
  <c r="Q486" i="17" s="1"/>
  <c r="P487" i="17"/>
  <c r="Q487" i="17" s="1"/>
  <c r="P488" i="17"/>
  <c r="Q488" i="17" s="1"/>
  <c r="P489" i="17"/>
  <c r="Q489" i="17" s="1"/>
  <c r="P490" i="17"/>
  <c r="Q490" i="17" s="1"/>
  <c r="P491" i="17"/>
  <c r="Q491" i="17" s="1"/>
  <c r="P492" i="17"/>
  <c r="Q492" i="17" s="1"/>
  <c r="P493" i="17"/>
  <c r="Q493" i="17" s="1"/>
  <c r="P494" i="17"/>
  <c r="Q494" i="17" s="1"/>
  <c r="P495" i="17"/>
  <c r="Q495" i="17" s="1"/>
  <c r="P496" i="17"/>
  <c r="Q496" i="17" s="1"/>
  <c r="P497" i="17"/>
  <c r="Q497" i="17" s="1"/>
  <c r="P498" i="17"/>
  <c r="Q498" i="17" s="1"/>
  <c r="P499" i="17"/>
  <c r="Q499" i="17" s="1"/>
  <c r="P500" i="17"/>
  <c r="Q500" i="17" s="1"/>
  <c r="P501" i="17"/>
  <c r="Q501" i="17" s="1"/>
  <c r="P502" i="17"/>
  <c r="Q502" i="17" s="1"/>
  <c r="P503" i="17"/>
  <c r="Q503" i="17" s="1"/>
  <c r="P504" i="17"/>
  <c r="Q504" i="17" s="1"/>
  <c r="P505" i="17"/>
  <c r="Q505" i="17" s="1"/>
  <c r="P506" i="17"/>
  <c r="Q506" i="17" s="1"/>
  <c r="P507" i="17"/>
  <c r="Q507" i="17" s="1"/>
  <c r="P508" i="17"/>
  <c r="Q508" i="17" s="1"/>
  <c r="P509" i="17"/>
  <c r="Q509" i="17" s="1"/>
  <c r="P510" i="17"/>
  <c r="Q510" i="17" s="1"/>
  <c r="P511" i="17"/>
  <c r="Q511" i="17" s="1"/>
  <c r="P512" i="17"/>
  <c r="Q512" i="17" s="1"/>
  <c r="P513" i="17"/>
  <c r="Q513" i="17" s="1"/>
  <c r="P514" i="17"/>
  <c r="Q514" i="17" s="1"/>
  <c r="P515" i="17"/>
  <c r="Q515" i="17" s="1"/>
  <c r="P516" i="17"/>
  <c r="Q516" i="17" s="1"/>
  <c r="P517" i="17"/>
  <c r="Q517" i="17" s="1"/>
  <c r="P518" i="17"/>
  <c r="Q518" i="17" s="1"/>
  <c r="P519" i="17"/>
  <c r="Q519" i="17" s="1"/>
  <c r="P520" i="17"/>
  <c r="Q520" i="17" s="1"/>
  <c r="P521" i="17"/>
  <c r="Q521" i="17" s="1"/>
  <c r="P522" i="17"/>
  <c r="Q522" i="17" s="1"/>
  <c r="P523" i="17"/>
  <c r="Q523" i="17" s="1"/>
  <c r="P524" i="17"/>
  <c r="Q524" i="17" s="1"/>
  <c r="P525" i="17"/>
  <c r="Q525" i="17" s="1"/>
  <c r="P526" i="17"/>
  <c r="Q526" i="17" s="1"/>
  <c r="P527" i="17"/>
  <c r="Q527" i="17" s="1"/>
  <c r="P528" i="17"/>
  <c r="Q528" i="17" s="1"/>
  <c r="P529" i="17"/>
  <c r="Q529" i="17" s="1"/>
  <c r="P530" i="17"/>
  <c r="Q530" i="17" s="1"/>
  <c r="P531" i="17"/>
  <c r="Q531" i="17" s="1"/>
  <c r="P532" i="17"/>
  <c r="Q532" i="17" s="1"/>
  <c r="P533" i="17"/>
  <c r="Q533" i="17" s="1"/>
  <c r="P534" i="17"/>
  <c r="Q534" i="17" s="1"/>
  <c r="P535" i="17"/>
  <c r="Q535" i="17" s="1"/>
  <c r="P536" i="17"/>
  <c r="Q536" i="17" s="1"/>
  <c r="P537" i="17"/>
  <c r="Q537" i="17" s="1"/>
  <c r="P538" i="17"/>
  <c r="Q538" i="17" s="1"/>
  <c r="P539" i="17"/>
  <c r="Q539" i="17" s="1"/>
  <c r="P540" i="17"/>
  <c r="Q540" i="17" s="1"/>
  <c r="P541" i="17"/>
  <c r="Q541" i="17" s="1"/>
  <c r="P542" i="17"/>
  <c r="Q542" i="17" s="1"/>
  <c r="P543" i="17"/>
  <c r="Q543" i="17" s="1"/>
  <c r="P544" i="17"/>
  <c r="Q544" i="17" s="1"/>
  <c r="P545" i="17"/>
  <c r="Q545" i="17" s="1"/>
  <c r="P546" i="17"/>
  <c r="Q546" i="17" s="1"/>
  <c r="P547" i="17"/>
  <c r="Q547" i="17" s="1"/>
  <c r="P548" i="17"/>
  <c r="Q548" i="17" s="1"/>
  <c r="P549" i="17"/>
  <c r="Q549" i="17" s="1"/>
  <c r="P550" i="17"/>
  <c r="Q550" i="17" s="1"/>
  <c r="P551" i="17"/>
  <c r="Q551" i="17" s="1"/>
  <c r="P552" i="17"/>
  <c r="Q552" i="17" s="1"/>
  <c r="P553" i="17"/>
  <c r="Q553" i="17" s="1"/>
  <c r="P554" i="17"/>
  <c r="Q554" i="17" s="1"/>
  <c r="P555" i="17"/>
  <c r="Q555" i="17" s="1"/>
  <c r="P556" i="17"/>
  <c r="Q556" i="17" s="1"/>
  <c r="P557" i="17"/>
  <c r="Q557" i="17" s="1"/>
  <c r="P558" i="17"/>
  <c r="Q558" i="17" s="1"/>
  <c r="P559" i="17"/>
  <c r="Q559" i="17" s="1"/>
  <c r="P560" i="17"/>
  <c r="Q560" i="17" s="1"/>
  <c r="P561" i="17"/>
  <c r="Q561" i="17" s="1"/>
  <c r="P562" i="17"/>
  <c r="Q562" i="17" s="1"/>
  <c r="P563" i="17"/>
  <c r="Q563" i="17" s="1"/>
  <c r="P564" i="17"/>
  <c r="Q564" i="17" s="1"/>
  <c r="P565" i="17"/>
  <c r="Q565" i="17" s="1"/>
  <c r="P566" i="17"/>
  <c r="Q566" i="17" s="1"/>
  <c r="P567" i="17"/>
  <c r="Q567" i="17" s="1"/>
  <c r="P568" i="17"/>
  <c r="Q568" i="17" s="1"/>
  <c r="P569" i="17"/>
  <c r="Q569" i="17" s="1"/>
  <c r="P570" i="17"/>
  <c r="Q570" i="17" s="1"/>
  <c r="P571" i="17"/>
  <c r="Q571" i="17" s="1"/>
  <c r="P572" i="17"/>
  <c r="Q572" i="17" s="1"/>
  <c r="P573" i="17"/>
  <c r="Q573" i="17" s="1"/>
  <c r="P574" i="17"/>
  <c r="Q574" i="17" s="1"/>
  <c r="P575" i="17"/>
  <c r="Q575" i="17" s="1"/>
  <c r="P576" i="17"/>
  <c r="Q576" i="17" s="1"/>
  <c r="P577" i="17"/>
  <c r="Q577" i="17" s="1"/>
  <c r="P578" i="17"/>
  <c r="Q578" i="17" s="1"/>
  <c r="P579" i="17"/>
  <c r="Q579" i="17" s="1"/>
  <c r="P580" i="17"/>
  <c r="Q580" i="17" s="1"/>
  <c r="P581" i="17"/>
  <c r="Q581" i="17" s="1"/>
  <c r="P582" i="17"/>
  <c r="Q582" i="17" s="1"/>
  <c r="P583" i="17"/>
  <c r="Q583" i="17" s="1"/>
  <c r="P584" i="17"/>
  <c r="Q584" i="17" s="1"/>
  <c r="P585" i="17"/>
  <c r="Q585" i="17" s="1"/>
  <c r="P586" i="17"/>
  <c r="Q586" i="17" s="1"/>
  <c r="P587" i="17"/>
  <c r="Q587" i="17" s="1"/>
  <c r="P588" i="17"/>
  <c r="Q588" i="17" s="1"/>
  <c r="P589" i="17"/>
  <c r="Q589" i="17" s="1"/>
  <c r="P590" i="17"/>
  <c r="Q590" i="17" s="1"/>
  <c r="P591" i="17"/>
  <c r="Q591" i="17" s="1"/>
  <c r="P592" i="17"/>
  <c r="Q592" i="17" s="1"/>
  <c r="P593" i="17"/>
  <c r="Q593" i="17" s="1"/>
  <c r="P594" i="17"/>
  <c r="Q594" i="17" s="1"/>
  <c r="P595" i="17"/>
  <c r="Q595" i="17" s="1"/>
  <c r="P596" i="17"/>
  <c r="Q596" i="17" s="1"/>
  <c r="P597" i="17"/>
  <c r="Q597" i="17" s="1"/>
  <c r="P598" i="17"/>
  <c r="Q598" i="17" s="1"/>
  <c r="P599" i="17"/>
  <c r="Q599" i="17" s="1"/>
  <c r="P600" i="17"/>
  <c r="Q600" i="17" s="1"/>
  <c r="P601" i="17"/>
  <c r="Q601" i="17" s="1"/>
  <c r="P602" i="17"/>
  <c r="Q602" i="17" s="1"/>
  <c r="P603" i="17"/>
  <c r="Q603" i="17" s="1"/>
  <c r="P604" i="17"/>
  <c r="Q604" i="17" s="1"/>
  <c r="P605" i="17"/>
  <c r="Q605" i="17" s="1"/>
  <c r="P606" i="17"/>
  <c r="Q606" i="17" s="1"/>
  <c r="P607" i="17"/>
  <c r="Q607" i="17" s="1"/>
  <c r="P608" i="17"/>
  <c r="Q608" i="17" s="1"/>
  <c r="P609" i="17"/>
  <c r="Q609" i="17" s="1"/>
  <c r="P610" i="17"/>
  <c r="Q610" i="17" s="1"/>
  <c r="P611" i="17"/>
  <c r="Q611" i="17" s="1"/>
  <c r="P612" i="17"/>
  <c r="Q612" i="17" s="1"/>
  <c r="P613" i="17"/>
  <c r="Q613" i="17" s="1"/>
  <c r="P614" i="17"/>
  <c r="Q614" i="17" s="1"/>
  <c r="P615" i="17"/>
  <c r="Q615" i="17" s="1"/>
  <c r="P616" i="17"/>
  <c r="Q616" i="17" s="1"/>
  <c r="P617" i="17"/>
  <c r="Q617" i="17" s="1"/>
  <c r="P618" i="17"/>
  <c r="Q618" i="17" s="1"/>
  <c r="P619" i="17"/>
  <c r="Q619" i="17" s="1"/>
  <c r="P620" i="17"/>
  <c r="Q620" i="17" s="1"/>
  <c r="P621" i="17"/>
  <c r="Q621" i="17" s="1"/>
  <c r="P622" i="17"/>
  <c r="Q622" i="17" s="1"/>
  <c r="P623" i="17"/>
  <c r="Q623" i="17" s="1"/>
  <c r="P624" i="17"/>
  <c r="Q624" i="17" s="1"/>
  <c r="P625" i="17"/>
  <c r="Q625" i="17" s="1"/>
  <c r="P626" i="17"/>
  <c r="Q626" i="17" s="1"/>
  <c r="P627" i="17"/>
  <c r="Q627" i="17" s="1"/>
  <c r="P628" i="17"/>
  <c r="Q628" i="17" s="1"/>
  <c r="P629" i="17"/>
  <c r="Q629" i="17" s="1"/>
  <c r="P630" i="17"/>
  <c r="Q630" i="17" s="1"/>
  <c r="P631" i="17"/>
  <c r="Q631" i="17" s="1"/>
  <c r="P632" i="17"/>
  <c r="Q632" i="17" s="1"/>
  <c r="P633" i="17"/>
  <c r="Q633" i="17" s="1"/>
  <c r="P634" i="17"/>
  <c r="Q634" i="17" s="1"/>
  <c r="P635" i="17"/>
  <c r="Q635" i="17" s="1"/>
  <c r="P636" i="17"/>
  <c r="Q636" i="17" s="1"/>
  <c r="P637" i="17"/>
  <c r="Q637" i="17" s="1"/>
  <c r="P638" i="17"/>
  <c r="Q638" i="17" s="1"/>
  <c r="P639" i="17"/>
  <c r="Q639" i="17" s="1"/>
  <c r="P640" i="17"/>
  <c r="Q640" i="17" s="1"/>
  <c r="P641" i="17"/>
  <c r="Q641" i="17" s="1"/>
  <c r="P642" i="17"/>
  <c r="Q642" i="17" s="1"/>
  <c r="P643" i="17"/>
  <c r="Q643" i="17" s="1"/>
  <c r="P644" i="17"/>
  <c r="Q644" i="17" s="1"/>
  <c r="P645" i="17"/>
  <c r="Q645" i="17" s="1"/>
  <c r="P646" i="17"/>
  <c r="Q646" i="17" s="1"/>
  <c r="P647" i="17"/>
  <c r="Q647" i="17" s="1"/>
  <c r="P648" i="17"/>
  <c r="Q648" i="17" s="1"/>
  <c r="P649" i="17"/>
  <c r="Q649" i="17" s="1"/>
  <c r="P650" i="17"/>
  <c r="Q650" i="17" s="1"/>
  <c r="P651" i="17"/>
  <c r="Q651" i="17" s="1"/>
  <c r="P652" i="17"/>
  <c r="Q652" i="17" s="1"/>
  <c r="P653" i="17"/>
  <c r="Q653" i="17" s="1"/>
  <c r="P654" i="17"/>
  <c r="Q654" i="17" s="1"/>
  <c r="P655" i="17"/>
  <c r="Q655" i="17" s="1"/>
  <c r="P656" i="17"/>
  <c r="Q656" i="17" s="1"/>
  <c r="P657" i="17"/>
  <c r="Q657" i="17" s="1"/>
  <c r="P658" i="17"/>
  <c r="Q658" i="17" s="1"/>
  <c r="P659" i="17"/>
  <c r="Q659" i="17" s="1"/>
  <c r="P660" i="17"/>
  <c r="Q660" i="17" s="1"/>
  <c r="P661" i="17"/>
  <c r="Q661" i="17" s="1"/>
  <c r="P662" i="17"/>
  <c r="Q662" i="17" s="1"/>
  <c r="P663" i="17"/>
  <c r="Q663" i="17" s="1"/>
  <c r="P664" i="17"/>
  <c r="Q664" i="17" s="1"/>
  <c r="P665" i="17"/>
  <c r="Q665" i="17" s="1"/>
  <c r="P666" i="17"/>
  <c r="Q666" i="17" s="1"/>
  <c r="P667" i="17"/>
  <c r="Q667" i="17" s="1"/>
  <c r="P668" i="17"/>
  <c r="Q668" i="17" s="1"/>
  <c r="P669" i="17"/>
  <c r="Q669" i="17" s="1"/>
  <c r="P670" i="17"/>
  <c r="Q670" i="17" s="1"/>
  <c r="P671" i="17"/>
  <c r="Q671" i="17" s="1"/>
  <c r="P672" i="17"/>
  <c r="Q672" i="17" s="1"/>
  <c r="P673" i="17"/>
  <c r="Q673" i="17" s="1"/>
  <c r="P674" i="17"/>
  <c r="Q674" i="17" s="1"/>
  <c r="P675" i="17"/>
  <c r="Q675" i="17" s="1"/>
  <c r="P676" i="17"/>
  <c r="Q676" i="17" s="1"/>
  <c r="P677" i="17"/>
  <c r="Q677" i="17" s="1"/>
  <c r="P678" i="17"/>
  <c r="Q678" i="17" s="1"/>
  <c r="P679" i="17"/>
  <c r="Q679" i="17" s="1"/>
  <c r="P680" i="17"/>
  <c r="Q680" i="17" s="1"/>
  <c r="P681" i="17"/>
  <c r="Q681" i="17" s="1"/>
  <c r="P682" i="17"/>
  <c r="Q682" i="17" s="1"/>
  <c r="P683" i="17"/>
  <c r="Q683" i="17" s="1"/>
  <c r="P684" i="17"/>
  <c r="Q684" i="17" s="1"/>
  <c r="P685" i="17"/>
  <c r="Q685" i="17" s="1"/>
  <c r="P686" i="17"/>
  <c r="Q686" i="17" s="1"/>
  <c r="P687" i="17"/>
  <c r="Q687" i="17" s="1"/>
  <c r="P688" i="17"/>
  <c r="Q688" i="17" s="1"/>
  <c r="P689" i="17"/>
  <c r="Q689" i="17" s="1"/>
  <c r="P690" i="17"/>
  <c r="Q690" i="17" s="1"/>
  <c r="P691" i="17"/>
  <c r="Q691" i="17" s="1"/>
  <c r="P692" i="17"/>
  <c r="Q692" i="17" s="1"/>
  <c r="P693" i="17"/>
  <c r="Q693" i="17" s="1"/>
  <c r="P694" i="17"/>
  <c r="Q694" i="17" s="1"/>
  <c r="P695" i="17"/>
  <c r="Q695" i="17" s="1"/>
  <c r="P696" i="17"/>
  <c r="Q696" i="17" s="1"/>
  <c r="P697" i="17"/>
  <c r="Q697" i="17" s="1"/>
  <c r="P698" i="17"/>
  <c r="Q698" i="17" s="1"/>
  <c r="P699" i="17"/>
  <c r="Q699" i="17" s="1"/>
  <c r="P700" i="17"/>
  <c r="Q700" i="17" s="1"/>
  <c r="P701" i="17"/>
  <c r="Q701" i="17" s="1"/>
  <c r="P702" i="17"/>
  <c r="Q702" i="17" s="1"/>
  <c r="P703" i="17"/>
  <c r="Q703" i="17" s="1"/>
  <c r="P704" i="17"/>
  <c r="Q704" i="17" s="1"/>
  <c r="P705" i="17"/>
  <c r="Q705" i="17" s="1"/>
  <c r="P706" i="17"/>
  <c r="Q706" i="17" s="1"/>
  <c r="P707" i="17"/>
  <c r="Q707" i="17" s="1"/>
  <c r="P708" i="17"/>
  <c r="Q708" i="17" s="1"/>
  <c r="P709" i="17"/>
  <c r="Q709" i="17" s="1"/>
  <c r="P710" i="17"/>
  <c r="Q710" i="17" s="1"/>
  <c r="P711" i="17"/>
  <c r="Q711" i="17" s="1"/>
  <c r="P712" i="17"/>
  <c r="Q712" i="17" s="1"/>
  <c r="P713" i="17"/>
  <c r="Q713" i="17" s="1"/>
  <c r="P714" i="17"/>
  <c r="Q714" i="17" s="1"/>
  <c r="P715" i="17"/>
  <c r="Q715" i="17" s="1"/>
  <c r="P716" i="17"/>
  <c r="Q716" i="17" s="1"/>
  <c r="P717" i="17"/>
  <c r="Q717" i="17" s="1"/>
  <c r="P718" i="17"/>
  <c r="Q718" i="17" s="1"/>
  <c r="P719" i="17"/>
  <c r="Q719" i="17" s="1"/>
  <c r="P720" i="17"/>
  <c r="Q720" i="17" s="1"/>
  <c r="P721" i="17"/>
  <c r="Q721" i="17" s="1"/>
  <c r="P722" i="17"/>
  <c r="Q722" i="17" s="1"/>
  <c r="P723" i="17"/>
  <c r="Q723" i="17" s="1"/>
  <c r="P724" i="17"/>
  <c r="Q724" i="17" s="1"/>
  <c r="P725" i="17"/>
  <c r="Q725" i="17" s="1"/>
  <c r="P726" i="17"/>
  <c r="Q726" i="17" s="1"/>
  <c r="P727" i="17"/>
  <c r="Q727" i="17" s="1"/>
  <c r="P728" i="17"/>
  <c r="Q728" i="17" s="1"/>
  <c r="P729" i="17"/>
  <c r="Q729" i="17" s="1"/>
  <c r="P730" i="17"/>
  <c r="Q730" i="17" s="1"/>
  <c r="P731" i="17"/>
  <c r="Q731" i="17" s="1"/>
  <c r="P732" i="17"/>
  <c r="Q732" i="17" s="1"/>
  <c r="P733" i="17"/>
  <c r="Q733" i="17" s="1"/>
  <c r="P734" i="17"/>
  <c r="Q734" i="17" s="1"/>
  <c r="P735" i="17"/>
  <c r="Q735" i="17" s="1"/>
  <c r="P736" i="17"/>
  <c r="Q736" i="17" s="1"/>
  <c r="P737" i="17"/>
  <c r="Q737" i="17" s="1"/>
  <c r="P738" i="17"/>
  <c r="Q738" i="17" s="1"/>
  <c r="P739" i="17"/>
  <c r="Q739" i="17" s="1"/>
  <c r="P740" i="17"/>
  <c r="Q740" i="17" s="1"/>
  <c r="P741" i="17"/>
  <c r="Q741" i="17" s="1"/>
  <c r="P742" i="17"/>
  <c r="Q742" i="17" s="1"/>
  <c r="P743" i="17"/>
  <c r="Q743" i="17" s="1"/>
  <c r="P744" i="17"/>
  <c r="Q744" i="17" s="1"/>
  <c r="P745" i="17"/>
  <c r="Q745" i="17" s="1"/>
  <c r="P746" i="17"/>
  <c r="Q746" i="17" s="1"/>
  <c r="P747" i="17"/>
  <c r="Q747" i="17" s="1"/>
  <c r="P748" i="17"/>
  <c r="Q748" i="17" s="1"/>
  <c r="P749" i="17"/>
  <c r="Q749" i="17" s="1"/>
  <c r="P750" i="17"/>
  <c r="Q750" i="17" s="1"/>
  <c r="P751" i="17"/>
  <c r="Q751" i="17" s="1"/>
  <c r="P752" i="17"/>
  <c r="Q752" i="17" s="1"/>
  <c r="P753" i="17"/>
  <c r="Q753" i="17" s="1"/>
  <c r="P754" i="17"/>
  <c r="Q754" i="17" s="1"/>
  <c r="P755" i="17"/>
  <c r="Q755" i="17" s="1"/>
  <c r="P756" i="17"/>
  <c r="Q756" i="17" s="1"/>
  <c r="P757" i="17"/>
  <c r="Q757" i="17" s="1"/>
  <c r="P758" i="17"/>
  <c r="Q758" i="17" s="1"/>
  <c r="P759" i="17"/>
  <c r="Q759" i="17" s="1"/>
  <c r="P760" i="17"/>
  <c r="Q760" i="17" s="1"/>
  <c r="P761" i="17"/>
  <c r="Q761" i="17" s="1"/>
  <c r="P762" i="17"/>
  <c r="Q762" i="17" s="1"/>
  <c r="P763" i="17"/>
  <c r="Q763" i="17" s="1"/>
  <c r="P764" i="17"/>
  <c r="Q764" i="17" s="1"/>
  <c r="P765" i="17"/>
  <c r="Q765" i="17" s="1"/>
  <c r="P766" i="17"/>
  <c r="Q766" i="17" s="1"/>
  <c r="P767" i="17"/>
  <c r="Q767" i="17" s="1"/>
  <c r="P768" i="17"/>
  <c r="Q768" i="17" s="1"/>
  <c r="P769" i="17"/>
  <c r="Q769" i="17" s="1"/>
  <c r="P770" i="17"/>
  <c r="Q770" i="17" s="1"/>
  <c r="P771" i="17"/>
  <c r="Q771" i="17" s="1"/>
  <c r="P772" i="17"/>
  <c r="Q772" i="17" s="1"/>
  <c r="P773" i="17"/>
  <c r="Q773" i="17" s="1"/>
  <c r="P774" i="17"/>
  <c r="Q774" i="17" s="1"/>
  <c r="P775" i="17"/>
  <c r="Q775" i="17" s="1"/>
  <c r="P776" i="17"/>
  <c r="Q776" i="17" s="1"/>
  <c r="P777" i="17"/>
  <c r="Q777" i="17" s="1"/>
  <c r="P778" i="17"/>
  <c r="Q778" i="17" s="1"/>
  <c r="P779" i="17"/>
  <c r="Q779" i="17" s="1"/>
  <c r="P780" i="17"/>
  <c r="Q780" i="17" s="1"/>
  <c r="P781" i="17"/>
  <c r="Q781" i="17" s="1"/>
  <c r="P782" i="17"/>
  <c r="Q782" i="17" s="1"/>
  <c r="P783" i="17"/>
  <c r="Q783" i="17" s="1"/>
  <c r="P784" i="17"/>
  <c r="Q784" i="17" s="1"/>
  <c r="P785" i="17"/>
  <c r="Q785" i="17" s="1"/>
  <c r="P786" i="17"/>
  <c r="Q786" i="17" s="1"/>
  <c r="P787" i="17"/>
  <c r="Q787" i="17" s="1"/>
  <c r="P788" i="17"/>
  <c r="Q788" i="17" s="1"/>
  <c r="P789" i="17"/>
  <c r="Q789" i="17" s="1"/>
  <c r="P790" i="17"/>
  <c r="Q790" i="17" s="1"/>
  <c r="P791" i="17"/>
  <c r="Q791" i="17" s="1"/>
  <c r="P792" i="17"/>
  <c r="Q792" i="17" s="1"/>
  <c r="P793" i="17"/>
  <c r="Q793" i="17" s="1"/>
  <c r="P794" i="17"/>
  <c r="Q794" i="17" s="1"/>
  <c r="P795" i="17"/>
  <c r="Q795" i="17" s="1"/>
  <c r="P796" i="17"/>
  <c r="Q796" i="17" s="1"/>
  <c r="P797" i="17"/>
  <c r="Q797" i="17" s="1"/>
  <c r="P798" i="17"/>
  <c r="Q798" i="17" s="1"/>
  <c r="P799" i="17"/>
  <c r="Q799" i="17" s="1"/>
  <c r="P800" i="17"/>
  <c r="Q800" i="17" s="1"/>
  <c r="P801" i="17"/>
  <c r="Q801" i="17" s="1"/>
  <c r="P802" i="17"/>
  <c r="Q802" i="17" s="1"/>
  <c r="P803" i="17"/>
  <c r="Q803" i="17" s="1"/>
  <c r="P804" i="17"/>
  <c r="Q804" i="17" s="1"/>
  <c r="P805" i="17"/>
  <c r="Q805" i="17" s="1"/>
  <c r="P806" i="17"/>
  <c r="Q806" i="17" s="1"/>
  <c r="P807" i="17"/>
  <c r="Q807" i="17" s="1"/>
  <c r="P808" i="17"/>
  <c r="Q808" i="17" s="1"/>
  <c r="P809" i="17"/>
  <c r="Q809" i="17" s="1"/>
  <c r="P810" i="17"/>
  <c r="Q810" i="17" s="1"/>
  <c r="P811" i="17"/>
  <c r="Q811" i="17" s="1"/>
  <c r="P812" i="17"/>
  <c r="Q812" i="17" s="1"/>
  <c r="P813" i="17"/>
  <c r="Q813" i="17" s="1"/>
  <c r="P814" i="17"/>
  <c r="Q814" i="17" s="1"/>
  <c r="P815" i="17"/>
  <c r="Q815" i="17" s="1"/>
  <c r="P816" i="17"/>
  <c r="Q816" i="17" s="1"/>
  <c r="P817" i="17"/>
  <c r="Q817" i="17" s="1"/>
  <c r="P818" i="17"/>
  <c r="Q818" i="17" s="1"/>
  <c r="P819" i="17"/>
  <c r="Q819" i="17" s="1"/>
  <c r="P820" i="17"/>
  <c r="Q820" i="17" s="1"/>
  <c r="P821" i="17"/>
  <c r="Q821" i="17" s="1"/>
  <c r="P822" i="17"/>
  <c r="Q822" i="17" s="1"/>
  <c r="P823" i="17"/>
  <c r="Q823" i="17" s="1"/>
  <c r="P824" i="17"/>
  <c r="Q824" i="17" s="1"/>
  <c r="P825" i="17"/>
  <c r="Q825" i="17" s="1"/>
  <c r="P826" i="17"/>
  <c r="Q826" i="17" s="1"/>
  <c r="P827" i="17"/>
  <c r="Q827" i="17" s="1"/>
  <c r="P828" i="17"/>
  <c r="Q828" i="17" s="1"/>
  <c r="P829" i="17"/>
  <c r="Q829" i="17" s="1"/>
  <c r="P830" i="17"/>
  <c r="Q830" i="17" s="1"/>
  <c r="P831" i="17"/>
  <c r="Q831" i="17" s="1"/>
  <c r="P832" i="17"/>
  <c r="Q832" i="17" s="1"/>
  <c r="P833" i="17"/>
  <c r="Q833" i="17" s="1"/>
  <c r="P834" i="17"/>
  <c r="Q834" i="17" s="1"/>
  <c r="P835" i="17"/>
  <c r="Q835" i="17" s="1"/>
  <c r="P836" i="17"/>
  <c r="Q836" i="17" s="1"/>
  <c r="P837" i="17"/>
  <c r="Q837" i="17" s="1"/>
  <c r="P838" i="17"/>
  <c r="Q838" i="17" s="1"/>
  <c r="P839" i="17"/>
  <c r="Q839" i="17" s="1"/>
  <c r="P840" i="17"/>
  <c r="Q840" i="17" s="1"/>
  <c r="P841" i="17"/>
  <c r="Q841" i="17" s="1"/>
  <c r="P842" i="17"/>
  <c r="Q842" i="17" s="1"/>
  <c r="P843" i="17"/>
  <c r="Q843" i="17" s="1"/>
  <c r="P844" i="17"/>
  <c r="Q844" i="17" s="1"/>
  <c r="P845" i="17"/>
  <c r="Q845" i="17" s="1"/>
  <c r="P846" i="17"/>
  <c r="Q846" i="17" s="1"/>
  <c r="P847" i="17"/>
  <c r="Q847" i="17" s="1"/>
  <c r="P848" i="17"/>
  <c r="Q848" i="17" s="1"/>
  <c r="P849" i="17"/>
  <c r="Q849" i="17" s="1"/>
  <c r="P850" i="17"/>
  <c r="Q850" i="17" s="1"/>
  <c r="P851" i="17"/>
  <c r="Q851" i="17" s="1"/>
  <c r="P852" i="17"/>
  <c r="Q852" i="17" s="1"/>
  <c r="P853" i="17"/>
  <c r="Q853" i="17" s="1"/>
  <c r="P854" i="17"/>
  <c r="Q854" i="17" s="1"/>
  <c r="P855" i="17"/>
  <c r="Q855" i="17" s="1"/>
  <c r="P856" i="17"/>
  <c r="Q856" i="17" s="1"/>
  <c r="P857" i="17"/>
  <c r="Q857" i="17" s="1"/>
  <c r="P858" i="17"/>
  <c r="Q858" i="17" s="1"/>
  <c r="P859" i="17"/>
  <c r="Q859" i="17" s="1"/>
  <c r="P860" i="17"/>
  <c r="Q860" i="17" s="1"/>
  <c r="P861" i="17"/>
  <c r="Q861" i="17" s="1"/>
  <c r="P862" i="17"/>
  <c r="Q862" i="17" s="1"/>
  <c r="P863" i="17"/>
  <c r="Q863" i="17" s="1"/>
  <c r="P864" i="17"/>
  <c r="Q864" i="17" s="1"/>
  <c r="P865" i="17"/>
  <c r="Q865" i="17" s="1"/>
  <c r="P866" i="17"/>
  <c r="Q866" i="17" s="1"/>
  <c r="P867" i="17"/>
  <c r="Q867" i="17" s="1"/>
  <c r="P868" i="17"/>
  <c r="Q868" i="17" s="1"/>
  <c r="P869" i="17"/>
  <c r="Q869" i="17" s="1"/>
  <c r="P870" i="17"/>
  <c r="Q870" i="17" s="1"/>
  <c r="P871" i="17"/>
  <c r="Q871" i="17" s="1"/>
  <c r="P872" i="17"/>
  <c r="Q872" i="17" s="1"/>
  <c r="P873" i="17"/>
  <c r="Q873" i="17" s="1"/>
  <c r="P874" i="17"/>
  <c r="Q874" i="17" s="1"/>
  <c r="P875" i="17"/>
  <c r="Q875" i="17" s="1"/>
  <c r="P876" i="17"/>
  <c r="Q876" i="17" s="1"/>
  <c r="P877" i="17"/>
  <c r="Q877" i="17" s="1"/>
  <c r="P878" i="17"/>
  <c r="Q878" i="17" s="1"/>
  <c r="P879" i="17"/>
  <c r="Q879" i="17" s="1"/>
  <c r="P880" i="17"/>
  <c r="Q880" i="17" s="1"/>
  <c r="P881" i="17"/>
  <c r="Q881" i="17" s="1"/>
  <c r="P882" i="17"/>
  <c r="Q882" i="17" s="1"/>
  <c r="P883" i="17"/>
  <c r="Q883" i="17" s="1"/>
  <c r="P884" i="17"/>
  <c r="Q884" i="17" s="1"/>
  <c r="P885" i="17"/>
  <c r="Q885" i="17" s="1"/>
  <c r="P886" i="17"/>
  <c r="Q886" i="17" s="1"/>
  <c r="P887" i="17"/>
  <c r="Q887" i="17" s="1"/>
  <c r="P888" i="17"/>
  <c r="Q888" i="17" s="1"/>
  <c r="P889" i="17"/>
  <c r="Q889" i="17" s="1"/>
  <c r="P890" i="17"/>
  <c r="Q890" i="17" s="1"/>
  <c r="P891" i="17"/>
  <c r="Q891" i="17" s="1"/>
  <c r="P892" i="17"/>
  <c r="Q892" i="17" s="1"/>
  <c r="P893" i="17"/>
  <c r="Q893" i="17" s="1"/>
  <c r="P894" i="17"/>
  <c r="Q894" i="17" s="1"/>
  <c r="P895" i="17"/>
  <c r="Q895" i="17" s="1"/>
  <c r="P896" i="17"/>
  <c r="Q896" i="17" s="1"/>
  <c r="P897" i="17"/>
  <c r="Q897" i="17" s="1"/>
  <c r="P898" i="17"/>
  <c r="Q898" i="17" s="1"/>
  <c r="P899" i="17"/>
  <c r="Q899" i="17" s="1"/>
  <c r="P900" i="17"/>
  <c r="Q900" i="17" s="1"/>
  <c r="P901" i="17"/>
  <c r="Q901" i="17" s="1"/>
  <c r="P902" i="17"/>
  <c r="Q902" i="17" s="1"/>
  <c r="P903" i="17"/>
  <c r="Q903" i="17" s="1"/>
  <c r="P904" i="17"/>
  <c r="Q904" i="17" s="1"/>
  <c r="P905" i="17"/>
  <c r="Q905" i="17" s="1"/>
  <c r="P906" i="17"/>
  <c r="Q906" i="17" s="1"/>
  <c r="P907" i="17"/>
  <c r="Q907" i="17" s="1"/>
  <c r="P908" i="17"/>
  <c r="Q908" i="17" s="1"/>
  <c r="P909" i="17"/>
  <c r="Q909" i="17" s="1"/>
  <c r="P910" i="17"/>
  <c r="Q910" i="17" s="1"/>
  <c r="P911" i="17"/>
  <c r="Q911" i="17" s="1"/>
  <c r="P912" i="17"/>
  <c r="Q912" i="17" s="1"/>
  <c r="P913" i="17"/>
  <c r="Q913" i="17" s="1"/>
  <c r="P914" i="17"/>
  <c r="Q914" i="17" s="1"/>
  <c r="P915" i="17"/>
  <c r="Q915" i="17" s="1"/>
  <c r="P916" i="17"/>
  <c r="Q916" i="17" s="1"/>
  <c r="P917" i="17"/>
  <c r="Q917" i="17" s="1"/>
  <c r="P918" i="17"/>
  <c r="Q918" i="17" s="1"/>
  <c r="P919" i="17"/>
  <c r="Q919" i="17" s="1"/>
  <c r="P920" i="17"/>
  <c r="Q920" i="17" s="1"/>
  <c r="P921" i="17"/>
  <c r="Q921" i="17" s="1"/>
  <c r="P922" i="17"/>
  <c r="Q922" i="17" s="1"/>
  <c r="P923" i="17"/>
  <c r="Q923" i="17" s="1"/>
  <c r="P924" i="17"/>
  <c r="Q924" i="17" s="1"/>
  <c r="P925" i="17"/>
  <c r="Q925" i="17" s="1"/>
  <c r="P926" i="17"/>
  <c r="Q926" i="17" s="1"/>
  <c r="P927" i="17"/>
  <c r="Q927" i="17" s="1"/>
  <c r="P928" i="17"/>
  <c r="Q928" i="17" s="1"/>
  <c r="P929" i="17"/>
  <c r="Q929" i="17" s="1"/>
  <c r="P930" i="17"/>
  <c r="Q930" i="17" s="1"/>
  <c r="P931" i="17"/>
  <c r="Q931" i="17" s="1"/>
  <c r="P932" i="17"/>
  <c r="Q932" i="17" s="1"/>
  <c r="P933" i="17"/>
  <c r="Q933" i="17" s="1"/>
  <c r="P934" i="17"/>
  <c r="Q934" i="17" s="1"/>
  <c r="P935" i="17"/>
  <c r="Q935" i="17" s="1"/>
  <c r="P936" i="17"/>
  <c r="Q936" i="17" s="1"/>
  <c r="P937" i="17"/>
  <c r="Q937" i="17" s="1"/>
  <c r="P938" i="17"/>
  <c r="Q938" i="17" s="1"/>
  <c r="P939" i="17"/>
  <c r="Q939" i="17" s="1"/>
  <c r="P940" i="17"/>
  <c r="Q940" i="17" s="1"/>
  <c r="P941" i="17"/>
  <c r="Q941" i="17" s="1"/>
  <c r="P942" i="17"/>
  <c r="Q942" i="17" s="1"/>
  <c r="P943" i="17"/>
  <c r="Q943" i="17" s="1"/>
  <c r="P944" i="17"/>
  <c r="Q944" i="17" s="1"/>
  <c r="P945" i="17"/>
  <c r="Q945" i="17" s="1"/>
  <c r="P946" i="17"/>
  <c r="Q946" i="17" s="1"/>
  <c r="P947" i="17"/>
  <c r="Q947" i="17" s="1"/>
  <c r="P948" i="17"/>
  <c r="Q948" i="17" s="1"/>
  <c r="P949" i="17"/>
  <c r="Q949" i="17" s="1"/>
  <c r="P950" i="17"/>
  <c r="Q950" i="17" s="1"/>
  <c r="P951" i="17"/>
  <c r="Q951" i="17" s="1"/>
  <c r="P952" i="17"/>
  <c r="Q952" i="17" s="1"/>
  <c r="P953" i="17"/>
  <c r="Q953" i="17" s="1"/>
  <c r="P954" i="17"/>
  <c r="Q954" i="17" s="1"/>
  <c r="P955" i="17"/>
  <c r="Q955" i="17" s="1"/>
  <c r="P956" i="17"/>
  <c r="Q956" i="17" s="1"/>
  <c r="P957" i="17"/>
  <c r="Q957" i="17" s="1"/>
  <c r="P958" i="17"/>
  <c r="Q958" i="17" s="1"/>
  <c r="P959" i="17"/>
  <c r="Q959" i="17" s="1"/>
  <c r="P960" i="17"/>
  <c r="Q960" i="17" s="1"/>
  <c r="P961" i="17"/>
  <c r="Q961" i="17" s="1"/>
  <c r="P962" i="17"/>
  <c r="Q962" i="17" s="1"/>
  <c r="P963" i="17"/>
  <c r="Q963" i="17" s="1"/>
  <c r="P964" i="17"/>
  <c r="Q964" i="17" s="1"/>
  <c r="P965" i="17"/>
  <c r="Q965" i="17" s="1"/>
  <c r="P966" i="17"/>
  <c r="Q966" i="17" s="1"/>
  <c r="P967" i="17"/>
  <c r="Q967" i="17" s="1"/>
  <c r="P968" i="17"/>
  <c r="Q968" i="17" s="1"/>
  <c r="P969" i="17"/>
  <c r="Q969" i="17" s="1"/>
  <c r="P970" i="17"/>
  <c r="Q970" i="17" s="1"/>
  <c r="P971" i="17"/>
  <c r="Q971" i="17" s="1"/>
  <c r="P972" i="17"/>
  <c r="Q972" i="17" s="1"/>
  <c r="P973" i="17"/>
  <c r="Q973" i="17" s="1"/>
  <c r="P974" i="17"/>
  <c r="Q974" i="17" s="1"/>
  <c r="P975" i="17"/>
  <c r="Q975" i="17" s="1"/>
  <c r="P976" i="17"/>
  <c r="Q976" i="17" s="1"/>
  <c r="P977" i="17"/>
  <c r="Q977" i="17" s="1"/>
  <c r="P978" i="17"/>
  <c r="Q978" i="17" s="1"/>
  <c r="P979" i="17"/>
  <c r="Q979" i="17" s="1"/>
  <c r="P980" i="17"/>
  <c r="Q980" i="17" s="1"/>
  <c r="P981" i="17"/>
  <c r="Q981" i="17" s="1"/>
  <c r="P982" i="17"/>
  <c r="Q982" i="17" s="1"/>
  <c r="P983" i="17"/>
  <c r="Q983" i="17" s="1"/>
  <c r="P984" i="17"/>
  <c r="Q984" i="17" s="1"/>
  <c r="P985" i="17"/>
  <c r="Q985" i="17" s="1"/>
  <c r="P986" i="17"/>
  <c r="Q986" i="17" s="1"/>
  <c r="P987" i="17"/>
  <c r="Q987" i="17" s="1"/>
  <c r="P988" i="17"/>
  <c r="Q988" i="17" s="1"/>
  <c r="P989" i="17"/>
  <c r="Q989" i="17" s="1"/>
  <c r="P990" i="17"/>
  <c r="Q990" i="17" s="1"/>
  <c r="P991" i="17"/>
  <c r="Q991" i="17" s="1"/>
  <c r="P992" i="17"/>
  <c r="Q992" i="17" s="1"/>
  <c r="P993" i="17"/>
  <c r="Q993" i="17" s="1"/>
  <c r="P994" i="17"/>
  <c r="Q994" i="17" s="1"/>
  <c r="P995" i="17"/>
  <c r="Q995" i="17" s="1"/>
  <c r="P996" i="17"/>
  <c r="Q996" i="17" s="1"/>
  <c r="P997" i="17"/>
  <c r="Q997" i="17" s="1"/>
  <c r="P998" i="17"/>
  <c r="Q998" i="17" s="1"/>
  <c r="P999" i="17"/>
  <c r="Q999" i="17" s="1"/>
  <c r="P1000" i="17"/>
  <c r="Q1000" i="17" s="1"/>
  <c r="P1001" i="17"/>
  <c r="Q1001" i="17" s="1"/>
  <c r="P1002" i="17"/>
  <c r="Q1002" i="17" s="1"/>
  <c r="P1003" i="17"/>
  <c r="Q1003" i="17" s="1"/>
  <c r="P1004" i="17"/>
  <c r="Q1004" i="17" s="1"/>
  <c r="P1005" i="17"/>
  <c r="Q1005" i="17" s="1"/>
  <c r="P1006" i="17"/>
  <c r="Q1006" i="17" s="1"/>
  <c r="P1007" i="17"/>
  <c r="Q1007" i="17" s="1"/>
  <c r="P1008" i="17"/>
  <c r="Q1008" i="17" s="1"/>
  <c r="P1009" i="17"/>
  <c r="Q1009" i="17" s="1"/>
  <c r="P1010" i="17"/>
  <c r="Q1010" i="17" s="1"/>
  <c r="P1011" i="17"/>
  <c r="Q1011" i="17" s="1"/>
  <c r="P1012" i="17"/>
  <c r="Q1012" i="17" s="1"/>
  <c r="P1013" i="17"/>
  <c r="Q1013" i="17" s="1"/>
  <c r="P1014" i="17"/>
  <c r="Q1014" i="17" s="1"/>
  <c r="P1015" i="17"/>
  <c r="Q1015" i="17" s="1"/>
  <c r="P1016" i="17"/>
  <c r="Q1016" i="17" s="1"/>
  <c r="P1017" i="17"/>
  <c r="Q1017" i="17" s="1"/>
  <c r="P1018" i="17"/>
  <c r="Q1018" i="17" s="1"/>
  <c r="P1019" i="17"/>
  <c r="Q1019" i="17" s="1"/>
  <c r="P1020" i="17"/>
  <c r="Q1020" i="17" s="1"/>
  <c r="P1021" i="17"/>
  <c r="Q1021" i="17" s="1"/>
  <c r="P1022" i="17"/>
  <c r="Q1022" i="17" s="1"/>
  <c r="P1023" i="17"/>
  <c r="Q1023" i="17" s="1"/>
  <c r="P1024" i="17"/>
  <c r="Q1024" i="17" s="1"/>
  <c r="P1025" i="17"/>
  <c r="Q1025" i="17" s="1"/>
  <c r="P1026" i="17"/>
  <c r="Q1026" i="17" s="1"/>
  <c r="P1027" i="17"/>
  <c r="Q1027" i="17" s="1"/>
  <c r="P1028" i="17"/>
  <c r="Q1028" i="17" s="1"/>
  <c r="P1029" i="17"/>
  <c r="Q1029" i="17" s="1"/>
  <c r="P1030" i="17"/>
  <c r="Q1030" i="17" s="1"/>
  <c r="P1031" i="17"/>
  <c r="Q1031" i="17" s="1"/>
  <c r="P1032" i="17"/>
  <c r="Q1032" i="17" s="1"/>
  <c r="P1033" i="17"/>
  <c r="Q1033" i="17" s="1"/>
  <c r="P1034" i="17"/>
  <c r="Q1034" i="17" s="1"/>
  <c r="P1035" i="17"/>
  <c r="Q1035" i="17" s="1"/>
  <c r="P1036" i="17"/>
  <c r="Q1036" i="17" s="1"/>
  <c r="P1037" i="17"/>
  <c r="Q1037" i="17" s="1"/>
  <c r="P1038" i="17"/>
  <c r="Q1038" i="17" s="1"/>
  <c r="P1039" i="17"/>
  <c r="Q1039" i="17" s="1"/>
  <c r="P1040" i="17"/>
  <c r="Q1040" i="17" s="1"/>
  <c r="P1041" i="17"/>
  <c r="Q1041" i="17" s="1"/>
  <c r="P1042" i="17"/>
  <c r="Q1042" i="17" s="1"/>
  <c r="P1043" i="17"/>
  <c r="Q1043" i="17" s="1"/>
  <c r="P1044" i="17"/>
  <c r="Q1044" i="17" s="1"/>
  <c r="P1045" i="17"/>
  <c r="Q1045" i="17" s="1"/>
  <c r="P1046" i="17"/>
  <c r="Q1046" i="17" s="1"/>
  <c r="P1047" i="17"/>
  <c r="Q1047" i="17" s="1"/>
  <c r="P1048" i="17"/>
  <c r="Q1048" i="17" s="1"/>
  <c r="P1049" i="17"/>
  <c r="Q1049" i="17" s="1"/>
  <c r="P1050" i="17"/>
  <c r="Q1050" i="17" s="1"/>
  <c r="P1051" i="17"/>
  <c r="Q1051" i="17" s="1"/>
  <c r="P1052" i="17"/>
  <c r="Q1052" i="17" s="1"/>
  <c r="P1053" i="17"/>
  <c r="Q1053" i="17" s="1"/>
  <c r="P1054" i="17"/>
  <c r="Q1054" i="17" s="1"/>
  <c r="P1055" i="17"/>
  <c r="Q1055" i="17" s="1"/>
  <c r="P1056" i="17"/>
  <c r="Q1056" i="17" s="1"/>
  <c r="P1057" i="17"/>
  <c r="Q1057" i="17" s="1"/>
  <c r="P1058" i="17"/>
  <c r="Q1058" i="17" s="1"/>
  <c r="P1059" i="17"/>
  <c r="Q1059" i="17" s="1"/>
  <c r="P1060" i="17"/>
  <c r="Q1060" i="17" s="1"/>
  <c r="P1061" i="17"/>
  <c r="Q1061" i="17" s="1"/>
  <c r="P1062" i="17"/>
  <c r="Q1062" i="17" s="1"/>
  <c r="P1063" i="17"/>
  <c r="Q1063" i="17" s="1"/>
  <c r="P1064" i="17"/>
  <c r="Q1064" i="17" s="1"/>
  <c r="P1065" i="17"/>
  <c r="Q1065" i="17" s="1"/>
  <c r="P1066" i="17"/>
  <c r="Q1066" i="17" s="1"/>
  <c r="P1067" i="17"/>
  <c r="Q1067" i="17" s="1"/>
  <c r="P1068" i="17"/>
  <c r="Q1068" i="17" s="1"/>
  <c r="P1069" i="17"/>
  <c r="Q1069" i="17" s="1"/>
  <c r="P1070" i="17"/>
  <c r="Q1070" i="17" s="1"/>
  <c r="P1071" i="17"/>
  <c r="Q1071" i="17" s="1"/>
  <c r="P1072" i="17"/>
  <c r="Q1072" i="17" s="1"/>
  <c r="P1073" i="17"/>
  <c r="Q1073" i="17" s="1"/>
  <c r="P1074" i="17"/>
  <c r="Q1074" i="17" s="1"/>
  <c r="P1075" i="17"/>
  <c r="Q1075" i="17" s="1"/>
  <c r="P1076" i="17"/>
  <c r="Q1076" i="17" s="1"/>
  <c r="P1077" i="17"/>
  <c r="Q1077" i="17" s="1"/>
  <c r="P1078" i="17"/>
  <c r="Q1078" i="17" s="1"/>
  <c r="P1079" i="17"/>
  <c r="Q1079" i="17" s="1"/>
  <c r="P1080" i="17"/>
  <c r="Q1080" i="17" s="1"/>
  <c r="P1081" i="17"/>
  <c r="Q1081" i="17" s="1"/>
  <c r="P1082" i="17"/>
  <c r="Q1082" i="17" s="1"/>
  <c r="P1083" i="17"/>
  <c r="Q1083" i="17" s="1"/>
  <c r="P1084" i="17"/>
  <c r="Q1084" i="17" s="1"/>
  <c r="P1085" i="17"/>
  <c r="Q1085" i="17" s="1"/>
  <c r="P1086" i="17"/>
  <c r="Q1086" i="17" s="1"/>
  <c r="P1087" i="17"/>
  <c r="Q1087" i="17" s="1"/>
  <c r="P1088" i="17"/>
  <c r="Q1088" i="17" s="1"/>
  <c r="P1089" i="17"/>
  <c r="Q1089" i="17" s="1"/>
  <c r="P1090" i="17"/>
  <c r="Q1090" i="17" s="1"/>
  <c r="P1091" i="17"/>
  <c r="Q1091" i="17" s="1"/>
  <c r="P1092" i="17"/>
  <c r="Q1092" i="17" s="1"/>
  <c r="P1093" i="17"/>
  <c r="Q1093" i="17" s="1"/>
  <c r="P1094" i="17"/>
  <c r="Q1094" i="17" s="1"/>
  <c r="P1095" i="17"/>
  <c r="Q1095" i="17" s="1"/>
  <c r="P1096" i="17"/>
  <c r="Q1096" i="17" s="1"/>
  <c r="P1097" i="17"/>
  <c r="Q1097" i="17" s="1"/>
  <c r="P1098" i="17"/>
  <c r="Q1098" i="17" s="1"/>
  <c r="P1099" i="17"/>
  <c r="Q1099" i="17" s="1"/>
  <c r="P1100" i="17"/>
  <c r="Q1100" i="17" s="1"/>
  <c r="P1101" i="17"/>
  <c r="Q1101" i="17" s="1"/>
  <c r="P1102" i="17"/>
  <c r="Q1102" i="17" s="1"/>
  <c r="P1103" i="17"/>
  <c r="Q1103" i="17" s="1"/>
  <c r="P1104" i="17"/>
  <c r="Q1104" i="17" s="1"/>
  <c r="P1105" i="17"/>
  <c r="Q1105" i="17" s="1"/>
  <c r="P1106" i="17"/>
  <c r="Q1106" i="17" s="1"/>
  <c r="P1107" i="17"/>
  <c r="Q1107" i="17" s="1"/>
  <c r="P1108" i="17"/>
  <c r="Q1108" i="17" s="1"/>
  <c r="P1109" i="17"/>
  <c r="Q1109" i="17" s="1"/>
  <c r="P1110" i="17"/>
  <c r="Q1110" i="17" s="1"/>
  <c r="P1111" i="17"/>
  <c r="Q1111" i="17" s="1"/>
  <c r="P1112" i="17"/>
  <c r="Q1112" i="17" s="1"/>
  <c r="P1113" i="17"/>
  <c r="Q1113" i="17" s="1"/>
  <c r="P1114" i="17"/>
  <c r="Q1114" i="17" s="1"/>
  <c r="P1115" i="17"/>
  <c r="Q1115" i="17" s="1"/>
  <c r="P1116" i="17"/>
  <c r="Q1116" i="17" s="1"/>
  <c r="P1117" i="17"/>
  <c r="Q1117" i="17" s="1"/>
  <c r="P1118" i="17"/>
  <c r="Q1118" i="17" s="1"/>
  <c r="P1119" i="17"/>
  <c r="Q1119" i="17" s="1"/>
  <c r="P1120" i="17"/>
  <c r="Q1120" i="17" s="1"/>
  <c r="P1121" i="17"/>
  <c r="Q1121" i="17" s="1"/>
  <c r="P1122" i="17"/>
  <c r="Q1122" i="17" s="1"/>
  <c r="P1123" i="17"/>
  <c r="Q1123" i="17" s="1"/>
  <c r="P1124" i="17"/>
  <c r="Q1124" i="17" s="1"/>
  <c r="P1125" i="17"/>
  <c r="Q1125" i="17" s="1"/>
  <c r="P1126" i="17"/>
  <c r="Q1126" i="17" s="1"/>
  <c r="P1127" i="17"/>
  <c r="Q1127" i="17" s="1"/>
  <c r="P1128" i="17"/>
  <c r="Q1128" i="17" s="1"/>
  <c r="P1129" i="17"/>
  <c r="Q1129" i="17" s="1"/>
  <c r="P1130" i="17"/>
  <c r="Q1130" i="17" s="1"/>
  <c r="P1131" i="17"/>
  <c r="Q1131" i="17" s="1"/>
  <c r="P1132" i="17"/>
  <c r="Q1132" i="17" s="1"/>
  <c r="P1133" i="17"/>
  <c r="Q1133" i="17" s="1"/>
  <c r="P1134" i="17"/>
  <c r="Q1134" i="17" s="1"/>
  <c r="P1135" i="17"/>
  <c r="Q1135" i="17" s="1"/>
  <c r="P1136" i="17"/>
  <c r="Q1136" i="17" s="1"/>
  <c r="P1137" i="17"/>
  <c r="Q1137" i="17" s="1"/>
  <c r="P1138" i="17"/>
  <c r="Q1138" i="17" s="1"/>
  <c r="P1139" i="17"/>
  <c r="Q1139" i="17" s="1"/>
  <c r="P1140" i="17"/>
  <c r="Q1140" i="17" s="1"/>
  <c r="P1141" i="17"/>
  <c r="Q1141" i="17" s="1"/>
  <c r="P1142" i="17"/>
  <c r="Q1142" i="17" s="1"/>
  <c r="P1143" i="17"/>
  <c r="Q1143" i="17" s="1"/>
  <c r="P1144" i="17"/>
  <c r="Q1144" i="17" s="1"/>
  <c r="P1145" i="17"/>
  <c r="Q1145" i="17" s="1"/>
  <c r="P1146" i="17"/>
  <c r="Q1146" i="17" s="1"/>
  <c r="P1147" i="17"/>
  <c r="Q1147" i="17" s="1"/>
  <c r="P1148" i="17"/>
  <c r="Q1148" i="17" s="1"/>
  <c r="P1149" i="17"/>
  <c r="Q1149" i="17" s="1"/>
  <c r="P1150" i="17"/>
  <c r="Q1150" i="17" s="1"/>
  <c r="P1151" i="17"/>
  <c r="Q1151" i="17" s="1"/>
  <c r="P1152" i="17"/>
  <c r="Q1152" i="17" s="1"/>
  <c r="P1153" i="17"/>
  <c r="Q1153" i="17" s="1"/>
  <c r="P1154" i="17"/>
  <c r="Q1154" i="17" s="1"/>
  <c r="P1155" i="17"/>
  <c r="Q1155" i="17" s="1"/>
  <c r="P1156" i="17"/>
  <c r="Q1156" i="17" s="1"/>
  <c r="P1157" i="17"/>
  <c r="Q1157" i="17" s="1"/>
  <c r="P1158" i="17"/>
  <c r="Q1158" i="17" s="1"/>
  <c r="P1159" i="17"/>
  <c r="Q1159" i="17" s="1"/>
  <c r="P1160" i="17"/>
  <c r="Q1160" i="17" s="1"/>
  <c r="P1161" i="17"/>
  <c r="Q1161" i="17" s="1"/>
  <c r="P1162" i="17"/>
  <c r="Q1162" i="17" s="1"/>
  <c r="P1163" i="17"/>
  <c r="Q1163" i="17" s="1"/>
  <c r="P1164" i="17"/>
  <c r="Q1164" i="17" s="1"/>
  <c r="P1165" i="17"/>
  <c r="Q1165" i="17" s="1"/>
  <c r="P1166" i="17"/>
  <c r="Q1166" i="17" s="1"/>
  <c r="P1167" i="17"/>
  <c r="Q1167" i="17" s="1"/>
  <c r="P1168" i="17"/>
  <c r="Q1168" i="17" s="1"/>
  <c r="P1169" i="17"/>
  <c r="Q1169" i="17" s="1"/>
  <c r="P1170" i="17"/>
  <c r="Q1170" i="17" s="1"/>
  <c r="P1171" i="17"/>
  <c r="Q1171" i="17" s="1"/>
  <c r="P1172" i="17"/>
  <c r="Q1172" i="17" s="1"/>
  <c r="P1173" i="17"/>
  <c r="Q1173" i="17" s="1"/>
  <c r="P1174" i="17"/>
  <c r="Q1174" i="17" s="1"/>
  <c r="P1175" i="17"/>
  <c r="Q1175" i="17" s="1"/>
  <c r="P1176" i="17"/>
  <c r="Q1176" i="17" s="1"/>
  <c r="P1177" i="17"/>
  <c r="Q1177" i="17" s="1"/>
  <c r="P1178" i="17"/>
  <c r="Q1178" i="17" s="1"/>
  <c r="P1179" i="17"/>
  <c r="Q1179" i="17" s="1"/>
  <c r="P1180" i="17"/>
  <c r="Q1180" i="17" s="1"/>
  <c r="P1181" i="17"/>
  <c r="Q1181" i="17" s="1"/>
  <c r="P1182" i="17"/>
  <c r="Q1182" i="17" s="1"/>
  <c r="P1183" i="17"/>
  <c r="Q1183" i="17" s="1"/>
  <c r="P1184" i="17"/>
  <c r="Q1184" i="17" s="1"/>
  <c r="P1185" i="17"/>
  <c r="Q1185" i="17" s="1"/>
  <c r="P1186" i="17"/>
  <c r="Q1186" i="17" s="1"/>
  <c r="P1187" i="17"/>
  <c r="Q1187" i="17" s="1"/>
  <c r="P1188" i="17"/>
  <c r="Q1188" i="17" s="1"/>
  <c r="P1189" i="17"/>
  <c r="Q1189" i="17" s="1"/>
  <c r="P1190" i="17"/>
  <c r="Q1190" i="17" s="1"/>
  <c r="P1191" i="17"/>
  <c r="Q1191" i="17" s="1"/>
  <c r="P1192" i="17"/>
  <c r="Q1192" i="17" s="1"/>
  <c r="P1193" i="17"/>
  <c r="Q1193" i="17" s="1"/>
  <c r="P1194" i="17"/>
  <c r="Q1194" i="17" s="1"/>
  <c r="P1195" i="17"/>
  <c r="Q1195" i="17" s="1"/>
  <c r="P1196" i="17"/>
  <c r="Q1196" i="17" s="1"/>
  <c r="P1197" i="17"/>
  <c r="Q1197" i="17" s="1"/>
  <c r="P1198" i="17"/>
  <c r="Q1198" i="17" s="1"/>
  <c r="P1199" i="17"/>
  <c r="Q1199" i="17" s="1"/>
  <c r="P1200" i="17"/>
  <c r="Q1200" i="17" s="1"/>
  <c r="P1201" i="17"/>
  <c r="Q1201" i="17" s="1"/>
  <c r="P1202" i="17"/>
  <c r="Q1202" i="17" s="1"/>
  <c r="P1203" i="17"/>
  <c r="Q1203" i="17" s="1"/>
  <c r="P1204" i="17"/>
  <c r="Q1204" i="17" s="1"/>
  <c r="P1205" i="17"/>
  <c r="Q1205" i="17" s="1"/>
  <c r="P1206" i="17"/>
  <c r="Q1206" i="17" s="1"/>
  <c r="P1207" i="17"/>
  <c r="Q1207" i="17" s="1"/>
  <c r="P1208" i="17"/>
  <c r="Q1208" i="17" s="1"/>
  <c r="P1209" i="17"/>
  <c r="Q1209" i="17" s="1"/>
  <c r="P1210" i="17"/>
  <c r="Q1210" i="17" s="1"/>
  <c r="P1211" i="17"/>
  <c r="Q1211" i="17" s="1"/>
  <c r="P1212" i="17"/>
  <c r="Q1212" i="17" s="1"/>
  <c r="P1213" i="17"/>
  <c r="Q1213" i="17" s="1"/>
  <c r="P1214" i="17"/>
  <c r="Q1214" i="17" s="1"/>
  <c r="P1215" i="17"/>
  <c r="Q1215" i="17" s="1"/>
  <c r="P1216" i="17"/>
  <c r="Q1216" i="17" s="1"/>
  <c r="P1217" i="17"/>
  <c r="Q1217" i="17" s="1"/>
  <c r="P1218" i="17"/>
  <c r="Q1218" i="17" s="1"/>
  <c r="P1219" i="17"/>
  <c r="Q1219" i="17" s="1"/>
  <c r="P1220" i="17"/>
  <c r="Q1220" i="17" s="1"/>
  <c r="P1221" i="17"/>
  <c r="Q1221" i="17" s="1"/>
  <c r="P1222" i="17"/>
  <c r="Q1222" i="17" s="1"/>
  <c r="P1223" i="17"/>
  <c r="Q1223" i="17" s="1"/>
  <c r="P1224" i="17"/>
  <c r="Q1224" i="17" s="1"/>
  <c r="P1225" i="17"/>
  <c r="Q1225" i="17" s="1"/>
  <c r="P1226" i="17"/>
  <c r="Q1226" i="17" s="1"/>
  <c r="P1227" i="17"/>
  <c r="Q1227" i="17" s="1"/>
  <c r="P1228" i="17"/>
  <c r="Q1228" i="17" s="1"/>
  <c r="P1229" i="17"/>
  <c r="Q1229" i="17" s="1"/>
  <c r="P1230" i="17"/>
  <c r="Q1230" i="17" s="1"/>
  <c r="P1231" i="17"/>
  <c r="Q1231" i="17" s="1"/>
  <c r="P1232" i="17"/>
  <c r="Q1232" i="17" s="1"/>
  <c r="P1233" i="17"/>
  <c r="Q1233" i="17" s="1"/>
  <c r="P1234" i="17"/>
  <c r="Q1234" i="17" s="1"/>
  <c r="P1235" i="17"/>
  <c r="Q1235" i="17" s="1"/>
  <c r="P1236" i="17"/>
  <c r="Q1236" i="17" s="1"/>
  <c r="P1237" i="17"/>
  <c r="Q1237" i="17" s="1"/>
  <c r="P1238" i="17"/>
  <c r="Q1238" i="17" s="1"/>
  <c r="P1239" i="17"/>
  <c r="Q1239" i="17" s="1"/>
  <c r="P1240" i="17"/>
  <c r="Q1240" i="17" s="1"/>
  <c r="P1241" i="17"/>
  <c r="Q1241" i="17" s="1"/>
  <c r="P1242" i="17"/>
  <c r="Q1242" i="17" s="1"/>
  <c r="P1243" i="17"/>
  <c r="Q1243" i="17" s="1"/>
  <c r="P1244" i="17"/>
  <c r="Q1244" i="17" s="1"/>
  <c r="P1245" i="17"/>
  <c r="Q1245" i="17" s="1"/>
  <c r="P1246" i="17"/>
  <c r="Q1246" i="17" s="1"/>
  <c r="P1247" i="17"/>
  <c r="Q1247" i="17" s="1"/>
  <c r="P1248" i="17"/>
  <c r="Q1248" i="17" s="1"/>
  <c r="P1249" i="17"/>
  <c r="Q1249" i="17" s="1"/>
  <c r="P1250" i="17"/>
  <c r="Q1250" i="17" s="1"/>
  <c r="P1251" i="17"/>
  <c r="Q1251" i="17" s="1"/>
  <c r="P1252" i="17"/>
  <c r="Q1252" i="17" s="1"/>
  <c r="P1253" i="17"/>
  <c r="Q1253" i="17" s="1"/>
  <c r="P1254" i="17"/>
  <c r="Q1254" i="17" s="1"/>
  <c r="P1255" i="17"/>
  <c r="Q1255" i="17" s="1"/>
  <c r="P1256" i="17"/>
  <c r="Q1256" i="17" s="1"/>
  <c r="P1257" i="17"/>
  <c r="Q1257" i="17" s="1"/>
  <c r="P1258" i="17"/>
  <c r="Q1258" i="17" s="1"/>
  <c r="P1259" i="17"/>
  <c r="Q1259" i="17" s="1"/>
  <c r="P1260" i="17"/>
  <c r="Q1260" i="17" s="1"/>
  <c r="P1261" i="17"/>
  <c r="Q1261" i="17" s="1"/>
  <c r="P1262" i="17"/>
  <c r="Q1262" i="17" s="1"/>
  <c r="P1263" i="17"/>
  <c r="Q1263" i="17" s="1"/>
  <c r="P1264" i="17"/>
  <c r="Q1264" i="17" s="1"/>
  <c r="P1265" i="17"/>
  <c r="Q1265" i="17" s="1"/>
  <c r="P1266" i="17"/>
  <c r="Q1266" i="17" s="1"/>
  <c r="P1267" i="17"/>
  <c r="Q1267" i="17" s="1"/>
  <c r="P1268" i="17"/>
  <c r="Q1268" i="17" s="1"/>
  <c r="P1269" i="17"/>
  <c r="Q1269" i="17" s="1"/>
  <c r="P1270" i="17"/>
  <c r="Q1270" i="17" s="1"/>
  <c r="P1271" i="17"/>
  <c r="Q1271" i="17" s="1"/>
  <c r="P1272" i="17"/>
  <c r="Q1272" i="17" s="1"/>
  <c r="P1273" i="17"/>
  <c r="Q1273" i="17" s="1"/>
  <c r="P1274" i="17"/>
  <c r="Q1274" i="17" s="1"/>
  <c r="P1275" i="17"/>
  <c r="Q1275" i="17" s="1"/>
  <c r="P1276" i="17"/>
  <c r="Q1276" i="17" s="1"/>
  <c r="P1277" i="17"/>
  <c r="Q1277" i="17" s="1"/>
  <c r="P1278" i="17"/>
  <c r="Q1278" i="17" s="1"/>
  <c r="P1279" i="17"/>
  <c r="Q1279" i="17" s="1"/>
  <c r="P1280" i="17"/>
  <c r="Q1280" i="17" s="1"/>
  <c r="P1281" i="17"/>
  <c r="Q1281" i="17" s="1"/>
  <c r="P1282" i="17"/>
  <c r="Q1282" i="17" s="1"/>
  <c r="P1283" i="17"/>
  <c r="Q1283" i="17" s="1"/>
  <c r="P1284" i="17"/>
  <c r="Q1284" i="17" s="1"/>
  <c r="P1285" i="17"/>
  <c r="Q1285" i="17" s="1"/>
  <c r="P1286" i="17"/>
  <c r="Q1286" i="17" s="1"/>
  <c r="P1287" i="17"/>
  <c r="Q1287" i="17" s="1"/>
  <c r="P1288" i="17"/>
  <c r="Q1288" i="17" s="1"/>
  <c r="P1289" i="17"/>
  <c r="Q1289" i="17" s="1"/>
  <c r="P1290" i="17"/>
  <c r="Q1290" i="17" s="1"/>
  <c r="P1291" i="17"/>
  <c r="Q1291" i="17" s="1"/>
  <c r="P1292" i="17"/>
  <c r="Q1292" i="17" s="1"/>
  <c r="P1293" i="17"/>
  <c r="Q1293" i="17" s="1"/>
  <c r="P1294" i="17"/>
  <c r="Q1294" i="17" s="1"/>
  <c r="P1295" i="17"/>
  <c r="Q1295" i="17" s="1"/>
  <c r="P1296" i="17"/>
  <c r="Q1296" i="17" s="1"/>
  <c r="P1297" i="17"/>
  <c r="Q1297" i="17" s="1"/>
  <c r="P1298" i="17"/>
  <c r="Q1298" i="17" s="1"/>
  <c r="P1299" i="17"/>
  <c r="Q1299" i="17" s="1"/>
  <c r="P1300" i="17"/>
  <c r="Q1300" i="17" s="1"/>
  <c r="P1301" i="17"/>
  <c r="Q1301" i="17" s="1"/>
  <c r="P1302" i="17"/>
  <c r="Q1302" i="17" s="1"/>
  <c r="P1303" i="17"/>
  <c r="Q1303" i="17" s="1"/>
  <c r="P1304" i="17"/>
  <c r="Q1304" i="17" s="1"/>
  <c r="P1305" i="17"/>
  <c r="Q1305" i="17" s="1"/>
  <c r="P1306" i="17"/>
  <c r="Q1306" i="17" s="1"/>
  <c r="P1307" i="17"/>
  <c r="Q1307" i="17" s="1"/>
  <c r="P1308" i="17"/>
  <c r="Q1308" i="17" s="1"/>
  <c r="P1309" i="17"/>
  <c r="Q1309" i="17" s="1"/>
  <c r="P1310" i="17"/>
  <c r="Q1310" i="17" s="1"/>
  <c r="P1311" i="17"/>
  <c r="Q1311" i="17" s="1"/>
  <c r="P1312" i="17"/>
  <c r="Q1312" i="17" s="1"/>
  <c r="P1313" i="17"/>
  <c r="Q1313" i="17" s="1"/>
  <c r="P1314" i="17"/>
  <c r="Q1314" i="17" s="1"/>
  <c r="P1315" i="17"/>
  <c r="Q1315" i="17" s="1"/>
  <c r="P1316" i="17"/>
  <c r="Q1316" i="17" s="1"/>
  <c r="P1317" i="17"/>
  <c r="Q1317" i="17" s="1"/>
  <c r="P1318" i="17"/>
  <c r="Q1318" i="17" s="1"/>
  <c r="P1319" i="17"/>
  <c r="Q1319" i="17" s="1"/>
  <c r="P1320" i="17"/>
  <c r="Q1320" i="17" s="1"/>
  <c r="P1321" i="17"/>
  <c r="Q1321" i="17" s="1"/>
  <c r="P1322" i="17"/>
  <c r="Q1322" i="17" s="1"/>
  <c r="P1323" i="17"/>
  <c r="Q1323" i="17" s="1"/>
  <c r="P1324" i="17"/>
  <c r="Q1324" i="17" s="1"/>
  <c r="P1325" i="17"/>
  <c r="Q1325" i="17" s="1"/>
  <c r="P1326" i="17"/>
  <c r="Q1326" i="17" s="1"/>
  <c r="P1327" i="17"/>
  <c r="Q1327" i="17" s="1"/>
  <c r="P1328" i="17"/>
  <c r="Q1328" i="17" s="1"/>
  <c r="P1329" i="17"/>
  <c r="Q1329" i="17" s="1"/>
  <c r="P1330" i="17"/>
  <c r="Q1330" i="17" s="1"/>
  <c r="P1331" i="17"/>
  <c r="Q1331" i="17" s="1"/>
  <c r="P1332" i="17"/>
  <c r="Q1332" i="17" s="1"/>
  <c r="P1333" i="17"/>
  <c r="Q1333" i="17" s="1"/>
  <c r="P1334" i="17"/>
  <c r="Q1334" i="17" s="1"/>
  <c r="P1335" i="17"/>
  <c r="Q1335" i="17" s="1"/>
  <c r="P1336" i="17"/>
  <c r="Q1336" i="17" s="1"/>
  <c r="P1337" i="17"/>
  <c r="Q1337" i="17" s="1"/>
  <c r="P1338" i="17"/>
  <c r="Q1338" i="17" s="1"/>
  <c r="P1339" i="17"/>
  <c r="Q1339" i="17" s="1"/>
  <c r="P1340" i="17"/>
  <c r="Q1340" i="17" s="1"/>
  <c r="P1341" i="17"/>
  <c r="Q1341" i="17" s="1"/>
  <c r="P1342" i="17"/>
  <c r="Q1342" i="17" s="1"/>
  <c r="P1343" i="17"/>
  <c r="Q1343" i="17" s="1"/>
  <c r="P1344" i="17"/>
  <c r="Q1344" i="17" s="1"/>
  <c r="P1345" i="17"/>
  <c r="Q1345" i="17" s="1"/>
  <c r="P1346" i="17"/>
  <c r="Q1346" i="17" s="1"/>
  <c r="P1347" i="17"/>
  <c r="Q1347" i="17" s="1"/>
  <c r="P1348" i="17"/>
  <c r="Q1348" i="17" s="1"/>
  <c r="P1349" i="17"/>
  <c r="Q1349" i="17" s="1"/>
  <c r="P1350" i="17"/>
  <c r="Q1350" i="17" s="1"/>
  <c r="P1351" i="17"/>
  <c r="Q1351" i="17" s="1"/>
  <c r="P1352" i="17"/>
  <c r="Q1352" i="17" s="1"/>
  <c r="P1353" i="17"/>
  <c r="Q1353" i="17" s="1"/>
  <c r="P1354" i="17"/>
  <c r="Q1354" i="17" s="1"/>
  <c r="P1355" i="17"/>
  <c r="Q1355" i="17" s="1"/>
  <c r="P1356" i="17"/>
  <c r="Q1356" i="17" s="1"/>
  <c r="P1357" i="17"/>
  <c r="Q1357" i="17" s="1"/>
  <c r="P1358" i="17"/>
  <c r="Q1358" i="17" s="1"/>
  <c r="P1359" i="17"/>
  <c r="Q1359" i="17" s="1"/>
  <c r="P1360" i="17"/>
  <c r="Q1360" i="17" s="1"/>
  <c r="P1361" i="17"/>
  <c r="Q1361" i="17" s="1"/>
  <c r="P1362" i="17"/>
  <c r="Q1362" i="17" s="1"/>
  <c r="P1363" i="17"/>
  <c r="Q1363" i="17" s="1"/>
  <c r="P1364" i="17"/>
  <c r="Q1364" i="17" s="1"/>
  <c r="P1365" i="17"/>
  <c r="Q1365" i="17" s="1"/>
  <c r="P1366" i="17"/>
  <c r="Q1366" i="17" s="1"/>
  <c r="P1367" i="17"/>
  <c r="Q1367" i="17" s="1"/>
  <c r="P1368" i="17"/>
  <c r="Q1368" i="17" s="1"/>
  <c r="P1369" i="17"/>
  <c r="Q1369" i="17" s="1"/>
  <c r="P1370" i="17"/>
  <c r="Q1370" i="17" s="1"/>
  <c r="P1371" i="17"/>
  <c r="Q1371" i="17" s="1"/>
  <c r="P1372" i="17"/>
  <c r="Q1372" i="17" s="1"/>
  <c r="P1373" i="17"/>
  <c r="Q1373" i="17" s="1"/>
  <c r="P1374" i="17"/>
  <c r="Q1374" i="17" s="1"/>
  <c r="P1375" i="17"/>
  <c r="Q1375" i="17" s="1"/>
  <c r="P1376" i="17"/>
  <c r="Q1376" i="17" s="1"/>
  <c r="P1377" i="17"/>
  <c r="Q1377" i="17" s="1"/>
  <c r="P1378" i="17"/>
  <c r="Q1378" i="17" s="1"/>
  <c r="P1379" i="17"/>
  <c r="Q1379" i="17" s="1"/>
  <c r="P1380" i="17"/>
  <c r="Q1380" i="17" s="1"/>
  <c r="P1381" i="17"/>
  <c r="Q1381" i="17" s="1"/>
  <c r="P1382" i="17"/>
  <c r="Q1382" i="17" s="1"/>
  <c r="P1383" i="17"/>
  <c r="Q1383" i="17" s="1"/>
  <c r="P1384" i="17"/>
  <c r="Q1384" i="17" s="1"/>
  <c r="P1385" i="17"/>
  <c r="Q1385" i="17" s="1"/>
  <c r="P1386" i="17"/>
  <c r="Q1386" i="17" s="1"/>
  <c r="P1387" i="17"/>
  <c r="Q1387" i="17" s="1"/>
  <c r="P1388" i="17"/>
  <c r="Q1388" i="17" s="1"/>
  <c r="P1389" i="17"/>
  <c r="Q1389" i="17" s="1"/>
  <c r="P1390" i="17"/>
  <c r="Q1390" i="17" s="1"/>
  <c r="P1391" i="17"/>
  <c r="Q1391" i="17" s="1"/>
  <c r="P1392" i="17"/>
  <c r="Q1392" i="17" s="1"/>
  <c r="P1393" i="17"/>
  <c r="Q1393" i="17" s="1"/>
  <c r="P1394" i="17"/>
  <c r="Q1394" i="17" s="1"/>
  <c r="P1395" i="17"/>
  <c r="Q1395" i="17" s="1"/>
  <c r="P1396" i="17"/>
  <c r="Q1396" i="17" s="1"/>
  <c r="P1397" i="17"/>
  <c r="Q1397" i="17" s="1"/>
  <c r="P1398" i="17"/>
  <c r="Q1398" i="17" s="1"/>
  <c r="P1399" i="17"/>
  <c r="Q1399" i="17" s="1"/>
  <c r="P1400" i="17"/>
  <c r="Q1400" i="17" s="1"/>
  <c r="P1401" i="17"/>
  <c r="Q1401" i="17" s="1"/>
  <c r="P1402" i="17"/>
  <c r="Q1402" i="17" s="1"/>
  <c r="P1403" i="17"/>
  <c r="Q1403" i="17" s="1"/>
  <c r="P1404" i="17"/>
  <c r="Q1404" i="17" s="1"/>
  <c r="P1405" i="17"/>
  <c r="Q1405" i="17" s="1"/>
  <c r="P1406" i="17"/>
  <c r="Q1406" i="17" s="1"/>
  <c r="P1407" i="17"/>
  <c r="Q1407" i="17" s="1"/>
  <c r="P1408" i="17"/>
  <c r="Q1408" i="17" s="1"/>
  <c r="P1409" i="17"/>
  <c r="Q1409" i="17" s="1"/>
  <c r="P1410" i="17"/>
  <c r="Q1410" i="17" s="1"/>
  <c r="P1411" i="17"/>
  <c r="Q1411" i="17" s="1"/>
  <c r="P1412" i="17"/>
  <c r="Q1412" i="17" s="1"/>
  <c r="P1413" i="17"/>
  <c r="Q1413" i="17" s="1"/>
  <c r="P1414" i="17"/>
  <c r="Q1414" i="17" s="1"/>
  <c r="P1415" i="17"/>
  <c r="Q1415" i="17" s="1"/>
  <c r="P1416" i="17"/>
  <c r="Q1416" i="17" s="1"/>
  <c r="P1417" i="17"/>
  <c r="Q1417" i="17" s="1"/>
  <c r="P1418" i="17"/>
  <c r="Q1418" i="17" s="1"/>
  <c r="P1419" i="17"/>
  <c r="Q1419" i="17" s="1"/>
  <c r="P1420" i="17"/>
  <c r="Q1420" i="17" s="1"/>
  <c r="P1421" i="17"/>
  <c r="Q1421" i="17" s="1"/>
  <c r="P1422" i="17"/>
  <c r="Q1422" i="17" s="1"/>
  <c r="P1423" i="17"/>
  <c r="Q1423" i="17" s="1"/>
  <c r="P1424" i="17"/>
  <c r="Q1424" i="17" s="1"/>
  <c r="P1425" i="17"/>
  <c r="Q1425" i="17" s="1"/>
  <c r="P1426" i="17"/>
  <c r="Q1426" i="17" s="1"/>
  <c r="P1427" i="17"/>
  <c r="Q1427" i="17" s="1"/>
  <c r="P1428" i="17"/>
  <c r="Q1428" i="17" s="1"/>
  <c r="P1429" i="17"/>
  <c r="Q1429" i="17" s="1"/>
  <c r="P1430" i="17"/>
  <c r="Q1430" i="17" s="1"/>
  <c r="P1431" i="17"/>
  <c r="Q1431" i="17" s="1"/>
  <c r="P1432" i="17"/>
  <c r="Q1432" i="17" s="1"/>
  <c r="P1433" i="17"/>
  <c r="Q1433" i="17" s="1"/>
  <c r="P1434" i="17"/>
  <c r="Q1434" i="17" s="1"/>
  <c r="P1435" i="17"/>
  <c r="Q1435" i="17" s="1"/>
  <c r="P1436" i="17"/>
  <c r="Q1436" i="17" s="1"/>
  <c r="P1437" i="17"/>
  <c r="Q1437" i="17" s="1"/>
  <c r="P1438" i="17"/>
  <c r="Q1438" i="17" s="1"/>
  <c r="P1439" i="17"/>
  <c r="Q1439" i="17" s="1"/>
  <c r="P1440" i="17"/>
  <c r="Q1440" i="17" s="1"/>
  <c r="P1441" i="17"/>
  <c r="Q1441" i="17" s="1"/>
  <c r="P1442" i="17"/>
  <c r="Q1442" i="17" s="1"/>
  <c r="P1443" i="17"/>
  <c r="Q1443" i="17" s="1"/>
  <c r="P1444" i="17"/>
  <c r="Q1444" i="17" s="1"/>
  <c r="P1445" i="17"/>
  <c r="Q1445" i="17" s="1"/>
  <c r="P1446" i="17"/>
  <c r="Q1446" i="17" s="1"/>
  <c r="P1447" i="17"/>
  <c r="Q1447" i="17" s="1"/>
  <c r="P1448" i="17"/>
  <c r="Q1448" i="17" s="1"/>
  <c r="P1449" i="17"/>
  <c r="Q1449" i="17" s="1"/>
  <c r="P1450" i="17"/>
  <c r="Q1450" i="17" s="1"/>
  <c r="P1451" i="17"/>
  <c r="Q1451" i="17" s="1"/>
  <c r="P1452" i="17"/>
  <c r="Q1452" i="17" s="1"/>
  <c r="P1453" i="17"/>
  <c r="Q1453" i="17" s="1"/>
  <c r="P1454" i="17"/>
  <c r="Q1454" i="17" s="1"/>
  <c r="P1455" i="17"/>
  <c r="Q1455" i="17" s="1"/>
  <c r="P1456" i="17"/>
  <c r="Q1456" i="17" s="1"/>
  <c r="P1457" i="17"/>
  <c r="Q1457" i="17" s="1"/>
  <c r="P1458" i="17"/>
  <c r="Q1458" i="17" s="1"/>
  <c r="P1459" i="17"/>
  <c r="Q1459" i="17" s="1"/>
  <c r="P1460" i="17"/>
  <c r="Q1460" i="17" s="1"/>
  <c r="P1461" i="17"/>
  <c r="Q1461" i="17" s="1"/>
  <c r="P1462" i="17"/>
  <c r="Q1462" i="17" s="1"/>
  <c r="P1463" i="17"/>
  <c r="Q1463" i="17" s="1"/>
  <c r="P1464" i="17"/>
  <c r="Q1464" i="17" s="1"/>
  <c r="P1465" i="17"/>
  <c r="Q1465" i="17" s="1"/>
  <c r="P1466" i="17"/>
  <c r="Q1466" i="17" s="1"/>
  <c r="P1467" i="17"/>
  <c r="Q1467" i="17" s="1"/>
  <c r="P1468" i="17"/>
  <c r="Q1468" i="17" s="1"/>
  <c r="P1469" i="17"/>
  <c r="Q1469" i="17" s="1"/>
  <c r="P1470" i="17"/>
  <c r="Q1470" i="17" s="1"/>
  <c r="P1471" i="17"/>
  <c r="Q1471" i="17" s="1"/>
  <c r="P1472" i="17"/>
  <c r="Q1472" i="17" s="1"/>
  <c r="P1473" i="17"/>
  <c r="Q1473" i="17" s="1"/>
  <c r="P1474" i="17"/>
  <c r="Q1474" i="17" s="1"/>
  <c r="P1475" i="17"/>
  <c r="Q1475" i="17" s="1"/>
  <c r="P1476" i="17"/>
  <c r="Q1476" i="17" s="1"/>
  <c r="P1477" i="17"/>
  <c r="Q1477" i="17" s="1"/>
  <c r="P1478" i="17"/>
  <c r="Q1478" i="17" s="1"/>
  <c r="P1479" i="17"/>
  <c r="Q1479" i="17" s="1"/>
  <c r="P1480" i="17"/>
  <c r="Q1480" i="17" s="1"/>
  <c r="P1481" i="17"/>
  <c r="Q1481" i="17" s="1"/>
  <c r="P1482" i="17"/>
  <c r="Q1482" i="17" s="1"/>
  <c r="P1483" i="17"/>
  <c r="Q1483" i="17" s="1"/>
  <c r="P1484" i="17"/>
  <c r="Q1484" i="17" s="1"/>
  <c r="P1485" i="17"/>
  <c r="Q1485" i="17" s="1"/>
  <c r="P1486" i="17"/>
  <c r="Q1486" i="17" s="1"/>
  <c r="P1487" i="17"/>
  <c r="Q1487" i="17" s="1"/>
  <c r="P1488" i="17"/>
  <c r="Q1488" i="17" s="1"/>
  <c r="P1489" i="17"/>
  <c r="Q1489" i="17" s="1"/>
  <c r="P1490" i="17"/>
  <c r="Q1490" i="17" s="1"/>
  <c r="P1491" i="17"/>
  <c r="Q1491" i="17" s="1"/>
  <c r="P1492" i="17"/>
  <c r="Q1492" i="17" s="1"/>
  <c r="P1493" i="17"/>
  <c r="Q1493" i="17" s="1"/>
  <c r="P1494" i="17"/>
  <c r="Q1494" i="17" s="1"/>
  <c r="P1495" i="17"/>
  <c r="Q1495" i="17" s="1"/>
  <c r="P1496" i="17"/>
  <c r="Q1496" i="17" s="1"/>
  <c r="P1497" i="17"/>
  <c r="Q1497" i="17" s="1"/>
  <c r="P1498" i="17"/>
  <c r="Q1498" i="17" s="1"/>
  <c r="P1499" i="17"/>
  <c r="Q1499" i="17" s="1"/>
  <c r="P1500" i="17"/>
  <c r="Q1500" i="17" s="1"/>
  <c r="P1501" i="17"/>
  <c r="Q1501" i="17" s="1"/>
  <c r="P1502" i="17"/>
  <c r="Q1502" i="17" s="1"/>
  <c r="P1503" i="17"/>
  <c r="Q1503" i="17" s="1"/>
  <c r="P1504" i="17"/>
  <c r="Q1504" i="17" s="1"/>
  <c r="P1505" i="17"/>
  <c r="Q1505" i="17" s="1"/>
  <c r="P1506" i="17"/>
  <c r="Q1506" i="17" s="1"/>
  <c r="P1507" i="17"/>
  <c r="Q1507" i="17" s="1"/>
  <c r="P1508" i="17"/>
  <c r="Q1508" i="17" s="1"/>
  <c r="P1509" i="17"/>
  <c r="Q1509" i="17" s="1"/>
  <c r="P1510" i="17"/>
  <c r="Q1510" i="17" s="1"/>
  <c r="P1511" i="17"/>
  <c r="Q1511" i="17" s="1"/>
  <c r="P1512" i="17"/>
  <c r="Q1512" i="17" s="1"/>
  <c r="P1513" i="17"/>
  <c r="Q1513" i="17" s="1"/>
  <c r="P1514" i="17"/>
  <c r="Q1514" i="17" s="1"/>
  <c r="P1515" i="17"/>
  <c r="Q1515" i="17" s="1"/>
  <c r="P1516" i="17"/>
  <c r="Q1516" i="17" s="1"/>
  <c r="P1517" i="17"/>
  <c r="Q1517" i="17" s="1"/>
  <c r="P1518" i="17"/>
  <c r="Q1518" i="17" s="1"/>
  <c r="P1519" i="17"/>
  <c r="Q1519" i="17" s="1"/>
  <c r="P1520" i="17"/>
  <c r="Q1520" i="17" s="1"/>
  <c r="P1521" i="17"/>
  <c r="Q1521" i="17" s="1"/>
  <c r="P1522" i="17"/>
  <c r="Q1522" i="17" s="1"/>
  <c r="P1523" i="17"/>
  <c r="Q1523" i="17" s="1"/>
  <c r="P1524" i="17"/>
  <c r="Q1524" i="17" s="1"/>
  <c r="P1525" i="17"/>
  <c r="Q1525" i="17" s="1"/>
  <c r="P1526" i="17"/>
  <c r="Q1526" i="17" s="1"/>
  <c r="P1527" i="17"/>
  <c r="Q1527" i="17" s="1"/>
  <c r="P1528" i="17"/>
  <c r="Q1528" i="17" s="1"/>
  <c r="P1529" i="17"/>
  <c r="Q1529" i="17" s="1"/>
  <c r="P1530" i="17"/>
  <c r="Q1530" i="17" s="1"/>
  <c r="P1531" i="17"/>
  <c r="Q1531" i="17" s="1"/>
  <c r="P1532" i="17"/>
  <c r="Q1532" i="17" s="1"/>
  <c r="P1533" i="17"/>
  <c r="Q1533" i="17" s="1"/>
  <c r="P1534" i="17"/>
  <c r="Q1534" i="17" s="1"/>
  <c r="P1535" i="17"/>
  <c r="Q1535" i="17" s="1"/>
  <c r="P1536" i="17"/>
  <c r="Q1536" i="17" s="1"/>
  <c r="P1537" i="17"/>
  <c r="Q1537" i="17" s="1"/>
  <c r="P1538" i="17"/>
  <c r="Q1538" i="17" s="1"/>
  <c r="P1539" i="17"/>
  <c r="Q1539" i="17" s="1"/>
  <c r="P1540" i="17"/>
  <c r="Q1540" i="17" s="1"/>
  <c r="P1541" i="17"/>
  <c r="Q1541" i="17" s="1"/>
  <c r="P1542" i="17"/>
  <c r="Q1542" i="17" s="1"/>
  <c r="P1543" i="17"/>
  <c r="Q1543" i="17" s="1"/>
  <c r="P1544" i="17"/>
  <c r="Q1544" i="17" s="1"/>
  <c r="P1545" i="17"/>
  <c r="Q1545" i="17" s="1"/>
  <c r="P1546" i="17"/>
  <c r="Q1546" i="17" s="1"/>
  <c r="P1547" i="17"/>
  <c r="Q1547" i="17" s="1"/>
  <c r="P1548" i="17"/>
  <c r="Q1548" i="17" s="1"/>
  <c r="P1549" i="17"/>
  <c r="Q1549" i="17" s="1"/>
  <c r="P1550" i="17"/>
  <c r="Q1550" i="17" s="1"/>
  <c r="P1551" i="17"/>
  <c r="Q1551" i="17" s="1"/>
  <c r="P1552" i="17"/>
  <c r="Q1552" i="17" s="1"/>
  <c r="P1553" i="17"/>
  <c r="Q1553" i="17" s="1"/>
  <c r="P1554" i="17"/>
  <c r="Q1554" i="17" s="1"/>
  <c r="P1555" i="17"/>
  <c r="Q1555" i="17" s="1"/>
  <c r="P1556" i="17"/>
  <c r="Q1556" i="17" s="1"/>
  <c r="P1557" i="17"/>
  <c r="Q1557" i="17" s="1"/>
  <c r="P1558" i="17"/>
  <c r="Q1558" i="17" s="1"/>
  <c r="P1559" i="17"/>
  <c r="Q1559" i="17" s="1"/>
  <c r="P1560" i="17"/>
  <c r="Q1560" i="17" s="1"/>
  <c r="P1561" i="17"/>
  <c r="Q1561" i="17" s="1"/>
  <c r="P1562" i="17"/>
  <c r="Q1562" i="17" s="1"/>
  <c r="P1563" i="17"/>
  <c r="Q1563" i="17" s="1"/>
  <c r="P1564" i="17"/>
  <c r="Q1564" i="17" s="1"/>
  <c r="P1565" i="17"/>
  <c r="Q1565" i="17" s="1"/>
  <c r="P1566" i="17"/>
  <c r="Q1566" i="17" s="1"/>
  <c r="P1567" i="17"/>
  <c r="Q1567" i="17" s="1"/>
  <c r="P1568" i="17"/>
  <c r="Q1568" i="17" s="1"/>
  <c r="P1569" i="17"/>
  <c r="Q1569" i="17" s="1"/>
  <c r="P1570" i="17"/>
  <c r="Q1570" i="17" s="1"/>
  <c r="P1571" i="17"/>
  <c r="Q1571" i="17" s="1"/>
  <c r="P1572" i="17"/>
  <c r="Q1572" i="17" s="1"/>
  <c r="P1573" i="17"/>
  <c r="Q1573" i="17" s="1"/>
  <c r="P1574" i="17"/>
  <c r="Q1574" i="17" s="1"/>
  <c r="P1575" i="17"/>
  <c r="Q1575" i="17" s="1"/>
  <c r="P1576" i="17"/>
  <c r="Q1576" i="17" s="1"/>
  <c r="P1577" i="17"/>
  <c r="Q1577" i="17" s="1"/>
  <c r="P1578" i="17"/>
  <c r="Q1578" i="17" s="1"/>
  <c r="P1579" i="17"/>
  <c r="Q1579" i="17" s="1"/>
  <c r="P1580" i="17"/>
  <c r="Q1580" i="17" s="1"/>
  <c r="P1581" i="17"/>
  <c r="Q1581" i="17" s="1"/>
  <c r="P1582" i="17"/>
  <c r="Q1582" i="17" s="1"/>
  <c r="P1583" i="17"/>
  <c r="Q1583" i="17" s="1"/>
  <c r="P1584" i="17"/>
  <c r="Q1584" i="17" s="1"/>
  <c r="P1585" i="17"/>
  <c r="Q1585" i="17" s="1"/>
  <c r="P1586" i="17"/>
  <c r="Q1586" i="17" s="1"/>
  <c r="P1587" i="17"/>
  <c r="Q1587" i="17" s="1"/>
  <c r="P1588" i="17"/>
  <c r="Q1588" i="17" s="1"/>
  <c r="P1589" i="17"/>
  <c r="Q1589" i="17" s="1"/>
  <c r="P1590" i="17"/>
  <c r="Q1590" i="17" s="1"/>
  <c r="P1591" i="17"/>
  <c r="Q1591" i="17" s="1"/>
  <c r="P1592" i="17"/>
  <c r="Q1592" i="17" s="1"/>
  <c r="P1593" i="17"/>
  <c r="Q1593" i="17" s="1"/>
  <c r="P1594" i="17"/>
  <c r="Q1594" i="17" s="1"/>
  <c r="P1595" i="17"/>
  <c r="Q1595" i="17" s="1"/>
  <c r="P1596" i="17"/>
  <c r="Q1596" i="17" s="1"/>
  <c r="P1597" i="17"/>
  <c r="Q1597" i="17" s="1"/>
  <c r="P1598" i="17"/>
  <c r="Q1598" i="17" s="1"/>
  <c r="P1599" i="17"/>
  <c r="Q1599" i="17" s="1"/>
  <c r="P1600" i="17"/>
  <c r="Q1600" i="17" s="1"/>
  <c r="P1601" i="17"/>
  <c r="Q1601" i="17" s="1"/>
  <c r="P1602" i="17"/>
  <c r="Q1602" i="17" s="1"/>
  <c r="P1603" i="17"/>
  <c r="Q1603" i="17" s="1"/>
  <c r="P1604" i="17"/>
  <c r="Q1604" i="17" s="1"/>
  <c r="P1605" i="17"/>
  <c r="Q1605" i="17" s="1"/>
  <c r="P1606" i="17"/>
  <c r="Q1606" i="17" s="1"/>
  <c r="P1607" i="17"/>
  <c r="Q1607" i="17" s="1"/>
  <c r="P1608" i="17"/>
  <c r="Q1608" i="17" s="1"/>
  <c r="P1609" i="17"/>
  <c r="Q1609" i="17" s="1"/>
  <c r="P1610" i="17"/>
  <c r="Q1610" i="17" s="1"/>
  <c r="P1611" i="17"/>
  <c r="Q1611" i="17" s="1"/>
  <c r="P1612" i="17"/>
  <c r="Q1612" i="17" s="1"/>
  <c r="P1613" i="17"/>
  <c r="Q1613" i="17" s="1"/>
  <c r="P1614" i="17"/>
  <c r="Q1614" i="17" s="1"/>
  <c r="P1615" i="17"/>
  <c r="Q1615" i="17" s="1"/>
  <c r="P1616" i="17"/>
  <c r="Q1616" i="17" s="1"/>
  <c r="P1617" i="17"/>
  <c r="Q1617" i="17" s="1"/>
  <c r="P1618" i="17"/>
  <c r="Q1618" i="17" s="1"/>
  <c r="P1619" i="17"/>
  <c r="Q1619" i="17" s="1"/>
  <c r="P1620" i="17"/>
  <c r="Q1620" i="17" s="1"/>
  <c r="P1621" i="17"/>
  <c r="Q1621" i="17" s="1"/>
  <c r="P1622" i="17"/>
  <c r="Q1622" i="17" s="1"/>
  <c r="P1623" i="17"/>
  <c r="Q1623" i="17" s="1"/>
  <c r="P1624" i="17"/>
  <c r="Q1624" i="17" s="1"/>
  <c r="P1625" i="17"/>
  <c r="Q1625" i="17" s="1"/>
  <c r="P1626" i="17"/>
  <c r="Q1626" i="17" s="1"/>
  <c r="P1627" i="17"/>
  <c r="Q1627" i="17" s="1"/>
  <c r="P1628" i="17"/>
  <c r="Q1628" i="17" s="1"/>
  <c r="P1629" i="17"/>
  <c r="Q1629" i="17" s="1"/>
  <c r="P1630" i="17"/>
  <c r="Q1630" i="17" s="1"/>
  <c r="P1631" i="17"/>
  <c r="Q1631" i="17" s="1"/>
  <c r="P1632" i="17"/>
  <c r="Q1632" i="17" s="1"/>
  <c r="P1633" i="17"/>
  <c r="Q1633" i="17" s="1"/>
  <c r="P1634" i="17"/>
  <c r="Q1634" i="17" s="1"/>
  <c r="P1635" i="17"/>
  <c r="Q1635" i="17" s="1"/>
  <c r="P1636" i="17"/>
  <c r="Q1636" i="17" s="1"/>
  <c r="P1637" i="17"/>
  <c r="Q1637" i="17" s="1"/>
  <c r="P1638" i="17"/>
  <c r="Q1638" i="17" s="1"/>
  <c r="P1639" i="17"/>
  <c r="Q1639" i="17" s="1"/>
  <c r="P1640" i="17"/>
  <c r="Q1640" i="17" s="1"/>
  <c r="P1641" i="17"/>
  <c r="Q1641" i="17" s="1"/>
  <c r="P1642" i="17"/>
  <c r="Q1642" i="17" s="1"/>
  <c r="P1643" i="17"/>
  <c r="Q1643" i="17" s="1"/>
  <c r="P1644" i="17"/>
  <c r="Q1644" i="17" s="1"/>
  <c r="P1645" i="17"/>
  <c r="Q1645" i="17" s="1"/>
  <c r="P1646" i="17"/>
  <c r="Q1646" i="17" s="1"/>
  <c r="P1647" i="17"/>
  <c r="Q1647" i="17" s="1"/>
  <c r="P1648" i="17"/>
  <c r="Q1648" i="17" s="1"/>
  <c r="P1649" i="17"/>
  <c r="Q1649" i="17" s="1"/>
  <c r="P1650" i="17"/>
  <c r="Q1650" i="17" s="1"/>
  <c r="P1651" i="17"/>
  <c r="Q1651" i="17" s="1"/>
  <c r="P1652" i="17"/>
  <c r="Q1652" i="17" s="1"/>
  <c r="P1653" i="17"/>
  <c r="Q1653" i="17" s="1"/>
  <c r="P1654" i="17"/>
  <c r="Q1654" i="17" s="1"/>
  <c r="P1655" i="17"/>
  <c r="Q1655" i="17" s="1"/>
  <c r="P1656" i="17"/>
  <c r="Q1656" i="17" s="1"/>
  <c r="P1657" i="17"/>
  <c r="Q1657" i="17" s="1"/>
  <c r="P1658" i="17"/>
  <c r="Q1658" i="17" s="1"/>
  <c r="P1659" i="17"/>
  <c r="Q1659" i="17" s="1"/>
  <c r="P1660" i="17"/>
  <c r="Q1660" i="17" s="1"/>
  <c r="P1661" i="17"/>
  <c r="Q1661" i="17" s="1"/>
  <c r="P1662" i="17"/>
  <c r="Q1662" i="17" s="1"/>
  <c r="P1663" i="17"/>
  <c r="Q1663" i="17" s="1"/>
  <c r="P1664" i="17"/>
  <c r="Q1664" i="17" s="1"/>
  <c r="P1665" i="17"/>
  <c r="Q1665" i="17" s="1"/>
  <c r="P1666" i="17"/>
  <c r="Q1666" i="17" s="1"/>
  <c r="P1667" i="17"/>
  <c r="Q1667" i="17" s="1"/>
  <c r="P1668" i="17"/>
  <c r="Q1668" i="17" s="1"/>
  <c r="P1669" i="17"/>
  <c r="Q1669" i="17" s="1"/>
  <c r="P1670" i="17"/>
  <c r="Q1670" i="17" s="1"/>
  <c r="P1671" i="17"/>
  <c r="Q1671" i="17" s="1"/>
  <c r="P1672" i="17"/>
  <c r="Q1672" i="17" s="1"/>
  <c r="P1673" i="17"/>
  <c r="Q1673" i="17" s="1"/>
  <c r="P1674" i="17"/>
  <c r="Q1674" i="17" s="1"/>
  <c r="P1675" i="17"/>
  <c r="Q1675" i="17" s="1"/>
  <c r="P1676" i="17"/>
  <c r="Q1676" i="17" s="1"/>
  <c r="P1677" i="17"/>
  <c r="Q1677" i="17" s="1"/>
  <c r="P1678" i="17"/>
  <c r="Q1678" i="17" s="1"/>
  <c r="P1679" i="17"/>
  <c r="Q1679" i="17" s="1"/>
  <c r="P1680" i="17"/>
  <c r="Q1680" i="17" s="1"/>
  <c r="P1681" i="17"/>
  <c r="Q1681" i="17" s="1"/>
  <c r="P1682" i="17"/>
  <c r="Q1682" i="17" s="1"/>
  <c r="P1683" i="17"/>
  <c r="Q1683" i="17" s="1"/>
  <c r="P1684" i="17"/>
  <c r="Q1684" i="17" s="1"/>
  <c r="P1685" i="17"/>
  <c r="Q1685" i="17" s="1"/>
  <c r="P1686" i="17"/>
  <c r="Q1686" i="17" s="1"/>
  <c r="P1687" i="17"/>
  <c r="Q1687" i="17" s="1"/>
  <c r="P1688" i="17"/>
  <c r="Q1688" i="17" s="1"/>
  <c r="P1689" i="17"/>
  <c r="Q1689" i="17" s="1"/>
  <c r="P1690" i="17"/>
  <c r="Q1690" i="17" s="1"/>
  <c r="P1691" i="17"/>
  <c r="Q1691" i="17" s="1"/>
  <c r="P1692" i="17"/>
  <c r="Q1692" i="17" s="1"/>
  <c r="P1693" i="17"/>
  <c r="Q1693" i="17" s="1"/>
  <c r="P1694" i="17"/>
  <c r="Q1694" i="17" s="1"/>
  <c r="P1695" i="17"/>
  <c r="Q1695" i="17" s="1"/>
  <c r="P1696" i="17"/>
  <c r="Q1696" i="17" s="1"/>
  <c r="P1697" i="17"/>
  <c r="Q1697" i="17" s="1"/>
  <c r="P1698" i="17"/>
  <c r="Q1698" i="17" s="1"/>
  <c r="P1699" i="17"/>
  <c r="Q1699" i="17" s="1"/>
  <c r="P1700" i="17"/>
  <c r="Q1700" i="17" s="1"/>
  <c r="P1701" i="17"/>
  <c r="Q1701" i="17" s="1"/>
  <c r="P1702" i="17"/>
  <c r="Q1702" i="17" s="1"/>
  <c r="P1703" i="17"/>
  <c r="Q1703" i="17" s="1"/>
  <c r="P1704" i="17"/>
  <c r="Q1704" i="17" s="1"/>
  <c r="P1705" i="17"/>
  <c r="Q1705" i="17" s="1"/>
  <c r="P1706" i="17"/>
  <c r="Q1706" i="17" s="1"/>
  <c r="P1707" i="17"/>
  <c r="Q1707" i="17" s="1"/>
  <c r="P1708" i="17"/>
  <c r="Q1708" i="17" s="1"/>
  <c r="P1709" i="17"/>
  <c r="Q1709" i="17" s="1"/>
  <c r="P1710" i="17"/>
  <c r="Q1710" i="17" s="1"/>
  <c r="P1711" i="17"/>
  <c r="Q1711" i="17" s="1"/>
  <c r="P1712" i="17"/>
  <c r="Q1712" i="17" s="1"/>
  <c r="P1713" i="17"/>
  <c r="Q1713" i="17" s="1"/>
  <c r="P1714" i="17"/>
  <c r="Q1714" i="17" s="1"/>
  <c r="P1715" i="17"/>
  <c r="Q1715" i="17" s="1"/>
  <c r="P1716" i="17"/>
  <c r="Q1716" i="17" s="1"/>
  <c r="P1717" i="17"/>
  <c r="Q1717" i="17" s="1"/>
  <c r="P1718" i="17"/>
  <c r="Q1718" i="17" s="1"/>
  <c r="P1719" i="17"/>
  <c r="Q1719" i="17" s="1"/>
  <c r="P1720" i="17"/>
  <c r="Q1720" i="17" s="1"/>
  <c r="P1721" i="17"/>
  <c r="Q1721" i="17" s="1"/>
  <c r="P1722" i="17"/>
  <c r="Q1722" i="17" s="1"/>
  <c r="P1723" i="17"/>
  <c r="Q1723" i="17" s="1"/>
  <c r="P1724" i="17"/>
  <c r="Q1724" i="17" s="1"/>
  <c r="P1725" i="17"/>
  <c r="Q1725" i="17" s="1"/>
  <c r="P1726" i="17"/>
  <c r="Q1726" i="17" s="1"/>
  <c r="P1727" i="17"/>
  <c r="Q1727" i="17" s="1"/>
  <c r="P1728" i="17"/>
  <c r="Q1728" i="17" s="1"/>
  <c r="P1729" i="17"/>
  <c r="Q1729" i="17" s="1"/>
  <c r="P1730" i="17"/>
  <c r="Q1730" i="17" s="1"/>
  <c r="P1731" i="17"/>
  <c r="Q1731" i="17" s="1"/>
  <c r="P1732" i="17"/>
  <c r="Q1732" i="17" s="1"/>
  <c r="P1733" i="17"/>
  <c r="Q1733" i="17" s="1"/>
  <c r="P1734" i="17"/>
  <c r="Q1734" i="17" s="1"/>
  <c r="P1735" i="17"/>
  <c r="Q1735" i="17" s="1"/>
  <c r="P1736" i="17"/>
  <c r="Q1736" i="17" s="1"/>
  <c r="P1737" i="17"/>
  <c r="Q1737" i="17" s="1"/>
  <c r="P1738" i="17"/>
  <c r="Q1738" i="17" s="1"/>
  <c r="P1739" i="17"/>
  <c r="Q1739" i="17" s="1"/>
  <c r="P1740" i="17"/>
  <c r="Q1740" i="17" s="1"/>
  <c r="P1741" i="17"/>
  <c r="Q1741" i="17" s="1"/>
  <c r="P1742" i="17"/>
  <c r="Q1742" i="17" s="1"/>
  <c r="P1743" i="17"/>
  <c r="Q1743" i="17" s="1"/>
  <c r="P1744" i="17"/>
  <c r="Q1744" i="17" s="1"/>
  <c r="P1745" i="17"/>
  <c r="Q1745" i="17" s="1"/>
  <c r="P1746" i="17"/>
  <c r="Q1746" i="17" s="1"/>
  <c r="P1747" i="17"/>
  <c r="Q1747" i="17" s="1"/>
  <c r="P1748" i="17"/>
  <c r="Q1748" i="17" s="1"/>
  <c r="P1749" i="17"/>
  <c r="Q1749" i="17" s="1"/>
  <c r="P1750" i="17"/>
  <c r="Q1750" i="17" s="1"/>
  <c r="P1751" i="17"/>
  <c r="Q1751" i="17" s="1"/>
  <c r="P1752" i="17"/>
  <c r="Q1752" i="17" s="1"/>
  <c r="P1753" i="17"/>
  <c r="Q1753" i="17" s="1"/>
  <c r="P1754" i="17"/>
  <c r="Q1754" i="17" s="1"/>
  <c r="P1755" i="17"/>
  <c r="Q1755" i="17" s="1"/>
  <c r="P1756" i="17"/>
  <c r="Q1756" i="17" s="1"/>
  <c r="P1757" i="17"/>
  <c r="Q1757" i="17" s="1"/>
  <c r="P1758" i="17"/>
  <c r="Q1758" i="17" s="1"/>
  <c r="P1759" i="17"/>
  <c r="Q1759" i="17" s="1"/>
  <c r="P1760" i="17"/>
  <c r="Q1760" i="17" s="1"/>
  <c r="P1761" i="17"/>
  <c r="Q1761" i="17" s="1"/>
  <c r="P1762" i="17"/>
  <c r="Q1762" i="17" s="1"/>
  <c r="P1763" i="17"/>
  <c r="Q1763" i="17" s="1"/>
  <c r="P1764" i="17"/>
  <c r="Q1764" i="17" s="1"/>
  <c r="P1765" i="17"/>
  <c r="Q1765" i="17" s="1"/>
  <c r="P1766" i="17"/>
  <c r="Q1766" i="17" s="1"/>
  <c r="P1767" i="17"/>
  <c r="Q1767" i="17" s="1"/>
  <c r="P1768" i="17"/>
  <c r="Q1768" i="17" s="1"/>
  <c r="P1769" i="17"/>
  <c r="Q1769" i="17" s="1"/>
  <c r="P1770" i="17"/>
  <c r="Q1770" i="17" s="1"/>
  <c r="P1771" i="17"/>
  <c r="Q1771" i="17" s="1"/>
  <c r="P1772" i="17"/>
  <c r="Q1772" i="17" s="1"/>
  <c r="P1773" i="17"/>
  <c r="Q1773" i="17" s="1"/>
  <c r="P1774" i="17"/>
  <c r="Q1774" i="17" s="1"/>
  <c r="P1775" i="17"/>
  <c r="Q1775" i="17" s="1"/>
  <c r="P1776" i="17"/>
  <c r="Q1776" i="17" s="1"/>
  <c r="P1777" i="17"/>
  <c r="Q1777" i="17" s="1"/>
  <c r="P1778" i="17"/>
  <c r="Q1778" i="17" s="1"/>
  <c r="P1779" i="17"/>
  <c r="Q1779" i="17" s="1"/>
  <c r="P1780" i="17"/>
  <c r="Q1780" i="17" s="1"/>
  <c r="P1781" i="17"/>
  <c r="Q1781" i="17" s="1"/>
  <c r="P1782" i="17"/>
  <c r="Q1782" i="17" s="1"/>
  <c r="P1783" i="17"/>
  <c r="Q1783" i="17" s="1"/>
  <c r="P1784" i="17"/>
  <c r="Q1784" i="17" s="1"/>
  <c r="P1785" i="17"/>
  <c r="Q1785" i="17" s="1"/>
  <c r="P1786" i="17"/>
  <c r="Q1786" i="17" s="1"/>
  <c r="P1787" i="17"/>
  <c r="Q1787" i="17" s="1"/>
  <c r="P1788" i="17"/>
  <c r="Q1788" i="17" s="1"/>
  <c r="P1789" i="17"/>
  <c r="Q1789" i="17" s="1"/>
  <c r="P1790" i="17"/>
  <c r="Q1790" i="17" s="1"/>
  <c r="P1791" i="17"/>
  <c r="Q1791" i="17" s="1"/>
  <c r="P1792" i="17"/>
  <c r="Q1792" i="17" s="1"/>
  <c r="P1793" i="17"/>
  <c r="Q1793" i="17" s="1"/>
  <c r="P1794" i="17"/>
  <c r="Q1794" i="17" s="1"/>
  <c r="P1795" i="17"/>
  <c r="Q1795" i="17" s="1"/>
  <c r="P1796" i="17"/>
  <c r="Q1796" i="17" s="1"/>
  <c r="P1797" i="17"/>
  <c r="Q1797" i="17" s="1"/>
  <c r="P1798" i="17"/>
  <c r="Q1798" i="17" s="1"/>
  <c r="P1799" i="17"/>
  <c r="Q1799" i="17" s="1"/>
  <c r="P1800" i="17"/>
  <c r="Q1800" i="17" s="1"/>
  <c r="P1801" i="17"/>
  <c r="Q1801" i="17" s="1"/>
  <c r="P1802" i="17"/>
  <c r="Q1802" i="17" s="1"/>
  <c r="P1803" i="17"/>
  <c r="Q1803" i="17" s="1"/>
  <c r="P1804" i="17"/>
  <c r="Q1804" i="17" s="1"/>
  <c r="P1805" i="17"/>
  <c r="Q1805" i="17" s="1"/>
  <c r="P1806" i="17"/>
  <c r="Q1806" i="17" s="1"/>
  <c r="P1807" i="17"/>
  <c r="Q1807" i="17" s="1"/>
  <c r="P1808" i="17"/>
  <c r="Q1808" i="17" s="1"/>
  <c r="P1809" i="17"/>
  <c r="Q1809" i="17" s="1"/>
  <c r="P1810" i="17"/>
  <c r="Q1810" i="17" s="1"/>
  <c r="P1811" i="17"/>
  <c r="Q1811" i="17" s="1"/>
  <c r="P1812" i="17"/>
  <c r="Q1812" i="17" s="1"/>
  <c r="P1813" i="17"/>
  <c r="Q1813" i="17" s="1"/>
  <c r="P1814" i="17"/>
  <c r="Q1814" i="17" s="1"/>
  <c r="P1815" i="17"/>
  <c r="Q1815" i="17" s="1"/>
  <c r="P1816" i="17"/>
  <c r="Q1816" i="17" s="1"/>
  <c r="P1817" i="17"/>
  <c r="Q1817" i="17" s="1"/>
  <c r="P1818" i="17"/>
  <c r="Q1818" i="17" s="1"/>
  <c r="P1819" i="17"/>
  <c r="Q1819" i="17" s="1"/>
  <c r="P1820" i="17"/>
  <c r="Q1820" i="17" s="1"/>
  <c r="P1821" i="17"/>
  <c r="Q1821" i="17" s="1"/>
  <c r="P1822" i="17"/>
  <c r="Q1822" i="17" s="1"/>
  <c r="P1823" i="17"/>
  <c r="Q1823" i="17" s="1"/>
  <c r="P1824" i="17"/>
  <c r="Q1824" i="17" s="1"/>
  <c r="P1825" i="17"/>
  <c r="Q1825" i="17" s="1"/>
  <c r="P1826" i="17"/>
  <c r="Q1826" i="17" s="1"/>
  <c r="P1827" i="17"/>
  <c r="Q1827" i="17" s="1"/>
  <c r="P1828" i="17"/>
  <c r="Q1828" i="17" s="1"/>
  <c r="P1829" i="17"/>
  <c r="Q1829" i="17" s="1"/>
  <c r="P1830" i="17"/>
  <c r="Q1830" i="17" s="1"/>
  <c r="P1831" i="17"/>
  <c r="Q1831" i="17" s="1"/>
  <c r="P1832" i="17"/>
  <c r="Q1832" i="17" s="1"/>
  <c r="P1833" i="17"/>
  <c r="Q1833" i="17" s="1"/>
  <c r="P1834" i="17"/>
  <c r="Q1834" i="17" s="1"/>
  <c r="P1835" i="17"/>
  <c r="Q1835" i="17" s="1"/>
  <c r="P1836" i="17"/>
  <c r="Q1836" i="17" s="1"/>
  <c r="P1837" i="17"/>
  <c r="Q1837" i="17" s="1"/>
  <c r="P1838" i="17"/>
  <c r="Q1838" i="17" s="1"/>
  <c r="P1839" i="17"/>
  <c r="Q1839" i="17" s="1"/>
  <c r="P1840" i="17"/>
  <c r="Q1840" i="17" s="1"/>
  <c r="P1841" i="17"/>
  <c r="Q1841" i="17" s="1"/>
  <c r="P1842" i="17"/>
  <c r="Q1842" i="17" s="1"/>
  <c r="P1843" i="17"/>
  <c r="Q1843" i="17" s="1"/>
  <c r="P1844" i="17"/>
  <c r="Q1844" i="17" s="1"/>
  <c r="P1845" i="17"/>
  <c r="Q1845" i="17" s="1"/>
  <c r="P1846" i="17"/>
  <c r="Q1846" i="17" s="1"/>
  <c r="P1847" i="17"/>
  <c r="Q1847" i="17" s="1"/>
  <c r="P1848" i="17"/>
  <c r="Q1848" i="17" s="1"/>
  <c r="P1849" i="17"/>
  <c r="Q1849" i="17" s="1"/>
  <c r="P1850" i="17"/>
  <c r="Q1850" i="17" s="1"/>
  <c r="P1851" i="17"/>
  <c r="Q1851" i="17" s="1"/>
  <c r="P1852" i="17"/>
  <c r="Q1852" i="17" s="1"/>
  <c r="P1853" i="17"/>
  <c r="Q1853" i="17" s="1"/>
  <c r="P1854" i="17"/>
  <c r="Q1854" i="17" s="1"/>
  <c r="P1855" i="17"/>
  <c r="Q1855" i="17" s="1"/>
  <c r="P1856" i="17"/>
  <c r="Q1856" i="17" s="1"/>
  <c r="P1857" i="17"/>
  <c r="Q1857" i="17" s="1"/>
  <c r="P1858" i="17"/>
  <c r="Q1858" i="17" s="1"/>
  <c r="P1859" i="17"/>
  <c r="Q1859" i="17" s="1"/>
  <c r="P1860" i="17"/>
  <c r="Q1860" i="17" s="1"/>
  <c r="P1861" i="17"/>
  <c r="Q1861" i="17" s="1"/>
  <c r="P1862" i="17"/>
  <c r="Q1862" i="17" s="1"/>
  <c r="P1863" i="17"/>
  <c r="Q1863" i="17" s="1"/>
  <c r="P1864" i="17"/>
  <c r="Q1864" i="17" s="1"/>
  <c r="P1865" i="17"/>
  <c r="Q1865" i="17" s="1"/>
  <c r="P1866" i="17"/>
  <c r="Q1866" i="17" s="1"/>
  <c r="P1867" i="17"/>
  <c r="Q1867" i="17" s="1"/>
  <c r="P1868" i="17"/>
  <c r="Q1868" i="17" s="1"/>
  <c r="P1869" i="17"/>
  <c r="Q1869" i="17" s="1"/>
  <c r="P1870" i="17"/>
  <c r="Q1870" i="17" s="1"/>
  <c r="P1871" i="17"/>
  <c r="Q1871" i="17" s="1"/>
  <c r="P1872" i="17"/>
  <c r="Q1872" i="17" s="1"/>
  <c r="P1873" i="17"/>
  <c r="Q1873" i="17" s="1"/>
  <c r="P1874" i="17"/>
  <c r="Q1874" i="17" s="1"/>
  <c r="P1875" i="17"/>
  <c r="Q1875" i="17" s="1"/>
  <c r="P1876" i="17"/>
  <c r="Q1876" i="17" s="1"/>
  <c r="P1877" i="17"/>
  <c r="Q1877" i="17" s="1"/>
  <c r="P1878" i="17"/>
  <c r="Q1878" i="17" s="1"/>
  <c r="P1879" i="17"/>
  <c r="Q1879" i="17" s="1"/>
  <c r="P1880" i="17"/>
  <c r="Q1880" i="17" s="1"/>
  <c r="P1881" i="17"/>
  <c r="Q1881" i="17" s="1"/>
  <c r="P1882" i="17"/>
  <c r="Q1882" i="17" s="1"/>
  <c r="P1883" i="17"/>
  <c r="Q1883" i="17" s="1"/>
  <c r="P1884" i="17"/>
  <c r="Q1884" i="17" s="1"/>
  <c r="P1885" i="17"/>
  <c r="Q1885" i="17" s="1"/>
  <c r="P1886" i="17"/>
  <c r="Q1886" i="17" s="1"/>
  <c r="P1887" i="17"/>
  <c r="Q1887" i="17" s="1"/>
  <c r="P1888" i="17"/>
  <c r="Q1888" i="17" s="1"/>
  <c r="P1889" i="17"/>
  <c r="Q1889" i="17" s="1"/>
  <c r="P1890" i="17"/>
  <c r="Q1890" i="17" s="1"/>
  <c r="P1891" i="17"/>
  <c r="Q1891" i="17" s="1"/>
  <c r="P1892" i="17"/>
  <c r="Q1892" i="17" s="1"/>
  <c r="P1893" i="17"/>
  <c r="Q1893" i="17" s="1"/>
  <c r="P1894" i="17"/>
  <c r="Q1894" i="17" s="1"/>
  <c r="P1895" i="17"/>
  <c r="Q1895" i="17" s="1"/>
  <c r="P1896" i="17"/>
  <c r="Q1896" i="17" s="1"/>
  <c r="P1897" i="17"/>
  <c r="Q1897" i="17" s="1"/>
  <c r="P1898" i="17"/>
  <c r="Q1898" i="17" s="1"/>
  <c r="P1899" i="17"/>
  <c r="Q1899" i="17" s="1"/>
  <c r="P1900" i="17"/>
  <c r="Q1900" i="17" s="1"/>
  <c r="P1901" i="17"/>
  <c r="Q1901" i="17" s="1"/>
  <c r="P1902" i="17"/>
  <c r="Q1902" i="17" s="1"/>
  <c r="P1903" i="17"/>
  <c r="Q1903" i="17" s="1"/>
  <c r="P1904" i="17"/>
  <c r="Q1904" i="17" s="1"/>
  <c r="P1905" i="17"/>
  <c r="Q1905" i="17" s="1"/>
  <c r="P1906" i="17"/>
  <c r="Q1906" i="17" s="1"/>
  <c r="P1907" i="17"/>
  <c r="Q1907" i="17" s="1"/>
  <c r="P1908" i="17"/>
  <c r="Q1908" i="17" s="1"/>
  <c r="P1909" i="17"/>
  <c r="Q1909" i="17" s="1"/>
  <c r="P1910" i="17"/>
  <c r="Q1910" i="17" s="1"/>
  <c r="P1911" i="17"/>
  <c r="Q1911" i="17" s="1"/>
  <c r="P1912" i="17"/>
  <c r="Q1912" i="17" s="1"/>
  <c r="P1913" i="17"/>
  <c r="Q1913" i="17" s="1"/>
  <c r="P1914" i="17"/>
  <c r="Q1914" i="17" s="1"/>
  <c r="P1915" i="17"/>
  <c r="Q1915" i="17" s="1"/>
  <c r="P1916" i="17"/>
  <c r="Q1916" i="17" s="1"/>
  <c r="P1917" i="17"/>
  <c r="Q1917" i="17" s="1"/>
  <c r="P1918" i="17"/>
  <c r="Q1918" i="17" s="1"/>
  <c r="P1919" i="17"/>
  <c r="Q1919" i="17" s="1"/>
  <c r="P1920" i="17"/>
  <c r="Q1920" i="17" s="1"/>
  <c r="P1921" i="17"/>
  <c r="Q1921" i="17" s="1"/>
  <c r="P1922" i="17"/>
  <c r="Q1922" i="17" s="1"/>
  <c r="P1923" i="17"/>
  <c r="Q1923" i="17" s="1"/>
  <c r="P1924" i="17"/>
  <c r="Q1924" i="17" s="1"/>
  <c r="P1925" i="17"/>
  <c r="Q1925" i="17" s="1"/>
  <c r="P1926" i="17"/>
  <c r="Q1926" i="17" s="1"/>
  <c r="P1927" i="17"/>
  <c r="Q1927" i="17" s="1"/>
  <c r="P1928" i="17"/>
  <c r="Q1928" i="17" s="1"/>
  <c r="P1929" i="17"/>
  <c r="Q1929" i="17" s="1"/>
  <c r="P1930" i="17"/>
  <c r="Q1930" i="17" s="1"/>
  <c r="P1931" i="17"/>
  <c r="Q1931" i="17" s="1"/>
  <c r="P1932" i="17"/>
  <c r="Q1932" i="17" s="1"/>
  <c r="P1933" i="17"/>
  <c r="Q1933" i="17" s="1"/>
  <c r="P1934" i="17"/>
  <c r="Q1934" i="17" s="1"/>
  <c r="P1935" i="17"/>
  <c r="Q1935" i="17" s="1"/>
  <c r="P1936" i="17"/>
  <c r="Q1936" i="17" s="1"/>
  <c r="P1937" i="17"/>
  <c r="Q1937" i="17" s="1"/>
  <c r="P1938" i="17"/>
  <c r="Q1938" i="17" s="1"/>
  <c r="P1939" i="17"/>
  <c r="Q1939" i="17" s="1"/>
  <c r="P1940" i="17"/>
  <c r="Q1940" i="17" s="1"/>
  <c r="P1941" i="17"/>
  <c r="Q1941" i="17" s="1"/>
  <c r="P1942" i="17"/>
  <c r="Q1942" i="17" s="1"/>
  <c r="P1943" i="17"/>
  <c r="Q1943" i="17" s="1"/>
  <c r="P1944" i="17"/>
  <c r="Q1944" i="17" s="1"/>
  <c r="P1945" i="17"/>
  <c r="Q1945" i="17" s="1"/>
  <c r="P1946" i="17"/>
  <c r="Q1946" i="17" s="1"/>
  <c r="P1947" i="17"/>
  <c r="Q1947" i="17" s="1"/>
  <c r="P1948" i="17"/>
  <c r="Q1948" i="17" s="1"/>
  <c r="P1949" i="17"/>
  <c r="Q1949" i="17" s="1"/>
  <c r="P1950" i="17"/>
  <c r="Q1950" i="17" s="1"/>
  <c r="P1951" i="17"/>
  <c r="Q1951" i="17" s="1"/>
  <c r="P1952" i="17"/>
  <c r="Q1952" i="17" s="1"/>
  <c r="P1953" i="17"/>
  <c r="Q1953" i="17" s="1"/>
  <c r="P1954" i="17"/>
  <c r="Q1954" i="17" s="1"/>
  <c r="P1955" i="17"/>
  <c r="Q1955" i="17" s="1"/>
  <c r="P1956" i="17"/>
  <c r="Q1956" i="17" s="1"/>
  <c r="P1957" i="17"/>
  <c r="Q1957" i="17" s="1"/>
  <c r="P1958" i="17"/>
  <c r="Q1958" i="17" s="1"/>
  <c r="P1959" i="17"/>
  <c r="Q1959" i="17" s="1"/>
  <c r="P1960" i="17"/>
  <c r="Q1960" i="17" s="1"/>
  <c r="P1961" i="17"/>
  <c r="Q1961" i="17" s="1"/>
  <c r="P1962" i="17"/>
  <c r="Q1962" i="17" s="1"/>
  <c r="P1963" i="17"/>
  <c r="Q1963" i="17" s="1"/>
  <c r="P1964" i="17"/>
  <c r="Q1964" i="17" s="1"/>
  <c r="P1965" i="17"/>
  <c r="Q1965" i="17" s="1"/>
  <c r="P1966" i="17"/>
  <c r="Q1966" i="17" s="1"/>
  <c r="P1967" i="17"/>
  <c r="Q1967" i="17" s="1"/>
  <c r="P1968" i="17"/>
  <c r="Q1968" i="17" s="1"/>
  <c r="P1969" i="17"/>
  <c r="Q1969" i="17" s="1"/>
  <c r="P1970" i="17"/>
  <c r="Q1970" i="17" s="1"/>
  <c r="P1971" i="17"/>
  <c r="Q1971" i="17" s="1"/>
  <c r="P1972" i="17"/>
  <c r="Q1972" i="17" s="1"/>
  <c r="P1973" i="17"/>
  <c r="Q1973" i="17" s="1"/>
  <c r="P1974" i="17"/>
  <c r="Q1974" i="17" s="1"/>
  <c r="P1975" i="17"/>
  <c r="Q1975" i="17" s="1"/>
  <c r="P1976" i="17"/>
  <c r="Q1976" i="17" s="1"/>
  <c r="P1977" i="17"/>
  <c r="Q1977" i="17" s="1"/>
  <c r="P1978" i="17"/>
  <c r="Q1978" i="17" s="1"/>
  <c r="P1979" i="17"/>
  <c r="Q1979" i="17" s="1"/>
  <c r="P1980" i="17"/>
  <c r="Q1980" i="17" s="1"/>
  <c r="P1981" i="17"/>
  <c r="Q1981" i="17" s="1"/>
  <c r="P1982" i="17"/>
  <c r="Q1982" i="17" s="1"/>
  <c r="P1983" i="17"/>
  <c r="Q1983" i="17" s="1"/>
  <c r="P1984" i="17"/>
  <c r="Q1984" i="17" s="1"/>
  <c r="P1985" i="17"/>
  <c r="Q1985" i="17" s="1"/>
  <c r="P1986" i="17"/>
  <c r="Q1986" i="17" s="1"/>
  <c r="P1987" i="17"/>
  <c r="Q1987" i="17" s="1"/>
  <c r="P1988" i="17"/>
  <c r="Q1988" i="17" s="1"/>
  <c r="P1989" i="17"/>
  <c r="Q1989" i="17" s="1"/>
  <c r="P1990" i="17"/>
  <c r="Q1990" i="17" s="1"/>
  <c r="P1991" i="17"/>
  <c r="Q1991" i="17" s="1"/>
  <c r="P1992" i="17"/>
  <c r="Q1992" i="17" s="1"/>
  <c r="P1993" i="17"/>
  <c r="Q1993" i="17" s="1"/>
  <c r="P1994" i="17"/>
  <c r="Q1994" i="17" s="1"/>
  <c r="P1995" i="17"/>
  <c r="Q1995" i="17" s="1"/>
  <c r="P1996" i="17"/>
  <c r="Q1996" i="17" s="1"/>
  <c r="P1997" i="17"/>
  <c r="Q1997" i="17" s="1"/>
  <c r="P1998" i="17"/>
  <c r="Q1998" i="17" s="1"/>
  <c r="P1999" i="17"/>
  <c r="Q1999" i="17" s="1"/>
  <c r="P2000" i="17"/>
  <c r="Q2000" i="17" s="1"/>
  <c r="P2001" i="17"/>
  <c r="Q2001" i="17" s="1"/>
  <c r="P2002" i="17"/>
  <c r="Q2002" i="17" s="1"/>
  <c r="P2003" i="17"/>
  <c r="Q2003" i="17" s="1"/>
  <c r="P2004" i="17"/>
  <c r="Q2004" i="17" s="1"/>
  <c r="P2005" i="17"/>
  <c r="Q2005" i="17" s="1"/>
  <c r="P2006" i="17"/>
  <c r="Q2006" i="17" s="1"/>
  <c r="P2007" i="17"/>
  <c r="Q2007" i="17" s="1"/>
  <c r="P2008" i="17"/>
  <c r="Q2008" i="17" s="1"/>
  <c r="P2009" i="17"/>
  <c r="Q2009" i="17" s="1"/>
  <c r="P2010" i="17"/>
  <c r="Q2010" i="17" s="1"/>
  <c r="P2011" i="17"/>
  <c r="Q2011" i="17" s="1"/>
  <c r="P2012" i="17"/>
  <c r="Q2012" i="17" s="1"/>
  <c r="P2013" i="17"/>
  <c r="Q2013" i="17" s="1"/>
  <c r="P2014" i="17"/>
  <c r="Q2014" i="17" s="1"/>
  <c r="P2015" i="17"/>
  <c r="Q2015" i="17" s="1"/>
  <c r="P2016" i="17"/>
  <c r="Q2016" i="17" s="1"/>
  <c r="P2017" i="17"/>
  <c r="Q2017" i="17" s="1"/>
  <c r="P2018" i="17"/>
  <c r="Q2018" i="17" s="1"/>
  <c r="P2019" i="17"/>
  <c r="Q2019" i="17" s="1"/>
  <c r="P2020" i="17"/>
  <c r="Q2020" i="17" s="1"/>
  <c r="P2021" i="17"/>
  <c r="Q2021" i="17" s="1"/>
  <c r="P2022" i="17"/>
  <c r="Q2022" i="17" s="1"/>
  <c r="P2023" i="17"/>
  <c r="Q2023" i="17" s="1"/>
  <c r="P2024" i="17"/>
  <c r="Q2024" i="17" s="1"/>
  <c r="P2025" i="17"/>
  <c r="Q2025" i="17" s="1"/>
  <c r="P2026" i="17"/>
  <c r="Q2026" i="17" s="1"/>
  <c r="P2027" i="17"/>
  <c r="Q2027" i="17" s="1"/>
  <c r="P2028" i="17"/>
  <c r="Q2028" i="17" s="1"/>
  <c r="P2029" i="17"/>
  <c r="Q2029" i="17" s="1"/>
  <c r="P2030" i="17"/>
  <c r="Q2030" i="17" s="1"/>
  <c r="P2031" i="17"/>
  <c r="Q2031" i="17" s="1"/>
  <c r="P2032" i="17"/>
  <c r="Q2032" i="17" s="1"/>
  <c r="P2033" i="17"/>
  <c r="Q2033" i="17" s="1"/>
  <c r="P2034" i="17"/>
  <c r="Q2034" i="17" s="1"/>
  <c r="P2035" i="17"/>
  <c r="Q2035" i="17" s="1"/>
  <c r="P2036" i="17"/>
  <c r="Q2036" i="17" s="1"/>
  <c r="P2037" i="17"/>
  <c r="Q2037" i="17" s="1"/>
  <c r="P2038" i="17"/>
  <c r="Q2038" i="17" s="1"/>
  <c r="P2039" i="17"/>
  <c r="Q2039" i="17" s="1"/>
  <c r="P2040" i="17"/>
  <c r="Q2040" i="17" s="1"/>
  <c r="P2041" i="17"/>
  <c r="Q2041" i="17" s="1"/>
  <c r="P2042" i="17"/>
  <c r="Q2042" i="17" s="1"/>
  <c r="P2043" i="17"/>
  <c r="Q2043" i="17" s="1"/>
  <c r="P450" i="17"/>
  <c r="Q450" i="17" s="1"/>
  <c r="P449" i="17"/>
  <c r="Q449" i="17" s="1"/>
  <c r="N449"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B1976" i="17"/>
  <c r="B1977" i="17"/>
  <c r="B1978" i="17"/>
  <c r="B1979" i="17"/>
  <c r="B1980" i="17"/>
  <c r="B1981" i="17"/>
  <c r="B1982" i="17"/>
  <c r="B1983" i="17"/>
  <c r="B1984" i="17"/>
  <c r="B1985" i="17"/>
  <c r="B1986" i="17"/>
  <c r="B1987" i="17"/>
  <c r="B1988" i="17"/>
  <c r="B1989" i="17"/>
  <c r="B1990" i="17"/>
  <c r="B1991" i="17"/>
  <c r="B1992" i="17"/>
  <c r="B1993" i="17"/>
  <c r="B1994" i="17"/>
  <c r="B1995" i="17"/>
  <c r="B1996" i="17"/>
  <c r="B1997" i="17"/>
  <c r="B1998" i="17"/>
  <c r="B1999" i="17"/>
  <c r="B2000" i="17"/>
  <c r="B2001" i="17"/>
  <c r="B2002" i="17"/>
  <c r="B2003" i="17"/>
  <c r="B2004" i="17"/>
  <c r="B2005" i="17"/>
  <c r="B2006" i="17"/>
  <c r="B2007" i="17"/>
  <c r="B2008" i="17"/>
  <c r="B2009" i="17"/>
  <c r="B2010" i="17"/>
  <c r="B2011" i="17"/>
  <c r="B2012" i="17"/>
  <c r="B2013" i="17"/>
  <c r="B2014" i="17"/>
  <c r="B2015" i="17"/>
  <c r="B2016" i="17"/>
  <c r="B2017" i="17"/>
  <c r="B2018" i="17"/>
  <c r="B2019" i="17"/>
  <c r="B2020" i="17"/>
  <c r="B2021" i="17"/>
  <c r="B2022" i="17"/>
  <c r="B2023" i="17"/>
  <c r="B2024" i="17"/>
  <c r="B2025" i="17"/>
  <c r="B2026" i="17"/>
  <c r="B2027" i="17"/>
  <c r="B2028" i="17"/>
  <c r="B2029" i="17"/>
  <c r="B2030" i="17"/>
  <c r="B2031" i="17"/>
  <c r="B2032" i="17"/>
  <c r="B2033" i="17"/>
  <c r="B2034" i="17"/>
  <c r="B2035" i="17"/>
  <c r="B2036" i="17"/>
  <c r="B2037" i="17"/>
  <c r="B2038" i="17"/>
  <c r="B2039" i="17"/>
  <c r="B2040" i="17"/>
  <c r="B2041" i="17"/>
  <c r="B2042" i="17"/>
  <c r="B2043" i="17"/>
  <c r="Y1978" i="17"/>
  <c r="Y1977" i="17"/>
  <c r="Y1976" i="17"/>
  <c r="Y1975" i="17"/>
  <c r="Y1974" i="17"/>
  <c r="Y1973" i="17"/>
  <c r="Y1972" i="17"/>
  <c r="Y1971" i="17"/>
  <c r="Y1970" i="17"/>
  <c r="Y1969" i="17"/>
  <c r="Y1968" i="17"/>
  <c r="Y1967" i="17"/>
  <c r="Y1966" i="17"/>
  <c r="Y1965" i="17"/>
  <c r="Y1964" i="17"/>
  <c r="Y1963" i="17"/>
  <c r="Y1962" i="17"/>
  <c r="Y1961" i="17"/>
  <c r="Y1960" i="17"/>
  <c r="Y1959" i="17"/>
  <c r="Y1958" i="17"/>
  <c r="Y1957" i="17"/>
  <c r="Y1956" i="17"/>
  <c r="Y1955" i="17"/>
  <c r="Y1954" i="17"/>
  <c r="Y1953" i="17"/>
  <c r="Y1952" i="17"/>
  <c r="Y1951" i="17"/>
  <c r="Y1950" i="17"/>
  <c r="Y1949" i="17"/>
  <c r="Y1948" i="17"/>
  <c r="Y1947" i="17"/>
  <c r="Y1946" i="17"/>
  <c r="Y1945" i="17"/>
  <c r="Y1944" i="17"/>
  <c r="Y1943" i="17"/>
  <c r="Y1942" i="17"/>
  <c r="Y1941" i="17"/>
  <c r="Y1940" i="17"/>
  <c r="Y1939" i="17"/>
  <c r="Y1938" i="17"/>
  <c r="Y1937" i="17"/>
  <c r="Y1936" i="17"/>
  <c r="Y1935" i="17"/>
  <c r="Y1934" i="17"/>
  <c r="Y1933" i="17"/>
  <c r="Y1932" i="17"/>
  <c r="Y1931" i="17"/>
  <c r="Y1930" i="17"/>
  <c r="Y1929" i="17"/>
  <c r="Y1928" i="17"/>
  <c r="Y1927" i="17"/>
  <c r="Y1926" i="17"/>
  <c r="Y1925" i="17"/>
  <c r="Y1924" i="17"/>
  <c r="Y1923" i="17"/>
  <c r="Y1922" i="17"/>
  <c r="Y1921" i="17"/>
  <c r="Y1920" i="17"/>
  <c r="Y1919" i="17"/>
  <c r="Y1918" i="17"/>
  <c r="Y1917" i="17"/>
  <c r="Y1916" i="17"/>
  <c r="Y1915" i="17"/>
  <c r="Y1914" i="17"/>
  <c r="Y1913" i="17"/>
  <c r="Y1912" i="17"/>
  <c r="Y1911" i="17"/>
  <c r="Y1910" i="17"/>
  <c r="Y1909" i="17"/>
  <c r="Y1908" i="17"/>
  <c r="Y1907" i="17"/>
  <c r="Y1906" i="17"/>
  <c r="Y1905" i="17"/>
  <c r="Y1904" i="17"/>
  <c r="Y1903" i="17"/>
  <c r="Y1902" i="17"/>
  <c r="Y1901" i="17"/>
  <c r="Y1900" i="17"/>
  <c r="Y1899" i="17"/>
  <c r="Y1898" i="17"/>
  <c r="Y1897" i="17"/>
  <c r="Y1896" i="17"/>
  <c r="Y1895" i="17"/>
  <c r="Y1894" i="17"/>
  <c r="Y1893" i="17"/>
  <c r="Y1892" i="17"/>
  <c r="Y1891" i="17"/>
  <c r="Y1890" i="17"/>
  <c r="Y1889" i="17"/>
  <c r="Y1888" i="17"/>
  <c r="Y1887" i="17"/>
  <c r="Y1886" i="17"/>
  <c r="Y1885" i="17"/>
  <c r="Y1884" i="17"/>
  <c r="Y1883" i="17"/>
  <c r="Y1882" i="17"/>
  <c r="Y1881" i="17"/>
  <c r="Y1880" i="17"/>
  <c r="Y1879" i="17"/>
  <c r="Y1878" i="17"/>
  <c r="Y1877" i="17"/>
  <c r="Y1876" i="17"/>
  <c r="Y1875" i="17"/>
  <c r="Y1874" i="17"/>
  <c r="Y1873" i="17"/>
  <c r="Y1872" i="17"/>
  <c r="Y1871" i="17"/>
  <c r="Y1870" i="17"/>
  <c r="Y1869" i="17"/>
  <c r="Y1868" i="17"/>
  <c r="Y1867" i="17"/>
  <c r="Y1866" i="17"/>
  <c r="Y1865" i="17"/>
  <c r="Y1864" i="17"/>
  <c r="Y1863" i="17"/>
  <c r="Y1862" i="17"/>
  <c r="Y1861" i="17"/>
  <c r="Y1860" i="17"/>
  <c r="Y1859" i="17"/>
  <c r="Y1858" i="17"/>
  <c r="Y1857" i="17"/>
  <c r="Y1856" i="17"/>
  <c r="Y1855" i="17"/>
  <c r="Y1854" i="17"/>
  <c r="Y1853" i="17"/>
  <c r="Y1852" i="17"/>
  <c r="Y1851" i="17"/>
  <c r="Y1850" i="17"/>
  <c r="Y1849" i="17"/>
  <c r="Y1848" i="17"/>
  <c r="Y1847" i="17"/>
  <c r="Y1846" i="17"/>
  <c r="Y1845" i="17"/>
  <c r="Y1844" i="17"/>
  <c r="Y1843" i="17"/>
  <c r="Y1842" i="17"/>
  <c r="Y1841" i="17"/>
  <c r="Y1840" i="17"/>
  <c r="Y1839" i="17"/>
  <c r="Y1838" i="17"/>
  <c r="Y1837" i="17"/>
  <c r="Y1836" i="17"/>
  <c r="Y1835" i="17"/>
  <c r="Y1834" i="17"/>
  <c r="Y1833" i="17"/>
  <c r="Y1832" i="17"/>
  <c r="Y1831" i="17"/>
  <c r="Y1830" i="17"/>
  <c r="Y1829" i="17"/>
  <c r="Y1828" i="17"/>
  <c r="Y1827" i="17"/>
  <c r="Y1826" i="17"/>
  <c r="Y1825" i="17"/>
  <c r="Y1824" i="17"/>
  <c r="Y1823" i="17"/>
  <c r="Y1822" i="17"/>
  <c r="Y1821" i="17"/>
  <c r="Y1820" i="17"/>
  <c r="Y1819" i="17"/>
  <c r="Y1818" i="17"/>
  <c r="Y1817" i="17"/>
  <c r="Y1816" i="17"/>
  <c r="Y1815" i="17"/>
  <c r="Y1814" i="17"/>
  <c r="Y1813" i="17"/>
  <c r="Y1812" i="17"/>
  <c r="Y1811" i="17"/>
  <c r="Y1810" i="17"/>
  <c r="Y1809" i="17"/>
  <c r="Y1808" i="17"/>
  <c r="Y1807" i="17"/>
  <c r="Y1806" i="17"/>
  <c r="Y1805" i="17"/>
  <c r="Y1804" i="17"/>
  <c r="Y1803" i="17"/>
  <c r="Y1802" i="17"/>
  <c r="Y1801" i="17"/>
  <c r="Y1800" i="17"/>
  <c r="Y1799" i="17"/>
  <c r="Y1798" i="17"/>
  <c r="Y1797" i="17"/>
  <c r="Y1796" i="17"/>
  <c r="Y1795" i="17"/>
  <c r="Y1794" i="17"/>
  <c r="Y1793" i="17"/>
  <c r="Y1792" i="17"/>
  <c r="Y1791" i="17"/>
  <c r="Y1790" i="17"/>
  <c r="Y1789" i="17"/>
  <c r="Y1788" i="17"/>
  <c r="Y1787" i="17"/>
  <c r="Y1786" i="17"/>
  <c r="Y1785" i="17"/>
  <c r="Y1784" i="17"/>
  <c r="Y1783" i="17"/>
  <c r="Y1782" i="17"/>
  <c r="Y1781" i="17"/>
  <c r="Y1780" i="17"/>
  <c r="Y1779" i="17"/>
  <c r="Y1778" i="17"/>
  <c r="Y1777" i="17"/>
  <c r="Y1776" i="17"/>
  <c r="Y1775" i="17"/>
  <c r="Y1774" i="17"/>
  <c r="Y1773" i="17"/>
  <c r="Y1772" i="17"/>
  <c r="Y1771" i="17"/>
  <c r="Y1770" i="17"/>
  <c r="Y1769" i="17"/>
  <c r="Y1768" i="17"/>
  <c r="Y1767" i="17"/>
  <c r="Y1766" i="17"/>
  <c r="Y1765" i="17"/>
  <c r="Y1764" i="17"/>
  <c r="Y1763" i="17"/>
  <c r="Y1762" i="17"/>
  <c r="Y1761" i="17"/>
  <c r="Y1760" i="17"/>
  <c r="Y1759" i="17"/>
  <c r="Y1758" i="17"/>
  <c r="Y1757" i="17"/>
  <c r="Y1756" i="17"/>
  <c r="Y1755" i="17"/>
  <c r="Y1754" i="17"/>
  <c r="Y1753" i="17"/>
  <c r="Y1752" i="17"/>
  <c r="Y1751" i="17"/>
  <c r="Y1750" i="17"/>
  <c r="Y1749" i="17"/>
  <c r="Y1748" i="17"/>
  <c r="Y1747" i="17"/>
  <c r="Y1746" i="17"/>
  <c r="Y1745" i="17"/>
  <c r="Y1744" i="17"/>
  <c r="Y1743" i="17"/>
  <c r="Y1742" i="17"/>
  <c r="Y1741" i="17"/>
  <c r="Y1740" i="17"/>
  <c r="Y1739" i="17"/>
  <c r="Y1738" i="17"/>
  <c r="Y1737" i="17"/>
  <c r="Y1736" i="17"/>
  <c r="Y1735" i="17"/>
  <c r="Y1734" i="17"/>
  <c r="Y1733" i="17"/>
  <c r="Y1732" i="17"/>
  <c r="Y1731" i="17"/>
  <c r="Y1730" i="17"/>
  <c r="Y1729" i="17"/>
  <c r="Y1728" i="17"/>
  <c r="Y1727" i="17"/>
  <c r="Y1726" i="17"/>
  <c r="Y1725" i="17"/>
  <c r="Y1724" i="17"/>
  <c r="Y1723" i="17"/>
  <c r="Y1722" i="17"/>
  <c r="Y1721" i="17"/>
  <c r="Y1720" i="17"/>
  <c r="Y1719" i="17"/>
  <c r="Y1718" i="17"/>
  <c r="Y1717" i="17"/>
  <c r="Y1716" i="17"/>
  <c r="Y1715" i="17"/>
  <c r="Y1714" i="17"/>
  <c r="Y1713" i="17"/>
  <c r="Y1712" i="17"/>
  <c r="Y1711" i="17"/>
  <c r="Y1710" i="17"/>
  <c r="Y1709" i="17"/>
  <c r="Y1708" i="17"/>
  <c r="Y1707" i="17"/>
  <c r="Y1706" i="17"/>
  <c r="Y1705" i="17"/>
  <c r="Y1704" i="17"/>
  <c r="Y1703" i="17"/>
  <c r="Y1702" i="17"/>
  <c r="Y1701" i="17"/>
  <c r="Y1700" i="17"/>
  <c r="Y1699" i="17"/>
  <c r="Y1698" i="17"/>
  <c r="Y1697" i="17"/>
  <c r="Y1696" i="17"/>
  <c r="H1695" i="17"/>
  <c r="Y1695" i="17" s="1"/>
  <c r="Y1694" i="17"/>
  <c r="Y1693" i="17"/>
  <c r="Y1692" i="17"/>
  <c r="Y1691" i="17"/>
  <c r="Y1690" i="17"/>
  <c r="Y1689" i="17"/>
  <c r="Y1688" i="17"/>
  <c r="Y1687" i="17"/>
  <c r="Y1686" i="17"/>
  <c r="Y1685" i="17"/>
  <c r="Y1684" i="17"/>
  <c r="Y1683" i="17"/>
  <c r="Y1682" i="17"/>
  <c r="Y1681" i="17"/>
  <c r="Y1680" i="17"/>
  <c r="Y1679" i="17"/>
  <c r="Y1678" i="17"/>
  <c r="Y1677" i="17"/>
  <c r="Y1676" i="17"/>
  <c r="Y1675" i="17"/>
  <c r="Y1674" i="17"/>
  <c r="Y1673" i="17"/>
  <c r="Y1672" i="17"/>
  <c r="Y1671" i="17"/>
  <c r="Y1670" i="17"/>
  <c r="Y1669" i="17"/>
  <c r="Y1668" i="17"/>
  <c r="Y1667" i="17"/>
  <c r="Y1666" i="17"/>
  <c r="Y1665" i="17"/>
  <c r="Y1664" i="17"/>
  <c r="Y1663" i="17"/>
  <c r="Y1662" i="17"/>
  <c r="Y1661" i="17"/>
  <c r="Y1660" i="17"/>
  <c r="Y1659" i="17"/>
  <c r="Y1658" i="17"/>
  <c r="Y1657" i="17"/>
  <c r="Y1656" i="17"/>
  <c r="Y1655" i="17"/>
  <c r="Y1654" i="17"/>
  <c r="Y1653" i="17"/>
  <c r="Y1652" i="17"/>
  <c r="Y1651" i="17"/>
  <c r="Y1650" i="17"/>
  <c r="Y1649" i="17"/>
  <c r="Y1648" i="17"/>
  <c r="Y1647" i="17"/>
  <c r="Y1646" i="17"/>
  <c r="Y1645" i="17"/>
  <c r="Y1644" i="17"/>
  <c r="Y1643" i="17"/>
  <c r="Y1642" i="17"/>
  <c r="Y1641" i="17"/>
  <c r="Y1640" i="17"/>
  <c r="Y1639" i="17"/>
  <c r="Y1638" i="17"/>
  <c r="Y1637" i="17"/>
  <c r="Y1636" i="17"/>
  <c r="Y1635" i="17"/>
  <c r="Y1634" i="17"/>
  <c r="Y1633" i="17"/>
  <c r="Y1632" i="17"/>
  <c r="Y1631" i="17"/>
  <c r="Y1630" i="17"/>
  <c r="Y1629" i="17"/>
  <c r="Y1628" i="17"/>
  <c r="Y1627" i="17"/>
  <c r="Y1626" i="17"/>
  <c r="Y1625" i="17"/>
  <c r="Y1624" i="17"/>
  <c r="Y1623" i="17"/>
  <c r="Y1622" i="17"/>
  <c r="Y1621" i="17"/>
  <c r="Y1620" i="17"/>
  <c r="Y1619" i="17"/>
  <c r="Y1618" i="17"/>
  <c r="Y1617" i="17"/>
  <c r="Y1616" i="17"/>
  <c r="Y1615" i="17"/>
  <c r="Y1614" i="17"/>
  <c r="Y1613" i="17"/>
  <c r="Y1612" i="17"/>
  <c r="Y1611" i="17"/>
  <c r="Y1610" i="17"/>
  <c r="Y1609" i="17"/>
  <c r="Y1608" i="17"/>
  <c r="Y1607" i="17"/>
  <c r="Y1606" i="17"/>
  <c r="Y1605" i="17"/>
  <c r="Y1604" i="17"/>
  <c r="Y1603" i="17"/>
  <c r="Y1602" i="17"/>
  <c r="Y1601" i="17"/>
  <c r="Y1600" i="17"/>
  <c r="Y1599" i="17"/>
  <c r="Y1598" i="17"/>
  <c r="Y1597" i="17"/>
  <c r="Y1596" i="17"/>
  <c r="Y1595" i="17"/>
  <c r="Y1594" i="17"/>
  <c r="Y1593" i="17"/>
  <c r="Y1592" i="17"/>
  <c r="Y1591" i="17"/>
  <c r="Y1590" i="17"/>
  <c r="Y1589" i="17"/>
  <c r="Y1588" i="17"/>
  <c r="Y1587" i="17"/>
  <c r="Y1586" i="17"/>
  <c r="Y1585" i="17"/>
  <c r="Y1584" i="17"/>
  <c r="Y1583" i="17"/>
  <c r="Y1582" i="17"/>
  <c r="Y1581" i="17"/>
  <c r="Y1580" i="17"/>
  <c r="Y1579" i="17"/>
  <c r="Y1578" i="17"/>
  <c r="Y1577" i="17"/>
  <c r="Y1576" i="17"/>
  <c r="Y1575" i="17"/>
  <c r="Y1574" i="17"/>
  <c r="Y1573" i="17"/>
  <c r="Y1572" i="17"/>
  <c r="Y1571" i="17"/>
  <c r="Y1570" i="17"/>
  <c r="Y1569" i="17"/>
  <c r="Y1568" i="17"/>
  <c r="Y1567" i="17"/>
  <c r="Y1566" i="17"/>
  <c r="Y1565" i="17"/>
  <c r="Y1564" i="17"/>
  <c r="Y1563" i="17"/>
  <c r="Y1562" i="17"/>
  <c r="Y1561" i="17"/>
  <c r="Y1560" i="17"/>
  <c r="Y1559" i="17"/>
  <c r="Y1558" i="17"/>
  <c r="Y1557" i="17"/>
  <c r="Y1556" i="17"/>
  <c r="Y1555" i="17"/>
  <c r="Y1554" i="17"/>
  <c r="Y1553" i="17"/>
  <c r="Y1552" i="17"/>
  <c r="Y1551" i="17"/>
  <c r="Y1550" i="17"/>
  <c r="Y1549" i="17"/>
  <c r="Y1548" i="17"/>
  <c r="Y1547" i="17"/>
  <c r="Y1546" i="17"/>
  <c r="Y1545" i="17"/>
  <c r="Y1544" i="17"/>
  <c r="Y1543" i="17"/>
  <c r="Y1542" i="17"/>
  <c r="Y1541" i="17"/>
  <c r="Y1540" i="17"/>
  <c r="Y1539" i="17"/>
  <c r="Y1538" i="17"/>
  <c r="Y1537" i="17"/>
  <c r="Y1536" i="17"/>
  <c r="Y1535" i="17"/>
  <c r="Y1534" i="17"/>
  <c r="Y1533" i="17"/>
  <c r="Y1532" i="17"/>
  <c r="Y1531" i="17"/>
  <c r="Y1530" i="17"/>
  <c r="Y1529" i="17"/>
  <c r="Y1528" i="17"/>
  <c r="Y1527" i="17"/>
  <c r="Y1526" i="17"/>
  <c r="Y1525" i="17"/>
  <c r="Y1524" i="17"/>
  <c r="Y1523" i="17"/>
  <c r="Y1522" i="17"/>
  <c r="Y1521" i="17"/>
  <c r="Y1520" i="17"/>
  <c r="Y1519" i="17"/>
  <c r="Y1518" i="17"/>
  <c r="Y1517" i="17"/>
  <c r="Y1516" i="17"/>
  <c r="Y1515" i="17"/>
  <c r="Y1514" i="17"/>
  <c r="Y1513" i="17"/>
  <c r="Y1512" i="17"/>
  <c r="Y1511" i="17"/>
  <c r="Y1510" i="17"/>
  <c r="Y1509" i="17"/>
  <c r="Y1508" i="17"/>
  <c r="Y1507" i="17"/>
  <c r="Y1506" i="17"/>
  <c r="Y1505" i="17"/>
  <c r="Y1504" i="17"/>
  <c r="Y1503" i="17"/>
  <c r="Y1502" i="17"/>
  <c r="Y1501" i="17"/>
  <c r="Y1500" i="17"/>
  <c r="Y1499" i="17"/>
  <c r="Y1498" i="17"/>
  <c r="Y1497" i="17"/>
  <c r="Y1496" i="17"/>
  <c r="Y1495" i="17"/>
  <c r="Y1494" i="17"/>
  <c r="Y1493" i="17"/>
  <c r="Y1492" i="17"/>
  <c r="Y1491" i="17"/>
  <c r="Y1490" i="17"/>
  <c r="Y1489" i="17"/>
  <c r="Y1488" i="17"/>
  <c r="Y1487" i="17"/>
  <c r="Y1486" i="17"/>
  <c r="Y1485" i="17"/>
  <c r="Y1484" i="17"/>
  <c r="Y1483" i="17"/>
  <c r="Y1482" i="17"/>
  <c r="Y1481" i="17"/>
  <c r="Y1480" i="17"/>
  <c r="Y1479" i="17"/>
  <c r="Y1478" i="17"/>
  <c r="Y1477" i="17"/>
  <c r="Y1476" i="17"/>
  <c r="Y1475" i="17"/>
  <c r="Y1474" i="17"/>
  <c r="Y1473" i="17"/>
  <c r="Y1472" i="17"/>
  <c r="Y1471" i="17"/>
  <c r="Y1470" i="17"/>
  <c r="Y1469" i="17"/>
  <c r="Y1468" i="17"/>
  <c r="Y1467" i="17"/>
  <c r="Y1466" i="17"/>
  <c r="Y1465" i="17"/>
  <c r="Y1464" i="17"/>
  <c r="Y1463" i="17"/>
  <c r="Y1462" i="17"/>
  <c r="Y1461" i="17"/>
  <c r="Y1460" i="17"/>
  <c r="Y1459" i="17"/>
  <c r="Y1458" i="17"/>
  <c r="Y1457" i="17"/>
  <c r="Y1456" i="17"/>
  <c r="Y1455" i="17"/>
  <c r="Y1454" i="17"/>
  <c r="Y1453" i="17"/>
  <c r="Y1452" i="17"/>
  <c r="Y1451" i="17"/>
  <c r="Y1450" i="17"/>
  <c r="Y1449" i="17"/>
  <c r="Y1448" i="17"/>
  <c r="Y1447" i="17"/>
  <c r="Y1446" i="17"/>
  <c r="Y1445" i="17"/>
  <c r="Y1444" i="17"/>
  <c r="Y1443" i="17"/>
  <c r="Y1442" i="17"/>
  <c r="Y1441" i="17"/>
  <c r="Y1440" i="17"/>
  <c r="Y1439" i="17"/>
  <c r="Y1438" i="17"/>
  <c r="Y1437" i="17"/>
  <c r="Y1436" i="17"/>
  <c r="Y1435" i="17"/>
  <c r="Y1434" i="17"/>
  <c r="Y1433" i="17"/>
  <c r="Y1432" i="17"/>
  <c r="Y1431" i="17"/>
  <c r="Y1430" i="17"/>
  <c r="Y1429" i="17"/>
  <c r="Y1428" i="17"/>
  <c r="Y1427" i="17"/>
  <c r="Y1426" i="17"/>
  <c r="Y1425" i="17"/>
  <c r="Y1424" i="17"/>
  <c r="Y1423" i="17"/>
  <c r="Y1422" i="17"/>
  <c r="Y1421" i="17"/>
  <c r="Y1420" i="17"/>
  <c r="Y1419" i="17"/>
  <c r="Y1418" i="17"/>
  <c r="Y1417" i="17"/>
  <c r="Y1416" i="17"/>
  <c r="Y1415" i="17"/>
  <c r="Y1414" i="17"/>
  <c r="Y1413" i="17"/>
  <c r="Y1412" i="17"/>
  <c r="Y1411" i="17"/>
  <c r="Y1410" i="17"/>
  <c r="Y1409" i="17"/>
  <c r="Y1408" i="17"/>
  <c r="Y1407" i="17"/>
  <c r="Y1406" i="17"/>
  <c r="Y1405" i="17"/>
  <c r="Y1404" i="17"/>
  <c r="Y1403" i="17"/>
  <c r="Y1402" i="17"/>
  <c r="Y1401" i="17"/>
  <c r="Y1400" i="17"/>
  <c r="Y1399" i="17"/>
  <c r="Y1398" i="17"/>
  <c r="Y1397" i="17"/>
  <c r="Y1396" i="17"/>
  <c r="Y1395" i="17"/>
  <c r="Y1394" i="17"/>
  <c r="Y1393" i="17"/>
  <c r="Y1392" i="17"/>
  <c r="Y1391" i="17"/>
  <c r="Y1390" i="17"/>
  <c r="Y1389" i="17"/>
  <c r="Y1388" i="17"/>
  <c r="Y1387" i="17"/>
  <c r="Y1386" i="17"/>
  <c r="Y1385" i="17"/>
  <c r="Y1384" i="17"/>
  <c r="Y1383" i="17"/>
  <c r="Y1382" i="17"/>
  <c r="Y1381" i="17"/>
  <c r="Y1380" i="17"/>
  <c r="Y1379" i="17"/>
  <c r="Y1378" i="17"/>
  <c r="Y1377" i="17"/>
  <c r="Y1376" i="17"/>
  <c r="Y1375" i="17"/>
  <c r="Y1374" i="17"/>
  <c r="Y1373" i="17"/>
  <c r="Y1372" i="17"/>
  <c r="Y1371" i="17"/>
  <c r="Y1370" i="17"/>
  <c r="Y1369" i="17"/>
  <c r="Y1368" i="17"/>
  <c r="Y1367" i="17"/>
  <c r="Y1366" i="17"/>
  <c r="Y1365" i="17"/>
  <c r="Y1364" i="17"/>
  <c r="Y1363" i="17"/>
  <c r="Y1362" i="17"/>
  <c r="Y1361" i="17"/>
  <c r="Y1360" i="17"/>
  <c r="Y1359" i="17"/>
  <c r="Y1358" i="17"/>
  <c r="Y1357" i="17"/>
  <c r="Y1356" i="17"/>
  <c r="Y1355" i="17"/>
  <c r="Y1354" i="17"/>
  <c r="Y1353" i="17"/>
  <c r="Y1352" i="17"/>
  <c r="Y1351" i="17"/>
  <c r="Y1350" i="17"/>
  <c r="Y1349" i="17"/>
  <c r="Y1348" i="17"/>
  <c r="Y1347" i="17"/>
  <c r="Y1346" i="17"/>
  <c r="Y1345" i="17"/>
  <c r="Y1344" i="17"/>
  <c r="Y1343" i="17"/>
  <c r="Y1342" i="17"/>
  <c r="Y1341" i="17"/>
  <c r="Y1340" i="17"/>
  <c r="Y1339" i="17"/>
  <c r="Y1338" i="17"/>
  <c r="Y1337" i="17"/>
  <c r="Y1336" i="17"/>
  <c r="Y1335" i="17"/>
  <c r="Y1334" i="17"/>
  <c r="Y1333" i="17"/>
  <c r="Y1332" i="17"/>
  <c r="Y1331" i="17"/>
  <c r="Y1330" i="17"/>
  <c r="Y1329" i="17"/>
  <c r="Y1328" i="17"/>
  <c r="Y1327" i="17"/>
  <c r="Y1326" i="17"/>
  <c r="Y1325" i="17"/>
  <c r="Y1324" i="17"/>
  <c r="Y1323" i="17"/>
  <c r="Y1322" i="17"/>
  <c r="Y1321" i="17"/>
  <c r="Y1320" i="17"/>
  <c r="Y1319" i="17"/>
  <c r="Y1318" i="17"/>
  <c r="Y1317" i="17"/>
  <c r="Y1316" i="17"/>
  <c r="Y1315" i="17"/>
  <c r="Y1314" i="17"/>
  <c r="Y1313" i="17"/>
  <c r="Y1312" i="17"/>
  <c r="Y1311" i="17"/>
  <c r="Y1310" i="17"/>
  <c r="Y1309" i="17"/>
  <c r="Y1308" i="17"/>
  <c r="Y1307" i="17"/>
  <c r="Y1306" i="17"/>
  <c r="Y1305" i="17"/>
  <c r="Y1304" i="17"/>
  <c r="Y1303" i="17"/>
  <c r="Y1302" i="17"/>
  <c r="Y1301" i="17"/>
  <c r="Y1300" i="17"/>
  <c r="Y1299" i="17"/>
  <c r="Y1298" i="17"/>
  <c r="Y1297" i="17"/>
  <c r="Y1296" i="17"/>
  <c r="Y1295" i="17"/>
  <c r="Y1294" i="17"/>
  <c r="Y1293" i="17"/>
  <c r="Y1292" i="17"/>
  <c r="Y1291" i="17"/>
  <c r="Y1290" i="17"/>
  <c r="Y1289" i="17"/>
  <c r="Y1288" i="17"/>
  <c r="Y1287" i="17"/>
  <c r="Y1286" i="17"/>
  <c r="Y1285" i="17"/>
  <c r="Y1284" i="17"/>
  <c r="Y1283" i="17"/>
  <c r="Y1282" i="17"/>
  <c r="Y1281" i="17"/>
  <c r="Y1280" i="17"/>
  <c r="Y1279" i="17"/>
  <c r="Y1278" i="17"/>
  <c r="Y1277" i="17"/>
  <c r="Y1276" i="17"/>
  <c r="Y1275" i="17"/>
  <c r="Y1274" i="17"/>
  <c r="Y1273" i="17"/>
  <c r="Y1272" i="17"/>
  <c r="Y1271" i="17"/>
  <c r="Y1270" i="17"/>
  <c r="Y1269" i="17"/>
  <c r="Y1268" i="17"/>
  <c r="Y1267" i="17"/>
  <c r="Y1266" i="17"/>
  <c r="Y1265" i="17"/>
  <c r="Y1264" i="17"/>
  <c r="Y1263" i="17"/>
  <c r="Y1262" i="17"/>
  <c r="Y1261" i="17"/>
  <c r="Y1260" i="17"/>
  <c r="Y1259" i="17"/>
  <c r="Y1258" i="17"/>
  <c r="Y1257" i="17"/>
  <c r="Y1256" i="17"/>
  <c r="Y1255" i="17"/>
  <c r="Y1254" i="17"/>
  <c r="Y1253" i="17"/>
  <c r="Y1252" i="17"/>
  <c r="Y1251" i="17"/>
  <c r="Y1250" i="17"/>
  <c r="Y1249" i="17"/>
  <c r="Y1248" i="17"/>
  <c r="Y1247" i="17"/>
  <c r="Y1246" i="17"/>
  <c r="Y1245" i="17"/>
  <c r="Y1244" i="17"/>
  <c r="Y1243" i="17"/>
  <c r="Y1242" i="17"/>
  <c r="Y1241" i="17"/>
  <c r="Y1240" i="17"/>
  <c r="Y1239" i="17"/>
  <c r="Y1238" i="17"/>
  <c r="Y1237" i="17"/>
  <c r="Y1236" i="17"/>
  <c r="Y1235" i="17"/>
  <c r="Y1234" i="17"/>
  <c r="Y1233" i="17"/>
  <c r="Y1232" i="17"/>
  <c r="Y1231" i="17"/>
  <c r="Y1230" i="17"/>
  <c r="Y1229" i="17"/>
  <c r="Y1228" i="17"/>
  <c r="Y1227" i="17"/>
  <c r="Y1226" i="17"/>
  <c r="Y1225" i="17"/>
  <c r="Y1224" i="17"/>
  <c r="Y1223" i="17"/>
  <c r="Y1222" i="17"/>
  <c r="Y1221" i="17"/>
  <c r="Y1220" i="17"/>
  <c r="Y1219" i="17"/>
  <c r="Y1218" i="17"/>
  <c r="Y1217" i="17"/>
  <c r="Y1216" i="17"/>
  <c r="Y1215" i="17"/>
  <c r="Y1214" i="17"/>
  <c r="Y1213" i="17"/>
  <c r="Y1212" i="17"/>
  <c r="Y1211" i="17"/>
  <c r="Y1210" i="17"/>
  <c r="Y1209" i="17"/>
  <c r="Y1208" i="17"/>
  <c r="Y1207" i="17"/>
  <c r="Y1206" i="17"/>
  <c r="Y1205" i="17"/>
  <c r="Y1204" i="17"/>
  <c r="Y1203" i="17"/>
  <c r="Y1202" i="17"/>
  <c r="Y1201" i="17"/>
  <c r="Y1200" i="17"/>
  <c r="Y1199" i="17"/>
  <c r="Y1198" i="17"/>
  <c r="Y1197" i="17"/>
  <c r="Y1196" i="17"/>
  <c r="Y1195" i="17"/>
  <c r="Y1194" i="17"/>
  <c r="Y1193" i="17"/>
  <c r="Y1192" i="17"/>
  <c r="Y1191" i="17"/>
  <c r="Y1190" i="17"/>
  <c r="Y1189" i="17"/>
  <c r="Y1188" i="17"/>
  <c r="Y1187" i="17"/>
  <c r="Y1186" i="17"/>
  <c r="Y1185" i="17"/>
  <c r="Y1184" i="17"/>
  <c r="Y1183" i="17"/>
  <c r="Y1182" i="17"/>
  <c r="Y1181" i="17"/>
  <c r="Y1180" i="17"/>
  <c r="Y1179" i="17"/>
  <c r="Y1178" i="17"/>
  <c r="Y1177" i="17"/>
  <c r="Y1176" i="17"/>
  <c r="Y1175" i="17"/>
  <c r="Y1174" i="17"/>
  <c r="Y1173" i="17"/>
  <c r="Y1172" i="17"/>
  <c r="Y1171" i="17"/>
  <c r="Y1170" i="17"/>
  <c r="Y1169" i="17"/>
  <c r="Y1168" i="17"/>
  <c r="Y1167" i="17"/>
  <c r="Y1166" i="17"/>
  <c r="Y1165" i="17"/>
  <c r="Y1164" i="17"/>
  <c r="Y1163" i="17"/>
  <c r="Y1162" i="17"/>
  <c r="Y1161" i="17"/>
  <c r="Y1160" i="17"/>
  <c r="Y1159" i="17"/>
  <c r="Y1158" i="17"/>
  <c r="Y1157" i="17"/>
  <c r="Y1156" i="17"/>
  <c r="Y1155" i="17"/>
  <c r="Y1154" i="17"/>
  <c r="Y1153" i="17"/>
  <c r="Y1152" i="17"/>
  <c r="Y1151" i="17"/>
  <c r="Y1150" i="17"/>
  <c r="Y1149" i="17"/>
  <c r="Y1148" i="17"/>
  <c r="Y1147" i="17"/>
  <c r="Y1146" i="17"/>
  <c r="Y1145" i="17"/>
  <c r="Y1144" i="17"/>
  <c r="Y1143" i="17"/>
  <c r="Y1142" i="17"/>
  <c r="Y1141" i="17"/>
  <c r="Y1140" i="17"/>
  <c r="Y1139" i="17"/>
  <c r="Y1138" i="17"/>
  <c r="Y1137" i="17"/>
  <c r="Y1136" i="17"/>
  <c r="Y1135" i="17"/>
  <c r="Y1134" i="17"/>
  <c r="Y1133" i="17"/>
  <c r="Y1132" i="17"/>
  <c r="Y1131" i="17"/>
  <c r="Y1130" i="17"/>
  <c r="Y1129" i="17"/>
  <c r="Y1128" i="17"/>
  <c r="Y1127" i="17"/>
  <c r="Y1126" i="17"/>
  <c r="Y1125" i="17"/>
  <c r="Y1124" i="17"/>
  <c r="Y1123" i="17"/>
  <c r="Y1122" i="17"/>
  <c r="Y1121" i="17"/>
  <c r="Y1120" i="17"/>
  <c r="Y1119" i="17"/>
  <c r="Y1118" i="17"/>
  <c r="Y1117" i="17"/>
  <c r="Y1116" i="17"/>
  <c r="Y1115" i="17"/>
  <c r="Y1114" i="17"/>
  <c r="Y1113" i="17"/>
  <c r="Y1112" i="17"/>
  <c r="Y1111" i="17"/>
  <c r="Y1110" i="17"/>
  <c r="Y1109" i="17"/>
  <c r="Y1108" i="17"/>
  <c r="Y1107" i="17"/>
  <c r="Y1106" i="17"/>
  <c r="Y1105" i="17"/>
  <c r="Y1104" i="17"/>
  <c r="Y1103" i="17"/>
  <c r="Y1102" i="17"/>
  <c r="Y1101" i="17"/>
  <c r="Y1100" i="17"/>
  <c r="Y1099" i="17"/>
  <c r="Y1098" i="17"/>
  <c r="Y1097" i="17"/>
  <c r="Y1096" i="17"/>
  <c r="Y1095" i="17"/>
  <c r="Y1094" i="17"/>
  <c r="Y1093" i="17"/>
  <c r="Y1092" i="17"/>
  <c r="Y1091" i="17"/>
  <c r="Y1090" i="17"/>
  <c r="Y1089" i="17"/>
  <c r="Y1088" i="17"/>
  <c r="Y1087" i="17"/>
  <c r="Y1086" i="17"/>
  <c r="Y1085" i="17"/>
  <c r="Y1084" i="17"/>
  <c r="Y1083" i="17"/>
  <c r="Y1082" i="17"/>
  <c r="Y1081" i="17"/>
  <c r="Y1080" i="17"/>
  <c r="Y1079" i="17"/>
  <c r="Y1078" i="17"/>
  <c r="Y1077" i="17"/>
  <c r="Y1076" i="17"/>
  <c r="Y1075" i="17"/>
  <c r="Y1074" i="17"/>
  <c r="Y1073" i="17"/>
  <c r="Y1072" i="17"/>
  <c r="Y1071" i="17"/>
  <c r="Y1070" i="17"/>
  <c r="Y1069" i="17"/>
  <c r="Y1068" i="17"/>
  <c r="Y1067" i="17"/>
  <c r="Y1066" i="17"/>
  <c r="Y1065" i="17"/>
  <c r="Y1064" i="17"/>
  <c r="Y1063" i="17"/>
  <c r="Y1062" i="17"/>
  <c r="Y1061" i="17"/>
  <c r="Y1060" i="17"/>
  <c r="Y1059" i="17"/>
  <c r="Y1058" i="17"/>
  <c r="Y1057" i="17"/>
  <c r="Y1056" i="17"/>
  <c r="Y1055" i="17"/>
  <c r="Y1054" i="17"/>
  <c r="Y1053" i="17"/>
  <c r="Y1052" i="17"/>
  <c r="Y1051" i="17"/>
  <c r="Y1050" i="17"/>
  <c r="Y1049" i="17"/>
  <c r="Y1048" i="17"/>
  <c r="Y1047" i="17"/>
  <c r="Y1046" i="17"/>
  <c r="Y1045" i="17"/>
  <c r="Y1044" i="17"/>
  <c r="Y1043" i="17"/>
  <c r="Y1042" i="17"/>
  <c r="Y1041" i="17"/>
  <c r="Y1040" i="17"/>
  <c r="Y1039" i="17"/>
  <c r="Y1038" i="17"/>
  <c r="Y1037" i="17"/>
  <c r="Y1036" i="17"/>
  <c r="Y1035" i="17"/>
  <c r="Y1034" i="17"/>
  <c r="Y1033" i="17"/>
  <c r="Y1032" i="17"/>
  <c r="Y1031" i="17"/>
  <c r="Y1030" i="17"/>
  <c r="Y1029" i="17"/>
  <c r="Y1028" i="17"/>
  <c r="Y1027" i="17"/>
  <c r="Y1026" i="17"/>
  <c r="Y1025" i="17"/>
  <c r="Y1024" i="17"/>
  <c r="Y1023" i="17"/>
  <c r="Y1022" i="17"/>
  <c r="Y1021" i="17"/>
  <c r="Y1020" i="17"/>
  <c r="Y1019" i="17"/>
  <c r="Y1018" i="17"/>
  <c r="Y1017" i="17"/>
  <c r="Y1016" i="17"/>
  <c r="Y1015" i="17"/>
  <c r="Y1014" i="17"/>
  <c r="Y1013" i="17"/>
  <c r="Y1012" i="17"/>
  <c r="Y1011" i="17"/>
  <c r="Y1010" i="17"/>
  <c r="Y1009" i="17"/>
  <c r="Y1008" i="17"/>
  <c r="Y1007" i="17"/>
  <c r="Y1006" i="17"/>
  <c r="Y1005" i="17"/>
  <c r="Y1004" i="17"/>
  <c r="Y1003" i="17"/>
  <c r="Y1002" i="17"/>
  <c r="Y1001" i="17"/>
  <c r="Y1000" i="17"/>
  <c r="Y999" i="17"/>
  <c r="Y998" i="17"/>
  <c r="Y997" i="17"/>
  <c r="Y996" i="17"/>
  <c r="Y995" i="17"/>
  <c r="Y994" i="17"/>
  <c r="Y993" i="17"/>
  <c r="Y992" i="17"/>
  <c r="Y991" i="17"/>
  <c r="Y990" i="17"/>
  <c r="Y989" i="17"/>
  <c r="Y988" i="17"/>
  <c r="Y987" i="17"/>
  <c r="Y986" i="17"/>
  <c r="Y985" i="17"/>
  <c r="Y984" i="17"/>
  <c r="Y983" i="17"/>
  <c r="Y982" i="17"/>
  <c r="Y981" i="17"/>
  <c r="Y980" i="17"/>
  <c r="Y979" i="17"/>
  <c r="Y978" i="17"/>
  <c r="Y977" i="17"/>
  <c r="Y976" i="17"/>
  <c r="Y975" i="17"/>
  <c r="Y974" i="17"/>
  <c r="Y973" i="17"/>
  <c r="Y972" i="17"/>
  <c r="Y971" i="17"/>
  <c r="Y970" i="17"/>
  <c r="Y969" i="17"/>
  <c r="Y968" i="17"/>
  <c r="Y967" i="17"/>
  <c r="Y966" i="17"/>
  <c r="Y965" i="17"/>
  <c r="Y964" i="17"/>
  <c r="Y963" i="17"/>
  <c r="Y962" i="17"/>
  <c r="Y961" i="17"/>
  <c r="Y960" i="17"/>
  <c r="Y959" i="17"/>
  <c r="Y958" i="17"/>
  <c r="Y957" i="17"/>
  <c r="Y956" i="17"/>
  <c r="Y955" i="17"/>
  <c r="Y954" i="17"/>
  <c r="Y953" i="17"/>
  <c r="Y952" i="17"/>
  <c r="Y951" i="17"/>
  <c r="Y950" i="17"/>
  <c r="Y949" i="17"/>
  <c r="Y948" i="17"/>
  <c r="Y947" i="17"/>
  <c r="Y946" i="17"/>
  <c r="Y945" i="17"/>
  <c r="Y944" i="17"/>
  <c r="Y943" i="17"/>
  <c r="Y942" i="17"/>
  <c r="Y941" i="17"/>
  <c r="Y940" i="17"/>
  <c r="Y939" i="17"/>
  <c r="Y938" i="17"/>
  <c r="Y937" i="17"/>
  <c r="Y936" i="17"/>
  <c r="Y935" i="17"/>
  <c r="Y934" i="17"/>
  <c r="Y933" i="17"/>
  <c r="Y932" i="17"/>
  <c r="Y931" i="17"/>
  <c r="Y930" i="17"/>
  <c r="Y929" i="17"/>
  <c r="Y928" i="17"/>
  <c r="Y927" i="17"/>
  <c r="Y926" i="17"/>
  <c r="Y925" i="17"/>
  <c r="Y924" i="17"/>
  <c r="Y923" i="17"/>
  <c r="Y922" i="17"/>
  <c r="Y921" i="17"/>
  <c r="Y920" i="17"/>
  <c r="Y919" i="17"/>
  <c r="Y918" i="17"/>
  <c r="Y917" i="17"/>
  <c r="Y916" i="17"/>
  <c r="Y915" i="17"/>
  <c r="Y914" i="17"/>
  <c r="Y913" i="17"/>
  <c r="Y912" i="17"/>
  <c r="Y911" i="17"/>
  <c r="Y910" i="17"/>
  <c r="Y909" i="17"/>
  <c r="Y908" i="17"/>
  <c r="Y907" i="17"/>
  <c r="Y906" i="17"/>
  <c r="Y905" i="17"/>
  <c r="Y904" i="17"/>
  <c r="Y903" i="17"/>
  <c r="Y902" i="17"/>
  <c r="Y901" i="17"/>
  <c r="Y900" i="17"/>
  <c r="Y899" i="17"/>
  <c r="Y898" i="17"/>
  <c r="Y897" i="17"/>
  <c r="Y896" i="17"/>
  <c r="Y895" i="17"/>
  <c r="Y894" i="17"/>
  <c r="Y893" i="17"/>
  <c r="Y892" i="17"/>
  <c r="Y891" i="17"/>
  <c r="Y890" i="17"/>
  <c r="Y889" i="17"/>
  <c r="Y888" i="17"/>
  <c r="Y887" i="17"/>
  <c r="Y886" i="17"/>
  <c r="Y885" i="17"/>
  <c r="Y884" i="17"/>
  <c r="Y883" i="17"/>
  <c r="Y882" i="17"/>
  <c r="Y881" i="17"/>
  <c r="Y880" i="17"/>
  <c r="Y879" i="17"/>
  <c r="Y878" i="17"/>
  <c r="Y877" i="17"/>
  <c r="Y876" i="17"/>
  <c r="Y875" i="17"/>
  <c r="Y874" i="17"/>
  <c r="Y873" i="17"/>
  <c r="Y872" i="17"/>
  <c r="Y871" i="17"/>
  <c r="Y870" i="17"/>
  <c r="Y869" i="17"/>
  <c r="Y868" i="17"/>
  <c r="Y867" i="17"/>
  <c r="Y866" i="17"/>
  <c r="Y865" i="17"/>
  <c r="Y864" i="17"/>
  <c r="Y863" i="17"/>
  <c r="Y862" i="17"/>
  <c r="Y861" i="17"/>
  <c r="Y860" i="17"/>
  <c r="Y859" i="17"/>
  <c r="Y858" i="17"/>
  <c r="Y857" i="17"/>
  <c r="Y856" i="17"/>
  <c r="Y855" i="17"/>
  <c r="Y854" i="17"/>
  <c r="Y853" i="17"/>
  <c r="Y852" i="17"/>
  <c r="Y851" i="17"/>
  <c r="Y850" i="17"/>
  <c r="Y849" i="17"/>
  <c r="Y848" i="17"/>
  <c r="Y847" i="17"/>
  <c r="Y846" i="17"/>
  <c r="Y845" i="17"/>
  <c r="Y844" i="17"/>
  <c r="Y843" i="17"/>
  <c r="Y842" i="17"/>
  <c r="Y841" i="17"/>
  <c r="Y840" i="17"/>
  <c r="Y839" i="17"/>
  <c r="Y838" i="17"/>
  <c r="Y837" i="17"/>
  <c r="Y836" i="17"/>
  <c r="Y835" i="17"/>
  <c r="Y834" i="17"/>
  <c r="Y833" i="17"/>
  <c r="Y832" i="17"/>
  <c r="Y831" i="17"/>
  <c r="Y830" i="17"/>
  <c r="Y829" i="17"/>
  <c r="Y828" i="17"/>
  <c r="Y827" i="17"/>
  <c r="Y826" i="17"/>
  <c r="Y825" i="17"/>
  <c r="Y824" i="17"/>
  <c r="Y823" i="17"/>
  <c r="Y822" i="17"/>
  <c r="Y821" i="17"/>
  <c r="Y820" i="17"/>
  <c r="Y819" i="17"/>
  <c r="Y818" i="17"/>
  <c r="Y817" i="17"/>
  <c r="Y816" i="17"/>
  <c r="Y815" i="17"/>
  <c r="Y814" i="17"/>
  <c r="Y813" i="17"/>
  <c r="Y812" i="17"/>
  <c r="Y811" i="17"/>
  <c r="Y810" i="17"/>
  <c r="Y809" i="17"/>
  <c r="Y808" i="17"/>
  <c r="Y807" i="17"/>
  <c r="Y806" i="17"/>
  <c r="Y805" i="17"/>
  <c r="Y804" i="17"/>
  <c r="Y803" i="17"/>
  <c r="Y802" i="17"/>
  <c r="Y801" i="17"/>
  <c r="Y800" i="17"/>
  <c r="Y799" i="17"/>
  <c r="Y798" i="17"/>
  <c r="Y797" i="17"/>
  <c r="Y796" i="17"/>
  <c r="Y795" i="17"/>
  <c r="Y794" i="17"/>
  <c r="Y793" i="17"/>
  <c r="Y792" i="17"/>
  <c r="Y791" i="17"/>
  <c r="Y790" i="17"/>
  <c r="Y789" i="17"/>
  <c r="Y788" i="17"/>
  <c r="Y787" i="17"/>
  <c r="Y786" i="17"/>
  <c r="Y785" i="17"/>
  <c r="Y784" i="17"/>
  <c r="Y783" i="17"/>
  <c r="Y782" i="17"/>
  <c r="Y781" i="17"/>
  <c r="Y780" i="17"/>
  <c r="Y779" i="17"/>
  <c r="Y778" i="17"/>
  <c r="Y777" i="17"/>
  <c r="Y776" i="17"/>
  <c r="Y775" i="17"/>
  <c r="Y774" i="17"/>
  <c r="Y773" i="17"/>
  <c r="Y772" i="17"/>
  <c r="Y771" i="17"/>
  <c r="Y770" i="17"/>
  <c r="Y769" i="17"/>
  <c r="Y768" i="17"/>
  <c r="Y767" i="17"/>
  <c r="Y766" i="17"/>
  <c r="Y765" i="17"/>
  <c r="Y764" i="17"/>
  <c r="Y763" i="17"/>
  <c r="Y762" i="17"/>
  <c r="Y761" i="17"/>
  <c r="Y760" i="17"/>
  <c r="Y759" i="17"/>
  <c r="Y758" i="17"/>
  <c r="Y757" i="17"/>
  <c r="Y756" i="17"/>
  <c r="Y755" i="17"/>
  <c r="Y754" i="17"/>
  <c r="Y753" i="17"/>
  <c r="Y752" i="17"/>
  <c r="Y751" i="17"/>
  <c r="Y750" i="17"/>
  <c r="Y749" i="17"/>
  <c r="Y748" i="17"/>
  <c r="Y747" i="17"/>
  <c r="Y746" i="17"/>
  <c r="Y745" i="17"/>
  <c r="Y744" i="17"/>
  <c r="Y743" i="17"/>
  <c r="Y742" i="17"/>
  <c r="Y741" i="17"/>
  <c r="Y740" i="17"/>
  <c r="Y739" i="17"/>
  <c r="Y738" i="17"/>
  <c r="Y737" i="17"/>
  <c r="Y736" i="17"/>
  <c r="Y735" i="17"/>
  <c r="Y734" i="17"/>
  <c r="Y733" i="17"/>
  <c r="Y732" i="17"/>
  <c r="Y731" i="17"/>
  <c r="Y730" i="17"/>
  <c r="Y729" i="17"/>
  <c r="Y728" i="17"/>
  <c r="Y727" i="17"/>
  <c r="Y726" i="17"/>
  <c r="Y725" i="17"/>
  <c r="Y724" i="17"/>
  <c r="Y723" i="17"/>
  <c r="Y722" i="17"/>
  <c r="Y721" i="17"/>
  <c r="Y720" i="17"/>
  <c r="Y719" i="17"/>
  <c r="Y718" i="17"/>
  <c r="Y717" i="17"/>
  <c r="Y716" i="17"/>
  <c r="Y715" i="17"/>
  <c r="Y714" i="17"/>
  <c r="Y713" i="17"/>
  <c r="Y712" i="17"/>
  <c r="Y711" i="17"/>
  <c r="Y710" i="17"/>
  <c r="Y709" i="17"/>
  <c r="Y708" i="17"/>
  <c r="Y707" i="17"/>
  <c r="Y706" i="17"/>
  <c r="Y705" i="17"/>
  <c r="Y704" i="17"/>
  <c r="Y703" i="17"/>
  <c r="Y702" i="17"/>
  <c r="Y701" i="17"/>
  <c r="Y700" i="17"/>
  <c r="Y699" i="17"/>
  <c r="Y698" i="17"/>
  <c r="Y697" i="17"/>
  <c r="Y696" i="17"/>
  <c r="Y695" i="17"/>
  <c r="Y694" i="17"/>
  <c r="Y693" i="17"/>
  <c r="Y692" i="17"/>
  <c r="Y691" i="17"/>
  <c r="Y690" i="17"/>
  <c r="Y689" i="17"/>
  <c r="Y688" i="17"/>
  <c r="Y687" i="17"/>
  <c r="Y686" i="17"/>
  <c r="Y685" i="17"/>
  <c r="Y684" i="17"/>
  <c r="Y683" i="17"/>
  <c r="Y682" i="17"/>
  <c r="Y681" i="17"/>
  <c r="Y680" i="17"/>
  <c r="Y679" i="17"/>
  <c r="Y678" i="17"/>
  <c r="Y677" i="17"/>
  <c r="Y676" i="17"/>
  <c r="Y675" i="17"/>
  <c r="Y674" i="17"/>
  <c r="Y673" i="17"/>
  <c r="Y672" i="17"/>
  <c r="Y671" i="17"/>
  <c r="Y670" i="17"/>
  <c r="Y669" i="17"/>
  <c r="Y668" i="17"/>
  <c r="Y667" i="17"/>
  <c r="Y666" i="17"/>
  <c r="Y665" i="17"/>
  <c r="Y664" i="17"/>
  <c r="Y663" i="17"/>
  <c r="Y662" i="17"/>
  <c r="Y661" i="17"/>
  <c r="Y660" i="17"/>
  <c r="Y659" i="17"/>
  <c r="Y658" i="17"/>
  <c r="Y657" i="17"/>
  <c r="Y656" i="17"/>
  <c r="Y655" i="17"/>
  <c r="Y654" i="17"/>
  <c r="Y653" i="17"/>
  <c r="Y652" i="17"/>
  <c r="Y651" i="17"/>
  <c r="Y650" i="17"/>
  <c r="Y649" i="17"/>
  <c r="Y648" i="17"/>
  <c r="Y647" i="17"/>
  <c r="Y646" i="17"/>
  <c r="Y645" i="17"/>
  <c r="Y644" i="17"/>
  <c r="Y643" i="17"/>
  <c r="Y642" i="17"/>
  <c r="Y641" i="17"/>
  <c r="Y640" i="17"/>
  <c r="Y639" i="17"/>
  <c r="Y638" i="17"/>
  <c r="Y637" i="17"/>
  <c r="Y636" i="17"/>
  <c r="Y635" i="17"/>
  <c r="Y634" i="17"/>
  <c r="Y633" i="17"/>
  <c r="Y632" i="17"/>
  <c r="Y631" i="17"/>
  <c r="Y630" i="17"/>
  <c r="Y629" i="17"/>
  <c r="Y628" i="17"/>
  <c r="Y627" i="17"/>
  <c r="Y626" i="17"/>
  <c r="Y625" i="17"/>
  <c r="Y624" i="17"/>
  <c r="Y623" i="17"/>
  <c r="Y622" i="17"/>
  <c r="Y621" i="17"/>
  <c r="Y620" i="17"/>
  <c r="Y619" i="17"/>
  <c r="Y618" i="17"/>
  <c r="Y617" i="17"/>
  <c r="Y616" i="17"/>
  <c r="Y615" i="17"/>
  <c r="Y614" i="17"/>
  <c r="Y613" i="17"/>
  <c r="Y612" i="17"/>
  <c r="Y611" i="17"/>
  <c r="Y610" i="17"/>
  <c r="Y609" i="17"/>
  <c r="Y608" i="17"/>
  <c r="Y607" i="17"/>
  <c r="Y606" i="17"/>
  <c r="Y605" i="17"/>
  <c r="Y604" i="17"/>
  <c r="Y603" i="17"/>
  <c r="Y602" i="17"/>
  <c r="Y601" i="17"/>
  <c r="Y600" i="17"/>
  <c r="Y599" i="17"/>
  <c r="Y598" i="17"/>
  <c r="Y597" i="17"/>
  <c r="Y596" i="17"/>
  <c r="Y595" i="17"/>
  <c r="Y594" i="17"/>
  <c r="Y593" i="17"/>
  <c r="Y592" i="17"/>
  <c r="Y591" i="17"/>
  <c r="Y590" i="17"/>
  <c r="Y589" i="17"/>
  <c r="Y588" i="17"/>
  <c r="Y587" i="17"/>
  <c r="Y586" i="17"/>
  <c r="Y585" i="17"/>
  <c r="Y584" i="17"/>
  <c r="Y583" i="17"/>
  <c r="Y582" i="17"/>
  <c r="Y581" i="17"/>
  <c r="Y580" i="17"/>
  <c r="Y579" i="17"/>
  <c r="Y578" i="17"/>
  <c r="Y577" i="17"/>
  <c r="Y576" i="17"/>
  <c r="Y575" i="17"/>
  <c r="Y574" i="17"/>
  <c r="Y573" i="17"/>
  <c r="Y572" i="17"/>
  <c r="Y571" i="17"/>
  <c r="Y570" i="17"/>
  <c r="Y569" i="17"/>
  <c r="Y568" i="17"/>
  <c r="Y567" i="17"/>
  <c r="Y566" i="17"/>
  <c r="Y565" i="17"/>
  <c r="Y564" i="17"/>
  <c r="Y563" i="17"/>
  <c r="Y562" i="17"/>
  <c r="Y561" i="17"/>
  <c r="Y560" i="17"/>
  <c r="Y559" i="17"/>
  <c r="Y558" i="17"/>
  <c r="Y557" i="17"/>
  <c r="Y556" i="17"/>
  <c r="Y555" i="17"/>
  <c r="Y554" i="17"/>
  <c r="Y553" i="17"/>
  <c r="Y552" i="17"/>
  <c r="Y551" i="17"/>
  <c r="Y550" i="17"/>
  <c r="Y549" i="17"/>
  <c r="Y548" i="17"/>
  <c r="Y547" i="17"/>
  <c r="Y546" i="17"/>
  <c r="Y545" i="17"/>
  <c r="Y544" i="17"/>
  <c r="Y543" i="17"/>
  <c r="Y542" i="17"/>
  <c r="Y541" i="17"/>
  <c r="Y540" i="17"/>
  <c r="Y539" i="17"/>
  <c r="Y538" i="17"/>
  <c r="Y537" i="17"/>
  <c r="Y536" i="17"/>
  <c r="Y535" i="17"/>
  <c r="Y534" i="17"/>
  <c r="Y533" i="17"/>
  <c r="Y532" i="17"/>
  <c r="Y531" i="17"/>
  <c r="Y530" i="17"/>
  <c r="Y529" i="17"/>
  <c r="Y528" i="17"/>
  <c r="Y527" i="17"/>
  <c r="Y526" i="17"/>
  <c r="Y525" i="17"/>
  <c r="Y524" i="17"/>
  <c r="Y523" i="17"/>
  <c r="Y522" i="17"/>
  <c r="Y521" i="17"/>
  <c r="Y520" i="17"/>
  <c r="Y519" i="17"/>
  <c r="Y518" i="17"/>
  <c r="Y517" i="17"/>
  <c r="Y516" i="17"/>
  <c r="Y515" i="17"/>
  <c r="Y514" i="17"/>
  <c r="Y513" i="17"/>
  <c r="Y512" i="17"/>
  <c r="Y511" i="17"/>
  <c r="Y510" i="17"/>
  <c r="Y509" i="17"/>
  <c r="Y508" i="17"/>
  <c r="Y507" i="17"/>
  <c r="Y506" i="17"/>
  <c r="Y505" i="17"/>
  <c r="Y504" i="17"/>
  <c r="Y503" i="17"/>
  <c r="Y502" i="17"/>
  <c r="Y501" i="17"/>
  <c r="Y500" i="17"/>
  <c r="Y499" i="17"/>
  <c r="Y498" i="17"/>
  <c r="Y497" i="17"/>
  <c r="Y496" i="17"/>
  <c r="Y495" i="17"/>
  <c r="Y494" i="17"/>
  <c r="Y493" i="17"/>
  <c r="Y492" i="17"/>
  <c r="Y491" i="17"/>
  <c r="Y490" i="17"/>
  <c r="Y489" i="17"/>
  <c r="Y488" i="17"/>
  <c r="Y487" i="17"/>
  <c r="Y486" i="17"/>
  <c r="Y485" i="17"/>
  <c r="Y484" i="17"/>
  <c r="Y483" i="17"/>
  <c r="Y482" i="17"/>
  <c r="Y481" i="17"/>
  <c r="Y480" i="17"/>
  <c r="Y479" i="17"/>
  <c r="Y478" i="17"/>
  <c r="Y477" i="17"/>
  <c r="Y476" i="17"/>
  <c r="Y475" i="17"/>
  <c r="Y474" i="17"/>
  <c r="Y473" i="17"/>
  <c r="Y472" i="17"/>
  <c r="Y471" i="17"/>
  <c r="Y470" i="17"/>
  <c r="Y469" i="17"/>
  <c r="Y468" i="17"/>
  <c r="Y467" i="17"/>
  <c r="Y466" i="17"/>
  <c r="Y465" i="17"/>
  <c r="Y464" i="17"/>
  <c r="Y463" i="17"/>
  <c r="Y462" i="17"/>
  <c r="Y461" i="17"/>
  <c r="Y460" i="17"/>
  <c r="Y459" i="17"/>
  <c r="Y458" i="17"/>
  <c r="Y457" i="17"/>
  <c r="Y456" i="17"/>
  <c r="Y455" i="17"/>
  <c r="Y454" i="17"/>
  <c r="Y453" i="17"/>
  <c r="Y452" i="17"/>
  <c r="Y451" i="17"/>
  <c r="Y450" i="17"/>
  <c r="Y449" i="17"/>
  <c r="S7" i="33" l="1"/>
  <c r="I3" i="30"/>
  <c r="M13" i="27"/>
  <c r="AG11" i="30"/>
  <c r="AG12" i="30"/>
  <c r="K31" i="30" l="1"/>
  <c r="J31" i="30"/>
  <c r="J30" i="30"/>
  <c r="O31" i="30" s="1"/>
  <c r="K30" i="30"/>
  <c r="D4" i="31"/>
  <c r="AH12" i="30"/>
  <c r="AB6" i="30"/>
  <c r="AA6" i="30" s="1"/>
  <c r="Y6" i="30"/>
  <c r="X6" i="30" s="1"/>
  <c r="S6" i="30"/>
  <c r="R6" i="30" s="1"/>
  <c r="O6" i="30"/>
  <c r="N6" i="30" s="1"/>
  <c r="N7" i="30" s="1"/>
  <c r="K6" i="30"/>
  <c r="J6" i="30" l="1"/>
  <c r="K9" i="30"/>
  <c r="K13" i="30"/>
  <c r="K10" i="30"/>
  <c r="K14" i="30"/>
  <c r="K11" i="30"/>
  <c r="K15" i="30"/>
  <c r="K8" i="30"/>
  <c r="K12" i="30"/>
  <c r="K16" i="30"/>
  <c r="S31" i="30"/>
  <c r="L31" i="30"/>
  <c r="P31" i="30" s="1"/>
  <c r="L30" i="30"/>
  <c r="Q30" i="27"/>
  <c r="Q29" i="27"/>
  <c r="Q28" i="27"/>
  <c r="Q27" i="27"/>
  <c r="O16" i="27"/>
  <c r="P16" i="27" s="1"/>
  <c r="Q16" i="27" s="1"/>
  <c r="R16" i="27" s="1"/>
  <c r="AI9" i="27"/>
  <c r="AG39" i="27"/>
  <c r="AG38" i="27"/>
  <c r="AG37" i="27"/>
  <c r="AG36" i="27"/>
  <c r="BB31" i="27"/>
  <c r="BD30" i="27"/>
  <c r="BB30" i="27"/>
  <c r="BA43" i="27"/>
  <c r="BA39" i="27"/>
  <c r="BA38" i="27"/>
  <c r="BA37" i="27"/>
  <c r="BA36" i="27"/>
  <c r="BB23" i="27"/>
  <c r="BB22" i="27"/>
  <c r="BC9" i="27"/>
  <c r="BB9" i="27"/>
  <c r="BD8" i="27"/>
  <c r="BD7" i="27"/>
  <c r="BD6" i="27"/>
  <c r="V4" i="25"/>
  <c r="V5" i="25" s="1"/>
  <c r="V6" i="25" s="1"/>
  <c r="V7" i="25" s="1"/>
  <c r="V8" i="25" s="1"/>
  <c r="V9" i="25" s="1"/>
  <c r="V10" i="25" s="1"/>
  <c r="U4" i="25"/>
  <c r="U5" i="25" s="1"/>
  <c r="U6" i="25" s="1"/>
  <c r="U7" i="25" s="1"/>
  <c r="U8" i="25" s="1"/>
  <c r="U9" i="25" s="1"/>
  <c r="U10" i="25" s="1"/>
  <c r="U11" i="25" s="1"/>
  <c r="U12" i="25" s="1"/>
  <c r="U13" i="25" s="1"/>
  <c r="U14" i="25" s="1"/>
  <c r="U15" i="25" s="1"/>
  <c r="U16" i="25" s="1"/>
  <c r="U17" i="25" s="1"/>
  <c r="U18" i="25" s="1"/>
  <c r="U19" i="25" s="1"/>
  <c r="U20" i="25" s="1"/>
  <c r="U21" i="25" s="1"/>
  <c r="U22" i="25" s="1"/>
  <c r="U23" i="25" s="1"/>
  <c r="U24" i="25" s="1"/>
  <c r="U25" i="25" s="1"/>
  <c r="U26" i="25" s="1"/>
  <c r="U27" i="25" s="1"/>
  <c r="U28" i="25" s="1"/>
  <c r="U29" i="25" s="1"/>
  <c r="W3" i="25"/>
  <c r="W4" i="25" s="1"/>
  <c r="W5" i="25" s="1"/>
  <c r="W6" i="25" s="1"/>
  <c r="W7" i="25" s="1"/>
  <c r="W8" i="25" s="1"/>
  <c r="W9" i="25" s="1"/>
  <c r="W10" i="25" s="1"/>
  <c r="W11" i="25" s="1"/>
  <c r="AH31" i="27"/>
  <c r="AH32" i="27" s="1"/>
  <c r="AJ30" i="27"/>
  <c r="AH30" i="27"/>
  <c r="AJ23" i="27"/>
  <c r="AH23" i="27"/>
  <c r="AJ22" i="27"/>
  <c r="AH22" i="27"/>
  <c r="AG43" i="27"/>
  <c r="AJ32" i="27"/>
  <c r="AJ33" i="27" s="1"/>
  <c r="AH9" i="27"/>
  <c r="AJ8" i="27"/>
  <c r="AJ7" i="27"/>
  <c r="AJ6" i="27"/>
  <c r="N32" i="30" l="1"/>
  <c r="T31" i="30"/>
  <c r="R32" i="30" s="1"/>
  <c r="BD15" i="27"/>
  <c r="BB24" i="27"/>
  <c r="BB25" i="27" s="1"/>
  <c r="BB32" i="27"/>
  <c r="BB33" i="27" s="1"/>
  <c r="J7" i="30"/>
  <c r="N17" i="30"/>
  <c r="N15" i="30"/>
  <c r="N13" i="30"/>
  <c r="N11" i="30"/>
  <c r="N9" i="30"/>
  <c r="J17" i="30"/>
  <c r="J15" i="30"/>
  <c r="J13" i="30"/>
  <c r="J11" i="30"/>
  <c r="J9" i="30"/>
  <c r="O18" i="30"/>
  <c r="O16" i="30"/>
  <c r="O14" i="30"/>
  <c r="O12" i="30"/>
  <c r="O10" i="30"/>
  <c r="O8" i="30"/>
  <c r="K18" i="30"/>
  <c r="N18" i="30"/>
  <c r="N16" i="30"/>
  <c r="N14" i="30"/>
  <c r="N12" i="30"/>
  <c r="N10" i="30"/>
  <c r="N8" i="30"/>
  <c r="J18" i="30"/>
  <c r="J16" i="30"/>
  <c r="J14" i="30"/>
  <c r="J12" i="30"/>
  <c r="J10" i="30"/>
  <c r="J8" i="30"/>
  <c r="O17" i="30"/>
  <c r="O15" i="30"/>
  <c r="O13" i="30"/>
  <c r="O11" i="30"/>
  <c r="O9" i="30"/>
  <c r="O7" i="30"/>
  <c r="K17" i="30"/>
  <c r="K7" i="30"/>
  <c r="AH24" i="27"/>
  <c r="AH25" i="27" s="1"/>
  <c r="AJ36" i="27" s="1"/>
  <c r="AJ24" i="27"/>
  <c r="AJ25" i="27" s="1"/>
  <c r="BD39" i="27"/>
  <c r="BD36" i="27"/>
  <c r="BD32" i="27"/>
  <c r="BD33" i="27" s="1"/>
  <c r="BD37" i="27" s="1"/>
  <c r="AJ37" i="27"/>
  <c r="AH33" i="27"/>
  <c r="AJ39" i="27" s="1"/>
  <c r="J25" i="30" l="1"/>
  <c r="S25" i="30" s="1"/>
  <c r="J24" i="30"/>
  <c r="S24" i="30" s="1"/>
  <c r="J19" i="30"/>
  <c r="N19" i="30"/>
  <c r="O19" i="30"/>
  <c r="K19" i="30"/>
  <c r="K25" i="30"/>
  <c r="T25" i="30" s="1"/>
  <c r="K24" i="30"/>
  <c r="T24" i="30" s="1"/>
  <c r="L17" i="30"/>
  <c r="P13" i="30"/>
  <c r="L15" i="30"/>
  <c r="P11" i="30"/>
  <c r="L9" i="30"/>
  <c r="L18" i="30"/>
  <c r="L14" i="30"/>
  <c r="P10" i="30"/>
  <c r="P18" i="30"/>
  <c r="L10" i="30"/>
  <c r="P14" i="30"/>
  <c r="L11" i="30"/>
  <c r="P15" i="30"/>
  <c r="L12" i="30"/>
  <c r="P16" i="30"/>
  <c r="L13" i="30"/>
  <c r="P17" i="30"/>
  <c r="L16" i="30"/>
  <c r="P12" i="30"/>
  <c r="P9" i="30"/>
  <c r="P7" i="30"/>
  <c r="P8" i="30"/>
  <c r="L7" i="30"/>
  <c r="L8" i="30"/>
  <c r="H19" i="31"/>
  <c r="H15" i="31"/>
  <c r="H11" i="31"/>
  <c r="H16" i="31"/>
  <c r="H12" i="31"/>
  <c r="H8" i="31"/>
  <c r="H17" i="31"/>
  <c r="H13" i="31"/>
  <c r="H9" i="31"/>
  <c r="H18" i="31"/>
  <c r="H14" i="31"/>
  <c r="H10" i="31"/>
  <c r="E18" i="31"/>
  <c r="E14" i="31"/>
  <c r="E10" i="31"/>
  <c r="E19" i="31"/>
  <c r="E15" i="31"/>
  <c r="E11" i="31"/>
  <c r="E16" i="31"/>
  <c r="E12" i="31"/>
  <c r="E8" i="31"/>
  <c r="E17" i="31"/>
  <c r="E13" i="31"/>
  <c r="E9" i="31"/>
  <c r="S13" i="30"/>
  <c r="R14" i="30"/>
  <c r="AA14" i="30" s="1"/>
  <c r="S18" i="30"/>
  <c r="S14" i="30"/>
  <c r="R11" i="30"/>
  <c r="AA11" i="30" s="1"/>
  <c r="R7" i="30"/>
  <c r="X7" i="30" s="1"/>
  <c r="R15" i="30"/>
  <c r="AA15" i="30" s="1"/>
  <c r="S11" i="30"/>
  <c r="S7" i="30"/>
  <c r="S15" i="30"/>
  <c r="R8" i="30"/>
  <c r="AA8" i="30" s="1"/>
  <c r="R16" i="30"/>
  <c r="AA16" i="30" s="1"/>
  <c r="S8" i="30"/>
  <c r="S16" i="30"/>
  <c r="R13" i="30"/>
  <c r="AA13" i="30" s="1"/>
  <c r="R9" i="30"/>
  <c r="AA9" i="30" s="1"/>
  <c r="S9" i="30"/>
  <c r="S17" i="30"/>
  <c r="R10" i="30"/>
  <c r="AA10" i="30" s="1"/>
  <c r="R18" i="30"/>
  <c r="AA18" i="30" s="1"/>
  <c r="S10" i="30"/>
  <c r="S12" i="30"/>
  <c r="R17" i="30"/>
  <c r="AA17" i="30" s="1"/>
  <c r="BD38" i="27"/>
  <c r="AJ38" i="27"/>
  <c r="L24" i="30" l="1"/>
  <c r="K8" i="31"/>
  <c r="L25" i="30"/>
  <c r="P25" i="30"/>
  <c r="O25" i="30"/>
  <c r="P24" i="30"/>
  <c r="O24" i="30"/>
  <c r="R19" i="30"/>
  <c r="X19" i="30" s="1"/>
  <c r="F16" i="31"/>
  <c r="F13" i="31"/>
  <c r="F10" i="31"/>
  <c r="I14" i="31"/>
  <c r="I17" i="31"/>
  <c r="I11" i="31"/>
  <c r="F17" i="31"/>
  <c r="F11" i="31"/>
  <c r="F14" i="31"/>
  <c r="I18" i="31"/>
  <c r="I15" i="31"/>
  <c r="F15" i="31"/>
  <c r="F18" i="31"/>
  <c r="I9" i="31"/>
  <c r="I12" i="31"/>
  <c r="I19" i="31"/>
  <c r="F9" i="31"/>
  <c r="F12" i="31"/>
  <c r="F19" i="31"/>
  <c r="I10" i="31"/>
  <c r="I13" i="31"/>
  <c r="I16" i="31"/>
  <c r="AA7" i="30"/>
  <c r="AB18" i="30"/>
  <c r="T18" i="30"/>
  <c r="Y11" i="30"/>
  <c r="T11" i="30"/>
  <c r="AB14" i="30"/>
  <c r="T14" i="30"/>
  <c r="AB12" i="30"/>
  <c r="AB17" i="30"/>
  <c r="T17" i="30"/>
  <c r="AB16" i="30"/>
  <c r="T16" i="30"/>
  <c r="AB15" i="30"/>
  <c r="T15" i="30"/>
  <c r="S19" i="30"/>
  <c r="Y19" i="30" s="1"/>
  <c r="L19" i="30"/>
  <c r="AB10" i="30"/>
  <c r="T10" i="30"/>
  <c r="AB9" i="30"/>
  <c r="T9" i="30"/>
  <c r="AB8" i="30"/>
  <c r="T8" i="30"/>
  <c r="Y7" i="30"/>
  <c r="T7" i="30"/>
  <c r="AB13" i="30"/>
  <c r="T13" i="30"/>
  <c r="P19" i="30"/>
  <c r="K10" i="31"/>
  <c r="K13" i="31"/>
  <c r="K16" i="31"/>
  <c r="K18" i="31"/>
  <c r="K15" i="31"/>
  <c r="K14" i="31"/>
  <c r="K17" i="31"/>
  <c r="K11" i="31"/>
  <c r="K9" i="31"/>
  <c r="K12" i="31"/>
  <c r="K19" i="31"/>
  <c r="X16" i="30"/>
  <c r="X9" i="30"/>
  <c r="Y14" i="30"/>
  <c r="X17" i="30"/>
  <c r="X13" i="30"/>
  <c r="AB11" i="30"/>
  <c r="Y16" i="30"/>
  <c r="Y15" i="30"/>
  <c r="Y12" i="30"/>
  <c r="Y8" i="30"/>
  <c r="AB7" i="30"/>
  <c r="Y13" i="30"/>
  <c r="X15" i="30"/>
  <c r="X11" i="30"/>
  <c r="X10" i="30"/>
  <c r="Y10" i="30"/>
  <c r="Y17" i="30"/>
  <c r="X8" i="30"/>
  <c r="X14" i="30"/>
  <c r="Y18" i="30"/>
  <c r="X18" i="30"/>
  <c r="Y9" i="30"/>
  <c r="O22" i="27"/>
  <c r="O21" i="27"/>
  <c r="AA19" i="30" l="1"/>
  <c r="L11" i="31"/>
  <c r="L19" i="31"/>
  <c r="L12" i="31"/>
  <c r="L14" i="31"/>
  <c r="L16" i="31"/>
  <c r="L9" i="31"/>
  <c r="L15" i="31"/>
  <c r="L13" i="31"/>
  <c r="L10" i="31"/>
  <c r="L17" i="31"/>
  <c r="L18" i="31"/>
  <c r="AB19" i="30"/>
  <c r="T19" i="30"/>
  <c r="R12" i="30"/>
  <c r="O19" i="27"/>
  <c r="O18" i="27"/>
  <c r="O15" i="27"/>
  <c r="O14" i="27"/>
  <c r="P14" i="27" s="1"/>
  <c r="Q14" i="27" s="1"/>
  <c r="R14" i="27" s="1"/>
  <c r="AA12" i="30" l="1"/>
  <c r="T12" i="30"/>
  <c r="X12" i="30"/>
  <c r="P27" i="27"/>
  <c r="AR4" i="27" s="1"/>
  <c r="AR7" i="27" s="1"/>
  <c r="AS7" i="27" s="1"/>
  <c r="AT7" i="27" s="1"/>
  <c r="P30" i="27"/>
  <c r="P29" i="27"/>
  <c r="P15" i="27"/>
  <c r="Q15" i="27" s="1"/>
  <c r="R15" i="27" s="1"/>
  <c r="P28" i="27"/>
  <c r="C10" i="27"/>
  <c r="C11" i="27"/>
  <c r="C12" i="27"/>
  <c r="C13" i="27"/>
  <c r="C14" i="27"/>
  <c r="C15" i="27"/>
  <c r="C16" i="27"/>
  <c r="C17" i="27"/>
  <c r="C18" i="27"/>
  <c r="C19" i="27"/>
  <c r="C20" i="27"/>
  <c r="C21" i="27"/>
  <c r="C9" i="27"/>
  <c r="D15" i="27"/>
  <c r="D16" i="27"/>
  <c r="D17" i="27"/>
  <c r="D18" i="27"/>
  <c r="D19" i="27"/>
  <c r="D20" i="27"/>
  <c r="D10" i="27"/>
  <c r="D11" i="27"/>
  <c r="D12" i="27"/>
  <c r="D13" i="27"/>
  <c r="D14" i="27"/>
  <c r="D9" i="27"/>
  <c r="D21" i="27"/>
  <c r="P22" i="27"/>
  <c r="Q22" i="27" s="1"/>
  <c r="R22" i="27" s="1"/>
  <c r="P21" i="27"/>
  <c r="P19" i="27"/>
  <c r="P18" i="27"/>
  <c r="M12" i="27"/>
  <c r="N3" i="27"/>
  <c r="BB48" i="27" l="1"/>
  <c r="BC48" i="27" s="1"/>
  <c r="Q9" i="27"/>
  <c r="Q4" i="27"/>
  <c r="BD9" i="27"/>
  <c r="Q19" i="27"/>
  <c r="R19" i="27" s="1"/>
  <c r="BD50" i="27"/>
  <c r="BE50" i="27" s="1"/>
  <c r="Z21" i="27"/>
  <c r="AA21" i="27" s="1"/>
  <c r="AB21" i="27" s="1"/>
  <c r="AU10" i="27"/>
  <c r="AV10" i="27" s="1"/>
  <c r="AW10" i="27" s="1"/>
  <c r="AJ50" i="27"/>
  <c r="AK50" i="27" s="1"/>
  <c r="Z9" i="27"/>
  <c r="AA9" i="27" s="1"/>
  <c r="AB9" i="27" s="1"/>
  <c r="AR8" i="27"/>
  <c r="AS8" i="27" s="1"/>
  <c r="AT8" i="27" s="1"/>
  <c r="W19" i="27"/>
  <c r="X19" i="27" s="1"/>
  <c r="Y19" i="27" s="1"/>
  <c r="AR10" i="27"/>
  <c r="AS10" i="27" s="1"/>
  <c r="AT10" i="27" s="1"/>
  <c r="AH50" i="27"/>
  <c r="AI50" i="27" s="1"/>
  <c r="BB50" i="27"/>
  <c r="BC50" i="27" s="1"/>
  <c r="W21" i="27"/>
  <c r="X21" i="27" s="1"/>
  <c r="Y21" i="27" s="1"/>
  <c r="W9" i="27"/>
  <c r="X9" i="27" s="1"/>
  <c r="Y9" i="27" s="1"/>
  <c r="AU8" i="27"/>
  <c r="AV8" i="27" s="1"/>
  <c r="AW8" i="27" s="1"/>
  <c r="Z19" i="27"/>
  <c r="AA19" i="27" s="1"/>
  <c r="AB19" i="27" s="1"/>
  <c r="Z7" i="27"/>
  <c r="AA7" i="27" s="1"/>
  <c r="AB7" i="27" s="1"/>
  <c r="AU4" i="27"/>
  <c r="AU7" i="27" s="1"/>
  <c r="W7" i="27"/>
  <c r="X7" i="27" s="1"/>
  <c r="Y7" i="27" s="1"/>
  <c r="O23" i="27"/>
  <c r="Q18" i="27"/>
  <c r="R18" i="27" s="1"/>
  <c r="P5" i="27"/>
  <c r="P6" i="27" s="1"/>
  <c r="Q21" i="27"/>
  <c r="R21" i="27" s="1"/>
  <c r="P8" i="27"/>
  <c r="P10" i="27"/>
  <c r="Q5" i="27"/>
  <c r="Q6" i="27" s="1"/>
  <c r="Q8" i="27"/>
  <c r="P4" i="27"/>
  <c r="P7" i="27"/>
  <c r="P9" i="27"/>
  <c r="Q7" i="27"/>
  <c r="O17" i="27"/>
  <c r="O20" i="27"/>
  <c r="BB49" i="27" l="1"/>
  <c r="BC49" i="27" s="1"/>
  <c r="Z6" i="27"/>
  <c r="AJ48" i="27" s="1"/>
  <c r="Z18" i="27"/>
  <c r="AA18" i="27" s="1"/>
  <c r="AB18" i="27" s="1"/>
  <c r="AV7" i="27"/>
  <c r="AW7" i="27" s="1"/>
  <c r="BD13" i="27"/>
  <c r="AU9" i="27"/>
  <c r="BD48" i="27"/>
  <c r="AU13" i="27"/>
  <c r="BD43" i="27" s="1"/>
  <c r="Z12" i="27"/>
  <c r="AJ43" i="27" s="1"/>
  <c r="AR13" i="27"/>
  <c r="BB43" i="27" s="1"/>
  <c r="W12" i="27"/>
  <c r="AH43" i="27" s="1"/>
  <c r="AR9" i="27"/>
  <c r="W18" i="27"/>
  <c r="W6" i="27"/>
  <c r="W8" i="27" s="1"/>
  <c r="Q19" i="28"/>
  <c r="P19" i="28"/>
  <c r="O19" i="28"/>
  <c r="G19" i="28"/>
  <c r="F19" i="28"/>
  <c r="D17" i="28"/>
  <c r="B450" i="17"/>
  <c r="B451" i="17"/>
  <c r="B452" i="17"/>
  <c r="B453" i="17"/>
  <c r="B454" i="17"/>
  <c r="B455" i="17"/>
  <c r="B456" i="17"/>
  <c r="B457" i="17"/>
  <c r="B458" i="17"/>
  <c r="B459" i="17"/>
  <c r="B460" i="17"/>
  <c r="B461" i="17"/>
  <c r="B462" i="17"/>
  <c r="B463" i="17"/>
  <c r="B464" i="17"/>
  <c r="B465" i="17"/>
  <c r="B466" i="17"/>
  <c r="B467" i="17"/>
  <c r="B468" i="17"/>
  <c r="B469" i="17"/>
  <c r="B470" i="17"/>
  <c r="B471" i="17"/>
  <c r="B472" i="17"/>
  <c r="B473" i="17"/>
  <c r="B474" i="17"/>
  <c r="B475" i="17"/>
  <c r="B476" i="17"/>
  <c r="B477" i="17"/>
  <c r="B478" i="17"/>
  <c r="B479" i="17"/>
  <c r="B480" i="17"/>
  <c r="B481" i="17"/>
  <c r="B482" i="17"/>
  <c r="B483" i="17"/>
  <c r="B484" i="17"/>
  <c r="B485" i="17"/>
  <c r="B486" i="17"/>
  <c r="B487" i="17"/>
  <c r="B488" i="17"/>
  <c r="B489" i="17"/>
  <c r="B490" i="17"/>
  <c r="B491" i="17"/>
  <c r="B492" i="17"/>
  <c r="B493" i="17"/>
  <c r="B494" i="17"/>
  <c r="B495" i="17"/>
  <c r="B496" i="17"/>
  <c r="B497" i="17"/>
  <c r="B498" i="17"/>
  <c r="B499" i="17"/>
  <c r="B500" i="17"/>
  <c r="B501" i="17"/>
  <c r="B502" i="17"/>
  <c r="B503" i="17"/>
  <c r="B504" i="17"/>
  <c r="B505" i="17"/>
  <c r="B506" i="17"/>
  <c r="B507" i="17"/>
  <c r="B508" i="17"/>
  <c r="B509" i="17"/>
  <c r="B510" i="17"/>
  <c r="B511" i="17"/>
  <c r="B512" i="17"/>
  <c r="B513" i="17"/>
  <c r="B514" i="17"/>
  <c r="B515" i="17"/>
  <c r="B516" i="17"/>
  <c r="B517" i="17"/>
  <c r="B518" i="17"/>
  <c r="B519" i="17"/>
  <c r="B520" i="17"/>
  <c r="B521" i="17"/>
  <c r="B522" i="17"/>
  <c r="B523" i="17"/>
  <c r="B524" i="17"/>
  <c r="B525" i="17"/>
  <c r="B526" i="17"/>
  <c r="B527" i="17"/>
  <c r="B528" i="17"/>
  <c r="B529" i="17"/>
  <c r="B530" i="17"/>
  <c r="B531" i="17"/>
  <c r="B532" i="17"/>
  <c r="B533" i="17"/>
  <c r="B534" i="17"/>
  <c r="B535" i="17"/>
  <c r="B536" i="17"/>
  <c r="B537" i="17"/>
  <c r="B538" i="17"/>
  <c r="B539" i="17"/>
  <c r="B540" i="17"/>
  <c r="B541" i="17"/>
  <c r="B542" i="17"/>
  <c r="B543" i="17"/>
  <c r="B544" i="17"/>
  <c r="B545" i="17"/>
  <c r="B546" i="17"/>
  <c r="B547" i="17"/>
  <c r="B548" i="17"/>
  <c r="B549" i="17"/>
  <c r="B550" i="17"/>
  <c r="B551" i="17"/>
  <c r="B552" i="17"/>
  <c r="B553" i="17"/>
  <c r="B554" i="17"/>
  <c r="B555" i="17"/>
  <c r="B556" i="17"/>
  <c r="B557" i="17"/>
  <c r="B558" i="17"/>
  <c r="B559" i="17"/>
  <c r="B560" i="17"/>
  <c r="B561" i="17"/>
  <c r="B562" i="17"/>
  <c r="B563" i="17"/>
  <c r="B564" i="17"/>
  <c r="B565" i="17"/>
  <c r="B566" i="17"/>
  <c r="B567" i="17"/>
  <c r="B568" i="17"/>
  <c r="B569" i="17"/>
  <c r="B570" i="17"/>
  <c r="B571" i="17"/>
  <c r="B572" i="17"/>
  <c r="B573" i="17"/>
  <c r="B574" i="17"/>
  <c r="B575" i="17"/>
  <c r="B576" i="17"/>
  <c r="B577" i="17"/>
  <c r="B578" i="17"/>
  <c r="B579" i="17"/>
  <c r="B580" i="17"/>
  <c r="B581" i="17"/>
  <c r="B582" i="17"/>
  <c r="B583" i="17"/>
  <c r="B584" i="17"/>
  <c r="B585" i="17"/>
  <c r="B586" i="17"/>
  <c r="B587" i="17"/>
  <c r="B588" i="17"/>
  <c r="B589" i="17"/>
  <c r="B590" i="17"/>
  <c r="B591" i="17"/>
  <c r="B592" i="17"/>
  <c r="B593" i="17"/>
  <c r="B594" i="17"/>
  <c r="B595" i="17"/>
  <c r="B596" i="17"/>
  <c r="B597" i="17"/>
  <c r="B598" i="17"/>
  <c r="B599" i="17"/>
  <c r="B600" i="17"/>
  <c r="B601" i="17"/>
  <c r="B602" i="17"/>
  <c r="B603" i="17"/>
  <c r="B604" i="17"/>
  <c r="B605" i="17"/>
  <c r="B606" i="17"/>
  <c r="B607" i="17"/>
  <c r="B608" i="17"/>
  <c r="B609" i="17"/>
  <c r="B610" i="17"/>
  <c r="B611" i="17"/>
  <c r="B612" i="17"/>
  <c r="B613" i="17"/>
  <c r="B614" i="17"/>
  <c r="B615" i="17"/>
  <c r="B616" i="17"/>
  <c r="B617" i="17"/>
  <c r="B618" i="17"/>
  <c r="B619" i="17"/>
  <c r="B620" i="17"/>
  <c r="B621" i="17"/>
  <c r="B622" i="17"/>
  <c r="B623" i="17"/>
  <c r="B624" i="17"/>
  <c r="B625" i="17"/>
  <c r="B626" i="17"/>
  <c r="B627" i="17"/>
  <c r="B628" i="17"/>
  <c r="B629" i="17"/>
  <c r="B630" i="17"/>
  <c r="B631" i="17"/>
  <c r="B632" i="17"/>
  <c r="B633" i="17"/>
  <c r="B634" i="17"/>
  <c r="B635" i="17"/>
  <c r="B636" i="17"/>
  <c r="B637" i="17"/>
  <c r="B638" i="17"/>
  <c r="B639" i="17"/>
  <c r="B640" i="17"/>
  <c r="B641" i="17"/>
  <c r="B642" i="17"/>
  <c r="B643" i="17"/>
  <c r="B644" i="17"/>
  <c r="B645" i="17"/>
  <c r="B646" i="17"/>
  <c r="B647" i="17"/>
  <c r="B648" i="17"/>
  <c r="B649" i="17"/>
  <c r="B650" i="17"/>
  <c r="B651" i="17"/>
  <c r="B652" i="17"/>
  <c r="B653" i="17"/>
  <c r="B654" i="17"/>
  <c r="B655" i="17"/>
  <c r="B656" i="17"/>
  <c r="B657" i="17"/>
  <c r="B658" i="17"/>
  <c r="B659" i="17"/>
  <c r="B660" i="17"/>
  <c r="B661" i="17"/>
  <c r="B662" i="17"/>
  <c r="B663" i="17"/>
  <c r="B664" i="17"/>
  <c r="B665" i="17"/>
  <c r="B666" i="17"/>
  <c r="B667" i="17"/>
  <c r="B668" i="17"/>
  <c r="B669" i="17"/>
  <c r="B670" i="17"/>
  <c r="B671" i="17"/>
  <c r="B672" i="17"/>
  <c r="B673" i="17"/>
  <c r="B674" i="17"/>
  <c r="B675" i="17"/>
  <c r="B676" i="17"/>
  <c r="B677" i="17"/>
  <c r="B678" i="17"/>
  <c r="B679" i="17"/>
  <c r="B680" i="17"/>
  <c r="B681" i="17"/>
  <c r="B682" i="17"/>
  <c r="B683" i="17"/>
  <c r="B684" i="17"/>
  <c r="B685" i="17"/>
  <c r="B686" i="17"/>
  <c r="B687" i="17"/>
  <c r="B688" i="17"/>
  <c r="B689" i="17"/>
  <c r="B690" i="17"/>
  <c r="B691" i="17"/>
  <c r="B692" i="17"/>
  <c r="B693" i="17"/>
  <c r="B694" i="17"/>
  <c r="B695" i="17"/>
  <c r="B696" i="17"/>
  <c r="B697" i="17"/>
  <c r="B698" i="17"/>
  <c r="B699" i="17"/>
  <c r="B700" i="17"/>
  <c r="B701" i="17"/>
  <c r="B702" i="17"/>
  <c r="B703" i="17"/>
  <c r="B704" i="17"/>
  <c r="B705" i="17"/>
  <c r="B706" i="17"/>
  <c r="B707" i="17"/>
  <c r="B708" i="17"/>
  <c r="B709" i="17"/>
  <c r="B710" i="17"/>
  <c r="B711" i="17"/>
  <c r="B712" i="17"/>
  <c r="B713" i="17"/>
  <c r="B714" i="17"/>
  <c r="B715" i="17"/>
  <c r="B716" i="17"/>
  <c r="B717" i="17"/>
  <c r="B718" i="17"/>
  <c r="B719" i="17"/>
  <c r="B720" i="17"/>
  <c r="B721" i="17"/>
  <c r="B722" i="17"/>
  <c r="B723" i="17"/>
  <c r="B724" i="17"/>
  <c r="B725" i="17"/>
  <c r="B726" i="17"/>
  <c r="B727" i="17"/>
  <c r="B728" i="17"/>
  <c r="B729" i="17"/>
  <c r="B730" i="17"/>
  <c r="B731" i="17"/>
  <c r="B732" i="17"/>
  <c r="B733" i="17"/>
  <c r="B734" i="17"/>
  <c r="B735" i="17"/>
  <c r="B736" i="17"/>
  <c r="B737" i="17"/>
  <c r="B738" i="17"/>
  <c r="B739" i="17"/>
  <c r="B740" i="17"/>
  <c r="B741" i="17"/>
  <c r="B742" i="17"/>
  <c r="B743" i="17"/>
  <c r="B744" i="17"/>
  <c r="B745" i="17"/>
  <c r="B746" i="17"/>
  <c r="B747" i="17"/>
  <c r="B748" i="17"/>
  <c r="B749" i="17"/>
  <c r="B750" i="17"/>
  <c r="B751" i="17"/>
  <c r="B752" i="17"/>
  <c r="B753" i="17"/>
  <c r="B754" i="17"/>
  <c r="B755" i="17"/>
  <c r="B756" i="17"/>
  <c r="B757" i="17"/>
  <c r="B758" i="17"/>
  <c r="B759" i="17"/>
  <c r="B760" i="17"/>
  <c r="B761" i="17"/>
  <c r="B762" i="17"/>
  <c r="B763" i="17"/>
  <c r="B764" i="17"/>
  <c r="B765" i="17"/>
  <c r="B766" i="17"/>
  <c r="B767" i="17"/>
  <c r="B768" i="17"/>
  <c r="B769" i="17"/>
  <c r="B770" i="17"/>
  <c r="B771" i="17"/>
  <c r="B772" i="17"/>
  <c r="B773" i="17"/>
  <c r="B774" i="17"/>
  <c r="B775" i="17"/>
  <c r="B776" i="17"/>
  <c r="B777" i="17"/>
  <c r="B778" i="17"/>
  <c r="B779" i="17"/>
  <c r="B780" i="17"/>
  <c r="B781" i="17"/>
  <c r="B782" i="17"/>
  <c r="B783" i="17"/>
  <c r="B784" i="17"/>
  <c r="B785" i="17"/>
  <c r="B786" i="17"/>
  <c r="B787" i="17"/>
  <c r="B788" i="17"/>
  <c r="B789" i="17"/>
  <c r="B790" i="17"/>
  <c r="B791" i="17"/>
  <c r="B792" i="17"/>
  <c r="B793" i="17"/>
  <c r="B794" i="17"/>
  <c r="B795" i="17"/>
  <c r="B796" i="17"/>
  <c r="B797" i="17"/>
  <c r="B798" i="17"/>
  <c r="B799" i="17"/>
  <c r="B800" i="17"/>
  <c r="B801" i="17"/>
  <c r="B802" i="17"/>
  <c r="B803" i="17"/>
  <c r="B804" i="17"/>
  <c r="B805" i="17"/>
  <c r="B806" i="17"/>
  <c r="B807" i="17"/>
  <c r="B808" i="17"/>
  <c r="B809" i="17"/>
  <c r="B810" i="17"/>
  <c r="B811" i="17"/>
  <c r="B812" i="17"/>
  <c r="B813" i="17"/>
  <c r="B814" i="17"/>
  <c r="B815" i="17"/>
  <c r="B816" i="17"/>
  <c r="B817" i="17"/>
  <c r="B818" i="17"/>
  <c r="B819" i="17"/>
  <c r="B820" i="17"/>
  <c r="B821" i="17"/>
  <c r="B822" i="17"/>
  <c r="B823" i="17"/>
  <c r="B824" i="17"/>
  <c r="B825" i="17"/>
  <c r="B826" i="17"/>
  <c r="B827" i="17"/>
  <c r="B828" i="17"/>
  <c r="B829" i="17"/>
  <c r="B830" i="17"/>
  <c r="B831" i="17"/>
  <c r="B832" i="17"/>
  <c r="B833" i="17"/>
  <c r="B834" i="17"/>
  <c r="B835" i="17"/>
  <c r="B836" i="17"/>
  <c r="B837" i="17"/>
  <c r="B838" i="17"/>
  <c r="B839" i="17"/>
  <c r="B840" i="17"/>
  <c r="B841" i="17"/>
  <c r="B842" i="17"/>
  <c r="B843" i="17"/>
  <c r="B844" i="17"/>
  <c r="B845" i="17"/>
  <c r="B846" i="17"/>
  <c r="B847" i="17"/>
  <c r="B848" i="17"/>
  <c r="B849" i="17"/>
  <c r="B850" i="17"/>
  <c r="B851" i="17"/>
  <c r="B852" i="17"/>
  <c r="B853" i="17"/>
  <c r="B854" i="17"/>
  <c r="B855" i="17"/>
  <c r="B856" i="17"/>
  <c r="B857" i="17"/>
  <c r="B858" i="17"/>
  <c r="B859" i="17"/>
  <c r="B860" i="17"/>
  <c r="B861" i="17"/>
  <c r="B862" i="17"/>
  <c r="B863" i="17"/>
  <c r="B864" i="17"/>
  <c r="B865" i="17"/>
  <c r="B866" i="17"/>
  <c r="B867" i="17"/>
  <c r="B868" i="17"/>
  <c r="B869" i="17"/>
  <c r="B870" i="17"/>
  <c r="B871" i="17"/>
  <c r="B872" i="17"/>
  <c r="B873" i="17"/>
  <c r="B874" i="17"/>
  <c r="B875" i="17"/>
  <c r="B876" i="17"/>
  <c r="B877" i="17"/>
  <c r="B878" i="17"/>
  <c r="B879" i="17"/>
  <c r="B880" i="17"/>
  <c r="B881" i="17"/>
  <c r="B882" i="17"/>
  <c r="B883" i="17"/>
  <c r="B884" i="17"/>
  <c r="B885" i="17"/>
  <c r="B886" i="17"/>
  <c r="B887" i="17"/>
  <c r="B888" i="17"/>
  <c r="B889" i="17"/>
  <c r="B890" i="17"/>
  <c r="B891" i="17"/>
  <c r="B892" i="17"/>
  <c r="B893" i="17"/>
  <c r="B894" i="17"/>
  <c r="B895" i="17"/>
  <c r="B896" i="17"/>
  <c r="B897" i="17"/>
  <c r="B898" i="17"/>
  <c r="B899" i="17"/>
  <c r="B900" i="17"/>
  <c r="B901" i="17"/>
  <c r="B902" i="17"/>
  <c r="B903" i="17"/>
  <c r="B904" i="17"/>
  <c r="B905" i="17"/>
  <c r="B906" i="17"/>
  <c r="B907" i="17"/>
  <c r="B908" i="17"/>
  <c r="B909" i="17"/>
  <c r="B910" i="17"/>
  <c r="B911" i="17"/>
  <c r="B912" i="17"/>
  <c r="B913" i="17"/>
  <c r="B914" i="17"/>
  <c r="B915" i="17"/>
  <c r="B916" i="17"/>
  <c r="B917" i="17"/>
  <c r="B918" i="17"/>
  <c r="B919" i="17"/>
  <c r="B920" i="17"/>
  <c r="B921" i="17"/>
  <c r="B922" i="17"/>
  <c r="B923" i="17"/>
  <c r="B924" i="17"/>
  <c r="B925" i="17"/>
  <c r="B926" i="17"/>
  <c r="B927" i="17"/>
  <c r="B928" i="17"/>
  <c r="B929" i="17"/>
  <c r="B930" i="17"/>
  <c r="B931" i="17"/>
  <c r="B932" i="17"/>
  <c r="B933" i="17"/>
  <c r="B934" i="17"/>
  <c r="B935" i="17"/>
  <c r="B936" i="17"/>
  <c r="B937" i="17"/>
  <c r="B938" i="17"/>
  <c r="B939" i="17"/>
  <c r="B940" i="17"/>
  <c r="B941" i="17"/>
  <c r="B942" i="17"/>
  <c r="B943" i="17"/>
  <c r="B944" i="17"/>
  <c r="B945" i="17"/>
  <c r="B946" i="17"/>
  <c r="B947" i="17"/>
  <c r="B948" i="17"/>
  <c r="B949" i="17"/>
  <c r="B950" i="17"/>
  <c r="B951" i="17"/>
  <c r="B952" i="17"/>
  <c r="B953" i="17"/>
  <c r="B954" i="17"/>
  <c r="B955" i="17"/>
  <c r="B956" i="17"/>
  <c r="B957" i="17"/>
  <c r="B958" i="17"/>
  <c r="B959" i="17"/>
  <c r="B960" i="17"/>
  <c r="B961" i="17"/>
  <c r="B962" i="17"/>
  <c r="B963" i="17"/>
  <c r="B964" i="17"/>
  <c r="B965" i="17"/>
  <c r="B966" i="17"/>
  <c r="B967" i="17"/>
  <c r="B968" i="17"/>
  <c r="B969" i="17"/>
  <c r="B970" i="17"/>
  <c r="B971" i="17"/>
  <c r="B972" i="17"/>
  <c r="B973" i="17"/>
  <c r="B974" i="17"/>
  <c r="B975" i="17"/>
  <c r="B976" i="17"/>
  <c r="B977" i="17"/>
  <c r="B978" i="17"/>
  <c r="B979" i="17"/>
  <c r="B980" i="17"/>
  <c r="B981" i="17"/>
  <c r="B982" i="17"/>
  <c r="B983" i="17"/>
  <c r="B984" i="17"/>
  <c r="B985" i="17"/>
  <c r="B986" i="17"/>
  <c r="B987" i="17"/>
  <c r="B988" i="17"/>
  <c r="B989" i="17"/>
  <c r="B990" i="17"/>
  <c r="B991" i="17"/>
  <c r="B992" i="17"/>
  <c r="B993" i="17"/>
  <c r="B994" i="17"/>
  <c r="B995" i="17"/>
  <c r="B996" i="17"/>
  <c r="B997" i="17"/>
  <c r="B998" i="17"/>
  <c r="B999" i="17"/>
  <c r="B1000" i="17"/>
  <c r="B1001" i="17"/>
  <c r="B1002" i="17"/>
  <c r="B1003" i="17"/>
  <c r="B1004" i="17"/>
  <c r="B1005" i="17"/>
  <c r="B1006" i="17"/>
  <c r="B1007" i="17"/>
  <c r="B1008" i="17"/>
  <c r="B1009" i="17"/>
  <c r="B1010" i="17"/>
  <c r="B1011" i="17"/>
  <c r="B1012" i="17"/>
  <c r="B1013" i="17"/>
  <c r="B1014" i="17"/>
  <c r="B1015" i="17"/>
  <c r="B1016" i="17"/>
  <c r="B1017" i="17"/>
  <c r="B1018" i="17"/>
  <c r="B1019" i="17"/>
  <c r="B1020" i="17"/>
  <c r="B1021" i="17"/>
  <c r="B1022" i="17"/>
  <c r="B1023" i="17"/>
  <c r="B1024" i="17"/>
  <c r="B1025" i="17"/>
  <c r="B1026" i="17"/>
  <c r="B1027" i="17"/>
  <c r="B1028" i="17"/>
  <c r="B1029" i="17"/>
  <c r="B1030" i="17"/>
  <c r="B1031" i="17"/>
  <c r="B1032" i="17"/>
  <c r="B1033" i="17"/>
  <c r="B1034" i="17"/>
  <c r="B1035" i="17"/>
  <c r="B1036" i="17"/>
  <c r="B1037" i="17"/>
  <c r="B1038" i="17"/>
  <c r="B1039" i="17"/>
  <c r="B1040" i="17"/>
  <c r="B1041" i="17"/>
  <c r="B1042" i="17"/>
  <c r="B1043" i="17"/>
  <c r="B1044" i="17"/>
  <c r="B1045" i="17"/>
  <c r="B1046" i="17"/>
  <c r="B1047" i="17"/>
  <c r="B1048" i="17"/>
  <c r="B1049" i="17"/>
  <c r="B1050" i="17"/>
  <c r="B1051" i="17"/>
  <c r="B1052" i="17"/>
  <c r="B1053" i="17"/>
  <c r="B1054" i="17"/>
  <c r="B1055" i="17"/>
  <c r="B1056" i="17"/>
  <c r="B1057" i="17"/>
  <c r="B1058" i="17"/>
  <c r="B1059" i="17"/>
  <c r="B1060" i="17"/>
  <c r="B1061" i="17"/>
  <c r="B1062" i="17"/>
  <c r="B1063" i="17"/>
  <c r="B1064" i="17"/>
  <c r="B1065" i="17"/>
  <c r="B1066" i="17"/>
  <c r="B1067" i="17"/>
  <c r="B1068" i="17"/>
  <c r="B1069" i="17"/>
  <c r="B1070" i="17"/>
  <c r="B1071" i="17"/>
  <c r="B1072" i="17"/>
  <c r="B1073" i="17"/>
  <c r="B1074" i="17"/>
  <c r="B1075" i="17"/>
  <c r="B1076" i="17"/>
  <c r="B1077" i="17"/>
  <c r="B1078" i="17"/>
  <c r="B1079" i="17"/>
  <c r="B1080" i="17"/>
  <c r="B1081" i="17"/>
  <c r="B1082" i="17"/>
  <c r="B1083" i="17"/>
  <c r="B1084" i="17"/>
  <c r="B1085" i="17"/>
  <c r="B1086" i="17"/>
  <c r="B1087" i="17"/>
  <c r="B1088" i="17"/>
  <c r="B1089" i="17"/>
  <c r="B1090" i="17"/>
  <c r="B1091" i="17"/>
  <c r="B1092" i="17"/>
  <c r="B1093" i="17"/>
  <c r="B1094" i="17"/>
  <c r="B1095" i="17"/>
  <c r="B1096" i="17"/>
  <c r="B1097" i="17"/>
  <c r="B1098" i="17"/>
  <c r="B1099" i="17"/>
  <c r="B1100" i="17"/>
  <c r="B1101" i="17"/>
  <c r="B1102" i="17"/>
  <c r="B1103" i="17"/>
  <c r="B1104" i="17"/>
  <c r="B1105" i="17"/>
  <c r="B1106" i="17"/>
  <c r="B1107" i="17"/>
  <c r="B1108" i="17"/>
  <c r="B1109" i="17"/>
  <c r="B1110" i="17"/>
  <c r="B1111" i="17"/>
  <c r="B1112" i="17"/>
  <c r="B1113" i="17"/>
  <c r="B1114" i="17"/>
  <c r="B1115" i="17"/>
  <c r="B1116" i="17"/>
  <c r="B1117" i="17"/>
  <c r="B1118" i="17"/>
  <c r="B1119" i="17"/>
  <c r="B1120" i="17"/>
  <c r="B1121" i="17"/>
  <c r="B1122" i="17"/>
  <c r="B1123" i="17"/>
  <c r="B1124" i="17"/>
  <c r="B1125" i="17"/>
  <c r="B1126" i="17"/>
  <c r="B1127" i="17"/>
  <c r="B1128" i="17"/>
  <c r="B1129" i="17"/>
  <c r="B1130" i="17"/>
  <c r="B1131" i="17"/>
  <c r="B1132" i="17"/>
  <c r="B1133" i="17"/>
  <c r="B1134" i="17"/>
  <c r="B1135" i="17"/>
  <c r="B1136" i="17"/>
  <c r="B1137" i="17"/>
  <c r="B1138" i="17"/>
  <c r="B1139" i="17"/>
  <c r="B1140" i="17"/>
  <c r="B1141" i="17"/>
  <c r="B1142" i="17"/>
  <c r="B1143" i="17"/>
  <c r="B1144" i="17"/>
  <c r="B1145" i="17"/>
  <c r="B1146" i="17"/>
  <c r="B1147" i="17"/>
  <c r="B1148" i="17"/>
  <c r="B1149" i="17"/>
  <c r="B1150" i="17"/>
  <c r="B1151" i="17"/>
  <c r="B1152" i="17"/>
  <c r="B1153" i="17"/>
  <c r="B1154" i="17"/>
  <c r="B1155" i="17"/>
  <c r="B1156" i="17"/>
  <c r="B1157" i="17"/>
  <c r="B1158" i="17"/>
  <c r="B1159" i="17"/>
  <c r="B1160" i="17"/>
  <c r="B1161" i="17"/>
  <c r="B1162" i="17"/>
  <c r="B1163" i="17"/>
  <c r="B1164" i="17"/>
  <c r="B1165" i="17"/>
  <c r="B1166" i="17"/>
  <c r="B1167" i="17"/>
  <c r="B1168" i="17"/>
  <c r="B1169" i="17"/>
  <c r="B1170" i="17"/>
  <c r="B1171" i="17"/>
  <c r="B1172" i="17"/>
  <c r="B1173" i="17"/>
  <c r="B1174" i="17"/>
  <c r="B1175" i="17"/>
  <c r="B1176" i="17"/>
  <c r="B1177" i="17"/>
  <c r="B1178" i="17"/>
  <c r="B1179" i="17"/>
  <c r="B1180" i="17"/>
  <c r="B1181" i="17"/>
  <c r="B1182" i="17"/>
  <c r="B1183" i="17"/>
  <c r="B1184" i="17"/>
  <c r="B1185" i="17"/>
  <c r="B1186" i="17"/>
  <c r="B1187" i="17"/>
  <c r="B1188" i="17"/>
  <c r="B1189" i="17"/>
  <c r="B1190" i="17"/>
  <c r="B1191" i="17"/>
  <c r="B1192" i="17"/>
  <c r="B1193" i="17"/>
  <c r="B1194" i="17"/>
  <c r="B1195" i="17"/>
  <c r="B1196" i="17"/>
  <c r="B1197" i="17"/>
  <c r="B1198" i="17"/>
  <c r="B1199" i="17"/>
  <c r="B1200" i="17"/>
  <c r="B1201" i="17"/>
  <c r="B1202" i="17"/>
  <c r="B1203" i="17"/>
  <c r="B1204" i="17"/>
  <c r="B1205" i="17"/>
  <c r="B1206" i="17"/>
  <c r="B1207" i="17"/>
  <c r="B1208" i="17"/>
  <c r="B1209" i="17"/>
  <c r="B1210" i="17"/>
  <c r="B1211" i="17"/>
  <c r="B1212" i="17"/>
  <c r="B1213" i="17"/>
  <c r="B1214" i="17"/>
  <c r="B1215" i="17"/>
  <c r="B1216" i="17"/>
  <c r="B1217" i="17"/>
  <c r="B1218" i="17"/>
  <c r="B1219" i="17"/>
  <c r="B1220" i="17"/>
  <c r="B1221" i="17"/>
  <c r="B1222" i="17"/>
  <c r="B1223" i="17"/>
  <c r="B1224" i="17"/>
  <c r="B1225" i="17"/>
  <c r="B1226" i="17"/>
  <c r="B1227" i="17"/>
  <c r="B1228" i="17"/>
  <c r="B1229" i="17"/>
  <c r="B1230" i="17"/>
  <c r="B1231" i="17"/>
  <c r="B1232" i="17"/>
  <c r="B1233" i="17"/>
  <c r="B1234" i="17"/>
  <c r="B1235" i="17"/>
  <c r="B1236" i="17"/>
  <c r="B1237" i="17"/>
  <c r="B1238" i="17"/>
  <c r="B1239" i="17"/>
  <c r="B1240" i="17"/>
  <c r="B1241" i="17"/>
  <c r="B1242" i="17"/>
  <c r="B1243" i="17"/>
  <c r="B1244" i="17"/>
  <c r="B1245" i="17"/>
  <c r="B1246" i="17"/>
  <c r="B1247" i="17"/>
  <c r="B1248" i="17"/>
  <c r="B1249" i="17"/>
  <c r="B1250" i="17"/>
  <c r="B1251" i="17"/>
  <c r="B1252" i="17"/>
  <c r="B1253" i="17"/>
  <c r="B1254" i="17"/>
  <c r="B1255" i="17"/>
  <c r="B1256" i="17"/>
  <c r="B1257" i="17"/>
  <c r="B1258" i="17"/>
  <c r="B1259" i="17"/>
  <c r="B1260" i="17"/>
  <c r="B1261" i="17"/>
  <c r="B1262" i="17"/>
  <c r="B1263" i="17"/>
  <c r="B1264" i="17"/>
  <c r="B1265" i="17"/>
  <c r="B1266" i="17"/>
  <c r="B1267" i="17"/>
  <c r="B1268" i="17"/>
  <c r="B1269" i="17"/>
  <c r="B1270" i="17"/>
  <c r="B1271" i="17"/>
  <c r="B1272" i="17"/>
  <c r="B1273" i="17"/>
  <c r="B1274" i="17"/>
  <c r="B1275" i="17"/>
  <c r="B1276" i="17"/>
  <c r="B1277" i="17"/>
  <c r="B1278" i="17"/>
  <c r="B1279" i="17"/>
  <c r="B1280" i="17"/>
  <c r="B1281" i="17"/>
  <c r="B1282" i="17"/>
  <c r="B1283" i="17"/>
  <c r="B1284" i="17"/>
  <c r="B1285" i="17"/>
  <c r="B1286" i="17"/>
  <c r="B1287" i="17"/>
  <c r="B1288" i="17"/>
  <c r="B1289" i="17"/>
  <c r="B1290" i="17"/>
  <c r="B1291" i="17"/>
  <c r="B1292" i="17"/>
  <c r="B1293" i="17"/>
  <c r="B1294" i="17"/>
  <c r="B1295" i="17"/>
  <c r="B1296" i="17"/>
  <c r="B1297" i="17"/>
  <c r="B1298" i="17"/>
  <c r="B1299" i="17"/>
  <c r="B1300" i="17"/>
  <c r="B1301" i="17"/>
  <c r="B1302" i="17"/>
  <c r="B1303" i="17"/>
  <c r="B1304" i="17"/>
  <c r="B1305" i="17"/>
  <c r="B1306" i="17"/>
  <c r="B1307" i="17"/>
  <c r="B1308" i="17"/>
  <c r="B1309" i="17"/>
  <c r="B1310" i="17"/>
  <c r="B1311" i="17"/>
  <c r="B1312" i="17"/>
  <c r="B1313" i="17"/>
  <c r="B1314" i="17"/>
  <c r="B1315" i="17"/>
  <c r="B1316" i="17"/>
  <c r="B1317" i="17"/>
  <c r="B1318" i="17"/>
  <c r="B1319" i="17"/>
  <c r="B1320" i="17"/>
  <c r="B1321" i="17"/>
  <c r="B1322" i="17"/>
  <c r="B1323" i="17"/>
  <c r="B1324" i="17"/>
  <c r="B1325" i="17"/>
  <c r="B1326" i="17"/>
  <c r="B1327" i="17"/>
  <c r="B1328" i="17"/>
  <c r="B1329" i="17"/>
  <c r="B1330" i="17"/>
  <c r="B1331" i="17"/>
  <c r="B1332" i="17"/>
  <c r="B1333" i="17"/>
  <c r="B1334" i="17"/>
  <c r="B1335" i="17"/>
  <c r="B1336" i="17"/>
  <c r="B1337" i="17"/>
  <c r="B1338" i="17"/>
  <c r="B1339" i="17"/>
  <c r="B1340" i="17"/>
  <c r="B1341" i="17"/>
  <c r="B1342" i="17"/>
  <c r="B1343" i="17"/>
  <c r="B1344" i="17"/>
  <c r="B1345" i="17"/>
  <c r="B1346" i="17"/>
  <c r="B1347" i="17"/>
  <c r="B1348" i="17"/>
  <c r="B1349" i="17"/>
  <c r="B1350" i="17"/>
  <c r="B1351" i="17"/>
  <c r="B1352" i="17"/>
  <c r="B1353" i="17"/>
  <c r="B1354" i="17"/>
  <c r="B1355" i="17"/>
  <c r="B1356" i="17"/>
  <c r="B1357" i="17"/>
  <c r="B1358" i="17"/>
  <c r="B1359" i="17"/>
  <c r="B1360" i="17"/>
  <c r="B1361" i="17"/>
  <c r="B1362" i="17"/>
  <c r="B1363" i="17"/>
  <c r="B1364" i="17"/>
  <c r="B1365" i="17"/>
  <c r="B1366" i="17"/>
  <c r="B1367" i="17"/>
  <c r="B1368" i="17"/>
  <c r="B1369" i="17"/>
  <c r="B1370" i="17"/>
  <c r="B1371" i="17"/>
  <c r="B1372" i="17"/>
  <c r="B1373" i="17"/>
  <c r="B1374" i="17"/>
  <c r="B1375" i="17"/>
  <c r="B1376" i="17"/>
  <c r="B1377" i="17"/>
  <c r="B1378" i="17"/>
  <c r="B1379" i="17"/>
  <c r="B1380" i="17"/>
  <c r="B1381" i="17"/>
  <c r="B1382" i="17"/>
  <c r="B1383" i="17"/>
  <c r="B1384" i="17"/>
  <c r="B1385" i="17"/>
  <c r="B1386" i="17"/>
  <c r="B1387" i="17"/>
  <c r="B1388" i="17"/>
  <c r="B1389" i="17"/>
  <c r="B1390" i="17"/>
  <c r="B1391" i="17"/>
  <c r="B1392" i="17"/>
  <c r="B1393" i="17"/>
  <c r="B1394" i="17"/>
  <c r="B1395" i="17"/>
  <c r="B1396" i="17"/>
  <c r="B1397" i="17"/>
  <c r="B1398" i="17"/>
  <c r="B1399" i="17"/>
  <c r="B1400" i="17"/>
  <c r="B1401" i="17"/>
  <c r="B1402" i="17"/>
  <c r="B1403" i="17"/>
  <c r="B1404" i="17"/>
  <c r="B1405" i="17"/>
  <c r="B1406" i="17"/>
  <c r="B1407" i="17"/>
  <c r="B1408" i="17"/>
  <c r="B1409" i="17"/>
  <c r="B1410" i="17"/>
  <c r="B1411" i="17"/>
  <c r="B1412" i="17"/>
  <c r="B1413" i="17"/>
  <c r="B1414" i="17"/>
  <c r="B1415" i="17"/>
  <c r="B1416" i="17"/>
  <c r="B1417" i="17"/>
  <c r="B1418" i="17"/>
  <c r="B1419" i="17"/>
  <c r="B1420" i="17"/>
  <c r="B1421" i="17"/>
  <c r="B1422" i="17"/>
  <c r="B1423" i="17"/>
  <c r="B1424" i="17"/>
  <c r="B1425" i="17"/>
  <c r="B1426" i="17"/>
  <c r="B1427" i="17"/>
  <c r="B1428" i="17"/>
  <c r="B1429" i="17"/>
  <c r="B1430" i="17"/>
  <c r="B1431" i="17"/>
  <c r="B1432" i="17"/>
  <c r="B1433" i="17"/>
  <c r="B1434" i="17"/>
  <c r="B1435" i="17"/>
  <c r="B1436" i="17"/>
  <c r="B1437" i="17"/>
  <c r="B1438" i="17"/>
  <c r="B1439" i="17"/>
  <c r="B1440" i="17"/>
  <c r="B1441" i="17"/>
  <c r="B1442" i="17"/>
  <c r="B1443" i="17"/>
  <c r="B1444" i="17"/>
  <c r="B1445" i="17"/>
  <c r="B1446" i="17"/>
  <c r="B1447" i="17"/>
  <c r="B1448" i="17"/>
  <c r="B1449" i="17"/>
  <c r="B1450" i="17"/>
  <c r="B1451" i="17"/>
  <c r="B1452" i="17"/>
  <c r="B1453" i="17"/>
  <c r="B1454" i="17"/>
  <c r="B1455" i="17"/>
  <c r="B1456" i="17"/>
  <c r="B1457" i="17"/>
  <c r="B1458" i="17"/>
  <c r="B1459" i="17"/>
  <c r="B1460" i="17"/>
  <c r="B1461" i="17"/>
  <c r="B1462" i="17"/>
  <c r="B1463" i="17"/>
  <c r="B1464" i="17"/>
  <c r="B1465" i="17"/>
  <c r="B1466" i="17"/>
  <c r="B1467" i="17"/>
  <c r="B1468" i="17"/>
  <c r="B1469" i="17"/>
  <c r="B1470" i="17"/>
  <c r="B1471" i="17"/>
  <c r="B1472" i="17"/>
  <c r="B1473" i="17"/>
  <c r="B1474" i="17"/>
  <c r="B1475" i="17"/>
  <c r="B1476" i="17"/>
  <c r="B1477" i="17"/>
  <c r="B1478" i="17"/>
  <c r="B1479" i="17"/>
  <c r="B1480" i="17"/>
  <c r="B1481" i="17"/>
  <c r="B1482" i="17"/>
  <c r="B1483" i="17"/>
  <c r="B1484" i="17"/>
  <c r="B1485" i="17"/>
  <c r="B1486" i="17"/>
  <c r="B1487" i="17"/>
  <c r="B1488" i="17"/>
  <c r="B1489" i="17"/>
  <c r="B1490" i="17"/>
  <c r="B1491" i="17"/>
  <c r="B1492" i="17"/>
  <c r="B1493" i="17"/>
  <c r="B1494" i="17"/>
  <c r="B1495" i="17"/>
  <c r="B1496" i="17"/>
  <c r="B1497" i="17"/>
  <c r="B1498" i="17"/>
  <c r="B1499" i="17"/>
  <c r="B1500" i="17"/>
  <c r="B1501" i="17"/>
  <c r="B1502" i="17"/>
  <c r="B1503" i="17"/>
  <c r="B1504" i="17"/>
  <c r="B1505" i="17"/>
  <c r="B1506" i="17"/>
  <c r="B1507" i="17"/>
  <c r="B1508" i="17"/>
  <c r="B1509" i="17"/>
  <c r="B1510" i="17"/>
  <c r="B1511" i="17"/>
  <c r="B1512" i="17"/>
  <c r="B1513" i="17"/>
  <c r="B1514" i="17"/>
  <c r="B1515" i="17"/>
  <c r="B1516" i="17"/>
  <c r="B1517" i="17"/>
  <c r="B1518" i="17"/>
  <c r="B1519" i="17"/>
  <c r="B1520" i="17"/>
  <c r="B1521" i="17"/>
  <c r="B1522" i="17"/>
  <c r="B1523" i="17"/>
  <c r="B1524" i="17"/>
  <c r="B1525" i="17"/>
  <c r="B1526" i="17"/>
  <c r="B1527" i="17"/>
  <c r="B1528" i="17"/>
  <c r="B1529" i="17"/>
  <c r="B1530" i="17"/>
  <c r="B1531" i="17"/>
  <c r="B1532" i="17"/>
  <c r="B1533" i="17"/>
  <c r="B1534" i="17"/>
  <c r="B1535" i="17"/>
  <c r="B1536" i="17"/>
  <c r="B1537" i="17"/>
  <c r="B1538" i="17"/>
  <c r="B1539" i="17"/>
  <c r="B1540" i="17"/>
  <c r="B1541" i="17"/>
  <c r="B1542" i="17"/>
  <c r="B1543" i="17"/>
  <c r="B1544" i="17"/>
  <c r="B1545" i="17"/>
  <c r="B1546" i="17"/>
  <c r="B1547" i="17"/>
  <c r="B1548" i="17"/>
  <c r="B1549" i="17"/>
  <c r="B1550" i="17"/>
  <c r="B1551" i="17"/>
  <c r="B1552" i="17"/>
  <c r="B1553" i="17"/>
  <c r="B1554" i="17"/>
  <c r="B1555" i="17"/>
  <c r="B1556" i="17"/>
  <c r="B1557" i="17"/>
  <c r="B1558" i="17"/>
  <c r="B1559" i="17"/>
  <c r="B1560" i="17"/>
  <c r="B1561" i="17"/>
  <c r="B1562" i="17"/>
  <c r="B1563" i="17"/>
  <c r="B1564" i="17"/>
  <c r="B1565" i="17"/>
  <c r="B1566" i="17"/>
  <c r="B1567" i="17"/>
  <c r="B1568" i="17"/>
  <c r="B1569" i="17"/>
  <c r="B1570" i="17"/>
  <c r="B1571" i="17"/>
  <c r="B1572" i="17"/>
  <c r="B1573" i="17"/>
  <c r="B1574" i="17"/>
  <c r="B1575" i="17"/>
  <c r="B1576" i="17"/>
  <c r="B1577" i="17"/>
  <c r="B1578" i="17"/>
  <c r="B1579" i="17"/>
  <c r="B1580" i="17"/>
  <c r="B1581" i="17"/>
  <c r="B1582" i="17"/>
  <c r="B1583" i="17"/>
  <c r="B1584" i="17"/>
  <c r="B1585" i="17"/>
  <c r="B1586" i="17"/>
  <c r="B1587" i="17"/>
  <c r="B1588" i="17"/>
  <c r="B1589" i="17"/>
  <c r="B1590" i="17"/>
  <c r="B1591" i="17"/>
  <c r="B1592" i="17"/>
  <c r="B1593" i="17"/>
  <c r="B1594" i="17"/>
  <c r="B1595" i="17"/>
  <c r="B1596" i="17"/>
  <c r="B1597" i="17"/>
  <c r="B1598" i="17"/>
  <c r="B1599" i="17"/>
  <c r="B1600" i="17"/>
  <c r="B1601" i="17"/>
  <c r="B1602" i="17"/>
  <c r="B1603" i="17"/>
  <c r="B1604" i="17"/>
  <c r="B1605" i="17"/>
  <c r="B1606" i="17"/>
  <c r="B1607" i="17"/>
  <c r="B1608" i="17"/>
  <c r="B1609" i="17"/>
  <c r="B1610" i="17"/>
  <c r="B1611" i="17"/>
  <c r="B1612" i="17"/>
  <c r="B1613" i="17"/>
  <c r="B1614" i="17"/>
  <c r="B1615" i="17"/>
  <c r="B1616" i="17"/>
  <c r="B1617" i="17"/>
  <c r="B1618" i="17"/>
  <c r="B1619" i="17"/>
  <c r="B1620" i="17"/>
  <c r="B1621" i="17"/>
  <c r="B1622" i="17"/>
  <c r="B1623" i="17"/>
  <c r="B1624" i="17"/>
  <c r="B1625" i="17"/>
  <c r="B1626" i="17"/>
  <c r="B1627" i="17"/>
  <c r="B1628" i="17"/>
  <c r="B1629" i="17"/>
  <c r="B1630" i="17"/>
  <c r="B1631" i="17"/>
  <c r="B1632" i="17"/>
  <c r="B1633" i="17"/>
  <c r="B1634" i="17"/>
  <c r="B1635" i="17"/>
  <c r="B1636" i="17"/>
  <c r="B1637" i="17"/>
  <c r="B1638" i="17"/>
  <c r="B1639" i="17"/>
  <c r="B1640" i="17"/>
  <c r="B1641" i="17"/>
  <c r="B1642" i="17"/>
  <c r="B1643" i="17"/>
  <c r="B1644" i="17"/>
  <c r="B1645" i="17"/>
  <c r="B1646" i="17"/>
  <c r="B1647" i="17"/>
  <c r="B1648" i="17"/>
  <c r="B1649" i="17"/>
  <c r="B1650" i="17"/>
  <c r="B1651" i="17"/>
  <c r="B1652" i="17"/>
  <c r="B1653" i="17"/>
  <c r="B1654" i="17"/>
  <c r="B1655" i="17"/>
  <c r="B1656" i="17"/>
  <c r="B1657" i="17"/>
  <c r="B1658" i="17"/>
  <c r="B1659" i="17"/>
  <c r="B1660" i="17"/>
  <c r="B1661" i="17"/>
  <c r="B1662" i="17"/>
  <c r="B1663" i="17"/>
  <c r="B1664" i="17"/>
  <c r="B1665" i="17"/>
  <c r="B1666" i="17"/>
  <c r="B1667" i="17"/>
  <c r="B1668" i="17"/>
  <c r="B1669" i="17"/>
  <c r="B1670" i="17"/>
  <c r="B1671" i="17"/>
  <c r="B1672" i="17"/>
  <c r="B1673" i="17"/>
  <c r="B1674" i="17"/>
  <c r="B1675" i="17"/>
  <c r="B1676" i="17"/>
  <c r="B1677" i="17"/>
  <c r="B1678" i="17"/>
  <c r="B1679" i="17"/>
  <c r="B1680" i="17"/>
  <c r="B1681" i="17"/>
  <c r="B1682" i="17"/>
  <c r="B1683" i="17"/>
  <c r="B1684" i="17"/>
  <c r="B1685" i="17"/>
  <c r="B1686" i="17"/>
  <c r="B1687" i="17"/>
  <c r="B1688" i="17"/>
  <c r="B1689" i="17"/>
  <c r="B1690" i="17"/>
  <c r="B1691" i="17"/>
  <c r="B1692" i="17"/>
  <c r="B1693" i="17"/>
  <c r="B1694" i="17"/>
  <c r="B1695" i="17"/>
  <c r="B1696" i="17"/>
  <c r="B1697" i="17"/>
  <c r="B1698" i="17"/>
  <c r="B1699" i="17"/>
  <c r="B1700" i="17"/>
  <c r="B1701" i="17"/>
  <c r="B1702" i="17"/>
  <c r="B1703" i="17"/>
  <c r="B1704" i="17"/>
  <c r="B1705" i="17"/>
  <c r="B1706" i="17"/>
  <c r="B1707" i="17"/>
  <c r="B1708" i="17"/>
  <c r="B1709" i="17"/>
  <c r="B1710" i="17"/>
  <c r="B1711" i="17"/>
  <c r="B1712" i="17"/>
  <c r="B1713" i="17"/>
  <c r="B1714" i="17"/>
  <c r="B1715" i="17"/>
  <c r="B1716" i="17"/>
  <c r="B1717" i="17"/>
  <c r="B1718" i="17"/>
  <c r="B1719" i="17"/>
  <c r="B1720" i="17"/>
  <c r="B1721" i="17"/>
  <c r="B1722" i="17"/>
  <c r="B1723" i="17"/>
  <c r="B1724" i="17"/>
  <c r="B1725" i="17"/>
  <c r="B1726" i="17"/>
  <c r="B1727" i="17"/>
  <c r="B1728" i="17"/>
  <c r="B1729" i="17"/>
  <c r="B1730" i="17"/>
  <c r="B1731" i="17"/>
  <c r="B1732" i="17"/>
  <c r="B1733" i="17"/>
  <c r="B1734" i="17"/>
  <c r="B1735" i="17"/>
  <c r="B1736" i="17"/>
  <c r="B1737" i="17"/>
  <c r="B1738" i="17"/>
  <c r="B1739" i="17"/>
  <c r="B1740" i="17"/>
  <c r="B1741" i="17"/>
  <c r="B1742" i="17"/>
  <c r="B1743" i="17"/>
  <c r="B1744" i="17"/>
  <c r="B1745" i="17"/>
  <c r="B1746" i="17"/>
  <c r="B1747" i="17"/>
  <c r="B1748" i="17"/>
  <c r="B1749" i="17"/>
  <c r="B1750" i="17"/>
  <c r="B1751" i="17"/>
  <c r="B1752" i="17"/>
  <c r="B1753" i="17"/>
  <c r="B1754" i="17"/>
  <c r="B1755" i="17"/>
  <c r="B1756" i="17"/>
  <c r="B1757" i="17"/>
  <c r="B1758" i="17"/>
  <c r="B1759" i="17"/>
  <c r="B1760" i="17"/>
  <c r="B1761" i="17"/>
  <c r="B1762" i="17"/>
  <c r="B1763" i="17"/>
  <c r="B1764" i="17"/>
  <c r="B1765" i="17"/>
  <c r="B1766" i="17"/>
  <c r="B1767" i="17"/>
  <c r="B1768" i="17"/>
  <c r="B1769" i="17"/>
  <c r="B1770" i="17"/>
  <c r="B1771" i="17"/>
  <c r="B1772" i="17"/>
  <c r="B1773" i="17"/>
  <c r="B1774" i="17"/>
  <c r="B1775" i="17"/>
  <c r="B1776" i="17"/>
  <c r="B1777" i="17"/>
  <c r="B1778" i="17"/>
  <c r="B1779" i="17"/>
  <c r="B1780" i="17"/>
  <c r="B1781" i="17"/>
  <c r="B1782" i="17"/>
  <c r="B1783" i="17"/>
  <c r="B1784" i="17"/>
  <c r="B1785" i="17"/>
  <c r="B1786" i="17"/>
  <c r="B1787" i="17"/>
  <c r="B1788" i="17"/>
  <c r="B1789" i="17"/>
  <c r="B1790" i="17"/>
  <c r="B1791" i="17"/>
  <c r="B1792" i="17"/>
  <c r="B1793" i="17"/>
  <c r="B1794" i="17"/>
  <c r="B1795" i="17"/>
  <c r="B1796" i="17"/>
  <c r="B1797" i="17"/>
  <c r="B1798" i="17"/>
  <c r="B1799" i="17"/>
  <c r="B1800" i="17"/>
  <c r="B1801" i="17"/>
  <c r="B1802" i="17"/>
  <c r="B1803" i="17"/>
  <c r="B1804" i="17"/>
  <c r="B1805" i="17"/>
  <c r="B1806" i="17"/>
  <c r="B1807" i="17"/>
  <c r="B1808" i="17"/>
  <c r="B1809" i="17"/>
  <c r="B1810" i="17"/>
  <c r="B1811" i="17"/>
  <c r="B1812" i="17"/>
  <c r="B1813" i="17"/>
  <c r="B1814" i="17"/>
  <c r="B1815" i="17"/>
  <c r="B1816" i="17"/>
  <c r="B1817" i="17"/>
  <c r="B1818" i="17"/>
  <c r="B1819" i="17"/>
  <c r="B1820" i="17"/>
  <c r="B1821" i="17"/>
  <c r="B1822" i="17"/>
  <c r="B1823" i="17"/>
  <c r="B1824" i="17"/>
  <c r="B1825" i="17"/>
  <c r="B1826" i="17"/>
  <c r="B1827" i="17"/>
  <c r="B1828" i="17"/>
  <c r="B1829" i="17"/>
  <c r="B1830" i="17"/>
  <c r="B1831" i="17"/>
  <c r="B1832" i="17"/>
  <c r="B1833" i="17"/>
  <c r="B1834" i="17"/>
  <c r="B1835" i="17"/>
  <c r="B1836" i="17"/>
  <c r="B1837" i="17"/>
  <c r="B1838" i="17"/>
  <c r="B1839" i="17"/>
  <c r="B1840" i="17"/>
  <c r="B1841" i="17"/>
  <c r="B1842" i="17"/>
  <c r="B1843" i="17"/>
  <c r="B1844" i="17"/>
  <c r="B1845" i="17"/>
  <c r="B1846" i="17"/>
  <c r="B1847" i="17"/>
  <c r="B1848" i="17"/>
  <c r="B1849" i="17"/>
  <c r="B1850" i="17"/>
  <c r="B1851" i="17"/>
  <c r="B1852" i="17"/>
  <c r="B1853" i="17"/>
  <c r="B1854" i="17"/>
  <c r="B1855" i="17"/>
  <c r="B1856" i="17"/>
  <c r="B1857" i="17"/>
  <c r="B1858" i="17"/>
  <c r="B1859" i="17"/>
  <c r="B1860" i="17"/>
  <c r="B1861" i="17"/>
  <c r="B1862" i="17"/>
  <c r="B1863" i="17"/>
  <c r="B1864" i="17"/>
  <c r="B1865" i="17"/>
  <c r="B1866" i="17"/>
  <c r="B1867" i="17"/>
  <c r="B1868" i="17"/>
  <c r="B1869" i="17"/>
  <c r="B1870" i="17"/>
  <c r="B1871" i="17"/>
  <c r="B1872" i="17"/>
  <c r="B1873" i="17"/>
  <c r="B1874" i="17"/>
  <c r="B1875" i="17"/>
  <c r="B1876" i="17"/>
  <c r="B1877" i="17"/>
  <c r="B1878" i="17"/>
  <c r="B1879" i="17"/>
  <c r="B1880" i="17"/>
  <c r="B1881" i="17"/>
  <c r="B1882" i="17"/>
  <c r="B1883" i="17"/>
  <c r="B1884" i="17"/>
  <c r="B1885" i="17"/>
  <c r="B1886" i="17"/>
  <c r="B1887" i="17"/>
  <c r="B1888" i="17"/>
  <c r="B1889" i="17"/>
  <c r="B1890" i="17"/>
  <c r="B1891" i="17"/>
  <c r="B1892" i="17"/>
  <c r="B1893" i="17"/>
  <c r="B1894" i="17"/>
  <c r="B1895" i="17"/>
  <c r="B1896" i="17"/>
  <c r="B1897" i="17"/>
  <c r="B1898" i="17"/>
  <c r="B1899" i="17"/>
  <c r="B1900" i="17"/>
  <c r="B1901" i="17"/>
  <c r="B1902" i="17"/>
  <c r="B1903" i="17"/>
  <c r="B1904" i="17"/>
  <c r="B1905" i="17"/>
  <c r="B1906" i="17"/>
  <c r="B1907" i="17"/>
  <c r="B1908" i="17"/>
  <c r="B1909" i="17"/>
  <c r="B1910" i="17"/>
  <c r="B1911" i="17"/>
  <c r="B1912" i="17"/>
  <c r="B1913" i="17"/>
  <c r="B1914" i="17"/>
  <c r="B1915" i="17"/>
  <c r="B1916" i="17"/>
  <c r="B1917" i="17"/>
  <c r="B1918" i="17"/>
  <c r="B1919" i="17"/>
  <c r="B1920" i="17"/>
  <c r="B1921" i="17"/>
  <c r="B1922" i="17"/>
  <c r="B1923" i="17"/>
  <c r="B1924" i="17"/>
  <c r="B1925" i="17"/>
  <c r="B1926" i="17"/>
  <c r="B1927" i="17"/>
  <c r="B1928" i="17"/>
  <c r="B1929" i="17"/>
  <c r="B1930" i="17"/>
  <c r="B1931" i="17"/>
  <c r="B1932" i="17"/>
  <c r="B1933" i="17"/>
  <c r="B1934" i="17"/>
  <c r="B1935" i="17"/>
  <c r="B1936" i="17"/>
  <c r="B1937" i="17"/>
  <c r="B1938" i="17"/>
  <c r="B1939" i="17"/>
  <c r="B1940" i="17"/>
  <c r="B1941" i="17"/>
  <c r="B1942" i="17"/>
  <c r="B1943" i="17"/>
  <c r="B1944" i="17"/>
  <c r="B1945" i="17"/>
  <c r="B1946" i="17"/>
  <c r="B1947" i="17"/>
  <c r="B1948" i="17"/>
  <c r="B1949" i="17"/>
  <c r="B1950" i="17"/>
  <c r="B1951" i="17"/>
  <c r="B1952" i="17"/>
  <c r="B1953" i="17"/>
  <c r="B1954" i="17"/>
  <c r="B1955" i="17"/>
  <c r="B1956" i="17"/>
  <c r="B1957" i="17"/>
  <c r="B1958" i="17"/>
  <c r="B1959" i="17"/>
  <c r="B1960" i="17"/>
  <c r="B1961" i="17"/>
  <c r="B1962" i="17"/>
  <c r="B1963" i="17"/>
  <c r="B1964" i="17"/>
  <c r="B1965" i="17"/>
  <c r="B1966" i="17"/>
  <c r="B1967" i="17"/>
  <c r="B1968" i="17"/>
  <c r="B1969" i="17"/>
  <c r="B1970" i="17"/>
  <c r="B1971" i="17"/>
  <c r="B1972" i="17"/>
  <c r="B1973" i="17"/>
  <c r="B1974" i="17"/>
  <c r="B1975" i="17"/>
  <c r="B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449" i="17"/>
  <c r="J33" i="30" l="1"/>
  <c r="J34" i="30"/>
  <c r="J35" i="30"/>
  <c r="J36" i="30"/>
  <c r="K34" i="30"/>
  <c r="K35" i="30"/>
  <c r="K36" i="30"/>
  <c r="K33" i="30"/>
  <c r="BB51" i="27"/>
  <c r="BC51" i="27" s="1"/>
  <c r="AJ13" i="27"/>
  <c r="AJ15" i="27" s="1"/>
  <c r="Z20" i="27"/>
  <c r="AA20" i="27" s="1"/>
  <c r="AB20" i="27" s="1"/>
  <c r="W20" i="27"/>
  <c r="X18" i="27"/>
  <c r="Y18" i="27" s="1"/>
  <c r="BE48" i="27"/>
  <c r="BD49" i="27"/>
  <c r="AS9" i="27"/>
  <c r="AT9" i="27" s="1"/>
  <c r="AR11" i="27"/>
  <c r="AS11" i="27" s="1"/>
  <c r="AT11" i="27" s="1"/>
  <c r="AV9" i="27"/>
  <c r="AW9" i="27" s="1"/>
  <c r="AU11" i="27"/>
  <c r="AV11" i="27" s="1"/>
  <c r="AW11" i="27" s="1"/>
  <c r="AK48" i="27"/>
  <c r="AJ49" i="27"/>
  <c r="X6" i="27"/>
  <c r="Y6" i="27" s="1"/>
  <c r="AH48" i="27"/>
  <c r="AJ9" i="27"/>
  <c r="AA6" i="27"/>
  <c r="AB6" i="27" s="1"/>
  <c r="Z8" i="27"/>
  <c r="L36" i="30" l="1"/>
  <c r="L35" i="30"/>
  <c r="L34" i="30"/>
  <c r="L33" i="30"/>
  <c r="Z22" i="27"/>
  <c r="AA22" i="27" s="1"/>
  <c r="AB22" i="27" s="1"/>
  <c r="AJ51" i="27"/>
  <c r="AK49" i="27"/>
  <c r="AK51" i="27" s="1"/>
  <c r="BE49" i="27"/>
  <c r="BD51" i="27"/>
  <c r="BE51" i="27" s="1"/>
  <c r="W22" i="27"/>
  <c r="X22" i="27" s="1"/>
  <c r="Y22" i="27" s="1"/>
  <c r="X20" i="27"/>
  <c r="Y20" i="27" s="1"/>
  <c r="AI48" i="27"/>
  <c r="AH49" i="27"/>
  <c r="W10" i="27"/>
  <c r="X10" i="27" s="1"/>
  <c r="Y10" i="27" s="1"/>
  <c r="X8" i="27"/>
  <c r="Y8" i="27" s="1"/>
  <c r="AA8" i="27"/>
  <c r="AB8" i="27" s="1"/>
  <c r="Z10" i="27"/>
  <c r="AA10" i="27" s="1"/>
  <c r="AB10" i="27" s="1"/>
  <c r="Y6" i="26"/>
  <c r="AI49" i="27" l="1"/>
  <c r="AI51" i="27" s="1"/>
  <c r="AH51" i="27"/>
  <c r="Z6" i="26" l="1"/>
  <c r="X6" i="26"/>
  <c r="W6" i="26"/>
  <c r="V6" i="26"/>
  <c r="U6" i="26"/>
  <c r="T6" i="26"/>
  <c r="S6" i="26"/>
  <c r="R6" i="26"/>
  <c r="Q6" i="26"/>
  <c r="P6" i="26"/>
  <c r="AA6" i="26" l="1"/>
  <c r="AB6" i="26" s="1"/>
  <c r="R269" i="17" l="1"/>
  <c r="R376" i="17"/>
  <c r="R412" i="17"/>
  <c r="R3" i="17"/>
  <c r="R38" i="17"/>
  <c r="R73" i="17"/>
  <c r="R108" i="17"/>
  <c r="R142" i="17"/>
  <c r="R186" i="17"/>
  <c r="R230" i="17"/>
  <c r="R342" i="17"/>
  <c r="R305" i="17"/>
  <c r="R1987" i="17"/>
  <c r="R1523" i="17"/>
  <c r="R1099" i="17"/>
  <c r="R449" i="17"/>
  <c r="D5" i="29" s="1"/>
  <c r="R1014" i="17"/>
  <c r="R1776" i="17"/>
  <c r="R833" i="17"/>
  <c r="R1915" i="17"/>
  <c r="R1287" i="17"/>
  <c r="R1043" i="17"/>
  <c r="R1581" i="17"/>
  <c r="R962" i="17"/>
  <c r="R1640" i="17"/>
  <c r="R781" i="17"/>
  <c r="R1847" i="17"/>
  <c r="R552" i="17"/>
  <c r="R907" i="17"/>
  <c r="R1461" i="17"/>
  <c r="R606" i="17"/>
  <c r="R1400" i="17"/>
  <c r="R741" i="17"/>
  <c r="R1707" i="17"/>
  <c r="R1342" i="17"/>
  <c r="R675" i="17"/>
  <c r="R1230" i="17"/>
  <c r="R502" i="17"/>
  <c r="R1165" i="17"/>
  <c r="Z5" i="26"/>
  <c r="Y5" i="26" l="1"/>
  <c r="X5" i="26" l="1"/>
  <c r="W5" i="26"/>
  <c r="U5" i="26" l="1"/>
  <c r="O5" i="26" l="1"/>
  <c r="P5" i="26"/>
  <c r="Q5" i="26"/>
  <c r="R5" i="26"/>
  <c r="S5" i="26"/>
  <c r="T5" i="26"/>
  <c r="V5" i="26"/>
</calcChain>
</file>

<file path=xl/comments1.xml><?xml version="1.0" encoding="utf-8"?>
<comments xmlns="http://schemas.openxmlformats.org/spreadsheetml/2006/main">
  <authors>
    <author>Laura Estefania Bolivar Guerra</author>
  </authors>
  <commentList>
    <comment ref="E117" authorId="0" shapeId="0">
      <text>
        <r>
          <rPr>
            <b/>
            <sz val="9"/>
            <color indexed="81"/>
            <rFont val="Tahoma"/>
            <family val="2"/>
          </rPr>
          <t>Laura Estefania Bolivar Guerra:</t>
        </r>
        <r>
          <rPr>
            <sz val="9"/>
            <color indexed="81"/>
            <rFont val="Tahoma"/>
            <family val="2"/>
          </rPr>
          <t xml:space="preserve">
Se le suma $ 43.870 de un ingreso que esta regitrado en Santa Bárbara.
El valor tambien se actualizó en el detalle de cierre.</t>
        </r>
      </text>
    </comment>
  </commentList>
</comments>
</file>

<file path=xl/comments2.xml><?xml version="1.0" encoding="utf-8"?>
<comments xmlns="http://schemas.openxmlformats.org/spreadsheetml/2006/main">
  <authors>
    <author>MARIA PAULA BOHORQUEZ MARTINEZ</author>
    <author>Laura Estefania Bolivar Guerra</author>
  </authors>
  <commentList>
    <comment ref="H1" authorId="0" shapeId="0">
      <text>
        <r>
          <rPr>
            <b/>
            <sz val="9"/>
            <color indexed="81"/>
            <rFont val="Tahoma"/>
            <family val="2"/>
          </rPr>
          <t>Ingreso total registrado por asesor</t>
        </r>
        <r>
          <rPr>
            <sz val="9"/>
            <color indexed="81"/>
            <rFont val="Tahoma"/>
            <family val="2"/>
          </rPr>
          <t xml:space="preserve">
</t>
        </r>
      </text>
    </comment>
    <comment ref="I1" authorId="0" shapeId="0">
      <text>
        <r>
          <rPr>
            <b/>
            <sz val="9"/>
            <color indexed="81"/>
            <rFont val="Tahoma"/>
            <family val="2"/>
          </rPr>
          <t>Ingresos por Lentes de Contacto</t>
        </r>
      </text>
    </comment>
    <comment ref="K1" authorId="0" shapeId="0">
      <text>
        <r>
          <rPr>
            <b/>
            <sz val="9"/>
            <color indexed="81"/>
            <rFont val="Tahoma"/>
            <family val="2"/>
          </rPr>
          <t>Estas son las ventas sin lentes de contacto y sin auxilios POS</t>
        </r>
        <r>
          <rPr>
            <sz val="9"/>
            <color indexed="81"/>
            <rFont val="Tahoma"/>
            <family val="2"/>
          </rPr>
          <t xml:space="preserve">
</t>
        </r>
      </text>
    </comment>
    <comment ref="U1" authorId="1" shapeId="0">
      <text>
        <r>
          <rPr>
            <b/>
            <sz val="9"/>
            <color indexed="81"/>
            <rFont val="Tahoma"/>
            <family val="2"/>
          </rPr>
          <t xml:space="preserve">SOLO LENTES ESPECIALES
</t>
        </r>
        <r>
          <rPr>
            <sz val="9"/>
            <color indexed="81"/>
            <rFont val="Tahoma"/>
            <family val="2"/>
          </rPr>
          <t xml:space="preserve">
</t>
        </r>
      </text>
    </comment>
    <comment ref="W1" authorId="1" shapeId="0">
      <text>
        <r>
          <rPr>
            <b/>
            <sz val="9"/>
            <color indexed="81"/>
            <rFont val="Tahoma"/>
            <family val="2"/>
          </rPr>
          <t>SOLO PBS 1300 Y 4426</t>
        </r>
        <r>
          <rPr>
            <sz val="9"/>
            <color indexed="81"/>
            <rFont val="Tahoma"/>
            <family val="2"/>
          </rPr>
          <t xml:space="preserve">
</t>
        </r>
      </text>
    </comment>
    <comment ref="H580" authorId="1" shapeId="0">
      <text>
        <r>
          <rPr>
            <b/>
            <sz val="9"/>
            <color indexed="81"/>
            <rFont val="Tahoma"/>
            <family val="2"/>
          </rPr>
          <t>ajuste manual por aut 4430336401 que no se pudo facturar en febrero por problema del iva. (Se restó el valor en el mes de marzo porque se sumó para el mes de febrero manualmente)</t>
        </r>
      </text>
    </comment>
    <comment ref="H647" authorId="1" shapeId="0">
      <text>
        <r>
          <rPr>
            <b/>
            <sz val="9"/>
            <color indexed="81"/>
            <rFont val="Tahoma"/>
            <family val="2"/>
          </rPr>
          <t>Laura Estefania Bolivar Guerra:</t>
        </r>
        <r>
          <rPr>
            <sz val="9"/>
            <color indexed="81"/>
            <rFont val="Tahoma"/>
            <family val="2"/>
          </rPr>
          <t xml:space="preserve">
Se unificaron manualmente los usuarios:
GISECACM
GISECACA
GISECAM</t>
        </r>
      </text>
    </comment>
    <comment ref="H659" authorId="1" shapeId="0">
      <text>
        <r>
          <rPr>
            <b/>
            <sz val="9"/>
            <color indexed="81"/>
            <rFont val="Tahoma"/>
            <family val="2"/>
          </rPr>
          <t>Laura Estefania Bolivar Guerra:</t>
        </r>
        <r>
          <rPr>
            <sz val="9"/>
            <color indexed="81"/>
            <rFont val="Tahoma"/>
            <family val="2"/>
          </rPr>
          <t xml:space="preserve">
Se hizo la modificación desde la hoja ¡Auxiliares:
Ajuste manual, se restan los ingresos que tenia al 13 de mayo Lilibeth y el resultado($ 6.280.789) se le suma a Diana Pobre</t>
        </r>
      </text>
    </comment>
    <comment ref="H697" authorId="1" shapeId="0">
      <text>
        <r>
          <rPr>
            <b/>
            <sz val="9"/>
            <color indexed="81"/>
            <rFont val="Tahoma"/>
            <family val="2"/>
          </rPr>
          <t>Laura Estefania Bolivar Guerra:</t>
        </r>
        <r>
          <rPr>
            <sz val="9"/>
            <color indexed="81"/>
            <rFont val="Tahoma"/>
            <family val="2"/>
          </rPr>
          <t xml:space="preserve">
Se hizo la modificación desde la hoja ¡Auxiliares:
Ajuste manual, se restan los ingresos que tenia al 13 de mayo Lilibeth y el resultado($ 6.280.789) se le suma a Diana Pobre</t>
        </r>
      </text>
    </comment>
    <comment ref="H698" authorId="1" shapeId="0">
      <text>
        <r>
          <rPr>
            <b/>
            <sz val="9"/>
            <color indexed="81"/>
            <rFont val="Tahoma"/>
            <family val="2"/>
          </rPr>
          <t>Laura Estefania Bolivar Guerra:</t>
        </r>
        <r>
          <rPr>
            <sz val="9"/>
            <color indexed="81"/>
            <rFont val="Tahoma"/>
            <family val="2"/>
          </rPr>
          <t xml:space="preserve">
Se suman los usuarios
GISECAM $ 891.531
GISECACA $ 258.961
GISECACM $28.837.981</t>
        </r>
      </text>
    </comment>
    <comment ref="H724" authorId="1" shapeId="0">
      <text>
        <r>
          <rPr>
            <b/>
            <sz val="9"/>
            <color indexed="81"/>
            <rFont val="Tahoma"/>
            <family val="2"/>
          </rPr>
          <t>Laura Estefania Bolivar Guerra:</t>
        </r>
        <r>
          <rPr>
            <sz val="9"/>
            <color indexed="81"/>
            <rFont val="Tahoma"/>
            <family val="2"/>
          </rPr>
          <t xml:space="preserve">
Ajuste manual por venta de aut 4432749725 por $ 341.984 que es de Tatiana Rivera y estaba a nombre de Angela Garcia.
La venta se resta a Angela Garcia y se suma a Tatiana Rivera</t>
        </r>
      </text>
    </comment>
    <comment ref="I725" authorId="1" shapeId="0">
      <text>
        <r>
          <rPr>
            <b/>
            <sz val="9"/>
            <color indexed="81"/>
            <rFont val="Tahoma"/>
            <family val="2"/>
          </rPr>
          <t>Laura Estefania Bolivar Guerra:</t>
        </r>
        <r>
          <rPr>
            <sz val="9"/>
            <color indexed="81"/>
            <rFont val="Tahoma"/>
            <family val="2"/>
          </rPr>
          <t xml:space="preserve">
La venta por lentes de contacto a la usuaria KATERING SCARLET GIRALDO con cc 1017198581 en la aut 4432564236 por $ 370.400, fue una venta particular producto de la gestión de NATAPIDU quien olvidó poner en el profesional el nit de IPS (por lo que no esta sumando a su gestión complementaria). Se hace el ajuste manual quedando las ventas de contacto en $0 para que sume a su cumplimiento.</t>
        </r>
      </text>
    </comment>
    <comment ref="H755" authorId="1" shapeId="0">
      <text>
        <r>
          <rPr>
            <b/>
            <sz val="9"/>
            <color indexed="81"/>
            <rFont val="Tahoma"/>
            <family val="2"/>
          </rPr>
          <t>Laura Estefania Bolivar Guerra:</t>
        </r>
        <r>
          <rPr>
            <sz val="9"/>
            <color indexed="81"/>
            <rFont val="Tahoma"/>
            <family val="2"/>
          </rPr>
          <t xml:space="preserve">
Ajuste manual por venta de aut 4432749725 por $ 341.984 que es de Tatiana Rivera y estaba a nombre de Angela Garcia.
La venta se resta a Angela Garcia y se suma a Tatiana Rivera</t>
        </r>
      </text>
    </comment>
    <comment ref="H796" authorId="1" shapeId="0">
      <text>
        <r>
          <rPr>
            <b/>
            <sz val="9"/>
            <color indexed="81"/>
            <rFont val="Tahoma"/>
            <family val="2"/>
          </rPr>
          <t>Laura Estefania Bolivar Guerra:</t>
        </r>
        <r>
          <rPr>
            <sz val="9"/>
            <color indexed="81"/>
            <rFont val="Tahoma"/>
            <family val="2"/>
          </rPr>
          <t xml:space="preserve">
Se resta la venta del usuario con cc 71770226 por valor de $ 352.387 a la asesora DIANPAAL y se le suma a la asesora MARIOCOC; debido a que la autorización 4432440010 (la venta) es de Maria mercedes y esta reasignada a Diana Palacio porque se bloqueó y tubo que reasignarla para poderla facturar.</t>
        </r>
      </text>
    </comment>
    <comment ref="H798" authorId="1" shapeId="0">
      <text>
        <r>
          <rPr>
            <b/>
            <sz val="9"/>
            <color indexed="81"/>
            <rFont val="Tahoma"/>
            <family val="2"/>
          </rPr>
          <t>Laura Estefania Bolivar Guerra:</t>
        </r>
        <r>
          <rPr>
            <sz val="9"/>
            <color indexed="81"/>
            <rFont val="Tahoma"/>
            <family val="2"/>
          </rPr>
          <t xml:space="preserve">
Se resta la venta del usuario con cc 71770226 por valor de $ 352.387 a la asesora DIANPAAL y se le suma a la asesora MARIOCOC; debido a que la autorización 4432440010 (la venta) es de Maria mercedes y esta reasignada a Diana Palacio porque se bloqueó y tubo que reasignarla para poderla facturar.</t>
        </r>
      </text>
    </comment>
    <comment ref="H940" authorId="1" shapeId="0">
      <text>
        <r>
          <rPr>
            <b/>
            <sz val="9"/>
            <color indexed="81"/>
            <rFont val="Tahoma"/>
            <family val="2"/>
          </rPr>
          <t>Laura Estefania Bolivar Guerra:</t>
        </r>
        <r>
          <rPr>
            <sz val="9"/>
            <color indexed="81"/>
            <rFont val="Tahoma"/>
            <family val="2"/>
          </rPr>
          <t xml:space="preserve">
Se resta $259.273 a HERIRORO y se suma a CLAUBLAR por robo de venta de la autorización 4436240410</t>
        </r>
      </text>
    </comment>
    <comment ref="H941" authorId="1" shapeId="0">
      <text>
        <r>
          <rPr>
            <b/>
            <sz val="9"/>
            <color indexed="81"/>
            <rFont val="Tahoma"/>
            <family val="2"/>
          </rPr>
          <t>Laura Estefania Bolivar Guerra:</t>
        </r>
        <r>
          <rPr>
            <sz val="9"/>
            <color indexed="81"/>
            <rFont val="Tahoma"/>
            <family val="2"/>
          </rPr>
          <t xml:space="preserve">
Se resta $259.273 a HERIRORO y se suma a CLAUBLAR por robo de venta de la autorización 4436240410</t>
        </r>
      </text>
    </comment>
    <comment ref="H1232" authorId="1" shapeId="0">
      <text>
        <r>
          <rPr>
            <b/>
            <sz val="9"/>
            <color indexed="81"/>
            <rFont val="Tahoma"/>
            <family val="2"/>
          </rPr>
          <t>Se resta $1.143.677 de la autorización 4439232505 (Molinos) a la asesora Lila Daniza Cardona por caso de reasignación de venta y se suma a la asesora Norely Aristizabal</t>
        </r>
      </text>
    </comment>
    <comment ref="H1234" authorId="1" shapeId="0">
      <text>
        <r>
          <rPr>
            <b/>
            <sz val="9"/>
            <color indexed="81"/>
            <rFont val="Tahoma"/>
            <family val="2"/>
          </rPr>
          <t>Se resta $1.143.677 de la autorización 4439232505 (Molinos) a la asesora Lila Daniza Cardona por caso de reasignación de venta y se suma a la asesora Norely Aristizabal</t>
        </r>
      </text>
    </comment>
    <comment ref="H1282" authorId="1" shapeId="0">
      <text>
        <r>
          <rPr>
            <b/>
            <sz val="9"/>
            <color indexed="81"/>
            <rFont val="Tahoma"/>
            <family val="2"/>
          </rPr>
          <t>Se descontó la venta de la autorización 4440079729 por $ 227.335 a MARIOCOC y se sumó a los ingresos de DIANPAAL.
Caso reportado por DIANPAAL y autorizado por Jose Daniel el Director PV</t>
        </r>
      </text>
    </comment>
    <comment ref="H1284" authorId="1" shapeId="0">
      <text>
        <r>
          <rPr>
            <b/>
            <sz val="9"/>
            <color indexed="81"/>
            <rFont val="Tahoma"/>
            <family val="2"/>
          </rPr>
          <t>Se descontó la venta de la autorización 4440079729 por $ 227.335 a MARIOCOC y se sumó a los ingresos de DIANPAAL.
Caso reportado por DIANPAAL y autorizado por Jose Daniel el Director PV</t>
        </r>
      </text>
    </comment>
    <comment ref="H1340" authorId="1" shapeId="0">
      <text>
        <r>
          <rPr>
            <b/>
            <sz val="9"/>
            <color indexed="81"/>
            <rFont val="Tahoma"/>
            <family val="2"/>
          </rPr>
          <t>Se restó a Alexandra el valor de $1.065.134 ( aut 4440467365: $504.743 y 4441553068: $560.391)
y se sumó a Yuliana Rios. Caso de reasignación de venta "por error"</t>
        </r>
      </text>
    </comment>
    <comment ref="H1341" authorId="1" shapeId="0">
      <text>
        <r>
          <rPr>
            <b/>
            <sz val="9"/>
            <color indexed="81"/>
            <rFont val="Tahoma"/>
            <family val="2"/>
          </rPr>
          <t>Se restó a Alexandra el valor de $1.065.134 ( aut 4440467365: $504.743 y 4441553068: $560.391)
y se sumó a Yuliana Rios. Caso de reasignación de venta "por error"</t>
        </r>
      </text>
    </comment>
    <comment ref="H1363" authorId="1" shapeId="0">
      <text>
        <r>
          <rPr>
            <b/>
            <sz val="9"/>
            <color indexed="81"/>
            <rFont val="Tahoma"/>
            <family val="2"/>
          </rPr>
          <t>Se resta a Yurani el valor de $656.921 de la autorización 4441488358 y se suma a los ingresos de Angela Garcia. Caso de venta que se adjudicó la asesora Yurani</t>
        </r>
      </text>
    </comment>
    <comment ref="H1367" authorId="1" shapeId="0">
      <text>
        <r>
          <rPr>
            <b/>
            <sz val="9"/>
            <color indexed="81"/>
            <rFont val="Tahoma"/>
            <family val="2"/>
          </rPr>
          <t>Se resta a Yurani el valor de $656.921 de la autorización 4441488358 y se suma a los ingresos de Angela Garcia. Caso de venta que se adjudicó la asesora Yurani</t>
        </r>
      </text>
    </comment>
    <comment ref="H1398" authorId="1" shapeId="0">
      <text>
        <r>
          <rPr>
            <b/>
            <sz val="9"/>
            <color indexed="81"/>
            <rFont val="Tahoma"/>
            <family val="2"/>
          </rPr>
          <t>Ajuste de venta de la autorización 4439143847 por $ 639.608. "desde la hoja ASESORESxPV!"
Se resta a Yuliana y se suma a Alexandra, debido a error de reasignación.</t>
        </r>
      </text>
    </comment>
    <comment ref="H1399" authorId="1" shapeId="0">
      <text>
        <r>
          <rPr>
            <b/>
            <sz val="9"/>
            <color indexed="81"/>
            <rFont val="Tahoma"/>
            <family val="2"/>
          </rPr>
          <t>Ajuste de venta de la autorización 4439143847 por $ 639.608. "desde la hoja ASESORESxPV!"
Se resta a Yuliana y se suma a Alexandra, debido a error de reasignación.</t>
        </r>
      </text>
    </comment>
    <comment ref="H1411" authorId="1" shapeId="0">
      <text>
        <r>
          <rPr>
            <b/>
            <sz val="9"/>
            <color indexed="81"/>
            <rFont val="Tahoma"/>
            <family val="2"/>
          </rPr>
          <t xml:space="preserve">Ajuste de venta de la autorización 4441698063 por valor de $ 308.593. "desde la hoja ASESORESxPV!"
Se resta a Natalia Pizarro y se suma a Yurani Usuga. Debido a que yurani por error hizo la cotizacion inicial en pv pto clave y natalia hizo una posteriormente en industriales.
Este caso se habló con sandra Vela y Janeth Castro con quienes se definió realizar el ajuste. Pero a partir del 1 de julio segun la actualización de las politicas en este caso la venta corresponde a la cotización inicial de la sede donde compró: seria industriales. </t>
        </r>
      </text>
    </comment>
    <comment ref="H1418" authorId="1" shapeId="0">
      <text>
        <r>
          <rPr>
            <b/>
            <sz val="9"/>
            <color indexed="81"/>
            <rFont val="Tahoma"/>
            <family val="2"/>
          </rPr>
          <t xml:space="preserve">Ajuste de venta de la autorización 4441698063 por valor de $ 308.593. "desde la hoja ASESORESxPV!"
Se resta a Natalia Pizarro y se suma a Yurani Usuga. Debido a que yurani por error hizo la cotizacion inicial en pv pto clave y natalia hizo una posteriormente en industriales.
Este caso se habló con sandra Vela y Janeth Castro con quienes se definió realizar el ajuste. Pero a partir del 1 de julio segun la actualización de las politicas en este caso la venta corresponde a la cotización inicial de la sede donde compró: seria industriales. </t>
        </r>
      </text>
    </comment>
    <comment ref="H1458" authorId="1" shapeId="0">
      <text>
        <r>
          <rPr>
            <b/>
            <sz val="9"/>
            <color indexed="81"/>
            <rFont val="Tahoma"/>
            <family val="2"/>
          </rPr>
          <t>Se suma a Alexandra la venta 4442550757 por $ 277.014 y se resta a Leidy Parra.</t>
        </r>
      </text>
    </comment>
    <comment ref="H1459" authorId="1" shapeId="0">
      <text>
        <r>
          <rPr>
            <b/>
            <sz val="9"/>
            <color indexed="81"/>
            <rFont val="Tahoma"/>
            <family val="2"/>
          </rPr>
          <t>Se suma a Alexandra la venta 4442550757 por $ 277.014 y se resta a Leidy Parra.</t>
        </r>
      </text>
    </comment>
    <comment ref="H1476" authorId="1" shapeId="0">
      <text>
        <r>
          <rPr>
            <b/>
            <sz val="9"/>
            <color indexed="81"/>
            <rFont val="Tahoma"/>
            <family val="2"/>
          </rPr>
          <t>Se suma a norely la venta 4443107915 por $ 890.489 y se resta a Carolina Ramirez.</t>
        </r>
      </text>
    </comment>
    <comment ref="H1480" authorId="1" shapeId="0">
      <text>
        <r>
          <rPr>
            <b/>
            <sz val="9"/>
            <color indexed="81"/>
            <rFont val="Tahoma"/>
            <family val="2"/>
          </rPr>
          <t>Se suma a norely la venta 4443107915 por $ 890.489 y se resta a Carolina Ramirez.</t>
        </r>
      </text>
    </comment>
    <comment ref="H1499" authorId="1" shapeId="0">
      <text>
        <r>
          <rPr>
            <b/>
            <sz val="9"/>
            <color indexed="81"/>
            <rFont val="Tahoma"/>
            <family val="2"/>
          </rPr>
          <t>Se suma a Heidy Valencia la venta 4442687624 por $ 264.770 y se resta a Monic Arango</t>
        </r>
      </text>
    </comment>
    <comment ref="H1500" authorId="1" shapeId="0">
      <text>
        <r>
          <rPr>
            <b/>
            <sz val="9"/>
            <color indexed="81"/>
            <rFont val="Tahoma"/>
            <family val="2"/>
          </rPr>
          <t>Se suma a Monica Arango la venta 4442657747 por $ 476.409 y se resta Tatiana Rivera
Se suma a Heidy Valencia la venta 4442687624 por $ 264.770 y se resta a Monic Arango
Se suma a Tatiana Rivera la venta 4442661478 por $ 376.300 y se resta a Monica Arango</t>
        </r>
      </text>
    </comment>
    <comment ref="H1502" authorId="1" shapeId="0">
      <text>
        <r>
          <rPr>
            <b/>
            <sz val="9"/>
            <color indexed="81"/>
            <rFont val="Tahoma"/>
            <family val="2"/>
          </rPr>
          <t>Se suma a Monica Arango la venta 4442657747 por $ 476.409 y se resta Tatiana Rivera
Se suma a Tatiana Rivera la venta 4442661478 por $ 376.300 y se resta a Monica Arango</t>
        </r>
      </text>
    </comment>
    <comment ref="H1576" authorId="1" shapeId="0">
      <text>
        <r>
          <rPr>
            <sz val="9"/>
            <color indexed="81"/>
            <rFont val="Tahoma"/>
            <family val="2"/>
          </rPr>
          <t>Se resta $ 291.515 a Maria Isabel Gomez y se suma a los ingresos de Diana Maria Palacio. Por autorización 4444836810 que se bloqueó al momento de facturar y quedó con el usuario de MARIGOOR. Se ajustó desde la hoja! ASESORxIPS</t>
        </r>
      </text>
    </comment>
    <comment ref="H1577" authorId="1" shapeId="0">
      <text>
        <r>
          <rPr>
            <sz val="9"/>
            <color indexed="81"/>
            <rFont val="Tahoma"/>
            <family val="2"/>
          </rPr>
          <t>Se resta $ 291.515 a Maria Isabel Gomez y se suma a los ingresos de Diana Maria Palacio. Por autorización 4444836810 que se bloqueó al momento de facturar y quedó con el usuario de MARIGOOR. Se ajustó desde la hoja! ASESORxIPS</t>
        </r>
      </text>
    </comment>
    <comment ref="H1884" authorId="1" shapeId="0">
      <text>
        <r>
          <rPr>
            <b/>
            <sz val="9"/>
            <color indexed="81"/>
            <rFont val="Tahoma"/>
            <family val="2"/>
          </rPr>
          <t xml:space="preserve">Se restan las ventas de:
*4447856998 por $147.577
*4448360740 por $224.006
y se le sumaron a TATIRITR
</t>
        </r>
      </text>
    </comment>
    <comment ref="H1886" authorId="1" shapeId="0">
      <text>
        <r>
          <rPr>
            <b/>
            <sz val="9"/>
            <color indexed="81"/>
            <rFont val="Tahoma"/>
            <family val="2"/>
          </rPr>
          <t>Se resta la venta de 4447858385 por $244.960 y se sumo DANYLESE</t>
        </r>
      </text>
    </comment>
    <comment ref="H1887" authorId="1" shapeId="0">
      <text>
        <r>
          <rPr>
            <b/>
            <sz val="9"/>
            <color indexed="81"/>
            <rFont val="Tahoma"/>
            <family val="2"/>
          </rPr>
          <t>Se restan las ventas de:
*4447856998 por $147.577
*4448360740 por $224.006
y se le sumaron a TATIRITR
Se resta la venta de 4447858385 por $244.960 y se sumo DANYLESE</t>
        </r>
      </text>
    </comment>
    <comment ref="H1912" authorId="1" shapeId="0">
      <text>
        <r>
          <rPr>
            <sz val="9"/>
            <color indexed="81"/>
            <rFont val="Tahoma"/>
            <family val="2"/>
          </rPr>
          <t>Se resta el valor de la venta de la autorización 4448966275 por $ 346.094 a los ingresos de Cindy Garcia y se suman a los ingresos de Maria Mercedes Ocampo de venta que estaba sumando mal</t>
        </r>
      </text>
    </comment>
    <comment ref="H1932" authorId="1" shapeId="0">
      <text>
        <r>
          <rPr>
            <sz val="9"/>
            <color indexed="81"/>
            <rFont val="Tahoma"/>
            <family val="2"/>
          </rPr>
          <t>Se resta el valor de la venta de la autorización 4448966275 por $ 346.094 a los ingresos de Cindy Garcia y se suman a los ingresos de Maria Mercedes Ocampo de venta que estaba sumando mal</t>
        </r>
      </text>
    </comment>
  </commentList>
</comments>
</file>

<file path=xl/comments3.xml><?xml version="1.0" encoding="utf-8"?>
<comments xmlns="http://schemas.openxmlformats.org/spreadsheetml/2006/main">
  <authors>
    <author>Laura Estefania Bolivar Guerra</author>
  </authors>
  <commentList>
    <comment ref="AQ3" authorId="0" shapeId="0">
      <text>
        <r>
          <rPr>
            <sz val="9"/>
            <color indexed="81"/>
            <rFont val="Tahoma"/>
            <family val="2"/>
          </rPr>
          <t>RETO: Manteniendo promedio y/o sobreejecución actual</t>
        </r>
      </text>
    </comment>
    <comment ref="AI9" authorId="0" shapeId="0">
      <text>
        <r>
          <rPr>
            <b/>
            <sz val="9"/>
            <color indexed="81"/>
            <rFont val="Tahoma"/>
            <family val="2"/>
          </rPr>
          <t>Promedio</t>
        </r>
        <r>
          <rPr>
            <sz val="9"/>
            <color indexed="81"/>
            <rFont val="Tahoma"/>
            <family val="2"/>
          </rPr>
          <t xml:space="preserve">
</t>
        </r>
      </text>
    </comment>
    <comment ref="BC9" authorId="0" shapeId="0">
      <text>
        <r>
          <rPr>
            <b/>
            <sz val="9"/>
            <color indexed="81"/>
            <rFont val="Tahoma"/>
            <family val="2"/>
          </rPr>
          <t>Promedio</t>
        </r>
        <r>
          <rPr>
            <sz val="9"/>
            <color indexed="81"/>
            <rFont val="Tahoma"/>
            <family val="2"/>
          </rPr>
          <t xml:space="preserve">
</t>
        </r>
      </text>
    </comment>
  </commentList>
</comments>
</file>

<file path=xl/connections.xml><?xml version="1.0" encoding="utf-8"?>
<connections xmlns="http://schemas.openxmlformats.org/spreadsheetml/2006/main">
  <connection id="1" sourceFile="D:\1-LAURA\9-DETALLES AÑO\OPC2017.accdb" keepAlive="1" name="OPC2017" type="5" refreshedVersion="6">
    <dbPr connection="Provider=Microsoft.ACE.OLEDB.12.0;User ID=Admin;Data Source=D:\1-LAURA\9-DETALLES AÑO\OPC201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7" commandType="3"/>
  </connection>
  <connection id="2" sourceFile="D:\1-LAURA\9-DETALLES AÑO\OPC2017.accdb" keepAlive="1" name="OPC20171" type="5" refreshedVersion="6">
    <dbPr connection="Provider=Microsoft.ACE.OLEDB.12.0;User ID=Admin;Data Source=D:\1-LAURA\9-DETALLES AÑO\OPC201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7" commandType="3"/>
  </connection>
  <connection id="3" sourceFile="D:\1-LAURA\9-DETALLES AÑO\OPC2017.accdb" keepAlive="1" name="OPC20172" type="5" refreshedVersion="0">
    <dbPr connection="Provider=Microsoft.ACE.OLEDB.12.0;User ID=Admin;Data Source=D:\1-LAURA\9-DETALLES AÑO\OPC201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7" commandType="3"/>
  </connection>
  <connection id="4" sourceFile="D:\1-LAURA\9-DETALLES AÑO\OPC2018.accdb" keepAlive="1" name="OPC2018" type="5" refreshedVersion="6">
    <dbPr connection="Provider=Microsoft.ACE.OLEDB.12.0;User ID=Admin;Data Source=D:\1-LAURA\9-DETALLES AÑO\OPC2018.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8" commandType="3"/>
  </connection>
  <connection id="5" sourceFile="D:\1-LAURA\9-DETALLES AÑO\OPC2018.accdb" keepAlive="1" name="OPC20182" type="5" refreshedVersion="6">
    <dbPr connection="Provider=Microsoft.ACE.OLEDB.12.0;User ID=Admin;Data Source=D:\1-LAURA\9-DETALLES AÑO\OPC2018.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8" commandType="3"/>
  </connection>
  <connection id="6" sourceFile="D:\1-LAURA\9-DETALLES AÑO\OPC2018.accdb" keepAlive="1" name="OPC20183" type="5" refreshedVersion="6">
    <dbPr connection="Provider=Microsoft.ACE.OLEDB.12.0;User ID=Admin;Data Source=D:\1-LAURA\9-DETALLES AÑO\OPC2018.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PC2018" commandType="3"/>
  </connection>
</connections>
</file>

<file path=xl/sharedStrings.xml><?xml version="1.0" encoding="utf-8"?>
<sst xmlns="http://schemas.openxmlformats.org/spreadsheetml/2006/main" count="8460" uniqueCount="501">
  <si>
    <t>MES</t>
  </si>
  <si>
    <t>CLAUPACO</t>
  </si>
  <si>
    <t>ISABMOGO</t>
  </si>
  <si>
    <t>DERLARMO</t>
  </si>
  <si>
    <t>RAULMOGA</t>
  </si>
  <si>
    <t>ROCIFASA</t>
  </si>
  <si>
    <t>ANAMLOBE</t>
  </si>
  <si>
    <t>VIVIVAZA</t>
  </si>
  <si>
    <t>ZULYARGA</t>
  </si>
  <si>
    <t>ADRIMOLU</t>
  </si>
  <si>
    <t>MARISEAR</t>
  </si>
  <si>
    <t>ALEXLOGR</t>
  </si>
  <si>
    <t>OSCADESU</t>
  </si>
  <si>
    <t>MARGGAPA</t>
  </si>
  <si>
    <t>CAROGOCE</t>
  </si>
  <si>
    <t>MONIMEME</t>
  </si>
  <si>
    <t>MARISOCA</t>
  </si>
  <si>
    <t>MARIMASA</t>
  </si>
  <si>
    <t>ANGEGAAR</t>
  </si>
  <si>
    <t>LUZMARMO</t>
  </si>
  <si>
    <t>LILACARA</t>
  </si>
  <si>
    <t>ELIZVESU</t>
  </si>
  <si>
    <t>DIANQUME</t>
  </si>
  <si>
    <t>NATAPIDU</t>
  </si>
  <si>
    <t>MARIOCOC</t>
  </si>
  <si>
    <t>DIANPAAL</t>
  </si>
  <si>
    <t>Isabel Cristina Mora Gomez</t>
  </si>
  <si>
    <t>Raul Fernando Moreno Garzon</t>
  </si>
  <si>
    <t>Rocio Elena Fajardo Sanchez</t>
  </si>
  <si>
    <t>Monica Janeth Mejia</t>
  </si>
  <si>
    <t>NOMBRE</t>
  </si>
  <si>
    <t>USUARIO</t>
  </si>
  <si>
    <t>CEDULA</t>
  </si>
  <si>
    <t>DIANPOPA</t>
  </si>
  <si>
    <t>CLAUBLAR</t>
  </si>
  <si>
    <t>Claudia Maria Blandon Arenas</t>
  </si>
  <si>
    <t>Diana Patricia Pobre Pama</t>
  </si>
  <si>
    <t>JAQUVEGU</t>
  </si>
  <si>
    <t>LUZNHEGO</t>
  </si>
  <si>
    <t>Alexandra Maria Loaiza Grisales</t>
  </si>
  <si>
    <t>Ana Maria Lopez Bedoya</t>
  </si>
  <si>
    <t>Angela Rocio Garcia Arango</t>
  </si>
  <si>
    <t>Derly Yennifer Arteaga Moreno</t>
  </si>
  <si>
    <t>Diana Maria Palacio Alzate</t>
  </si>
  <si>
    <t>Lila Daniza Cardona Ramirez</t>
  </si>
  <si>
    <t>Luz Nidia Hernandez Gonzalez</t>
  </si>
  <si>
    <t>Margarita Maria Garcia Palacio</t>
  </si>
  <si>
    <t>Maria Eugenia Marin Sanchez</t>
  </si>
  <si>
    <t>Maria Mercedes Ocampo Ocampo</t>
  </si>
  <si>
    <t>Oscar Alonso De La Pava Suarez</t>
  </si>
  <si>
    <t>Viviana Maria Vasquez Zapata</t>
  </si>
  <si>
    <t>Zuly Johanna Aristizabal Gaviria</t>
  </si>
  <si>
    <t>Jaqueline Vera Guzman</t>
  </si>
  <si>
    <t>Maricela Serna Areiza</t>
  </si>
  <si>
    <t>ANLLLIZO</t>
  </si>
  <si>
    <t>Anlly Yulieth Lineros Zorro</t>
  </si>
  <si>
    <t>BIBIBECA</t>
  </si>
  <si>
    <t>GENNHEPO</t>
  </si>
  <si>
    <t>Carolayn Vanegas Beltran</t>
  </si>
  <si>
    <t>CAROVABE</t>
  </si>
  <si>
    <t>Genny Natalia Henao Posada</t>
  </si>
  <si>
    <t>Paula Zoraida Gomez Baena</t>
  </si>
  <si>
    <t>PAULGOBA</t>
  </si>
  <si>
    <t>MARISLAC</t>
  </si>
  <si>
    <t>LEIDGOVI</t>
  </si>
  <si>
    <t>Maria Gladys Saldaña Acero</t>
  </si>
  <si>
    <t>ALVAOSOS</t>
  </si>
  <si>
    <t>LINAGUDI</t>
  </si>
  <si>
    <t>LAURECFE</t>
  </si>
  <si>
    <t>Lina Maria Guzman Diaz</t>
  </si>
  <si>
    <t>Laura Echavarria Fernandez</t>
  </si>
  <si>
    <t>Alvaro Ignacio Ospina</t>
  </si>
  <si>
    <t>RUBYHIGA</t>
  </si>
  <si>
    <t>Katherine Vanegas Beltran</t>
  </si>
  <si>
    <t>LENTES CONTACTO</t>
  </si>
  <si>
    <t>INGRESOS ASESOR</t>
  </si>
  <si>
    <t>INGRESO   GLOBAL</t>
  </si>
  <si>
    <t>PRESUPUESTO ASESOR</t>
  </si>
  <si>
    <t>CUMPLIMIENTO  ASESOR</t>
  </si>
  <si>
    <t>KATHVABE</t>
  </si>
  <si>
    <t>Elizabeth Velez Suaza</t>
  </si>
  <si>
    <t>ERIKSAVA</t>
  </si>
  <si>
    <t>Erika Vanessa Sanchez Valle</t>
  </si>
  <si>
    <t>ANGEROPI</t>
  </si>
  <si>
    <t>ANDRSAZA</t>
  </si>
  <si>
    <t>Angela Maria Rodriguez Pineda</t>
  </si>
  <si>
    <t>ANAMSAPV</t>
  </si>
  <si>
    <t>(en blanco)</t>
  </si>
  <si>
    <t>PAOLPACA</t>
  </si>
  <si>
    <t>GISECACA</t>
  </si>
  <si>
    <t>YENYSUPE</t>
  </si>
  <si>
    <t>HISNOSPI</t>
  </si>
  <si>
    <t>DEISCACR</t>
  </si>
  <si>
    <t>Paola Andrea Pantoja Cabezas        </t>
  </si>
  <si>
    <t xml:space="preserve">Gisell Alejandra Camacho        </t>
  </si>
  <si>
    <t>Hisnara Emely Osorio Pino</t>
  </si>
  <si>
    <t>Deisy Carolina Carmona Cardona</t>
  </si>
  <si>
    <t>Yeny Johana Suarez Perez</t>
  </si>
  <si>
    <t>MILEGIMA</t>
  </si>
  <si>
    <t>MARIREAR</t>
  </si>
  <si>
    <t>KATHCASG</t>
  </si>
  <si>
    <t>HERIRORO</t>
  </si>
  <si>
    <t>CAMIPUHE</t>
  </si>
  <si>
    <t>SUANHECO</t>
  </si>
  <si>
    <t>LILIFOVI</t>
  </si>
  <si>
    <t>Diana Catalina Quintero Medina</t>
  </si>
  <si>
    <t>Camilo Puentes Hernandez</t>
  </si>
  <si>
    <t>Lilibeth Foronda Victoria</t>
  </si>
  <si>
    <t>CINDGACU</t>
  </si>
  <si>
    <t>Cindy Vanesa Garcia Cuartas</t>
  </si>
  <si>
    <t>GISECACM</t>
  </si>
  <si>
    <t>EMMAARMA</t>
  </si>
  <si>
    <t>CA</t>
  </si>
  <si>
    <t>USERPI</t>
  </si>
  <si>
    <t>AÑO</t>
  </si>
  <si>
    <t>Suma de CUMPLIMIENTO  ASESOR</t>
  </si>
  <si>
    <t>Claudia Yaneth Palacios Corredor</t>
  </si>
  <si>
    <t>YURAUSVE</t>
  </si>
  <si>
    <t>Yurani Usuga Vergara</t>
  </si>
  <si>
    <t>DARWHERI</t>
  </si>
  <si>
    <t>ESTESESE</t>
  </si>
  <si>
    <t>YULIRIRE</t>
  </si>
  <si>
    <t>Enero</t>
  </si>
  <si>
    <t>Ferias Cali</t>
  </si>
  <si>
    <t>Ferias Empresariales Antioquia</t>
  </si>
  <si>
    <t>IPS Pto De Vista Centro</t>
  </si>
  <si>
    <t>IPS Pto De Vista Santa Bárbara</t>
  </si>
  <si>
    <t>IPS Pto De Vista San Diego</t>
  </si>
  <si>
    <t>IPS Pto De Vista Industriales</t>
  </si>
  <si>
    <t>IPS Pto De Vista Molinos</t>
  </si>
  <si>
    <t>IPS Pto De Vista Olaya</t>
  </si>
  <si>
    <t>IPS Pto De Vista Punto Clave</t>
  </si>
  <si>
    <t>IPS Pto De Vista Rionegro</t>
  </si>
  <si>
    <t>IPS Pto De Vista SSura Clle100</t>
  </si>
  <si>
    <t>IPS Pto De Vista Unicentro</t>
  </si>
  <si>
    <t>IPS Punto de Vista Bello</t>
  </si>
  <si>
    <t>IPS Punto de Vista Cali</t>
  </si>
  <si>
    <t>Optica Salud Sura Chipichape</t>
  </si>
  <si>
    <t>Febrero</t>
  </si>
  <si>
    <t>Marzo</t>
  </si>
  <si>
    <t>Abril</t>
  </si>
  <si>
    <t>Mayo</t>
  </si>
  <si>
    <t>Bibiana Bedoya Castellar</t>
  </si>
  <si>
    <t>Yuliana Maria Rios Restrepo</t>
  </si>
  <si>
    <t>Natalia Pizarro Duque</t>
  </si>
  <si>
    <t>Suanny Mileidy Hernandez Cordoba</t>
  </si>
  <si>
    <t>Leidy Johana Gomez Vinasco</t>
  </si>
  <si>
    <t>CARORICA</t>
  </si>
  <si>
    <t>Carolina Rivera Carvajal</t>
  </si>
  <si>
    <t>TATIRITR</t>
  </si>
  <si>
    <t>Tatiana Rivera Trejos</t>
  </si>
  <si>
    <t>ANAUROCA</t>
  </si>
  <si>
    <t>GISECAM</t>
  </si>
  <si>
    <t>Junio</t>
  </si>
  <si>
    <t>Herica Maria Roman</t>
  </si>
  <si>
    <t>Adriana Lucia Mosquera Lujan</t>
  </si>
  <si>
    <t>Andrea Del Pilar Sanchez Zarabanda</t>
  </si>
  <si>
    <t>Julio</t>
  </si>
  <si>
    <t>Agosto</t>
  </si>
  <si>
    <t>CLAUREME</t>
  </si>
  <si>
    <t>DIANCARD</t>
  </si>
  <si>
    <t>RAMOGAMO</t>
  </si>
  <si>
    <t>UCERQUI</t>
  </si>
  <si>
    <t>4434143186</t>
  </si>
  <si>
    <t>4434465455</t>
  </si>
  <si>
    <t>Septiembre</t>
  </si>
  <si>
    <t>CARORAMN</t>
  </si>
  <si>
    <t>Carol Cristina Ramirez Monsalve</t>
  </si>
  <si>
    <t>PAULESVE</t>
  </si>
  <si>
    <t>YANEARNA</t>
  </si>
  <si>
    <t>Yaneth Armero Navia</t>
  </si>
  <si>
    <t>DIANGUAV</t>
  </si>
  <si>
    <t>JHONMULO</t>
  </si>
  <si>
    <t>Octubre</t>
  </si>
  <si>
    <t>Aplica</t>
  </si>
  <si>
    <t>Noviembre</t>
  </si>
  <si>
    <t>MARIORRO</t>
  </si>
  <si>
    <t>YENISIGI</t>
  </si>
  <si>
    <t>4436347947</t>
  </si>
  <si>
    <t>4436379864</t>
  </si>
  <si>
    <t>PV</t>
  </si>
  <si>
    <t>NATAVAMO</t>
  </si>
  <si>
    <t>Natalia Andrea Vanegas Morales</t>
  </si>
  <si>
    <t>Yenifer Paola Sinisterra Giraldo</t>
  </si>
  <si>
    <t>ANAKBEZA</t>
  </si>
  <si>
    <t>LUCIGOAL</t>
  </si>
  <si>
    <t>NATA</t>
  </si>
  <si>
    <t>Diciembre</t>
  </si>
  <si>
    <t>Ana Karina Bernal</t>
  </si>
  <si>
    <t>ALEJVAVA</t>
  </si>
  <si>
    <t>ELIZGORE</t>
  </si>
  <si>
    <t>LOREBECR</t>
  </si>
  <si>
    <t>4437579252</t>
  </si>
  <si>
    <t>Regional</t>
  </si>
  <si>
    <t>REGIONAL</t>
  </si>
  <si>
    <t>NombreIPS</t>
  </si>
  <si>
    <t>Antioquia</t>
  </si>
  <si>
    <t>IPS Almacentro</t>
  </si>
  <si>
    <t>IPS Centro</t>
  </si>
  <si>
    <t>IPS Cordoba</t>
  </si>
  <si>
    <t>IPS Molinos</t>
  </si>
  <si>
    <t>IPS Monterrey</t>
  </si>
  <si>
    <t>IPS Rionegro</t>
  </si>
  <si>
    <t>IPS Saludsura Industriales</t>
  </si>
  <si>
    <t>IPS Sura San Diego</t>
  </si>
  <si>
    <t>Centro</t>
  </si>
  <si>
    <t>IPS Bucaramanga</t>
  </si>
  <si>
    <t>IPS Chapinero</t>
  </si>
  <si>
    <t>IPS Sura Country</t>
  </si>
  <si>
    <t>IPS Olaya</t>
  </si>
  <si>
    <t>IPS Saludsura Calle 100</t>
  </si>
  <si>
    <t>Norte</t>
  </si>
  <si>
    <t>IPS Altos del Prado</t>
  </si>
  <si>
    <t>IPS Boston</t>
  </si>
  <si>
    <t>IPS Murillo</t>
  </si>
  <si>
    <t>Occidente</t>
  </si>
  <si>
    <t>IPS La Flora</t>
  </si>
  <si>
    <t>IPS Paso Ancho</t>
  </si>
  <si>
    <t>IPS Salud Sura Chipichape</t>
  </si>
  <si>
    <t>Ferias Empresariales Bogota</t>
  </si>
  <si>
    <t>IPS Saludsura Sao Paulo</t>
  </si>
  <si>
    <t>IPS Saman</t>
  </si>
  <si>
    <t>IPS Santa Rosa</t>
  </si>
  <si>
    <t>IPS Montelibano</t>
  </si>
  <si>
    <t>IPS Aguacatala</t>
  </si>
  <si>
    <t>IPS Codensa</t>
  </si>
  <si>
    <t>IPS Avance Las Americas</t>
  </si>
  <si>
    <t>IPS San Fernando</t>
  </si>
  <si>
    <t>IPS Manizales</t>
  </si>
  <si>
    <t>IPS Refineria Cartagena</t>
  </si>
  <si>
    <t>IPS Itagüí</t>
  </si>
  <si>
    <t>IPS Chico</t>
  </si>
  <si>
    <t>IPS Central de Especialistas</t>
  </si>
  <si>
    <t>IPS Buga</t>
  </si>
  <si>
    <t>Año/Mes</t>
  </si>
  <si>
    <t>NOREARMA</t>
  </si>
  <si>
    <t>Norely Del Socorro Aristizabal Martinez</t>
  </si>
  <si>
    <t>MONIARGI</t>
  </si>
  <si>
    <t>Monica Arango Giraldo</t>
  </si>
  <si>
    <t>NATVAMO</t>
  </si>
  <si>
    <t>PAOLPCA</t>
  </si>
  <si>
    <t>4438276293</t>
  </si>
  <si>
    <t>4438231734</t>
  </si>
  <si>
    <t>4438680224</t>
  </si>
  <si>
    <t>4438700803</t>
  </si>
  <si>
    <t>4438736383</t>
  </si>
  <si>
    <t>IPSA</t>
  </si>
  <si>
    <t>4439143358</t>
  </si>
  <si>
    <t>FECHADE INGRESO</t>
  </si>
  <si>
    <t>ANGISEBR</t>
  </si>
  <si>
    <t>4439726892</t>
  </si>
  <si>
    <t>4440570474</t>
  </si>
  <si>
    <t>Punto de Vista Cali Norte</t>
  </si>
  <si>
    <t>Lorena Bernal Cruz</t>
  </si>
  <si>
    <t>MONILOSA</t>
  </si>
  <si>
    <t>Monica Lopez Salamanca</t>
  </si>
  <si>
    <t>Angie Serna Brand</t>
  </si>
  <si>
    <t>ANGIANPI</t>
  </si>
  <si>
    <t>HEIDVAVI</t>
  </si>
  <si>
    <t>LEIDCAOR</t>
  </si>
  <si>
    <t>Leidy Yasmin Carmona Orrego</t>
  </si>
  <si>
    <t>LEIDPAPA</t>
  </si>
  <si>
    <t>Heidy Johanna Valencia Villamarin</t>
  </si>
  <si>
    <t>JENNLORA</t>
  </si>
  <si>
    <t>LEIDMARA</t>
  </si>
  <si>
    <t>SANDCAAC</t>
  </si>
  <si>
    <t>VANELOBE</t>
  </si>
  <si>
    <t>Vanesa Lopez Bermudez</t>
  </si>
  <si>
    <t>Sandra Patricia Castrillon Acevedo</t>
  </si>
  <si>
    <t>MARIHIRO</t>
  </si>
  <si>
    <t>Si</t>
  </si>
  <si>
    <t>Leidy Parra Madrid</t>
  </si>
  <si>
    <t>MARLJAGI</t>
  </si>
  <si>
    <t>LEYDBADI</t>
  </si>
  <si>
    <t>Observación</t>
  </si>
  <si>
    <t>DANYLESE</t>
  </si>
  <si>
    <t>MILEQUOL</t>
  </si>
  <si>
    <t>Dias
Hábiles</t>
  </si>
  <si>
    <t>N° Monturas</t>
  </si>
  <si>
    <t>$ Monturas</t>
  </si>
  <si>
    <t>N° Lent. Oft. Esp.</t>
  </si>
  <si>
    <t>$ Lent. Oft. Esp.</t>
  </si>
  <si>
    <t>N° Aux.Lent.Pos</t>
  </si>
  <si>
    <t>$ Aux.Lent.Pos</t>
  </si>
  <si>
    <t>MARIGOOR</t>
  </si>
  <si>
    <t>Maria Isabel Gomez Ortega</t>
  </si>
  <si>
    <t>Milena Caterine Quintero Olarte</t>
  </si>
  <si>
    <t>Dany David Leon Serrato</t>
  </si>
  <si>
    <t>ASTRTAAR</t>
  </si>
  <si>
    <t>Astrid Del Carmen Taborda</t>
  </si>
  <si>
    <t>LIZEGASA</t>
  </si>
  <si>
    <t>Lizeth Milena Garcia Sanmartin</t>
  </si>
  <si>
    <t>VIVIRUAL</t>
  </si>
  <si>
    <t>Viviana Marcela Ruiz</t>
  </si>
  <si>
    <t>ALEJIRRA</t>
  </si>
  <si>
    <t>CHRIVERO</t>
  </si>
  <si>
    <t>LISERARA</t>
  </si>
  <si>
    <t>AURACAMO</t>
  </si>
  <si>
    <t>JOSEVAPR</t>
  </si>
  <si>
    <t>MAKEBEVA</t>
  </si>
  <si>
    <t>IPS Punto de Vista Mayorca</t>
  </si>
  <si>
    <t>Punto de Vista Tequendama</t>
  </si>
  <si>
    <t>Christian Alberto Vergara Romero</t>
  </si>
  <si>
    <t>Aura Maria Castro Motato</t>
  </si>
  <si>
    <t>Makerlyn Alexa Bermudez Valderrama</t>
  </si>
  <si>
    <t>SANDRIVI</t>
  </si>
  <si>
    <t>JHONLOCR</t>
  </si>
  <si>
    <t>ALEXDERI</t>
  </si>
  <si>
    <t>JUANVALN</t>
  </si>
  <si>
    <t>Juan Esteban Vasquez Londoño</t>
  </si>
  <si>
    <t>Jose Miguel Valderruten Perez</t>
  </si>
  <si>
    <t>No</t>
  </si>
  <si>
    <t>DORYMOCR</t>
  </si>
  <si>
    <t>ESTEAREC</t>
  </si>
  <si>
    <t/>
  </si>
  <si>
    <t xml:space="preserve">%Cumplimiento </t>
  </si>
  <si>
    <t>VACACIONES</t>
  </si>
  <si>
    <t>Inicio Vacaciones</t>
  </si>
  <si>
    <t>NO</t>
  </si>
  <si>
    <t>Regreso Vacaciones</t>
  </si>
  <si>
    <t>CINDALVA</t>
  </si>
  <si>
    <t>XIOMMERO</t>
  </si>
  <si>
    <t>Cumple</t>
  </si>
  <si>
    <t>Fluctúa</t>
  </si>
  <si>
    <t>Siempre Cumple</t>
  </si>
  <si>
    <t>No Cumple</t>
  </si>
  <si>
    <t>ALCIPANA</t>
  </si>
  <si>
    <t>Alcibiades Manuel Padilla Navarro</t>
  </si>
  <si>
    <t>ALEXROBR</t>
  </si>
  <si>
    <t>Actualizado a Febrero 2019</t>
  </si>
  <si>
    <t>Aplica 2019</t>
  </si>
  <si>
    <t>Mariana Higuita Rojas</t>
  </si>
  <si>
    <t>ACCESORIOS MIPRES TUTELAS ARL LC</t>
  </si>
  <si>
    <t>AUX.PBS MIPRES TUTELAS ATEP</t>
  </si>
  <si>
    <t>Punto de Vista</t>
  </si>
  <si>
    <t>Mes</t>
  </si>
  <si>
    <t>Numero</t>
  </si>
  <si>
    <t>N° Mes</t>
  </si>
  <si>
    <t>2018 SEP</t>
  </si>
  <si>
    <t>2018 OCT</t>
  </si>
  <si>
    <t>2018 NOV</t>
  </si>
  <si>
    <t>2018 DIC</t>
  </si>
  <si>
    <t>2019 ENE</t>
  </si>
  <si>
    <t>2019 FEB</t>
  </si>
  <si>
    <t>Suma de INGRESOS ASESOR</t>
  </si>
  <si>
    <t>Suma de PRESUPUESTO ASESOR</t>
  </si>
  <si>
    <t>T.Cumpl</t>
  </si>
  <si>
    <t>N°</t>
  </si>
  <si>
    <t>Año</t>
  </si>
  <si>
    <t>Sede</t>
  </si>
  <si>
    <t>Num Profesionales</t>
  </si>
  <si>
    <t>S-Productividad</t>
  </si>
  <si>
    <t>S-Ppto Asesor</t>
  </si>
  <si>
    <t>Ppto Complement. Sede</t>
  </si>
  <si>
    <t>Ppto Sede Total</t>
  </si>
  <si>
    <t>Efectividad</t>
  </si>
  <si>
    <t>Ppto Complement. Mes</t>
  </si>
  <si>
    <t>All</t>
  </si>
  <si>
    <t>Presupuesto Mes Asesor</t>
  </si>
  <si>
    <t>Presupuesto Día Asesor</t>
  </si>
  <si>
    <t>Presupuesto Hora Asesor</t>
  </si>
  <si>
    <t>Ppto Complementario Año</t>
  </si>
  <si>
    <t>Ppto Total Año</t>
  </si>
  <si>
    <t>Cantidad Asesores</t>
  </si>
  <si>
    <t>Total</t>
  </si>
  <si>
    <t>Día</t>
  </si>
  <si>
    <t>Hora</t>
  </si>
  <si>
    <t>Monturas</t>
  </si>
  <si>
    <t>Valor</t>
  </si>
  <si>
    <t>Cantidad</t>
  </si>
  <si>
    <t>Prom.Venta</t>
  </si>
  <si>
    <t>Lentes</t>
  </si>
  <si>
    <t>Aux.PBS</t>
  </si>
  <si>
    <t>Suma de N° Monturas</t>
  </si>
  <si>
    <t>Suma de $ Monturas</t>
  </si>
  <si>
    <t>Suma de N° Lent. Oft. Esp.</t>
  </si>
  <si>
    <t>Suma de $ Lent. Oft. Esp.</t>
  </si>
  <si>
    <t>Suma de N° Aux.Lent.Pos</t>
  </si>
  <si>
    <t>Suma de $ Aux.Lent.Pos</t>
  </si>
  <si>
    <t>Para Cumplir ppto 2019</t>
  </si>
  <si>
    <t>Valor. 2019</t>
  </si>
  <si>
    <t>Valor. Actual</t>
  </si>
  <si>
    <t>Cant. Actual</t>
  </si>
  <si>
    <t>Adicional</t>
  </si>
  <si>
    <t>Prom. Venta</t>
  </si>
  <si>
    <t>Lent+Mont</t>
  </si>
  <si>
    <t>Asesor</t>
  </si>
  <si>
    <t>Nacional</t>
  </si>
  <si>
    <t>Monturas %</t>
  </si>
  <si>
    <t>Lentes %</t>
  </si>
  <si>
    <t>2018 ABR</t>
  </si>
  <si>
    <t>2018 MAY</t>
  </si>
  <si>
    <t>2018 JUN</t>
  </si>
  <si>
    <t>2018 JUL</t>
  </si>
  <si>
    <t>2018 AGO</t>
  </si>
  <si>
    <t>Para Cumplir ppto 2019 Manteniendo promedio actual</t>
  </si>
  <si>
    <t>Este cuadro fue diseñado para identificar cuantas monturas y lentes debe vender adicional un asesor que hoy vende lo presupuestado para el año 2019 manteniendo su promedio de ventas y la sobreejecución actual.</t>
  </si>
  <si>
    <t>Monturas Mes</t>
  </si>
  <si>
    <t>Alta</t>
  </si>
  <si>
    <t>Media</t>
  </si>
  <si>
    <t>Baja</t>
  </si>
  <si>
    <t>Cumplir 2019</t>
  </si>
  <si>
    <t>Lentes Mes (Mejorar Prom Venta)</t>
  </si>
  <si>
    <t>Cant.Prom</t>
  </si>
  <si>
    <t>Valor.Prom</t>
  </si>
  <si>
    <t>Monturas + Lentes</t>
  </si>
  <si>
    <t>Venta x Día</t>
  </si>
  <si>
    <t>ADULTO</t>
  </si>
  <si>
    <t>Lumin</t>
  </si>
  <si>
    <t>Bifocal Antireflejo</t>
  </si>
  <si>
    <t>Lente</t>
  </si>
  <si>
    <t>Montura</t>
  </si>
  <si>
    <t>Total Día</t>
  </si>
  <si>
    <t>NIÑO</t>
  </si>
  <si>
    <t>Poli Blue Protect</t>
  </si>
  <si>
    <t>Futurex G3</t>
  </si>
  <si>
    <t>Unidades Diarias</t>
  </si>
  <si>
    <t>Ingreso Mes</t>
  </si>
  <si>
    <t>Estrategia x Prom</t>
  </si>
  <si>
    <t>Ppto 2019</t>
  </si>
  <si>
    <t>Cant. 2019</t>
  </si>
  <si>
    <t>Cant. Adicional</t>
  </si>
  <si>
    <t>RETO: llegar al 6%</t>
  </si>
  <si>
    <t>%</t>
  </si>
  <si>
    <t>Cumplir Reto</t>
  </si>
  <si>
    <t>Prom. Montura</t>
  </si>
  <si>
    <t>Prom. Par de Lentes</t>
  </si>
  <si>
    <t>Reto</t>
  </si>
  <si>
    <t>Cant. Reto</t>
  </si>
  <si>
    <t>Ingreso</t>
  </si>
  <si>
    <t>Total general</t>
  </si>
  <si>
    <t>ASESOR</t>
  </si>
  <si>
    <t>MES/AÑO</t>
  </si>
  <si>
    <t>SEGUIMIENTO A</t>
  </si>
  <si>
    <t>Crecimiento</t>
  </si>
  <si>
    <t>Tipo</t>
  </si>
  <si>
    <t>TIPO</t>
  </si>
  <si>
    <t>PROMEDIO POR</t>
  </si>
  <si>
    <t>PROMEDIO</t>
  </si>
  <si>
    <t>DIA</t>
  </si>
  <si>
    <t>HORA</t>
  </si>
  <si>
    <t>CANTIDAD</t>
  </si>
  <si>
    <t>VALOR</t>
  </si>
  <si>
    <t>Alex Giovanni Rodriguez Barrantes</t>
  </si>
  <si>
    <t>JENIRURE</t>
  </si>
  <si>
    <t>JENNGABE</t>
  </si>
  <si>
    <t>PUNTO DE VISTA</t>
  </si>
  <si>
    <t>VENTAS</t>
  </si>
  <si>
    <t>PPTO MES</t>
  </si>
  <si>
    <t>CUMPLIMIENTO</t>
  </si>
  <si>
    <t>META A LA FECHA</t>
  </si>
  <si>
    <t>SOBRE/SUB-EJECUCION</t>
  </si>
  <si>
    <t>2019 MAR</t>
  </si>
  <si>
    <t>MONTURAS</t>
  </si>
  <si>
    <t>LENTES</t>
  </si>
  <si>
    <t>MONTURAS + LENTES</t>
  </si>
  <si>
    <t>CORTE</t>
  </si>
  <si>
    <t>TOTAL</t>
  </si>
  <si>
    <t>CRECIMIENTO</t>
  </si>
  <si>
    <t>PROMEDIO MES ÚLTIMOS 12 MESES - AÑO MÓVIL</t>
  </si>
  <si>
    <t>COMPOSICIÓN
NACIONAL</t>
  </si>
  <si>
    <t>Ingreso Complementario</t>
  </si>
  <si>
    <t>Nombre Asesor</t>
  </si>
  <si>
    <t>Etiquetas de fila</t>
  </si>
  <si>
    <t>Etiquetas de columna</t>
  </si>
  <si>
    <t>NUEVO</t>
  </si>
  <si>
    <t>RETIRADO</t>
  </si>
  <si>
    <t>TOTAL ACTIVOS</t>
  </si>
  <si>
    <t>ANTIGUO</t>
  </si>
  <si>
    <t>RESUMEN</t>
  </si>
  <si>
    <t>2019 Marzo</t>
  </si>
  <si>
    <t>2019 Febrero</t>
  </si>
  <si>
    <t>2019 Enero</t>
  </si>
  <si>
    <t>2018 Diciembre</t>
  </si>
  <si>
    <t>2018 Noviembre</t>
  </si>
  <si>
    <t>ADRIESAN</t>
  </si>
  <si>
    <t>Adriana Espitia Anaya</t>
  </si>
  <si>
    <t>Luz Marina Ardila Moreno</t>
  </si>
  <si>
    <t>Maria Eugenia Soto Castaño</t>
  </si>
  <si>
    <t>ROSAVEGI</t>
  </si>
  <si>
    <t>Rosa Cristina Vega</t>
  </si>
  <si>
    <t>Adriana  Espitia Anaya</t>
  </si>
  <si>
    <t>ASTRGAAC</t>
  </si>
  <si>
    <t>Ruby Alexandra Hinestroza Garcia</t>
  </si>
  <si>
    <t>ASESORES CON PRESUPUESTO</t>
  </si>
  <si>
    <t>AÑO MÓVIL</t>
  </si>
  <si>
    <t>COMPOSICIÓN ASESOR</t>
  </si>
  <si>
    <t>COMPOSICIÓN</t>
  </si>
  <si>
    <t>PROMEDIO
VENTAS</t>
  </si>
  <si>
    <t>RESUMEN INFORMACIÓN AÑO COMPLETO</t>
  </si>
  <si>
    <t>Efectividad actualizada a marzo</t>
  </si>
  <si>
    <t>MONT + LENT</t>
  </si>
  <si>
    <t>TICKET</t>
  </si>
  <si>
    <t>RESUMEN COMPORTAMIENTO VENTAS DE MONTURAS TRIMESTRE</t>
  </si>
  <si>
    <t>INGRESO</t>
  </si>
  <si>
    <t>PROM. TRIMESTRE</t>
  </si>
  <si>
    <t>META VENTA DE MONTURAS TRIMESTRE</t>
  </si>
  <si>
    <t>RETO DEL 5%</t>
  </si>
  <si>
    <t>CANTIDAD ADICIONAL</t>
  </si>
  <si>
    <t>RETO DEL 10%</t>
  </si>
  <si>
    <t>CANTIDAD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</si>
</sst>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_(* #,##0_);_(* \(#,##0\);_(* &quot;-&quot;??_);_(@_)"/>
    <numFmt numFmtId="165" formatCode="0.0%"/>
    <numFmt numFmtId="166" formatCode="dd/mm/yyyy;@"/>
    <numFmt numFmtId="167" formatCode="#,##0.0"/>
    <numFmt numFmtId="168" formatCode="_(&quot;$&quot;\ * #,##0_);_(&quot;$&quot;\ * \(#,##0\);_(&quot;$&quot;\ * &quot;-&quot;??_);_(@_)"/>
    <numFmt numFmtId="169" formatCode="0.000%"/>
  </numFmts>
  <fonts count="38" x14ac:knownFonts="1">
    <font>
      <sz val="11"/>
      <color theme="1"/>
      <name val="Calibri"/>
      <family val="2"/>
      <scheme val="minor"/>
    </font>
    <font>
      <sz val="11"/>
      <color theme="1"/>
      <name val="Calibri"/>
      <family val="2"/>
      <scheme val="minor"/>
    </font>
    <font>
      <b/>
      <sz val="9"/>
      <color theme="0"/>
      <name val="Calibri"/>
      <family val="2"/>
      <scheme val="minor"/>
    </font>
    <font>
      <b/>
      <sz val="9"/>
      <color theme="3" tint="-0.249977111117893"/>
      <name val="Calibri"/>
      <family val="2"/>
      <scheme val="minor"/>
    </font>
    <font>
      <sz val="10"/>
      <name val="Arial"/>
      <family val="2"/>
    </font>
    <font>
      <sz val="9"/>
      <color indexed="81"/>
      <name val="Tahoma"/>
      <family val="2"/>
    </font>
    <font>
      <b/>
      <sz val="9"/>
      <color indexed="81"/>
      <name val="Tahoma"/>
      <family val="2"/>
    </font>
    <font>
      <b/>
      <sz val="9"/>
      <color rgb="FFFF0000"/>
      <name val="Calibri"/>
      <family val="2"/>
      <scheme val="minor"/>
    </font>
    <font>
      <b/>
      <sz val="11"/>
      <color theme="1"/>
      <name val="Calibri"/>
      <family val="2"/>
      <scheme val="minor"/>
    </font>
    <font>
      <b/>
      <sz val="10"/>
      <color theme="1"/>
      <name val="Calibri"/>
      <family val="2"/>
      <scheme val="minor"/>
    </font>
    <font>
      <b/>
      <sz val="10"/>
      <color theme="0"/>
      <name val="Calibri"/>
      <family val="2"/>
      <scheme val="minor"/>
    </font>
    <font>
      <b/>
      <sz val="10"/>
      <color rgb="FF006666"/>
      <name val="Calibri"/>
      <family val="2"/>
      <scheme val="minor"/>
    </font>
    <font>
      <sz val="10"/>
      <color theme="1"/>
      <name val="Calibri"/>
      <family val="2"/>
      <scheme val="minor"/>
    </font>
    <font>
      <b/>
      <sz val="10"/>
      <color theme="3" tint="-0.249977111117893"/>
      <name val="Calibri"/>
      <family val="2"/>
      <scheme val="minor"/>
    </font>
    <font>
      <b/>
      <sz val="10"/>
      <color theme="0" tint="-0.34998626667073579"/>
      <name val="Calibri"/>
      <family val="2"/>
      <scheme val="minor"/>
    </font>
    <font>
      <sz val="10"/>
      <color theme="3" tint="-0.249977111117893"/>
      <name val="Calibri"/>
      <family val="2"/>
      <scheme val="minor"/>
    </font>
    <font>
      <b/>
      <sz val="10"/>
      <color rgb="FFFF0000"/>
      <name val="Calibri"/>
      <family val="2"/>
      <scheme val="minor"/>
    </font>
    <font>
      <b/>
      <sz val="10"/>
      <color rgb="FFC00000"/>
      <name val="Calibri"/>
      <family val="2"/>
      <scheme val="minor"/>
    </font>
    <font>
      <sz val="10"/>
      <color rgb="FF000000"/>
      <name val="Arial"/>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tint="0.34998626667073579"/>
      <name val="Calibri"/>
      <family val="2"/>
      <scheme val="minor"/>
    </font>
    <font>
      <b/>
      <sz val="11"/>
      <name val="Calibri"/>
      <family val="2"/>
      <scheme val="minor"/>
    </font>
    <font>
      <sz val="11"/>
      <color theme="1" tint="0.499984740745262"/>
      <name val="Calibri"/>
      <family val="2"/>
      <scheme val="minor"/>
    </font>
    <font>
      <b/>
      <u/>
      <sz val="11"/>
      <color rgb="FF00B050"/>
      <name val="Calibri"/>
      <family val="2"/>
      <scheme val="minor"/>
    </font>
    <font>
      <b/>
      <sz val="11"/>
      <color rgb="FF00B050"/>
      <name val="Calibri"/>
      <family val="2"/>
      <scheme val="minor"/>
    </font>
    <font>
      <b/>
      <sz val="18"/>
      <color theme="4" tint="-0.249977111117893"/>
      <name val="Calibri"/>
      <family val="2"/>
      <scheme val="minor"/>
    </font>
    <font>
      <sz val="10"/>
      <color rgb="FF1F497D"/>
      <name val="Calibri"/>
      <family val="2"/>
      <scheme val="minor"/>
    </font>
    <font>
      <b/>
      <sz val="11"/>
      <color theme="1" tint="0.499984740745262"/>
      <name val="Calibri"/>
      <family val="2"/>
      <scheme val="minor"/>
    </font>
    <font>
      <b/>
      <sz val="11"/>
      <color rgb="FF006666"/>
      <name val="Calibri"/>
      <family val="2"/>
      <scheme val="minor"/>
    </font>
    <font>
      <b/>
      <sz val="12"/>
      <color rgb="FF006666"/>
      <name val="Calibri"/>
      <family val="2"/>
      <scheme val="minor"/>
    </font>
    <font>
      <b/>
      <sz val="12"/>
      <color theme="1" tint="0.34998626667073579"/>
      <name val="Calibri"/>
      <family val="2"/>
      <scheme val="minor"/>
    </font>
    <font>
      <b/>
      <sz val="12"/>
      <color theme="0"/>
      <name val="Calibri"/>
      <family val="2"/>
      <scheme val="minor"/>
    </font>
    <font>
      <b/>
      <sz val="11"/>
      <color rgb="FFC00000"/>
      <name val="Calibri"/>
      <family val="2"/>
      <scheme val="minor"/>
    </font>
    <font>
      <b/>
      <sz val="11"/>
      <color rgb="FF009999"/>
      <name val="Calibri"/>
      <family val="2"/>
      <scheme val="minor"/>
    </font>
    <font>
      <b/>
      <sz val="11"/>
      <color theme="2" tint="-0.499984740745262"/>
      <name val="Calibri"/>
      <family val="2"/>
      <scheme val="minor"/>
    </font>
    <font>
      <b/>
      <u val="singleAccounting"/>
      <sz val="11"/>
      <color rgb="FF006666"/>
      <name val="Calibri"/>
      <family val="2"/>
      <scheme val="minor"/>
    </font>
  </fonts>
  <fills count="27">
    <fill>
      <patternFill patternType="none"/>
    </fill>
    <fill>
      <patternFill patternType="gray125"/>
    </fill>
    <fill>
      <patternFill patternType="solid">
        <fgColor rgb="FF00666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
      <patternFill patternType="solid">
        <fgColor rgb="FFFFFF00"/>
        <bgColor indexed="64"/>
      </patternFill>
    </fill>
    <fill>
      <patternFill patternType="solid">
        <fgColor rgb="FF0070C0"/>
        <bgColor indexed="64"/>
      </patternFill>
    </fill>
    <fill>
      <patternFill patternType="solid">
        <fgColor theme="9" tint="-0.249977111117893"/>
        <bgColor indexed="64"/>
      </patternFill>
    </fill>
    <fill>
      <patternFill patternType="solid">
        <fgColor theme="9" tint="-0.249977111117893"/>
        <bgColor theme="4" tint="0.79998168889431442"/>
      </patternFill>
    </fill>
    <fill>
      <patternFill patternType="solid">
        <fgColor theme="0" tint="-0.34998626667073579"/>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009999"/>
        <bgColor indexed="64"/>
      </patternFill>
    </fill>
    <fill>
      <patternFill patternType="solid">
        <fgColor theme="4" tint="-0.249977111117893"/>
        <bgColor theme="4"/>
      </patternFill>
    </fill>
    <fill>
      <patternFill patternType="solid">
        <fgColor theme="8" tint="-0.249977111117893"/>
        <bgColor theme="4"/>
      </patternFill>
    </fill>
    <fill>
      <patternFill patternType="solid">
        <fgColor rgb="FF2EB1C5"/>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theme="0"/>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cellStyleXfs>
  <cellXfs count="452">
    <xf numFmtId="0" fontId="0" fillId="0" borderId="0" xfId="0"/>
    <xf numFmtId="0" fontId="3" fillId="3" borderId="0" xfId="1" applyNumberFormat="1" applyFont="1" applyFill="1" applyBorder="1" applyAlignment="1">
      <alignment horizontal="left"/>
    </xf>
    <xf numFmtId="0" fontId="0" fillId="0" borderId="0" xfId="0" applyAlignment="1">
      <alignment vertical="center"/>
    </xf>
    <xf numFmtId="0" fontId="0" fillId="0" borderId="0" xfId="0" applyAlignment="1">
      <alignment horizontal="center" vertical="center"/>
    </xf>
    <xf numFmtId="0" fontId="3" fillId="3" borderId="0" xfId="1" applyNumberFormat="1" applyFont="1" applyFill="1" applyBorder="1" applyAlignment="1">
      <alignment horizontal="center"/>
    </xf>
    <xf numFmtId="0" fontId="2" fillId="2" borderId="0" xfId="0" quotePrefix="1" applyNumberFormat="1" applyFont="1" applyFill="1" applyBorder="1" applyAlignment="1">
      <alignment horizontal="center" vertical="center" wrapText="1"/>
    </xf>
    <xf numFmtId="0" fontId="0" fillId="0" borderId="0" xfId="0" pivotButton="1" applyAlignment="1">
      <alignment vertical="center"/>
    </xf>
    <xf numFmtId="165" fontId="0" fillId="0" borderId="0" xfId="2" applyNumberFormat="1" applyFont="1" applyAlignment="1">
      <alignment vertical="center"/>
    </xf>
    <xf numFmtId="0" fontId="0" fillId="0" borderId="0" xfId="0" applyAlignment="1">
      <alignment horizontal="left" vertical="center"/>
    </xf>
    <xf numFmtId="0" fontId="8" fillId="7" borderId="0" xfId="0" applyFont="1" applyFill="1" applyAlignment="1">
      <alignment horizontal="center" vertical="center"/>
    </xf>
    <xf numFmtId="165" fontId="0" fillId="0" borderId="0" xfId="0" applyNumberFormat="1" applyAlignment="1">
      <alignment vertical="center"/>
    </xf>
    <xf numFmtId="0" fontId="9" fillId="7" borderId="0" xfId="0" applyFont="1" applyFill="1" applyAlignment="1">
      <alignment horizontal="center" vertical="center"/>
    </xf>
    <xf numFmtId="3" fontId="0" fillId="9" borderId="0" xfId="0" applyNumberFormat="1" applyFill="1" applyAlignment="1">
      <alignment horizontal="center" vertical="center"/>
    </xf>
    <xf numFmtId="0" fontId="10" fillId="2" borderId="0" xfId="0" quotePrefix="1" applyNumberFormat="1" applyFont="1" applyFill="1" applyBorder="1" applyAlignment="1">
      <alignment horizontal="center" vertical="center" wrapText="1"/>
    </xf>
    <xf numFmtId="164" fontId="11" fillId="4" borderId="0" xfId="1" quotePrefix="1" applyNumberFormat="1" applyFont="1" applyFill="1" applyBorder="1" applyAlignment="1">
      <alignment horizontal="center" vertical="center" wrapText="1"/>
    </xf>
    <xf numFmtId="164" fontId="10" fillId="2" borderId="0" xfId="1" quotePrefix="1" applyNumberFormat="1" applyFont="1" applyFill="1" applyBorder="1" applyAlignment="1">
      <alignment horizontal="center" vertical="center" wrapText="1"/>
    </xf>
    <xf numFmtId="0" fontId="10" fillId="7" borderId="0" xfId="0" quotePrefix="1" applyNumberFormat="1" applyFont="1" applyFill="1" applyBorder="1" applyAlignment="1">
      <alignment horizontal="center" vertical="center" wrapText="1"/>
    </xf>
    <xf numFmtId="0" fontId="10" fillId="6" borderId="0" xfId="0" quotePrefix="1" applyNumberFormat="1" applyFont="1" applyFill="1" applyBorder="1" applyAlignment="1">
      <alignment horizontal="center" vertical="center" wrapText="1"/>
    </xf>
    <xf numFmtId="0" fontId="10" fillId="8" borderId="0" xfId="0" applyFont="1" applyFill="1" applyAlignment="1">
      <alignment vertical="center"/>
    </xf>
    <xf numFmtId="0" fontId="12" fillId="0" borderId="0" xfId="0" applyFont="1" applyAlignment="1">
      <alignment vertical="center"/>
    </xf>
    <xf numFmtId="0" fontId="13" fillId="3" borderId="0" xfId="1" applyNumberFormat="1" applyFont="1" applyFill="1" applyBorder="1" applyAlignment="1">
      <alignment horizontal="center" vertical="center"/>
    </xf>
    <xf numFmtId="0" fontId="13" fillId="3" borderId="0" xfId="1" applyNumberFormat="1" applyFont="1" applyFill="1" applyBorder="1" applyAlignment="1">
      <alignment horizontal="left" vertical="center"/>
    </xf>
    <xf numFmtId="164" fontId="14" fillId="5" borderId="0" xfId="1" applyNumberFormat="1" applyFont="1" applyFill="1" applyBorder="1" applyAlignment="1">
      <alignment horizontal="left" vertical="center"/>
    </xf>
    <xf numFmtId="164" fontId="13" fillId="3" borderId="0" xfId="1" applyNumberFormat="1" applyFont="1" applyFill="1" applyBorder="1" applyAlignment="1">
      <alignment horizontal="left" vertical="center"/>
    </xf>
    <xf numFmtId="165" fontId="13" fillId="3" borderId="0" xfId="2" applyNumberFormat="1" applyFont="1" applyFill="1" applyBorder="1" applyAlignment="1">
      <alignment horizontal="center" vertical="center"/>
    </xf>
    <xf numFmtId="165" fontId="15" fillId="9" borderId="0" xfId="2" applyNumberFormat="1" applyFont="1" applyFill="1" applyBorder="1" applyAlignment="1">
      <alignment horizontal="center" vertical="center"/>
    </xf>
    <xf numFmtId="0" fontId="12" fillId="0" borderId="0" xfId="0" applyFont="1" applyAlignment="1">
      <alignment horizontal="center" vertical="center"/>
    </xf>
    <xf numFmtId="0" fontId="15" fillId="9" borderId="0" xfId="1" applyNumberFormat="1" applyFont="1" applyFill="1" applyBorder="1" applyAlignment="1">
      <alignment horizontal="left" vertical="center"/>
    </xf>
    <xf numFmtId="0" fontId="15" fillId="0" borderId="0" xfId="1" applyNumberFormat="1" applyFont="1" applyFill="1" applyBorder="1" applyAlignment="1">
      <alignment horizontal="left" vertical="center"/>
    </xf>
    <xf numFmtId="164" fontId="16" fillId="5" borderId="0" xfId="1" applyNumberFormat="1" applyFont="1" applyFill="1" applyBorder="1" applyAlignment="1">
      <alignment horizontal="left" vertical="center"/>
    </xf>
    <xf numFmtId="0" fontId="13" fillId="3" borderId="0" xfId="1" applyNumberFormat="1" applyFont="1" applyFill="1" applyBorder="1" applyAlignment="1">
      <alignment horizontal="left"/>
    </xf>
    <xf numFmtId="164" fontId="16" fillId="5" borderId="0" xfId="1" applyNumberFormat="1" applyFont="1" applyFill="1" applyBorder="1" applyAlignment="1">
      <alignment horizontal="left"/>
    </xf>
    <xf numFmtId="164" fontId="14" fillId="5" borderId="0" xfId="1" applyNumberFormat="1" applyFont="1" applyFill="1" applyBorder="1" applyAlignment="1">
      <alignment horizontal="left"/>
    </xf>
    <xf numFmtId="164" fontId="13" fillId="3" borderId="0" xfId="1" applyNumberFormat="1" applyFont="1" applyFill="1" applyBorder="1" applyAlignment="1">
      <alignment horizontal="left"/>
    </xf>
    <xf numFmtId="165" fontId="13" fillId="3" borderId="0" xfId="2" applyNumberFormat="1" applyFont="1" applyFill="1" applyBorder="1" applyAlignment="1">
      <alignment horizontal="center"/>
    </xf>
    <xf numFmtId="164" fontId="17" fillId="5" borderId="0" xfId="1" applyNumberFormat="1" applyFont="1" applyFill="1" applyBorder="1" applyAlignment="1">
      <alignment horizontal="left"/>
    </xf>
    <xf numFmtId="164" fontId="12" fillId="0" borderId="0" xfId="1" applyNumberFormat="1" applyFont="1" applyFill="1" applyAlignment="1">
      <alignment vertical="center"/>
    </xf>
    <xf numFmtId="164" fontId="12" fillId="0" borderId="0" xfId="1" applyNumberFormat="1" applyFont="1" applyAlignment="1">
      <alignment vertical="center"/>
    </xf>
    <xf numFmtId="0" fontId="12" fillId="0" borderId="0" xfId="0" applyFont="1" applyFill="1" applyAlignment="1">
      <alignment horizontal="center" vertical="center"/>
    </xf>
    <xf numFmtId="0" fontId="13" fillId="10" borderId="0" xfId="1" applyNumberFormat="1" applyFont="1" applyFill="1" applyBorder="1" applyAlignment="1">
      <alignment horizontal="left"/>
    </xf>
    <xf numFmtId="164" fontId="14" fillId="10" borderId="0" xfId="1" applyNumberFormat="1" applyFont="1" applyFill="1" applyBorder="1" applyAlignment="1">
      <alignment horizontal="left"/>
    </xf>
    <xf numFmtId="164" fontId="13" fillId="10" borderId="0" xfId="1" applyNumberFormat="1" applyFont="1" applyFill="1" applyBorder="1" applyAlignment="1">
      <alignment horizontal="left"/>
    </xf>
    <xf numFmtId="165" fontId="13" fillId="10" borderId="0" xfId="2" applyNumberFormat="1" applyFont="1" applyFill="1" applyBorder="1" applyAlignment="1">
      <alignment horizontal="center"/>
    </xf>
    <xf numFmtId="0" fontId="12" fillId="10" borderId="0" xfId="0" applyFont="1" applyFill="1" applyAlignment="1">
      <alignment horizontal="center" vertical="center"/>
    </xf>
    <xf numFmtId="164" fontId="12" fillId="10" borderId="0" xfId="1" applyNumberFormat="1" applyFont="1" applyFill="1" applyAlignment="1">
      <alignment vertical="center"/>
    </xf>
    <xf numFmtId="0" fontId="12" fillId="10" borderId="0" xfId="0" applyFont="1" applyFill="1" applyAlignment="1">
      <alignment vertical="center"/>
    </xf>
    <xf numFmtId="164" fontId="12" fillId="0" borderId="0" xfId="1" applyNumberFormat="1" applyFont="1" applyFill="1" applyAlignment="1">
      <alignment horizontal="center" vertical="center"/>
    </xf>
    <xf numFmtId="9" fontId="0" fillId="0" borderId="0" xfId="2" applyFont="1" applyAlignment="1">
      <alignment vertical="center"/>
    </xf>
    <xf numFmtId="3" fontId="0" fillId="0" borderId="0" xfId="0" applyNumberFormat="1" applyAlignment="1">
      <alignment vertical="center"/>
    </xf>
    <xf numFmtId="9" fontId="0" fillId="9" borderId="0" xfId="2" applyFont="1" applyFill="1" applyAlignment="1">
      <alignment horizontal="center" vertical="center"/>
    </xf>
    <xf numFmtId="0" fontId="0" fillId="9" borderId="0" xfId="0" applyFill="1" applyAlignment="1">
      <alignment horizontal="center" vertical="center"/>
    </xf>
    <xf numFmtId="0" fontId="18" fillId="0" borderId="1" xfId="0" applyNumberFormat="1" applyFont="1" applyFill="1" applyBorder="1" applyAlignment="1" applyProtection="1">
      <alignment horizontal="left" vertical="center"/>
    </xf>
    <xf numFmtId="0" fontId="10" fillId="8" borderId="0" xfId="0" applyFont="1" applyFill="1" applyAlignment="1">
      <alignment horizontal="center" vertical="center" wrapText="1"/>
    </xf>
    <xf numFmtId="164" fontId="10" fillId="8" borderId="0" xfId="1" applyNumberFormat="1" applyFont="1" applyFill="1" applyAlignment="1">
      <alignment vertical="center" wrapText="1"/>
    </xf>
    <xf numFmtId="164" fontId="12" fillId="9" borderId="0" xfId="1" applyNumberFormat="1" applyFont="1" applyFill="1" applyAlignment="1">
      <alignment horizontal="center" vertical="center"/>
    </xf>
    <xf numFmtId="0" fontId="10" fillId="8" borderId="0" xfId="0" applyFont="1" applyFill="1"/>
    <xf numFmtId="0" fontId="10" fillId="8" borderId="0" xfId="0" applyFont="1" applyFill="1" applyProtection="1"/>
    <xf numFmtId="0" fontId="12" fillId="0" borderId="0" xfId="0" applyFont="1" applyFill="1" applyProtection="1"/>
    <xf numFmtId="0" fontId="12" fillId="0" borderId="0" xfId="0" applyFont="1" applyFill="1" applyAlignment="1" applyProtection="1">
      <alignment horizontal="left"/>
    </xf>
    <xf numFmtId="0" fontId="12" fillId="0" borderId="0" xfId="0" applyFont="1" applyFill="1"/>
    <xf numFmtId="0" fontId="12" fillId="0" borderId="0" xfId="0" applyFont="1"/>
    <xf numFmtId="0" fontId="0" fillId="0" borderId="0" xfId="0" pivotButton="1"/>
    <xf numFmtId="164" fontId="0" fillId="0" borderId="0" xfId="0" applyNumberFormat="1"/>
    <xf numFmtId="165" fontId="0" fillId="0" borderId="0" xfId="2" applyNumberFormat="1" applyFont="1"/>
    <xf numFmtId="0" fontId="0" fillId="0" borderId="1" xfId="0" applyBorder="1"/>
    <xf numFmtId="165" fontId="0" fillId="0" borderId="1" xfId="2" applyNumberFormat="1" applyFont="1" applyBorder="1"/>
    <xf numFmtId="0" fontId="19" fillId="11" borderId="1" xfId="0" applyFont="1" applyFill="1" applyBorder="1"/>
    <xf numFmtId="0" fontId="19" fillId="12" borderId="1" xfId="0" applyFont="1" applyFill="1" applyBorder="1"/>
    <xf numFmtId="165" fontId="19" fillId="11" borderId="1" xfId="2" applyNumberFormat="1" applyFont="1" applyFill="1" applyBorder="1"/>
    <xf numFmtId="3" fontId="0" fillId="0" borderId="0" xfId="0" applyNumberFormat="1"/>
    <xf numFmtId="0" fontId="0" fillId="0" borderId="0" xfId="0" applyFill="1"/>
    <xf numFmtId="3" fontId="0" fillId="0" borderId="0" xfId="0" applyNumberFormat="1" applyFill="1"/>
    <xf numFmtId="0" fontId="20" fillId="0" borderId="0" xfId="0" applyFont="1" applyFill="1"/>
    <xf numFmtId="3" fontId="20" fillId="0" borderId="0" xfId="0" applyNumberFormat="1" applyFont="1" applyFill="1"/>
    <xf numFmtId="3" fontId="0" fillId="9" borderId="0" xfId="0" applyNumberFormat="1" applyFill="1"/>
    <xf numFmtId="0" fontId="22" fillId="0" borderId="8" xfId="0" applyFont="1" applyBorder="1" applyAlignment="1">
      <alignment horizontal="center" vertical="center"/>
    </xf>
    <xf numFmtId="0" fontId="22" fillId="0" borderId="9" xfId="0" applyFont="1" applyBorder="1" applyAlignment="1">
      <alignment horizontal="center" vertical="center"/>
    </xf>
    <xf numFmtId="3" fontId="21" fillId="0" borderId="1" xfId="0" applyNumberFormat="1" applyFont="1" applyBorder="1" applyAlignment="1">
      <alignment horizontal="center" vertical="center"/>
    </xf>
    <xf numFmtId="3" fontId="21" fillId="0" borderId="10" xfId="0" applyNumberFormat="1" applyFont="1" applyBorder="1" applyAlignment="1">
      <alignment horizontal="center" vertical="center"/>
    </xf>
    <xf numFmtId="167" fontId="21" fillId="0" borderId="1" xfId="0" applyNumberFormat="1" applyFont="1" applyBorder="1" applyAlignment="1">
      <alignment horizontal="center" vertical="center"/>
    </xf>
    <xf numFmtId="167" fontId="21" fillId="0" borderId="10" xfId="0" applyNumberFormat="1" applyFont="1" applyBorder="1" applyAlignment="1">
      <alignment horizontal="center" vertical="center"/>
    </xf>
    <xf numFmtId="165" fontId="21" fillId="0" borderId="6" xfId="2" applyNumberFormat="1" applyFont="1" applyBorder="1" applyAlignment="1">
      <alignment horizontal="center" vertical="center"/>
    </xf>
    <xf numFmtId="167" fontId="21" fillId="13" borderId="11" xfId="0" applyNumberFormat="1" applyFont="1" applyFill="1" applyBorder="1" applyAlignment="1">
      <alignment horizontal="center" vertical="center"/>
    </xf>
    <xf numFmtId="0" fontId="22" fillId="0" borderId="13" xfId="0" applyFont="1" applyBorder="1" applyAlignment="1">
      <alignment horizontal="center" vertical="center"/>
    </xf>
    <xf numFmtId="0" fontId="22" fillId="0" borderId="14" xfId="0" applyFont="1" applyBorder="1" applyAlignment="1">
      <alignment horizontal="center" vertical="center"/>
    </xf>
    <xf numFmtId="3" fontId="21" fillId="0" borderId="16" xfId="0" applyNumberFormat="1" applyFont="1" applyBorder="1" applyAlignment="1">
      <alignment horizontal="center" vertical="center"/>
    </xf>
    <xf numFmtId="3" fontId="21" fillId="0" borderId="17" xfId="0" applyNumberFormat="1" applyFont="1" applyBorder="1" applyAlignment="1">
      <alignment horizontal="center" vertical="center"/>
    </xf>
    <xf numFmtId="0" fontId="21" fillId="0" borderId="8" xfId="0" applyFont="1" applyBorder="1" applyAlignment="1">
      <alignment vertical="center"/>
    </xf>
    <xf numFmtId="3" fontId="21" fillId="0" borderId="8" xfId="0" applyNumberFormat="1" applyFont="1" applyBorder="1" applyAlignment="1">
      <alignment horizontal="center" vertical="center"/>
    </xf>
    <xf numFmtId="3" fontId="21" fillId="0" borderId="9" xfId="0" applyNumberFormat="1" applyFont="1" applyBorder="1" applyAlignment="1">
      <alignment horizontal="center" vertical="center"/>
    </xf>
    <xf numFmtId="0" fontId="21" fillId="0" borderId="1" xfId="0" applyFont="1" applyBorder="1" applyAlignment="1">
      <alignment vertical="center"/>
    </xf>
    <xf numFmtId="0" fontId="21" fillId="0" borderId="6" xfId="0" applyFont="1" applyFill="1" applyBorder="1" applyAlignment="1">
      <alignment vertical="center"/>
    </xf>
    <xf numFmtId="0" fontId="0" fillId="9" borderId="0" xfId="0" applyFill="1"/>
    <xf numFmtId="0" fontId="22" fillId="0" borderId="1" xfId="0" applyFont="1" applyFill="1" applyBorder="1" applyAlignment="1">
      <alignment horizontal="center" vertical="center"/>
    </xf>
    <xf numFmtId="0" fontId="22" fillId="0" borderId="10" xfId="0" applyFont="1" applyFill="1" applyBorder="1" applyAlignment="1">
      <alignment horizontal="center" vertical="center"/>
    </xf>
    <xf numFmtId="3" fontId="22" fillId="0" borderId="1" xfId="0" applyNumberFormat="1" applyFont="1" applyBorder="1" applyAlignment="1">
      <alignment horizontal="center" vertical="center"/>
    </xf>
    <xf numFmtId="3" fontId="19" fillId="15" borderId="1" xfId="0" applyNumberFormat="1" applyFont="1" applyFill="1" applyBorder="1" applyAlignment="1">
      <alignment horizontal="center" vertical="center"/>
    </xf>
    <xf numFmtId="167" fontId="19" fillId="15" borderId="1" xfId="0" applyNumberFormat="1" applyFont="1" applyFill="1" applyBorder="1" applyAlignment="1">
      <alignment horizontal="center" vertical="center"/>
    </xf>
    <xf numFmtId="3" fontId="19" fillId="15" borderId="10" xfId="0" applyNumberFormat="1" applyFont="1" applyFill="1" applyBorder="1" applyAlignment="1">
      <alignment horizontal="center" vertical="center"/>
    </xf>
    <xf numFmtId="3" fontId="22" fillId="0" borderId="1" xfId="0" applyNumberFormat="1" applyFont="1" applyFill="1" applyBorder="1" applyAlignment="1">
      <alignment horizontal="center" vertical="center"/>
    </xf>
    <xf numFmtId="167" fontId="22" fillId="0" borderId="1" xfId="0" applyNumberFormat="1" applyFont="1" applyFill="1" applyBorder="1" applyAlignment="1">
      <alignment horizontal="center" vertical="center"/>
    </xf>
    <xf numFmtId="167" fontId="22" fillId="0" borderId="10" xfId="0" applyNumberFormat="1" applyFont="1" applyFill="1" applyBorder="1" applyAlignment="1">
      <alignment horizontal="center" vertical="center"/>
    </xf>
    <xf numFmtId="3" fontId="22" fillId="16" borderId="6" xfId="0" applyNumberFormat="1" applyFont="1" applyFill="1" applyBorder="1" applyAlignment="1">
      <alignment horizontal="center" vertical="center"/>
    </xf>
    <xf numFmtId="167" fontId="22" fillId="16" borderId="6" xfId="0" applyNumberFormat="1" applyFont="1" applyFill="1" applyBorder="1" applyAlignment="1">
      <alignment horizontal="center" vertical="center"/>
    </xf>
    <xf numFmtId="167" fontId="22" fillId="16" borderId="11" xfId="0" applyNumberFormat="1" applyFont="1" applyFill="1" applyBorder="1" applyAlignment="1">
      <alignment horizontal="center" vertical="center"/>
    </xf>
    <xf numFmtId="165" fontId="21" fillId="0" borderId="1" xfId="2" applyNumberFormat="1" applyFont="1" applyBorder="1" applyAlignment="1">
      <alignment horizontal="center" vertical="center"/>
    </xf>
    <xf numFmtId="165" fontId="21" fillId="0" borderId="10" xfId="0" applyNumberFormat="1" applyFont="1" applyBorder="1" applyAlignment="1">
      <alignment horizontal="center" vertical="center"/>
    </xf>
    <xf numFmtId="165" fontId="21" fillId="0" borderId="11" xfId="0" applyNumberFormat="1" applyFont="1" applyBorder="1" applyAlignment="1">
      <alignment horizontal="center" vertical="center"/>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21" fillId="0" borderId="1" xfId="0" applyFont="1" applyFill="1" applyBorder="1" applyAlignment="1">
      <alignment horizontal="center" vertical="center"/>
    </xf>
    <xf numFmtId="3" fontId="0" fillId="0" borderId="26" xfId="0" applyNumberFormat="1" applyFont="1" applyBorder="1" applyAlignment="1">
      <alignment vertical="center"/>
    </xf>
    <xf numFmtId="0" fontId="0" fillId="0" borderId="27" xfId="0" applyFont="1" applyBorder="1"/>
    <xf numFmtId="0" fontId="0" fillId="0" borderId="28" xfId="0" applyFont="1" applyFill="1" applyBorder="1"/>
    <xf numFmtId="3" fontId="0" fillId="0" borderId="29" xfId="0" applyNumberFormat="1" applyFont="1" applyBorder="1" applyAlignment="1">
      <alignment vertical="center"/>
    </xf>
    <xf numFmtId="0" fontId="22" fillId="0" borderId="30" xfId="0" applyFont="1" applyFill="1" applyBorder="1" applyAlignment="1">
      <alignment horizontal="center" vertical="center" wrapText="1"/>
    </xf>
    <xf numFmtId="0" fontId="22" fillId="0" borderId="30" xfId="0" applyFont="1" applyFill="1" applyBorder="1" applyAlignment="1">
      <alignment horizontal="center" vertical="center"/>
    </xf>
    <xf numFmtId="3" fontId="21" fillId="0" borderId="30" xfId="0" applyNumberFormat="1" applyFont="1" applyFill="1" applyBorder="1" applyAlignment="1">
      <alignment horizontal="center" vertical="center"/>
    </xf>
    <xf numFmtId="3" fontId="19" fillId="0" borderId="30" xfId="0" applyNumberFormat="1" applyFont="1" applyFill="1" applyBorder="1" applyAlignment="1">
      <alignment horizontal="center" vertical="center"/>
    </xf>
    <xf numFmtId="3" fontId="0" fillId="0" borderId="29" xfId="0" applyNumberFormat="1" applyFont="1" applyBorder="1" applyAlignment="1">
      <alignment horizontal="right" vertical="center"/>
    </xf>
    <xf numFmtId="167" fontId="22" fillId="0" borderId="30" xfId="0" applyNumberFormat="1" applyFont="1" applyFill="1" applyBorder="1" applyAlignment="1">
      <alignment horizontal="center" vertical="center"/>
    </xf>
    <xf numFmtId="0" fontId="0" fillId="0" borderId="0" xfId="0" applyFont="1" applyBorder="1"/>
    <xf numFmtId="3" fontId="0" fillId="0" borderId="0" xfId="0" applyNumberFormat="1" applyFont="1" applyBorder="1" applyAlignment="1">
      <alignment vertical="center"/>
    </xf>
    <xf numFmtId="0" fontId="0" fillId="0" borderId="30" xfId="0" applyFont="1" applyFill="1" applyBorder="1"/>
    <xf numFmtId="3" fontId="0" fillId="0" borderId="31" xfId="0" applyNumberFormat="1" applyFont="1" applyBorder="1" applyAlignment="1">
      <alignment vertical="center"/>
    </xf>
    <xf numFmtId="0" fontId="0" fillId="0" borderId="32" xfId="0" applyFont="1" applyBorder="1"/>
    <xf numFmtId="0" fontId="0" fillId="0" borderId="33" xfId="0" applyFont="1" applyFill="1" applyBorder="1"/>
    <xf numFmtId="0" fontId="0" fillId="0" borderId="26" xfId="0" applyFont="1" applyBorder="1" applyAlignment="1">
      <alignment vertical="center"/>
    </xf>
    <xf numFmtId="0" fontId="0" fillId="0" borderId="27" xfId="0" applyFont="1" applyBorder="1" applyAlignment="1">
      <alignment vertical="center"/>
    </xf>
    <xf numFmtId="0" fontId="0" fillId="0" borderId="28" xfId="0" applyFont="1" applyBorder="1"/>
    <xf numFmtId="0" fontId="0" fillId="0" borderId="29" xfId="0" applyFont="1" applyBorder="1"/>
    <xf numFmtId="0" fontId="0" fillId="0" borderId="26" xfId="0" applyFont="1" applyBorder="1"/>
    <xf numFmtId="0" fontId="0" fillId="0" borderId="30" xfId="0" applyFont="1" applyBorder="1"/>
    <xf numFmtId="0" fontId="22" fillId="0" borderId="30" xfId="0" applyFont="1" applyBorder="1" applyAlignment="1">
      <alignment horizontal="center" vertical="center"/>
    </xf>
    <xf numFmtId="0" fontId="19" fillId="18" borderId="1" xfId="0" applyFont="1" applyFill="1" applyBorder="1" applyAlignment="1">
      <alignment horizontal="center" vertical="center"/>
    </xf>
    <xf numFmtId="3" fontId="19" fillId="18" borderId="1" xfId="0" applyNumberFormat="1" applyFont="1" applyFill="1" applyBorder="1" applyAlignment="1">
      <alignment horizontal="center" vertical="center"/>
    </xf>
    <xf numFmtId="3" fontId="21" fillId="0" borderId="30" xfId="0" applyNumberFormat="1" applyFont="1" applyBorder="1" applyAlignment="1">
      <alignment horizontal="center" vertical="center"/>
    </xf>
    <xf numFmtId="0" fontId="21" fillId="0" borderId="0" xfId="0" applyFont="1" applyFill="1" applyBorder="1" applyAlignment="1">
      <alignment horizontal="center" vertical="center"/>
    </xf>
    <xf numFmtId="3" fontId="23" fillId="0" borderId="0" xfId="0" applyNumberFormat="1" applyFont="1" applyFill="1" applyBorder="1" applyAlignment="1">
      <alignment horizontal="center" vertical="center"/>
    </xf>
    <xf numFmtId="3" fontId="19" fillId="0" borderId="0" xfId="0" applyNumberFormat="1" applyFont="1" applyFill="1" applyBorder="1" applyAlignment="1">
      <alignment horizontal="center" vertical="center"/>
    </xf>
    <xf numFmtId="3" fontId="22" fillId="0" borderId="30" xfId="0" applyNumberFormat="1" applyFont="1" applyFill="1" applyBorder="1" applyAlignment="1">
      <alignment horizontal="center" vertical="center"/>
    </xf>
    <xf numFmtId="3" fontId="23" fillId="0" borderId="30" xfId="0" applyNumberFormat="1" applyFont="1" applyFill="1" applyBorder="1" applyAlignment="1">
      <alignment horizontal="center" vertical="center"/>
    </xf>
    <xf numFmtId="0" fontId="0" fillId="0" borderId="31" xfId="0" applyFont="1" applyBorder="1"/>
    <xf numFmtId="3" fontId="19" fillId="0" borderId="33" xfId="0" applyNumberFormat="1" applyFont="1" applyFill="1" applyBorder="1" applyAlignment="1">
      <alignment horizontal="center" vertical="center"/>
    </xf>
    <xf numFmtId="3" fontId="0" fillId="0" borderId="29" xfId="0" applyNumberFormat="1" applyFont="1" applyBorder="1"/>
    <xf numFmtId="3" fontId="0" fillId="0" borderId="26" xfId="0" applyNumberFormat="1" applyFont="1" applyBorder="1"/>
    <xf numFmtId="0" fontId="20" fillId="0" borderId="27" xfId="0" applyFont="1" applyBorder="1"/>
    <xf numFmtId="164" fontId="20" fillId="0" borderId="27" xfId="1" applyNumberFormat="1" applyFont="1" applyBorder="1" applyAlignment="1">
      <alignment vertical="center"/>
    </xf>
    <xf numFmtId="0" fontId="20" fillId="0" borderId="27" xfId="0" applyFont="1" applyBorder="1" applyAlignment="1">
      <alignment vertical="center"/>
    </xf>
    <xf numFmtId="0" fontId="20" fillId="0" borderId="28" xfId="0" applyFont="1" applyFill="1" applyBorder="1" applyAlignment="1">
      <alignment vertical="center"/>
    </xf>
    <xf numFmtId="0" fontId="22" fillId="0" borderId="36" xfId="0" applyFont="1" applyFill="1" applyBorder="1" applyAlignment="1">
      <alignment horizontal="center" vertical="center"/>
    </xf>
    <xf numFmtId="0" fontId="21" fillId="0" borderId="37" xfId="0" applyFont="1" applyFill="1" applyBorder="1" applyAlignment="1">
      <alignment horizontal="center" vertical="center"/>
    </xf>
    <xf numFmtId="0" fontId="0" fillId="0" borderId="0" xfId="0" applyFont="1" applyBorder="1" applyAlignment="1">
      <alignment vertical="center"/>
    </xf>
    <xf numFmtId="0" fontId="0" fillId="0" borderId="30" xfId="0" applyFont="1" applyFill="1" applyBorder="1" applyAlignment="1">
      <alignment vertical="center"/>
    </xf>
    <xf numFmtId="0" fontId="22" fillId="0" borderId="0" xfId="0" applyFont="1" applyFill="1" applyBorder="1" applyAlignment="1">
      <alignment horizontal="center" vertical="center"/>
    </xf>
    <xf numFmtId="3" fontId="19" fillId="0" borderId="32" xfId="0" applyNumberFormat="1" applyFont="1" applyFill="1" applyBorder="1" applyAlignment="1">
      <alignment horizontal="center" vertical="center"/>
    </xf>
    <xf numFmtId="3" fontId="21" fillId="0" borderId="33" xfId="0" applyNumberFormat="1" applyFont="1" applyFill="1" applyBorder="1" applyAlignment="1">
      <alignment horizontal="center" vertical="center"/>
    </xf>
    <xf numFmtId="0" fontId="0" fillId="0" borderId="29" xfId="0" applyFont="1" applyBorder="1" applyAlignment="1"/>
    <xf numFmtId="0" fontId="0" fillId="0" borderId="0" xfId="0" applyFont="1" applyBorder="1" applyAlignment="1"/>
    <xf numFmtId="0" fontId="0" fillId="0" borderId="30" xfId="0" applyFont="1" applyBorder="1" applyAlignment="1"/>
    <xf numFmtId="0" fontId="0" fillId="0" borderId="27" xfId="0" applyFont="1" applyBorder="1" applyAlignment="1">
      <alignment horizontal="center" vertical="center"/>
    </xf>
    <xf numFmtId="0" fontId="0" fillId="0" borderId="28" xfId="0" applyFont="1" applyBorder="1" applyAlignment="1">
      <alignment vertical="center"/>
    </xf>
    <xf numFmtId="0" fontId="0" fillId="0" borderId="30" xfId="0" applyFont="1" applyBorder="1" applyAlignment="1">
      <alignment vertical="center"/>
    </xf>
    <xf numFmtId="0" fontId="0" fillId="0" borderId="0" xfId="0" applyFont="1" applyBorder="1" applyAlignment="1">
      <alignment horizontal="center" vertical="center"/>
    </xf>
    <xf numFmtId="0" fontId="22" fillId="0" borderId="37" xfId="0" applyFont="1" applyFill="1" applyBorder="1" applyAlignment="1">
      <alignment horizontal="center" vertical="center"/>
    </xf>
    <xf numFmtId="0" fontId="0" fillId="0" borderId="29" xfId="0" applyFont="1" applyBorder="1" applyAlignment="1">
      <alignment horizontal="center" vertical="center"/>
    </xf>
    <xf numFmtId="0" fontId="0" fillId="0" borderId="29" xfId="0" applyFont="1" applyBorder="1" applyAlignment="1">
      <alignment vertical="center"/>
    </xf>
    <xf numFmtId="3" fontId="24" fillId="0" borderId="1" xfId="0" applyNumberFormat="1" applyFont="1" applyFill="1" applyBorder="1" applyAlignment="1">
      <alignment horizontal="center" vertical="center"/>
    </xf>
    <xf numFmtId="3" fontId="19" fillId="20" borderId="1" xfId="0" applyNumberFormat="1" applyFont="1" applyFill="1" applyBorder="1" applyAlignment="1">
      <alignment horizontal="center" vertical="center"/>
    </xf>
    <xf numFmtId="0" fontId="0" fillId="0" borderId="33" xfId="0" applyFont="1" applyBorder="1"/>
    <xf numFmtId="0" fontId="0" fillId="0" borderId="0" xfId="0" applyFont="1"/>
    <xf numFmtId="0" fontId="22" fillId="0" borderId="32" xfId="0" applyFont="1" applyFill="1" applyBorder="1" applyAlignment="1">
      <alignment horizontal="center" vertical="center"/>
    </xf>
    <xf numFmtId="3" fontId="21" fillId="0" borderId="29" xfId="0" applyNumberFormat="1" applyFont="1" applyBorder="1" applyAlignment="1">
      <alignment horizontal="center" vertical="center"/>
    </xf>
    <xf numFmtId="3" fontId="21" fillId="0" borderId="26" xfId="0" applyNumberFormat="1" applyFont="1" applyBorder="1" applyAlignment="1">
      <alignment horizontal="center" vertical="center"/>
    </xf>
    <xf numFmtId="1" fontId="20" fillId="0" borderId="27" xfId="0" applyNumberFormat="1" applyFont="1" applyBorder="1" applyAlignment="1">
      <alignment vertical="center"/>
    </xf>
    <xf numFmtId="0" fontId="20" fillId="0" borderId="30" xfId="0" applyFont="1" applyFill="1" applyBorder="1" applyAlignment="1">
      <alignment vertical="center"/>
    </xf>
    <xf numFmtId="0" fontId="0" fillId="0" borderId="0" xfId="0" applyFont="1" applyFill="1" applyBorder="1"/>
    <xf numFmtId="9" fontId="0" fillId="0" borderId="0" xfId="0" applyNumberFormat="1"/>
    <xf numFmtId="165" fontId="21" fillId="0" borderId="37" xfId="2" applyNumberFormat="1" applyFont="1" applyBorder="1" applyAlignment="1">
      <alignment horizontal="center" vertical="center"/>
    </xf>
    <xf numFmtId="165" fontId="21" fillId="0" borderId="43" xfId="0" applyNumberFormat="1" applyFont="1" applyBorder="1" applyAlignment="1">
      <alignment horizontal="center" vertical="center"/>
    </xf>
    <xf numFmtId="3" fontId="22" fillId="0" borderId="13" xfId="0" applyNumberFormat="1" applyFont="1" applyBorder="1" applyAlignment="1">
      <alignment horizontal="center" vertical="center"/>
    </xf>
    <xf numFmtId="3" fontId="22" fillId="0" borderId="14" xfId="0" applyNumberFormat="1" applyFont="1" applyBorder="1" applyAlignment="1">
      <alignment horizontal="center" vertical="center"/>
    </xf>
    <xf numFmtId="0" fontId="21" fillId="0" borderId="42" xfId="0" applyFont="1" applyBorder="1" applyAlignment="1">
      <alignment vertical="center"/>
    </xf>
    <xf numFmtId="0" fontId="21" fillId="0" borderId="38" xfId="0" applyFont="1" applyBorder="1" applyAlignment="1">
      <alignment vertical="center"/>
    </xf>
    <xf numFmtId="0" fontId="21" fillId="0" borderId="3" xfId="0" applyFont="1" applyBorder="1" applyAlignment="1">
      <alignment vertical="center"/>
    </xf>
    <xf numFmtId="10" fontId="0" fillId="0" borderId="0" xfId="2" applyNumberFormat="1" applyFont="1"/>
    <xf numFmtId="0" fontId="27" fillId="0" borderId="0" xfId="0" applyFont="1"/>
    <xf numFmtId="165" fontId="0" fillId="0" borderId="0" xfId="0" applyNumberFormat="1"/>
    <xf numFmtId="166" fontId="10" fillId="2" borderId="0" xfId="0" quotePrefix="1" applyNumberFormat="1" applyFont="1" applyFill="1" applyBorder="1" applyAlignment="1">
      <alignment horizontal="center" vertical="center" wrapText="1"/>
    </xf>
    <xf numFmtId="0" fontId="13" fillId="3" borderId="0" xfId="1" applyNumberFormat="1" applyFont="1" applyFill="1" applyBorder="1" applyAlignment="1">
      <alignment horizontal="center"/>
    </xf>
    <xf numFmtId="166" fontId="13" fillId="3" borderId="0" xfId="0" applyNumberFormat="1" applyFont="1" applyFill="1" applyAlignment="1">
      <alignment horizontal="center"/>
    </xf>
    <xf numFmtId="164" fontId="12" fillId="0" borderId="0" xfId="1" applyNumberFormat="1" applyFont="1"/>
    <xf numFmtId="0" fontId="16" fillId="3" borderId="0" xfId="1" applyNumberFormat="1" applyFont="1" applyFill="1" applyBorder="1" applyAlignment="1">
      <alignment horizontal="left"/>
    </xf>
    <xf numFmtId="0" fontId="16" fillId="3" borderId="0" xfId="1" applyNumberFormat="1" applyFont="1" applyFill="1" applyBorder="1" applyAlignment="1">
      <alignment horizontal="center"/>
    </xf>
    <xf numFmtId="166" fontId="16" fillId="3" borderId="0" xfId="0" applyNumberFormat="1" applyFont="1" applyFill="1" applyAlignment="1">
      <alignment horizontal="center"/>
    </xf>
    <xf numFmtId="0" fontId="28" fillId="0" borderId="0" xfId="0" applyFont="1" applyAlignment="1">
      <alignment horizontal="right" vertical="center"/>
    </xf>
    <xf numFmtId="0" fontId="28" fillId="0" borderId="0" xfId="0" applyFont="1" applyAlignment="1">
      <alignment vertical="center"/>
    </xf>
    <xf numFmtId="0" fontId="12" fillId="0" borderId="0" xfId="0" applyFont="1" applyAlignment="1">
      <alignment horizontal="center"/>
    </xf>
    <xf numFmtId="166" fontId="9" fillId="0" borderId="0" xfId="0" applyNumberFormat="1" applyFont="1" applyAlignment="1">
      <alignment horizontal="center"/>
    </xf>
    <xf numFmtId="164" fontId="17" fillId="5" borderId="0" xfId="1" applyNumberFormat="1" applyFont="1" applyFill="1" applyBorder="1" applyAlignment="1">
      <alignment horizontal="left" vertical="center"/>
    </xf>
    <xf numFmtId="0" fontId="2" fillId="2" borderId="44" xfId="0" quotePrefix="1" applyNumberFormat="1" applyFont="1" applyFill="1" applyBorder="1" applyAlignment="1">
      <alignment horizontal="center" vertical="center" wrapText="1"/>
    </xf>
    <xf numFmtId="165" fontId="2" fillId="2" borderId="44" xfId="2" quotePrefix="1" applyNumberFormat="1" applyFont="1" applyFill="1" applyBorder="1" applyAlignment="1">
      <alignment horizontal="center" vertical="center" wrapText="1"/>
    </xf>
    <xf numFmtId="164" fontId="3" fillId="3" borderId="44" xfId="1" applyNumberFormat="1" applyFont="1" applyFill="1" applyBorder="1" applyAlignment="1">
      <alignment horizontal="left"/>
    </xf>
    <xf numFmtId="164" fontId="3" fillId="3" borderId="44" xfId="1" applyNumberFormat="1" applyFont="1" applyFill="1" applyBorder="1" applyAlignment="1">
      <alignment horizontal="center"/>
    </xf>
    <xf numFmtId="165" fontId="3" fillId="3" borderId="44" xfId="2" applyNumberFormat="1" applyFont="1" applyFill="1" applyBorder="1" applyAlignment="1">
      <alignment horizontal="center"/>
    </xf>
    <xf numFmtId="164" fontId="2" fillId="2" borderId="44" xfId="1" quotePrefix="1" applyNumberFormat="1" applyFont="1" applyFill="1" applyBorder="1" applyAlignment="1">
      <alignment horizontal="center" vertical="center" wrapText="1"/>
    </xf>
    <xf numFmtId="165" fontId="2" fillId="2" borderId="44" xfId="2" applyNumberFormat="1" applyFont="1" applyFill="1" applyBorder="1" applyAlignment="1">
      <alignment horizontal="center"/>
    </xf>
    <xf numFmtId="168" fontId="0" fillId="0" borderId="0" xfId="0" applyNumberFormat="1"/>
    <xf numFmtId="164" fontId="7" fillId="3" borderId="44" xfId="1" applyNumberFormat="1" applyFont="1" applyFill="1" applyBorder="1" applyAlignment="1">
      <alignment horizontal="left"/>
    </xf>
    <xf numFmtId="165" fontId="15" fillId="0" borderId="0" xfId="2" applyNumberFormat="1" applyFont="1" applyFill="1" applyBorder="1" applyAlignment="1">
      <alignment horizontal="center" vertical="center"/>
    </xf>
    <xf numFmtId="0" fontId="22" fillId="2" borderId="0" xfId="0" applyFont="1" applyFill="1" applyAlignment="1">
      <alignment horizontal="center" vertical="center"/>
    </xf>
    <xf numFmtId="0" fontId="19" fillId="2" borderId="0" xfId="0" applyFont="1" applyFill="1" applyAlignment="1">
      <alignment horizontal="center" vertical="center"/>
    </xf>
    <xf numFmtId="0" fontId="19" fillId="2" borderId="0" xfId="0" applyFont="1" applyFill="1"/>
    <xf numFmtId="0" fontId="29" fillId="3" borderId="0" xfId="0" applyFont="1" applyFill="1"/>
    <xf numFmtId="0" fontId="29" fillId="22" borderId="0" xfId="0" applyFont="1" applyFill="1"/>
    <xf numFmtId="0" fontId="19" fillId="2" borderId="0" xfId="0" applyFont="1" applyFill="1" applyAlignment="1"/>
    <xf numFmtId="0" fontId="22" fillId="2" borderId="0" xfId="0" applyFont="1" applyFill="1" applyAlignment="1">
      <alignment horizontal="center"/>
    </xf>
    <xf numFmtId="9" fontId="29" fillId="3" borderId="0" xfId="2" applyFont="1" applyFill="1" applyAlignment="1">
      <alignment horizontal="center"/>
    </xf>
    <xf numFmtId="9" fontId="29" fillId="22" borderId="0" xfId="2" applyFont="1" applyFill="1" applyAlignment="1">
      <alignment horizontal="center"/>
    </xf>
    <xf numFmtId="0" fontId="19" fillId="2" borderId="0" xfId="0" applyFont="1" applyFill="1" applyAlignment="1">
      <alignment vertical="center"/>
    </xf>
    <xf numFmtId="0" fontId="30" fillId="2" borderId="0" xfId="0" applyFont="1" applyFill="1" applyAlignment="1">
      <alignment vertical="center"/>
    </xf>
    <xf numFmtId="0" fontId="31" fillId="21" borderId="0" xfId="0" applyFont="1" applyFill="1" applyAlignment="1">
      <alignment vertical="center"/>
    </xf>
    <xf numFmtId="0" fontId="31" fillId="2" borderId="0" xfId="0" applyFont="1" applyFill="1" applyAlignment="1">
      <alignment vertical="center"/>
    </xf>
    <xf numFmtId="0" fontId="19" fillId="21" borderId="0" xfId="0" applyFont="1" applyFill="1" applyAlignment="1">
      <alignment horizontal="center" vertical="center"/>
    </xf>
    <xf numFmtId="0" fontId="29" fillId="3" borderId="0" xfId="0" applyFont="1" applyFill="1" applyAlignment="1">
      <alignment horizontal="center" vertical="center"/>
    </xf>
    <xf numFmtId="164" fontId="29" fillId="3" borderId="0" xfId="1" applyNumberFormat="1" applyFont="1" applyFill="1" applyAlignment="1">
      <alignment horizontal="center" vertical="center"/>
    </xf>
    <xf numFmtId="9" fontId="29" fillId="3" borderId="0" xfId="2" applyFont="1" applyFill="1" applyAlignment="1">
      <alignment horizontal="center" vertical="center"/>
    </xf>
    <xf numFmtId="0" fontId="29" fillId="21" borderId="0" xfId="0" applyFont="1" applyFill="1" applyAlignment="1">
      <alignment vertical="center"/>
    </xf>
    <xf numFmtId="0" fontId="29" fillId="2" borderId="0" xfId="0" applyFont="1" applyFill="1" applyAlignment="1">
      <alignment vertical="center"/>
    </xf>
    <xf numFmtId="0" fontId="29" fillId="22" borderId="0" xfId="0" applyFont="1" applyFill="1" applyAlignment="1">
      <alignment horizontal="center" vertical="center"/>
    </xf>
    <xf numFmtId="164" fontId="29" fillId="22" borderId="0" xfId="1" applyNumberFormat="1" applyFont="1" applyFill="1" applyAlignment="1">
      <alignment horizontal="center" vertical="center"/>
    </xf>
    <xf numFmtId="9" fontId="29" fillId="22" borderId="0" xfId="2" applyFont="1" applyFill="1" applyAlignment="1">
      <alignment horizontal="center" vertical="center"/>
    </xf>
    <xf numFmtId="0" fontId="19" fillId="21" borderId="0" xfId="0" applyFont="1" applyFill="1" applyAlignment="1">
      <alignment vertical="center"/>
    </xf>
    <xf numFmtId="0" fontId="20" fillId="0" borderId="0" xfId="0" applyFont="1" applyFill="1" applyAlignment="1">
      <alignment vertical="center"/>
    </xf>
    <xf numFmtId="0" fontId="0" fillId="0" borderId="0" xfId="0" applyFill="1" applyAlignment="1">
      <alignment vertical="center"/>
    </xf>
    <xf numFmtId="0" fontId="0" fillId="2" borderId="0" xfId="0" applyFill="1" applyAlignment="1">
      <alignment vertical="center"/>
    </xf>
    <xf numFmtId="0" fontId="19" fillId="2" borderId="0" xfId="0" applyFont="1" applyFill="1" applyBorder="1" applyAlignment="1">
      <alignment horizontal="center" vertical="center"/>
    </xf>
    <xf numFmtId="165" fontId="29" fillId="3" borderId="0" xfId="2" applyNumberFormat="1" applyFont="1" applyFill="1" applyBorder="1" applyAlignment="1">
      <alignment horizontal="center" vertical="center"/>
    </xf>
    <xf numFmtId="165" fontId="29" fillId="22" borderId="0" xfId="2" applyNumberFormat="1" applyFont="1" applyFill="1" applyBorder="1" applyAlignment="1">
      <alignment horizontal="center" vertical="center"/>
    </xf>
    <xf numFmtId="0" fontId="19" fillId="23" borderId="0" xfId="0" applyFont="1" applyFill="1" applyAlignment="1">
      <alignment horizontal="center" vertical="center"/>
    </xf>
    <xf numFmtId="0" fontId="19" fillId="21" borderId="0" xfId="0" applyFont="1" applyFill="1" applyBorder="1" applyAlignment="1">
      <alignment horizontal="center" vertical="center"/>
    </xf>
    <xf numFmtId="0" fontId="29" fillId="21" borderId="0" xfId="0" applyFont="1" applyFill="1" applyBorder="1" applyAlignment="1">
      <alignment horizontal="center" vertical="center"/>
    </xf>
    <xf numFmtId="0" fontId="19" fillId="0" borderId="0" xfId="0" applyFont="1" applyFill="1" applyAlignment="1">
      <alignment vertical="center"/>
    </xf>
    <xf numFmtId="164" fontId="19" fillId="23" borderId="0" xfId="1" applyNumberFormat="1" applyFont="1" applyFill="1" applyAlignment="1">
      <alignment horizontal="center" vertical="center"/>
    </xf>
    <xf numFmtId="9" fontId="19" fillId="23" borderId="0" xfId="2" applyFont="1" applyFill="1" applyAlignment="1">
      <alignment horizontal="center" vertical="center"/>
    </xf>
    <xf numFmtId="164" fontId="19" fillId="23" borderId="0" xfId="1" applyNumberFormat="1" applyFont="1" applyFill="1" applyAlignment="1">
      <alignment vertical="center"/>
    </xf>
    <xf numFmtId="165" fontId="19" fillId="23" borderId="0" xfId="2" applyNumberFormat="1" applyFont="1" applyFill="1" applyBorder="1" applyAlignment="1">
      <alignment horizontal="center" vertical="center"/>
    </xf>
    <xf numFmtId="0" fontId="19" fillId="0" borderId="0" xfId="0" applyFont="1" applyFill="1"/>
    <xf numFmtId="17" fontId="29" fillId="3" borderId="0" xfId="0" applyNumberFormat="1" applyFont="1" applyFill="1"/>
    <xf numFmtId="164" fontId="29" fillId="3" borderId="0" xfId="0" applyNumberFormat="1" applyFont="1" applyFill="1"/>
    <xf numFmtId="164" fontId="29" fillId="22" borderId="0" xfId="0" applyNumberFormat="1" applyFont="1" applyFill="1"/>
    <xf numFmtId="17" fontId="29" fillId="22" borderId="0" xfId="0" applyNumberFormat="1" applyFont="1" applyFill="1"/>
    <xf numFmtId="164" fontId="29" fillId="3" borderId="0" xfId="0" applyNumberFormat="1" applyFont="1" applyFill="1" applyAlignment="1">
      <alignment horizontal="center"/>
    </xf>
    <xf numFmtId="164" fontId="29" fillId="3" borderId="0" xfId="0" applyNumberFormat="1" applyFont="1" applyFill="1" applyBorder="1"/>
    <xf numFmtId="164" fontId="29" fillId="22" borderId="0" xfId="0" applyNumberFormat="1" applyFont="1" applyFill="1" applyBorder="1"/>
    <xf numFmtId="164" fontId="29" fillId="3" borderId="0" xfId="0" applyNumberFormat="1" applyFont="1" applyFill="1" applyBorder="1" applyAlignment="1">
      <alignment horizontal="center"/>
    </xf>
    <xf numFmtId="165" fontId="29" fillId="22" borderId="0" xfId="2" applyNumberFormat="1" applyFont="1" applyFill="1" applyBorder="1" applyAlignment="1">
      <alignment horizontal="center"/>
    </xf>
    <xf numFmtId="165" fontId="29" fillId="3" borderId="0" xfId="2" applyNumberFormat="1" applyFont="1" applyFill="1" applyBorder="1" applyAlignment="1">
      <alignment horizontal="center"/>
    </xf>
    <xf numFmtId="164" fontId="29" fillId="3" borderId="0" xfId="1" applyNumberFormat="1" applyFont="1" applyFill="1" applyBorder="1"/>
    <xf numFmtId="164" fontId="29" fillId="22" borderId="0" xfId="1" applyNumberFormat="1" applyFont="1" applyFill="1" applyBorder="1"/>
    <xf numFmtId="164" fontId="29" fillId="0" borderId="0" xfId="0" applyNumberFormat="1" applyFont="1" applyFill="1" applyBorder="1" applyAlignment="1">
      <alignment horizontal="center"/>
    </xf>
    <xf numFmtId="165" fontId="29" fillId="0" borderId="0" xfId="2" applyNumberFormat="1" applyFont="1" applyFill="1" applyBorder="1" applyAlignment="1">
      <alignment horizontal="center"/>
    </xf>
    <xf numFmtId="164" fontId="29" fillId="3" borderId="0" xfId="1" applyNumberFormat="1" applyFont="1" applyFill="1" applyBorder="1" applyAlignment="1">
      <alignment horizontal="center"/>
    </xf>
    <xf numFmtId="164" fontId="29" fillId="0" borderId="0" xfId="1" applyNumberFormat="1" applyFont="1" applyFill="1" applyBorder="1" applyAlignment="1">
      <alignment horizontal="center"/>
    </xf>
    <xf numFmtId="0" fontId="19" fillId="0" borderId="0" xfId="0" applyFont="1" applyFill="1" applyBorder="1" applyAlignment="1">
      <alignment horizontal="center" vertical="center"/>
    </xf>
    <xf numFmtId="0" fontId="31" fillId="21" borderId="0" xfId="0" applyFont="1" applyFill="1" applyBorder="1" applyAlignment="1">
      <alignment horizontal="center" vertical="center"/>
    </xf>
    <xf numFmtId="0" fontId="22" fillId="5" borderId="0" xfId="0" applyFont="1" applyFill="1" applyAlignment="1">
      <alignment horizontal="center" vertical="center"/>
    </xf>
    <xf numFmtId="0" fontId="19" fillId="2" borderId="0" xfId="0" applyFont="1" applyFill="1" applyAlignment="1">
      <alignment horizontal="center" vertical="center"/>
    </xf>
    <xf numFmtId="0" fontId="29" fillId="3" borderId="1" xfId="0" applyFont="1" applyFill="1" applyBorder="1" applyAlignment="1">
      <alignment horizontal="center" vertical="center"/>
    </xf>
    <xf numFmtId="165" fontId="29" fillId="3" borderId="1" xfId="2" applyNumberFormat="1" applyFont="1" applyFill="1" applyBorder="1" applyAlignment="1">
      <alignment horizontal="center" vertical="center"/>
    </xf>
    <xf numFmtId="0" fontId="29" fillId="22" borderId="1" xfId="0" applyFont="1" applyFill="1" applyBorder="1" applyAlignment="1">
      <alignment horizontal="center" vertical="center"/>
    </xf>
    <xf numFmtId="165" fontId="29" fillId="22" borderId="1" xfId="2" applyNumberFormat="1" applyFont="1" applyFill="1" applyBorder="1" applyAlignment="1">
      <alignment horizontal="center" vertical="center"/>
    </xf>
    <xf numFmtId="0" fontId="31" fillId="0" borderId="0" xfId="0" applyFont="1" applyFill="1" applyAlignment="1">
      <alignment vertical="center"/>
    </xf>
    <xf numFmtId="0" fontId="19" fillId="2" borderId="1" xfId="0" applyFont="1" applyFill="1" applyBorder="1" applyAlignment="1">
      <alignment horizontal="center" vertical="center"/>
    </xf>
    <xf numFmtId="169" fontId="0" fillId="0" borderId="0" xfId="2" applyNumberFormat="1" applyFont="1"/>
    <xf numFmtId="0" fontId="19" fillId="19" borderId="1" xfId="0" applyFont="1" applyFill="1" applyBorder="1" applyAlignment="1">
      <alignment horizontal="center" vertical="center"/>
    </xf>
    <xf numFmtId="0" fontId="0" fillId="0" borderId="1" xfId="0" applyBorder="1" applyAlignment="1">
      <alignment vertical="center"/>
    </xf>
    <xf numFmtId="0" fontId="19" fillId="25" borderId="1" xfId="0" applyFont="1" applyFill="1" applyBorder="1" applyAlignment="1">
      <alignment horizontal="center" vertical="center"/>
    </xf>
    <xf numFmtId="0" fontId="0" fillId="0" borderId="1" xfId="0" applyBorder="1" applyAlignment="1">
      <alignment horizontal="center" vertical="center"/>
    </xf>
    <xf numFmtId="165" fontId="34" fillId="0" borderId="1" xfId="2" applyNumberFormat="1" applyFont="1" applyBorder="1" applyAlignment="1">
      <alignment horizontal="center" vertical="center"/>
    </xf>
    <xf numFmtId="0" fontId="19" fillId="15" borderId="1" xfId="0" applyFont="1" applyFill="1" applyBorder="1" applyAlignment="1">
      <alignment vertical="center"/>
    </xf>
    <xf numFmtId="0" fontId="13" fillId="7" borderId="0" xfId="1" applyNumberFormat="1" applyFont="1" applyFill="1" applyBorder="1" applyAlignment="1">
      <alignment horizontal="center" vertical="center"/>
    </xf>
    <xf numFmtId="0" fontId="13" fillId="7" borderId="0" xfId="1" applyNumberFormat="1" applyFont="1" applyFill="1" applyBorder="1" applyAlignment="1">
      <alignment horizontal="left" vertical="center"/>
    </xf>
    <xf numFmtId="164" fontId="14" fillId="7" borderId="0" xfId="1" applyNumberFormat="1" applyFont="1" applyFill="1" applyBorder="1" applyAlignment="1">
      <alignment horizontal="left" vertical="center"/>
    </xf>
    <xf numFmtId="164" fontId="13" fillId="7" borderId="0" xfId="1" applyNumberFormat="1" applyFont="1" applyFill="1" applyBorder="1" applyAlignment="1">
      <alignment horizontal="left" vertical="center"/>
    </xf>
    <xf numFmtId="165" fontId="13" fillId="7" borderId="0" xfId="2" applyNumberFormat="1" applyFont="1" applyFill="1" applyBorder="1" applyAlignment="1">
      <alignment horizontal="center" vertical="center"/>
    </xf>
    <xf numFmtId="0" fontId="8" fillId="7" borderId="0" xfId="0" applyFont="1" applyFill="1" applyAlignment="1">
      <alignment vertical="center"/>
    </xf>
    <xf numFmtId="0" fontId="19" fillId="24" borderId="35" xfId="0" applyFont="1" applyFill="1" applyBorder="1" applyAlignment="1">
      <alignment horizontal="center" vertical="center"/>
    </xf>
    <xf numFmtId="0" fontId="19" fillId="24" borderId="1" xfId="0" applyFont="1" applyFill="1" applyBorder="1" applyAlignment="1">
      <alignment horizontal="center" vertical="center"/>
    </xf>
    <xf numFmtId="0" fontId="0" fillId="0" borderId="53" xfId="0" applyBorder="1" applyAlignment="1">
      <alignment vertical="center"/>
    </xf>
    <xf numFmtId="0" fontId="0" fillId="0" borderId="37" xfId="0" applyBorder="1" applyAlignment="1">
      <alignment vertical="center"/>
    </xf>
    <xf numFmtId="0" fontId="19" fillId="24" borderId="1" xfId="0" applyFont="1" applyFill="1" applyBorder="1" applyAlignment="1">
      <alignment vertical="center"/>
    </xf>
    <xf numFmtId="0" fontId="19" fillId="24" borderId="34" xfId="0" applyFont="1" applyFill="1" applyBorder="1" applyAlignment="1">
      <alignment horizontal="center" vertical="center"/>
    </xf>
    <xf numFmtId="3" fontId="0" fillId="0" borderId="51" xfId="0" applyNumberFormat="1" applyBorder="1" applyAlignment="1">
      <alignment horizontal="center" vertical="center"/>
    </xf>
    <xf numFmtId="0" fontId="0" fillId="0" borderId="51" xfId="0" applyBorder="1" applyAlignment="1">
      <alignment horizontal="center" vertical="center"/>
    </xf>
    <xf numFmtId="0" fontId="0" fillId="0" borderId="49" xfId="0" applyBorder="1" applyAlignment="1">
      <alignment horizontal="center" vertical="center"/>
    </xf>
    <xf numFmtId="0" fontId="0" fillId="0" borderId="53" xfId="0"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50" xfId="0" applyBorder="1" applyAlignment="1">
      <alignment horizontal="center" vertical="center"/>
    </xf>
    <xf numFmtId="0" fontId="21" fillId="0" borderId="2" xfId="0" applyFont="1" applyFill="1" applyBorder="1" applyAlignment="1">
      <alignment horizontal="center" vertical="center"/>
    </xf>
    <xf numFmtId="0" fontId="21" fillId="0" borderId="5" xfId="0" applyFont="1" applyFill="1" applyBorder="1" applyAlignment="1">
      <alignment horizontal="center" vertical="center"/>
    </xf>
    <xf numFmtId="0" fontId="22" fillId="0" borderId="2" xfId="0" applyFont="1" applyFill="1" applyBorder="1" applyAlignment="1">
      <alignment horizontal="center" vertical="center"/>
    </xf>
    <xf numFmtId="0" fontId="21" fillId="0" borderId="12" xfId="0" applyFont="1" applyFill="1" applyBorder="1" applyAlignment="1">
      <alignment horizontal="center" vertical="center"/>
    </xf>
    <xf numFmtId="3" fontId="20" fillId="0" borderId="0" xfId="0" applyNumberFormat="1" applyFont="1" applyFill="1" applyAlignment="1">
      <alignment horizontal="center" vertical="center"/>
    </xf>
    <xf numFmtId="9" fontId="20" fillId="0" borderId="0" xfId="2" applyFont="1" applyFill="1" applyAlignment="1">
      <alignment horizontal="center" vertical="center"/>
    </xf>
    <xf numFmtId="0" fontId="20" fillId="0" borderId="0" xfId="0" applyFont="1" applyFill="1" applyAlignment="1">
      <alignment horizontal="center" vertical="center"/>
    </xf>
    <xf numFmtId="0" fontId="22" fillId="0" borderId="0" xfId="0" applyFont="1" applyBorder="1" applyAlignment="1">
      <alignment vertical="center" wrapText="1"/>
    </xf>
    <xf numFmtId="0" fontId="19" fillId="23" borderId="1" xfId="0" applyFont="1" applyFill="1" applyBorder="1" applyAlignment="1">
      <alignment horizontal="center" vertical="center"/>
    </xf>
    <xf numFmtId="164" fontId="30" fillId="21" borderId="1" xfId="0" applyNumberFormat="1" applyFont="1" applyFill="1" applyBorder="1" applyAlignment="1">
      <alignment horizontal="center" vertical="center"/>
    </xf>
    <xf numFmtId="165" fontId="30" fillId="21" borderId="1" xfId="2" applyNumberFormat="1" applyFont="1" applyFill="1" applyBorder="1" applyAlignment="1">
      <alignment horizontal="center" vertical="center"/>
    </xf>
    <xf numFmtId="164" fontId="30" fillId="21" borderId="1" xfId="1" applyNumberFormat="1" applyFont="1" applyFill="1" applyBorder="1" applyAlignment="1">
      <alignment horizontal="center" vertical="center"/>
    </xf>
    <xf numFmtId="0" fontId="35" fillId="21" borderId="0" xfId="0" applyFont="1" applyFill="1" applyAlignment="1">
      <alignment vertical="center"/>
    </xf>
    <xf numFmtId="0" fontId="19" fillId="0" borderId="0" xfId="0" applyFont="1" applyFill="1" applyAlignment="1">
      <alignment horizontal="center" vertical="center"/>
    </xf>
    <xf numFmtId="10" fontId="0" fillId="0" borderId="0" xfId="0" applyNumberFormat="1"/>
    <xf numFmtId="0" fontId="19" fillId="11" borderId="0" xfId="0" applyFont="1" applyFill="1"/>
    <xf numFmtId="0" fontId="19" fillId="19" borderId="0" xfId="0" applyFont="1" applyFill="1"/>
    <xf numFmtId="0" fontId="19" fillId="23" borderId="1" xfId="0" applyFont="1" applyFill="1" applyBorder="1" applyAlignment="1">
      <alignment horizontal="center" vertical="center"/>
    </xf>
    <xf numFmtId="0" fontId="19" fillId="23" borderId="1" xfId="0" applyFont="1" applyFill="1" applyBorder="1" applyAlignment="1">
      <alignment horizontal="center" vertical="center"/>
    </xf>
    <xf numFmtId="0" fontId="35" fillId="2" borderId="0" xfId="0" applyFont="1" applyFill="1" applyAlignment="1">
      <alignment vertical="center"/>
    </xf>
    <xf numFmtId="164" fontId="30" fillId="22" borderId="1" xfId="0" applyNumberFormat="1" applyFont="1" applyFill="1" applyBorder="1" applyAlignment="1">
      <alignment horizontal="center" vertical="center"/>
    </xf>
    <xf numFmtId="164" fontId="30" fillId="3" borderId="1" xfId="0" applyNumberFormat="1" applyFont="1" applyFill="1" applyBorder="1" applyAlignment="1">
      <alignment horizontal="center" vertical="center"/>
    </xf>
    <xf numFmtId="0" fontId="31" fillId="2" borderId="0" xfId="0" applyFont="1" applyFill="1" applyBorder="1" applyAlignment="1">
      <alignment vertical="center" wrapText="1"/>
    </xf>
    <xf numFmtId="0" fontId="30" fillId="21" borderId="45" xfId="0" applyFont="1" applyFill="1" applyBorder="1" applyAlignment="1">
      <alignment vertical="center"/>
    </xf>
    <xf numFmtId="0" fontId="35" fillId="0" borderId="0" xfId="0" applyFont="1" applyFill="1" applyAlignment="1">
      <alignment vertical="center"/>
    </xf>
    <xf numFmtId="0" fontId="30" fillId="21" borderId="0" xfId="0" applyFont="1" applyFill="1" applyBorder="1" applyAlignment="1">
      <alignment vertical="center"/>
    </xf>
    <xf numFmtId="0" fontId="19" fillId="2" borderId="0" xfId="0" applyFont="1" applyFill="1" applyBorder="1" applyAlignment="1">
      <alignment vertical="center" wrapText="1"/>
    </xf>
    <xf numFmtId="164" fontId="19" fillId="2" borderId="0" xfId="0" applyNumberFormat="1" applyFont="1"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9" fillId="0" borderId="0" xfId="0" applyFont="1" applyFill="1" applyBorder="1" applyAlignment="1">
      <alignment vertical="center" wrapText="1"/>
    </xf>
    <xf numFmtId="164" fontId="37" fillId="22" borderId="1" xfId="0" applyNumberFormat="1" applyFont="1" applyFill="1" applyBorder="1" applyAlignment="1">
      <alignment horizontal="center" vertical="center"/>
    </xf>
    <xf numFmtId="164" fontId="30" fillId="0" borderId="1" xfId="1" applyNumberFormat="1" applyFont="1" applyFill="1" applyBorder="1" applyAlignment="1">
      <alignment horizontal="center" vertical="center"/>
    </xf>
    <xf numFmtId="164" fontId="36" fillId="0" borderId="34" xfId="0" applyNumberFormat="1" applyFont="1" applyFill="1" applyBorder="1" applyAlignment="1">
      <alignment vertical="center"/>
    </xf>
    <xf numFmtId="164" fontId="36" fillId="0" borderId="1" xfId="0" applyNumberFormat="1" applyFont="1" applyFill="1" applyBorder="1" applyAlignment="1">
      <alignment vertical="center"/>
    </xf>
    <xf numFmtId="164" fontId="36" fillId="0" borderId="35" xfId="0" applyNumberFormat="1" applyFont="1" applyFill="1" applyBorder="1" applyAlignment="1">
      <alignment vertical="center"/>
    </xf>
    <xf numFmtId="0" fontId="8" fillId="7" borderId="0" xfId="0" applyFont="1" applyFill="1" applyAlignment="1">
      <alignment horizontal="center" vertical="center" wrapText="1"/>
    </xf>
    <xf numFmtId="0" fontId="12" fillId="9" borderId="0" xfId="0" applyFont="1" applyFill="1" applyAlignment="1">
      <alignment horizontal="center" vertical="center"/>
    </xf>
    <xf numFmtId="0" fontId="30" fillId="0" borderId="0" xfId="0" applyFont="1" applyFill="1" applyAlignment="1">
      <alignment horizontal="center"/>
    </xf>
    <xf numFmtId="0" fontId="32" fillId="3" borderId="0" xfId="0" applyFont="1" applyFill="1" applyAlignment="1">
      <alignment horizontal="center"/>
    </xf>
    <xf numFmtId="0" fontId="31" fillId="0" borderId="0" xfId="0" applyFont="1" applyFill="1" applyAlignment="1">
      <alignment horizontal="center"/>
    </xf>
    <xf numFmtId="0" fontId="19" fillId="2" borderId="0" xfId="0" applyFont="1" applyFill="1" applyAlignment="1">
      <alignment horizontal="center" vertical="center"/>
    </xf>
    <xf numFmtId="0" fontId="22" fillId="5" borderId="0" xfId="0" applyFont="1" applyFill="1" applyAlignment="1">
      <alignment horizontal="center" vertical="center"/>
    </xf>
    <xf numFmtId="0" fontId="31" fillId="21" borderId="0" xfId="0" applyFont="1" applyFill="1" applyAlignment="1">
      <alignment horizontal="center" vertical="center"/>
    </xf>
    <xf numFmtId="0" fontId="19" fillId="23" borderId="1" xfId="0" applyFont="1" applyFill="1" applyBorder="1" applyAlignment="1">
      <alignment horizontal="center" vertical="center"/>
    </xf>
    <xf numFmtId="0" fontId="19" fillId="23" borderId="1" xfId="0" applyFont="1" applyFill="1" applyBorder="1" applyAlignment="1">
      <alignment horizontal="center" vertical="center" wrapText="1"/>
    </xf>
    <xf numFmtId="0" fontId="33" fillId="23" borderId="34" xfId="0" applyFont="1" applyFill="1" applyBorder="1" applyAlignment="1">
      <alignment horizontal="center" vertical="center"/>
    </xf>
    <xf numFmtId="0" fontId="33" fillId="23" borderId="4" xfId="0" applyFont="1" applyFill="1" applyBorder="1" applyAlignment="1">
      <alignment horizontal="center" vertical="center"/>
    </xf>
    <xf numFmtId="0" fontId="33" fillId="23" borderId="35" xfId="0" applyFont="1" applyFill="1" applyBorder="1" applyAlignment="1">
      <alignment horizontal="center" vertical="center"/>
    </xf>
    <xf numFmtId="0" fontId="31" fillId="21" borderId="46" xfId="0" applyFont="1" applyFill="1" applyBorder="1" applyAlignment="1">
      <alignment horizontal="center" vertical="center" wrapText="1"/>
    </xf>
    <xf numFmtId="0" fontId="31" fillId="21" borderId="47" xfId="0" applyFont="1" applyFill="1" applyBorder="1" applyAlignment="1">
      <alignment horizontal="center" vertical="center" wrapText="1"/>
    </xf>
    <xf numFmtId="0" fontId="31" fillId="21" borderId="48" xfId="0" applyFont="1" applyFill="1" applyBorder="1" applyAlignment="1">
      <alignment horizontal="center" vertical="center" wrapText="1"/>
    </xf>
    <xf numFmtId="0" fontId="31" fillId="21" borderId="49" xfId="0" applyFont="1" applyFill="1" applyBorder="1" applyAlignment="1">
      <alignment horizontal="center" vertical="center" wrapText="1"/>
    </xf>
    <xf numFmtId="0" fontId="31" fillId="21" borderId="45" xfId="0" applyFont="1" applyFill="1" applyBorder="1" applyAlignment="1">
      <alignment horizontal="center" vertical="center" wrapText="1"/>
    </xf>
    <xf numFmtId="0" fontId="31" fillId="21" borderId="50" xfId="0" applyFont="1" applyFill="1" applyBorder="1" applyAlignment="1">
      <alignment horizontal="center" vertical="center" wrapText="1"/>
    </xf>
    <xf numFmtId="0" fontId="31" fillId="21" borderId="0" xfId="0" applyFont="1" applyFill="1" applyBorder="1" applyAlignment="1">
      <alignment horizontal="center" vertical="center"/>
    </xf>
    <xf numFmtId="0" fontId="30" fillId="21" borderId="0" xfId="0" applyFont="1" applyFill="1" applyAlignment="1">
      <alignment horizontal="center" vertical="center"/>
    </xf>
    <xf numFmtId="0" fontId="29" fillId="3" borderId="1" xfId="0" applyFont="1" applyFill="1" applyBorder="1" applyAlignment="1">
      <alignment horizontal="center" vertical="center" wrapText="1"/>
    </xf>
    <xf numFmtId="9" fontId="19" fillId="26" borderId="35" xfId="2" applyFont="1" applyFill="1" applyBorder="1" applyAlignment="1">
      <alignment horizontal="center" vertical="center" wrapText="1"/>
    </xf>
    <xf numFmtId="9" fontId="19" fillId="26" borderId="1" xfId="2" applyFont="1" applyFill="1" applyBorder="1" applyAlignment="1">
      <alignment horizontal="center" vertical="center" wrapText="1"/>
    </xf>
    <xf numFmtId="0" fontId="30" fillId="21" borderId="0" xfId="0" applyFont="1" applyFill="1" applyBorder="1" applyAlignment="1">
      <alignment horizontal="center" vertical="center"/>
    </xf>
    <xf numFmtId="9" fontId="19" fillId="26" borderId="34" xfId="2" applyFont="1" applyFill="1" applyBorder="1" applyAlignment="1">
      <alignment horizontal="center" vertical="center" wrapText="1"/>
    </xf>
    <xf numFmtId="0" fontId="21" fillId="0" borderId="39" xfId="0" applyFont="1" applyBorder="1" applyAlignment="1">
      <alignment horizontal="center" vertical="center" wrapText="1"/>
    </xf>
    <xf numFmtId="0" fontId="21" fillId="0" borderId="40" xfId="0" applyFont="1" applyBorder="1" applyAlignment="1">
      <alignment horizontal="center" vertical="center" wrapText="1"/>
    </xf>
    <xf numFmtId="0" fontId="21" fillId="0" borderId="41" xfId="0" applyFont="1" applyBorder="1" applyAlignment="1">
      <alignment horizontal="center" vertical="center" wrapText="1"/>
    </xf>
    <xf numFmtId="3" fontId="19" fillId="18" borderId="34" xfId="0" applyNumberFormat="1" applyFont="1" applyFill="1" applyBorder="1" applyAlignment="1">
      <alignment horizontal="center" vertical="center"/>
    </xf>
    <xf numFmtId="3" fontId="19" fillId="18" borderId="35" xfId="0" applyNumberFormat="1" applyFont="1" applyFill="1" applyBorder="1" applyAlignment="1">
      <alignment horizontal="center" vertical="center"/>
    </xf>
    <xf numFmtId="3" fontId="19" fillId="18" borderId="1" xfId="0" applyNumberFormat="1" applyFont="1" applyFill="1" applyBorder="1" applyAlignment="1">
      <alignment horizontal="center" vertical="center"/>
    </xf>
    <xf numFmtId="3" fontId="21" fillId="0" borderId="34" xfId="0" applyNumberFormat="1" applyFont="1" applyBorder="1" applyAlignment="1">
      <alignment horizontal="center" vertical="center"/>
    </xf>
    <xf numFmtId="3" fontId="21" fillId="0" borderId="35" xfId="0" applyNumberFormat="1" applyFont="1" applyBorder="1" applyAlignment="1">
      <alignment horizontal="center" vertical="center"/>
    </xf>
    <xf numFmtId="0" fontId="22" fillId="0" borderId="36" xfId="0" applyFont="1" applyBorder="1" applyAlignment="1">
      <alignment horizontal="center" vertical="center"/>
    </xf>
    <xf numFmtId="0" fontId="22" fillId="0" borderId="37" xfId="0" applyFont="1" applyBorder="1" applyAlignment="1">
      <alignment horizontal="center" vertical="center"/>
    </xf>
    <xf numFmtId="0" fontId="22" fillId="0" borderId="34" xfId="0" applyFont="1" applyFill="1" applyBorder="1" applyAlignment="1">
      <alignment horizontal="center" vertical="center"/>
    </xf>
    <xf numFmtId="0" fontId="22" fillId="0" borderId="4" xfId="0" applyFont="1" applyFill="1" applyBorder="1" applyAlignment="1">
      <alignment horizontal="center" vertical="center"/>
    </xf>
    <xf numFmtId="0" fontId="22" fillId="0" borderId="35" xfId="0" applyFont="1" applyFill="1" applyBorder="1" applyAlignment="1">
      <alignment horizontal="center" vertical="center"/>
    </xf>
    <xf numFmtId="0" fontId="19" fillId="19" borderId="1" xfId="0" applyFont="1" applyFill="1" applyBorder="1" applyAlignment="1">
      <alignment horizontal="center" vertical="center"/>
    </xf>
    <xf numFmtId="3" fontId="19" fillId="19" borderId="1" xfId="0" applyNumberFormat="1" applyFont="1" applyFill="1" applyBorder="1" applyAlignment="1">
      <alignment horizontal="center" vertical="center"/>
    </xf>
    <xf numFmtId="3" fontId="19" fillId="15" borderId="34" xfId="0" applyNumberFormat="1" applyFont="1" applyFill="1" applyBorder="1" applyAlignment="1">
      <alignment horizontal="center" vertical="center"/>
    </xf>
    <xf numFmtId="3" fontId="19" fillId="15" borderId="35" xfId="0" applyNumberFormat="1" applyFont="1" applyFill="1" applyBorder="1" applyAlignment="1">
      <alignment horizontal="center" vertical="center"/>
    </xf>
    <xf numFmtId="3" fontId="19" fillId="15" borderId="1" xfId="0" applyNumberFormat="1" applyFont="1" applyFill="1" applyBorder="1" applyAlignment="1">
      <alignment horizontal="center" vertical="center"/>
    </xf>
    <xf numFmtId="3" fontId="21" fillId="0" borderId="1" xfId="0" applyNumberFormat="1" applyFont="1" applyBorder="1" applyAlignment="1">
      <alignment horizontal="center" vertical="center"/>
    </xf>
    <xf numFmtId="3" fontId="19" fillId="18" borderId="36" xfId="0" applyNumberFormat="1" applyFont="1" applyFill="1" applyBorder="1" applyAlignment="1">
      <alignment horizontal="center" vertical="center"/>
    </xf>
    <xf numFmtId="3" fontId="19" fillId="18" borderId="37" xfId="0" applyNumberFormat="1" applyFont="1" applyFill="1" applyBorder="1" applyAlignment="1">
      <alignment horizontal="center" vertical="center"/>
    </xf>
    <xf numFmtId="0" fontId="22" fillId="0" borderId="1" xfId="0" applyFont="1" applyFill="1" applyBorder="1" applyAlignment="1">
      <alignment horizontal="center" vertical="center"/>
    </xf>
    <xf numFmtId="3" fontId="21" fillId="0" borderId="4" xfId="0" applyNumberFormat="1" applyFont="1" applyBorder="1" applyAlignment="1">
      <alignment horizontal="center" vertical="center"/>
    </xf>
    <xf numFmtId="3" fontId="19" fillId="15" borderId="4" xfId="0" applyNumberFormat="1" applyFont="1" applyFill="1" applyBorder="1" applyAlignment="1">
      <alignment horizontal="center" vertical="center"/>
    </xf>
    <xf numFmtId="3" fontId="22" fillId="0" borderId="34" xfId="0" applyNumberFormat="1" applyFont="1" applyFill="1" applyBorder="1" applyAlignment="1">
      <alignment horizontal="center" vertical="center"/>
    </xf>
    <xf numFmtId="3" fontId="22" fillId="0" borderId="35" xfId="0" applyNumberFormat="1" applyFont="1" applyFill="1" applyBorder="1" applyAlignment="1">
      <alignment horizontal="center" vertical="center"/>
    </xf>
    <xf numFmtId="3" fontId="21" fillId="0" borderId="13" xfId="0" applyNumberFormat="1" applyFont="1" applyBorder="1" applyAlignment="1">
      <alignment horizontal="center" vertical="center"/>
    </xf>
    <xf numFmtId="3" fontId="21" fillId="0" borderId="14" xfId="0" applyNumberFormat="1" applyFont="1" applyBorder="1" applyAlignment="1">
      <alignment horizontal="center" vertical="center"/>
    </xf>
    <xf numFmtId="0" fontId="22" fillId="0" borderId="1" xfId="0" applyFont="1" applyBorder="1" applyAlignment="1">
      <alignment horizontal="center" vertical="center"/>
    </xf>
    <xf numFmtId="3" fontId="22" fillId="0" borderId="1" xfId="0" applyNumberFormat="1" applyFont="1" applyBorder="1" applyAlignment="1">
      <alignment horizontal="center" vertical="center"/>
    </xf>
    <xf numFmtId="164" fontId="22" fillId="0" borderId="7" xfId="1" applyNumberFormat="1" applyFont="1" applyBorder="1" applyAlignment="1">
      <alignment horizontal="center" vertical="center" wrapText="1"/>
    </xf>
    <xf numFmtId="164" fontId="22" fillId="0" borderId="8" xfId="1" applyNumberFormat="1" applyFont="1" applyBorder="1" applyAlignment="1">
      <alignment horizontal="center" vertical="center" wrapText="1"/>
    </xf>
    <xf numFmtId="3" fontId="25" fillId="0" borderId="8" xfId="0" applyNumberFormat="1" applyFont="1" applyBorder="1" applyAlignment="1">
      <alignment horizontal="center" vertical="center"/>
    </xf>
    <xf numFmtId="3" fontId="25" fillId="0" borderId="9" xfId="0" applyNumberFormat="1" applyFont="1" applyBorder="1" applyAlignment="1">
      <alignment horizontal="center" vertical="center"/>
    </xf>
    <xf numFmtId="9" fontId="22" fillId="0" borderId="1" xfId="2" applyFont="1" applyBorder="1" applyAlignment="1">
      <alignment horizontal="center" vertical="center"/>
    </xf>
    <xf numFmtId="9" fontId="21" fillId="0" borderId="1" xfId="0" applyNumberFormat="1" applyFont="1" applyBorder="1" applyAlignment="1">
      <alignment horizontal="center" vertical="center"/>
    </xf>
    <xf numFmtId="9" fontId="21" fillId="0" borderId="10" xfId="0" applyNumberFormat="1" applyFont="1" applyBorder="1" applyAlignment="1">
      <alignment horizontal="center" vertical="center"/>
    </xf>
    <xf numFmtId="0" fontId="26" fillId="0" borderId="2" xfId="0" applyFont="1" applyBorder="1" applyAlignment="1">
      <alignment horizontal="center" vertical="center"/>
    </xf>
    <xf numFmtId="0" fontId="22" fillId="0" borderId="10" xfId="0" applyFont="1" applyBorder="1" applyAlignment="1">
      <alignment horizontal="center" vertical="center"/>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31"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33" xfId="0" applyFont="1" applyBorder="1" applyAlignment="1">
      <alignment horizontal="center" vertical="center" wrapText="1"/>
    </xf>
    <xf numFmtId="0" fontId="22" fillId="17" borderId="7" xfId="0" applyFont="1" applyFill="1" applyBorder="1" applyAlignment="1">
      <alignment horizontal="center" vertical="center" wrapText="1"/>
    </xf>
    <xf numFmtId="0" fontId="22" fillId="17" borderId="8" xfId="0" applyFont="1" applyFill="1" applyBorder="1" applyAlignment="1">
      <alignment horizontal="center" vertical="center" wrapText="1"/>
    </xf>
    <xf numFmtId="0" fontId="22" fillId="17" borderId="9" xfId="0" applyFont="1" applyFill="1" applyBorder="1" applyAlignment="1">
      <alignment horizontal="center" vertical="center" wrapText="1"/>
    </xf>
    <xf numFmtId="0" fontId="22" fillId="0" borderId="2" xfId="0" applyFont="1" applyBorder="1" applyAlignment="1">
      <alignment horizontal="center" vertical="center"/>
    </xf>
    <xf numFmtId="0" fontId="21" fillId="0" borderId="2" xfId="0" applyFont="1" applyFill="1" applyBorder="1" applyAlignment="1">
      <alignment horizontal="center" vertical="center"/>
    </xf>
    <xf numFmtId="0" fontId="21" fillId="0" borderId="1" xfId="0" applyFont="1" applyFill="1" applyBorder="1" applyAlignment="1">
      <alignment horizontal="center" vertical="center"/>
    </xf>
    <xf numFmtId="0" fontId="22" fillId="0" borderId="21" xfId="0" applyFont="1" applyBorder="1" applyAlignment="1">
      <alignment horizontal="center" vertical="center"/>
    </xf>
    <xf numFmtId="0" fontId="22" fillId="0" borderId="22" xfId="0" applyFont="1" applyBorder="1" applyAlignment="1">
      <alignment horizontal="center" vertic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22" fillId="0" borderId="9" xfId="0" applyFont="1" applyBorder="1" applyAlignment="1">
      <alignment horizontal="center" vertical="center"/>
    </xf>
    <xf numFmtId="0" fontId="21" fillId="0" borderId="5" xfId="0" applyFont="1" applyFill="1" applyBorder="1" applyAlignment="1">
      <alignment horizontal="center" vertical="center"/>
    </xf>
    <xf numFmtId="0" fontId="21" fillId="0" borderId="6" xfId="0" applyFont="1" applyFill="1" applyBorder="1" applyAlignment="1">
      <alignment horizontal="center" vertical="center"/>
    </xf>
    <xf numFmtId="0" fontId="21" fillId="0" borderId="21" xfId="0" applyFont="1" applyFill="1" applyBorder="1" applyAlignment="1">
      <alignment horizontal="center" vertical="center"/>
    </xf>
    <xf numFmtId="0" fontId="21" fillId="0" borderId="22" xfId="0" applyFont="1" applyFill="1" applyBorder="1" applyAlignment="1">
      <alignment horizontal="center" vertical="center"/>
    </xf>
    <xf numFmtId="3" fontId="21" fillId="0" borderId="23" xfId="0" applyNumberFormat="1" applyFont="1" applyBorder="1" applyAlignment="1">
      <alignment horizontal="center" vertical="center"/>
    </xf>
    <xf numFmtId="3" fontId="21" fillId="0" borderId="24" xfId="0" applyNumberFormat="1" applyFont="1" applyBorder="1" applyAlignment="1">
      <alignment horizontal="center" vertical="center"/>
    </xf>
    <xf numFmtId="3" fontId="21" fillId="0" borderId="22" xfId="0" applyNumberFormat="1" applyFont="1" applyBorder="1" applyAlignment="1">
      <alignment horizontal="center" vertical="center"/>
    </xf>
    <xf numFmtId="3" fontId="21" fillId="0" borderId="25" xfId="0" applyNumberFormat="1"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22" fillId="0" borderId="21" xfId="0" applyFont="1" applyBorder="1" applyAlignment="1">
      <alignment horizontal="center"/>
    </xf>
    <xf numFmtId="0" fontId="22" fillId="0" borderId="24" xfId="0" applyFont="1" applyBorder="1" applyAlignment="1">
      <alignment horizontal="center"/>
    </xf>
    <xf numFmtId="0" fontId="22" fillId="0" borderId="25" xfId="0" applyFont="1" applyBorder="1" applyAlignment="1">
      <alignment horizontal="center"/>
    </xf>
    <xf numFmtId="0" fontId="21" fillId="0" borderId="7" xfId="0" applyFont="1" applyBorder="1" applyAlignment="1">
      <alignment horizontal="center" vertical="center"/>
    </xf>
    <xf numFmtId="0" fontId="21" fillId="0" borderId="5" xfId="0" applyFont="1" applyBorder="1" applyAlignment="1">
      <alignment horizontal="center" vertical="center"/>
    </xf>
    <xf numFmtId="3" fontId="19" fillId="15" borderId="18" xfId="0" applyNumberFormat="1" applyFont="1" applyFill="1" applyBorder="1" applyAlignment="1">
      <alignment horizontal="center" vertical="center"/>
    </xf>
    <xf numFmtId="3" fontId="19" fillId="15" borderId="19" xfId="0" applyNumberFormat="1" applyFont="1" applyFill="1" applyBorder="1" applyAlignment="1">
      <alignment horizontal="center" vertical="center"/>
    </xf>
    <xf numFmtId="3" fontId="19" fillId="15" borderId="20" xfId="0" applyNumberFormat="1" applyFont="1" applyFill="1" applyBorder="1" applyAlignment="1">
      <alignment horizontal="center" vertical="center"/>
    </xf>
    <xf numFmtId="0" fontId="21" fillId="0" borderId="7"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xf>
    <xf numFmtId="0" fontId="19" fillId="14" borderId="12" xfId="0" applyFont="1" applyFill="1" applyBorder="1" applyAlignment="1">
      <alignment horizontal="center" vertical="center"/>
    </xf>
    <xf numFmtId="0" fontId="19" fillId="14" borderId="13" xfId="0" applyFont="1" applyFill="1" applyBorder="1" applyAlignment="1">
      <alignment horizontal="center" vertical="center"/>
    </xf>
    <xf numFmtId="0" fontId="19" fillId="14" borderId="14" xfId="0" applyFont="1" applyFill="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2" fillId="0" borderId="12" xfId="0" applyFont="1" applyBorder="1" applyAlignment="1">
      <alignment horizontal="center" vertical="center"/>
    </xf>
    <xf numFmtId="0" fontId="22" fillId="0" borderId="13" xfId="0" applyFont="1" applyBorder="1" applyAlignment="1">
      <alignment horizontal="center" vertical="center"/>
    </xf>
  </cellXfs>
  <cellStyles count="4">
    <cellStyle name="Millares" xfId="1" builtinId="3"/>
    <cellStyle name="Normal" xfId="0" builtinId="0"/>
    <cellStyle name="Normal 2" xfId="3"/>
    <cellStyle name="Porcentaje" xfId="2" builtinId="5"/>
  </cellStyles>
  <dxfs count="200">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numFmt numFmtId="170" formatCode="0.0"/>
    </dxf>
    <dxf>
      <numFmt numFmtId="170" formatCode="0.0"/>
    </dxf>
    <dxf>
      <numFmt numFmtId="170" formatCode="0.0"/>
    </dxf>
    <dxf>
      <numFmt numFmtId="170" formatCode="0.0"/>
    </dxf>
    <dxf>
      <numFmt numFmtId="170" formatCode="0.0"/>
    </dxf>
    <dxf>
      <numFmt numFmtId="164" formatCode="_(* #,##0_);_(* \(#,##0\);_(* &quot;-&quot;??_);_(@_)"/>
    </dxf>
    <dxf>
      <numFmt numFmtId="171" formatCode="_(* #,##0.0_);_(* \(#,##0.0\);_(* &quot;-&quot;??_);_(@_)"/>
    </dxf>
    <dxf>
      <numFmt numFmtId="35" formatCode="_(* #,##0.00_);_(* \(#,##0.00\);_(* &quot;-&quot;??_);_(@_)"/>
    </dxf>
    <dxf>
      <numFmt numFmtId="165" formatCode="0.0%"/>
    </dxf>
    <dxf>
      <numFmt numFmtId="13" formatCode="0%"/>
    </dxf>
    <dxf>
      <numFmt numFmtId="13" formatCode="0%"/>
    </dxf>
    <dxf>
      <numFmt numFmtId="164" formatCode="_(* #,##0_);_(* \(#,##0\);_(* &quot;-&quot;??_);_(@_)"/>
    </dxf>
    <dxf>
      <numFmt numFmtId="171" formatCode="_(* #,##0.0_);_(* \(#,##0.0\);_(* &quot;-&quot;??_);_(@_)"/>
    </dxf>
    <dxf>
      <numFmt numFmtId="35" formatCode="_(* #,##0.00_);_(* \(#,##0.00\);_(* &quot;-&quot;??_);_(@_)"/>
    </dxf>
    <dxf>
      <numFmt numFmtId="165" formatCode="0.0%"/>
    </dxf>
    <dxf>
      <numFmt numFmtId="13" formatCode="0%"/>
    </dxf>
    <dxf>
      <numFmt numFmtId="13"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numFmt numFmtId="3" formatCode="#,##0"/>
      <fill>
        <patternFill>
          <bgColor rgb="FF006666"/>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s>
  <tableStyles count="0" defaultTableStyle="TableStyleMedium2" defaultPivotStyle="PivotStyleLight16"/>
  <colors>
    <mruColors>
      <color rgb="FF2EB1C5"/>
      <color rgb="FF006666"/>
      <color rgb="FF009999"/>
      <color rgb="FF33CCFF"/>
      <color rgb="FF0000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connections" Target="connections.xml"/><Relationship Id="rId26" Type="http://schemas.openxmlformats.org/officeDocument/2006/relationships/customXml" Target="../customXml/item5.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TD_Tablero!$D$5</c:f>
          <c:strCache>
            <c:ptCount val="1"/>
            <c:pt idx="0">
              <c:v>Siempre Cumple</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0"/>
          <c:order val="0"/>
          <c:tx>
            <c:strRef>
              <c:f>INICIO!$D$8</c:f>
              <c:strCache>
                <c:ptCount val="1"/>
                <c:pt idx="0">
                  <c:v>T.Cumpl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INICIO!$C$9:$C$20</c:f>
              <c:strCache>
                <c:ptCount val="12"/>
                <c:pt idx="0">
                  <c:v>2018 ABR</c:v>
                </c:pt>
                <c:pt idx="1">
                  <c:v>2018 MAY</c:v>
                </c:pt>
                <c:pt idx="2">
                  <c:v>2018 JUN</c:v>
                </c:pt>
                <c:pt idx="3">
                  <c:v>2018 JUL</c:v>
                </c:pt>
                <c:pt idx="4">
                  <c:v>2018 AGO</c:v>
                </c:pt>
                <c:pt idx="5">
                  <c:v>2018 SEP</c:v>
                </c:pt>
                <c:pt idx="6">
                  <c:v>2018 OCT</c:v>
                </c:pt>
                <c:pt idx="7">
                  <c:v>2018 NOV</c:v>
                </c:pt>
                <c:pt idx="8">
                  <c:v>2018 DIC</c:v>
                </c:pt>
                <c:pt idx="9">
                  <c:v>2019 ENE</c:v>
                </c:pt>
                <c:pt idx="10">
                  <c:v>2019 FEB</c:v>
                </c:pt>
                <c:pt idx="11">
                  <c:v>2019 MAR</c:v>
                </c:pt>
              </c:strCache>
            </c:strRef>
          </c:cat>
          <c:val>
            <c:numRef>
              <c:f>INICIO!$D$9:$D$20</c:f>
              <c:numCache>
                <c:formatCode>0.0%</c:formatCode>
                <c:ptCount val="12"/>
                <c:pt idx="0">
                  <c:v>1.2785378333333333</c:v>
                </c:pt>
                <c:pt idx="1">
                  <c:v>2.909502806122449</c:v>
                </c:pt>
                <c:pt idx="2">
                  <c:v>1.0575346190476191</c:v>
                </c:pt>
                <c:pt idx="3">
                  <c:v>1.2645369047619048</c:v>
                </c:pt>
                <c:pt idx="4">
                  <c:v>1.1466505714285715</c:v>
                </c:pt>
                <c:pt idx="5">
                  <c:v>1.1393393333333333</c:v>
                </c:pt>
                <c:pt idx="6">
                  <c:v>1.1668862935985016</c:v>
                </c:pt>
                <c:pt idx="7">
                  <c:v>1.132716883116883</c:v>
                </c:pt>
                <c:pt idx="8">
                  <c:v>1.1463949316770186</c:v>
                </c:pt>
                <c:pt idx="9">
                  <c:v>1.2915442687747036</c:v>
                </c:pt>
                <c:pt idx="10">
                  <c:v>1.1231419090909092</c:v>
                </c:pt>
                <c:pt idx="11">
                  <c:v>1.3924611471861472</c:v>
                </c:pt>
              </c:numCache>
            </c:numRef>
          </c:val>
          <c:smooth val="0"/>
          <c:extLst>
            <c:ext xmlns:c16="http://schemas.microsoft.com/office/drawing/2014/chart" uri="{C3380CC4-5D6E-409C-BE32-E72D297353CC}">
              <c16:uniqueId val="{00000000-662B-49F7-9205-906481F2CDDA}"/>
            </c:ext>
          </c:extLst>
        </c:ser>
        <c:dLbls>
          <c:dLblPos val="t"/>
          <c:showLegendKey val="0"/>
          <c:showVal val="1"/>
          <c:showCatName val="0"/>
          <c:showSerName val="0"/>
          <c:showPercent val="0"/>
          <c:showBubbleSize val="0"/>
        </c:dLbls>
        <c:marker val="1"/>
        <c:smooth val="0"/>
        <c:axId val="1181338208"/>
        <c:axId val="1181337792"/>
      </c:lineChart>
      <c:catAx>
        <c:axId val="118133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1337792"/>
        <c:crosses val="autoZero"/>
        <c:auto val="1"/>
        <c:lblAlgn val="ctr"/>
        <c:lblOffset val="100"/>
        <c:noMultiLvlLbl val="0"/>
      </c:catAx>
      <c:valAx>
        <c:axId val="1181337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1338208"/>
        <c:crosses val="autoZero"/>
        <c:crossBetween val="between"/>
      </c:valAx>
      <c:spPr>
        <a:noFill/>
        <a:ln>
          <a:noFill/>
        </a:ln>
        <a:effectLst/>
      </c:spPr>
    </c:plotArea>
    <c:plotVisOnly val="1"/>
    <c:dispBlanksAs val="span"/>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TABLERO!A1"/><Relationship Id="rId1" Type="http://schemas.openxmlformats.org/officeDocument/2006/relationships/hyperlink" Target="#INICIO!A1"/></Relationships>
</file>

<file path=xl/drawings/_rels/drawing2.xml.rels><?xml version="1.0" encoding="UTF-8" standalone="yes"?>
<Relationships xmlns="http://schemas.openxmlformats.org/package/2006/relationships"><Relationship Id="rId2" Type="http://schemas.openxmlformats.org/officeDocument/2006/relationships/hyperlink" Target="#'Corte A&#241;o M&#243;vil'!A1"/><Relationship Id="rId1" Type="http://schemas.openxmlformats.org/officeDocument/2006/relationships/hyperlink" Target="#INICIO!A1"/></Relationships>
</file>

<file path=xl/drawings/_rels/drawing3.xml.rels><?xml version="1.0" encoding="UTF-8" standalone="yes"?>
<Relationships xmlns="http://schemas.openxmlformats.org/package/2006/relationships"><Relationship Id="rId2" Type="http://schemas.openxmlformats.org/officeDocument/2006/relationships/hyperlink" Target="#TABLERO!A1"/><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133350</xdr:rowOff>
    </xdr:from>
    <xdr:to>
      <xdr:col>1</xdr:col>
      <xdr:colOff>447675</xdr:colOff>
      <xdr:row>3</xdr:row>
      <xdr:rowOff>71715</xdr:rowOff>
    </xdr:to>
    <xdr:sp macro="" textlink="">
      <xdr:nvSpPr>
        <xdr:cNvPr id="2" name="Rectángulo redondeado 1">
          <a:hlinkClick xmlns:r="http://schemas.openxmlformats.org/officeDocument/2006/relationships" r:id="rId1"/>
        </xdr:cNvPr>
        <xdr:cNvSpPr/>
      </xdr:nvSpPr>
      <xdr:spPr>
        <a:xfrm>
          <a:off x="28575" y="133350"/>
          <a:ext cx="1019175" cy="405090"/>
        </a:xfrm>
        <a:prstGeom prst="roundRect">
          <a:avLst/>
        </a:prstGeom>
        <a:solidFill>
          <a:srgbClr val="009999"/>
        </a:solidFill>
        <a:ln>
          <a:solidFill>
            <a:srgbClr val="00999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INICIO</a:t>
          </a:r>
        </a:p>
      </xdr:txBody>
    </xdr:sp>
    <xdr:clientData/>
  </xdr:twoCellAnchor>
  <xdr:twoCellAnchor>
    <xdr:from>
      <xdr:col>0</xdr:col>
      <xdr:colOff>19050</xdr:colOff>
      <xdr:row>3</xdr:row>
      <xdr:rowOff>161925</xdr:rowOff>
    </xdr:from>
    <xdr:to>
      <xdr:col>1</xdr:col>
      <xdr:colOff>447675</xdr:colOff>
      <xdr:row>6</xdr:row>
      <xdr:rowOff>119340</xdr:rowOff>
    </xdr:to>
    <xdr:sp macro="" textlink="">
      <xdr:nvSpPr>
        <xdr:cNvPr id="3" name="Rectángulo redondeado 2">
          <a:hlinkClick xmlns:r="http://schemas.openxmlformats.org/officeDocument/2006/relationships" r:id="rId2"/>
        </xdr:cNvPr>
        <xdr:cNvSpPr/>
      </xdr:nvSpPr>
      <xdr:spPr>
        <a:xfrm>
          <a:off x="19050" y="628650"/>
          <a:ext cx="885825" cy="405090"/>
        </a:xfrm>
        <a:prstGeom prst="roundRect">
          <a:avLst/>
        </a:prstGeom>
        <a:solidFill>
          <a:srgbClr val="009999"/>
        </a:solidFill>
        <a:ln>
          <a:solidFill>
            <a:srgbClr val="00999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ATRÁS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44823</xdr:colOff>
      <xdr:row>6</xdr:row>
      <xdr:rowOff>95251</xdr:rowOff>
    </xdr:from>
    <xdr:to>
      <xdr:col>5</xdr:col>
      <xdr:colOff>134471</xdr:colOff>
      <xdr:row>19</xdr:row>
      <xdr:rowOff>67235</xdr:rowOff>
    </xdr:to>
    <mc:AlternateContent xmlns:mc="http://schemas.openxmlformats.org/markup-compatibility/2006" xmlns:a14="http://schemas.microsoft.com/office/drawing/2010/main">
      <mc:Choice Requires="a14">
        <xdr:graphicFrame macro="">
          <xdr:nvGraphicFramePr>
            <xdr:cNvPr id="4" name="NOMBRE 1"/>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89647" y="1114986"/>
              <a:ext cx="1736912" cy="2594161"/>
            </a:xfrm>
            <a:prstGeom prst="rect">
              <a:avLst/>
            </a:prstGeom>
            <a:solidFill>
              <a:prstClr val="white"/>
            </a:solidFill>
            <a:ln w="1">
              <a:solidFill>
                <a:prstClr val="green"/>
              </a:solidFill>
            </a:ln>
          </xdr:spPr>
          <xdr:txBody>
            <a:bodyPr vertOverflow="clip" horzOverflow="clip"/>
            <a:lstStyle/>
            <a:p>
              <a:r>
                <a:rPr lang="es-CO"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0</xdr:col>
      <xdr:colOff>313765</xdr:colOff>
      <xdr:row>0</xdr:row>
      <xdr:rowOff>112061</xdr:rowOff>
    </xdr:from>
    <xdr:to>
      <xdr:col>5</xdr:col>
      <xdr:colOff>313764</xdr:colOff>
      <xdr:row>2</xdr:row>
      <xdr:rowOff>145676</xdr:rowOff>
    </xdr:to>
    <xdr:sp macro="" textlink="">
      <xdr:nvSpPr>
        <xdr:cNvPr id="3" name="Rectángulo redondeado 2">
          <a:hlinkClick xmlns:r="http://schemas.openxmlformats.org/officeDocument/2006/relationships" r:id="rId1"/>
        </xdr:cNvPr>
        <xdr:cNvSpPr/>
      </xdr:nvSpPr>
      <xdr:spPr>
        <a:xfrm>
          <a:off x="313765" y="112061"/>
          <a:ext cx="1344705" cy="414615"/>
        </a:xfrm>
        <a:prstGeom prst="roundRect">
          <a:avLst/>
        </a:prstGeom>
        <a:solidFill>
          <a:srgbClr val="009999"/>
        </a:solidFill>
        <a:ln>
          <a:solidFill>
            <a:srgbClr val="00999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INICIO</a:t>
          </a:r>
        </a:p>
      </xdr:txBody>
    </xdr:sp>
    <xdr:clientData/>
  </xdr:twoCellAnchor>
  <xdr:twoCellAnchor>
    <xdr:from>
      <xdr:col>0</xdr:col>
      <xdr:colOff>291352</xdr:colOff>
      <xdr:row>3</xdr:row>
      <xdr:rowOff>22412</xdr:rowOff>
    </xdr:from>
    <xdr:to>
      <xdr:col>5</xdr:col>
      <xdr:colOff>313764</xdr:colOff>
      <xdr:row>5</xdr:row>
      <xdr:rowOff>100853</xdr:rowOff>
    </xdr:to>
    <xdr:sp macro="" textlink="">
      <xdr:nvSpPr>
        <xdr:cNvPr id="5" name="Rectángulo redondeado 4">
          <a:hlinkClick xmlns:r="http://schemas.openxmlformats.org/officeDocument/2006/relationships" r:id="rId2"/>
        </xdr:cNvPr>
        <xdr:cNvSpPr/>
      </xdr:nvSpPr>
      <xdr:spPr>
        <a:xfrm>
          <a:off x="291352" y="504265"/>
          <a:ext cx="1367118" cy="358588"/>
        </a:xfrm>
        <a:prstGeom prst="roundRect">
          <a:avLst/>
        </a:prstGeom>
        <a:solidFill>
          <a:srgbClr val="009999"/>
        </a:solidFill>
        <a:ln>
          <a:solidFill>
            <a:srgbClr val="00999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baseline="0"/>
            <a:t> AÑO MÓVIL</a:t>
          </a:r>
          <a:endParaRPr lang="es-CO" sz="1800" b="1"/>
        </a:p>
      </xdr:txBody>
    </xdr:sp>
    <xdr:clientData/>
  </xdr:twoCellAnchor>
  <xdr:twoCellAnchor>
    <xdr:from>
      <xdr:col>1</xdr:col>
      <xdr:colOff>145677</xdr:colOff>
      <xdr:row>21</xdr:row>
      <xdr:rowOff>190499</xdr:rowOff>
    </xdr:from>
    <xdr:to>
      <xdr:col>5</xdr:col>
      <xdr:colOff>11206</xdr:colOff>
      <xdr:row>36</xdr:row>
      <xdr:rowOff>22410</xdr:rowOff>
    </xdr:to>
    <xdr:sp macro="" textlink="">
      <xdr:nvSpPr>
        <xdr:cNvPr id="2" name="Franja diagonal 1"/>
        <xdr:cNvSpPr/>
      </xdr:nvSpPr>
      <xdr:spPr>
        <a:xfrm>
          <a:off x="302559" y="4112558"/>
          <a:ext cx="1512794" cy="2510117"/>
        </a:xfrm>
        <a:prstGeom prst="diagStripe">
          <a:avLst/>
        </a:prstGeom>
        <a:solidFill>
          <a:srgbClr val="2EB1C5"/>
        </a:solidFill>
        <a:ln>
          <a:solidFill>
            <a:schemeClr val="bg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2</xdr:col>
      <xdr:colOff>249482</xdr:colOff>
      <xdr:row>20</xdr:row>
      <xdr:rowOff>98643</xdr:rowOff>
    </xdr:from>
    <xdr:to>
      <xdr:col>3</xdr:col>
      <xdr:colOff>399751</xdr:colOff>
      <xdr:row>33</xdr:row>
      <xdr:rowOff>158952</xdr:rowOff>
    </xdr:to>
    <xdr:sp macro="" textlink="">
      <xdr:nvSpPr>
        <xdr:cNvPr id="6" name="CuadroTexto 5"/>
        <xdr:cNvSpPr txBox="1"/>
      </xdr:nvSpPr>
      <xdr:spPr>
        <a:xfrm rot="18081890">
          <a:off x="-271435" y="4664884"/>
          <a:ext cx="2357515" cy="68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800" b="1">
              <a:solidFill>
                <a:schemeClr val="bg1"/>
              </a:solidFill>
            </a:rPr>
            <a:t>PLAN DE</a:t>
          </a:r>
        </a:p>
        <a:p>
          <a:pPr algn="ctr"/>
          <a:r>
            <a:rPr lang="es-CO" sz="1800" b="1">
              <a:solidFill>
                <a:schemeClr val="bg1"/>
              </a:solidFill>
            </a:rPr>
            <a:t>RECONOCI</a:t>
          </a:r>
          <a:r>
            <a:rPr lang="es-CO" sz="1800" b="1" baseline="0">
              <a:solidFill>
                <a:schemeClr val="bg1"/>
              </a:solidFill>
            </a:rPr>
            <a:t>MIENTOS</a:t>
          </a:r>
          <a:endParaRPr lang="es-CO" sz="1800" b="1">
            <a:solidFill>
              <a:schemeClr val="bg1"/>
            </a:solidFill>
          </a:endParaRPr>
        </a:p>
      </xdr:txBody>
    </xdr:sp>
    <xdr:clientData/>
  </xdr:twoCellAnchor>
  <xdr:twoCellAnchor>
    <xdr:from>
      <xdr:col>2</xdr:col>
      <xdr:colOff>470645</xdr:colOff>
      <xdr:row>29</xdr:row>
      <xdr:rowOff>100853</xdr:rowOff>
    </xdr:from>
    <xdr:to>
      <xdr:col>4</xdr:col>
      <xdr:colOff>414616</xdr:colOff>
      <xdr:row>35</xdr:row>
      <xdr:rowOff>145676</xdr:rowOff>
    </xdr:to>
    <xdr:sp macro="" textlink="">
      <xdr:nvSpPr>
        <xdr:cNvPr id="7" name="Estrella de 5 puntas 6"/>
        <xdr:cNvSpPr/>
      </xdr:nvSpPr>
      <xdr:spPr>
        <a:xfrm>
          <a:off x="784410" y="5356412"/>
          <a:ext cx="997324" cy="1199029"/>
        </a:xfrm>
        <a:prstGeom prst="star5">
          <a:avLst/>
        </a:prstGeom>
        <a:solidFill>
          <a:srgbClr val="2EB1C5"/>
        </a:solidFill>
        <a:ln>
          <a:solidFill>
            <a:schemeClr val="bg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369793</xdr:colOff>
      <xdr:row>31</xdr:row>
      <xdr:rowOff>99608</xdr:rowOff>
    </xdr:from>
    <xdr:to>
      <xdr:col>5</xdr:col>
      <xdr:colOff>56029</xdr:colOff>
      <xdr:row>33</xdr:row>
      <xdr:rowOff>156883</xdr:rowOff>
    </xdr:to>
    <xdr:sp macro="" textlink="">
      <xdr:nvSpPr>
        <xdr:cNvPr id="8" name="CuadroTexto 7"/>
        <xdr:cNvSpPr txBox="1"/>
      </xdr:nvSpPr>
      <xdr:spPr>
        <a:xfrm>
          <a:off x="683558" y="5736167"/>
          <a:ext cx="1176618" cy="449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800" b="1">
              <a:solidFill>
                <a:schemeClr val="bg1"/>
              </a:solidFill>
            </a:rPr>
            <a:t>ÓPTICA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705971</xdr:colOff>
      <xdr:row>5</xdr:row>
      <xdr:rowOff>186020</xdr:rowOff>
    </xdr:from>
    <xdr:to>
      <xdr:col>11</xdr:col>
      <xdr:colOff>616324</xdr:colOff>
      <xdr:row>23</xdr:row>
      <xdr:rowOff>67236</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150160</xdr:colOff>
      <xdr:row>2</xdr:row>
      <xdr:rowOff>88526</xdr:rowOff>
    </xdr:from>
    <xdr:to>
      <xdr:col>4</xdr:col>
      <xdr:colOff>688043</xdr:colOff>
      <xdr:row>24</xdr:row>
      <xdr:rowOff>101413</xdr:rowOff>
    </xdr:to>
    <mc:AlternateContent xmlns:mc="http://schemas.openxmlformats.org/markup-compatibility/2006">
      <mc:Choice xmlns:a14="http://schemas.microsoft.com/office/drawing/2010/main" Requires="a14">
        <xdr:graphicFrame macro="">
          <xdr:nvGraphicFramePr>
            <xdr:cNvPr id="7" name="Punto de Vista"/>
            <xdr:cNvGraphicFramePr/>
          </xdr:nvGraphicFramePr>
          <xdr:xfrm>
            <a:off x="0" y="0"/>
            <a:ext cx="0" cy="0"/>
          </xdr:xfrm>
          <a:graphic>
            <a:graphicData uri="http://schemas.microsoft.com/office/drawing/2010/slicer">
              <sle:slicer xmlns:sle="http://schemas.microsoft.com/office/drawing/2010/slicer" name="Punto de Vista"/>
            </a:graphicData>
          </a:graphic>
        </xdr:graphicFrame>
      </mc:Choice>
      <mc:Fallback>
        <xdr:sp macro="" textlink="">
          <xdr:nvSpPr>
            <xdr:cNvPr id="0" name=""/>
            <xdr:cNvSpPr>
              <a:spLocks noTextEdit="1"/>
            </xdr:cNvSpPr>
          </xdr:nvSpPr>
          <xdr:spPr>
            <a:xfrm>
              <a:off x="150160" y="581585"/>
              <a:ext cx="2241177" cy="4338357"/>
            </a:xfrm>
            <a:prstGeom prst="rect">
              <a:avLst/>
            </a:prstGeom>
            <a:solidFill>
              <a:prstClr val="white"/>
            </a:solidFill>
            <a:ln w="1">
              <a:solidFill>
                <a:prstClr val="green"/>
              </a:solidFill>
            </a:ln>
          </xdr:spPr>
          <xdr:txBody>
            <a:bodyPr vertOverflow="clip" horzOverflow="clip"/>
            <a:lstStyle/>
            <a:p>
              <a:r>
                <a:rPr lang="es-CO"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4</xdr:col>
      <xdr:colOff>739586</xdr:colOff>
      <xdr:row>1</xdr:row>
      <xdr:rowOff>22411</xdr:rowOff>
    </xdr:from>
    <xdr:to>
      <xdr:col>11</xdr:col>
      <xdr:colOff>616322</xdr:colOff>
      <xdr:row>5</xdr:row>
      <xdr:rowOff>56029</xdr:rowOff>
    </xdr:to>
    <mc:AlternateContent xmlns:mc="http://schemas.openxmlformats.org/markup-compatibility/2006" xmlns:a14="http://schemas.microsoft.com/office/drawing/2010/main">
      <mc:Choice Requires="a14">
        <xdr:graphicFrame macro="">
          <xdr:nvGraphicFramePr>
            <xdr:cNvPr id="8" name="NOMBRE"/>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2442880" y="212911"/>
              <a:ext cx="5378824" cy="918883"/>
            </a:xfrm>
            <a:prstGeom prst="rect">
              <a:avLst/>
            </a:prstGeom>
            <a:solidFill>
              <a:prstClr val="white"/>
            </a:solidFill>
            <a:ln w="1">
              <a:solidFill>
                <a:prstClr val="green"/>
              </a:solidFill>
            </a:ln>
          </xdr:spPr>
          <xdr:txBody>
            <a:bodyPr vertOverflow="clip" horzOverflow="clip"/>
            <a:lstStyle/>
            <a:p>
              <a:r>
                <a:rPr lang="es-CO"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49</xdr:col>
      <xdr:colOff>179295</xdr:colOff>
      <xdr:row>6</xdr:row>
      <xdr:rowOff>44824</xdr:rowOff>
    </xdr:from>
    <xdr:to>
      <xdr:col>49</xdr:col>
      <xdr:colOff>616325</xdr:colOff>
      <xdr:row>7</xdr:row>
      <xdr:rowOff>160805</xdr:rowOff>
    </xdr:to>
    <xdr:sp macro="" textlink="">
      <xdr:nvSpPr>
        <xdr:cNvPr id="6" name="Flecha derecha 5"/>
        <xdr:cNvSpPr/>
      </xdr:nvSpPr>
      <xdr:spPr>
        <a:xfrm>
          <a:off x="31410089" y="1210236"/>
          <a:ext cx="437030" cy="306481"/>
        </a:xfrm>
        <a:prstGeom prst="rightArrow">
          <a:avLst/>
        </a:prstGeom>
        <a:solidFill>
          <a:schemeClr val="accent5">
            <a:lumMod val="7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28</xdr:col>
      <xdr:colOff>156883</xdr:colOff>
      <xdr:row>4</xdr:row>
      <xdr:rowOff>179294</xdr:rowOff>
    </xdr:from>
    <xdr:to>
      <xdr:col>29</xdr:col>
      <xdr:colOff>369795</xdr:colOff>
      <xdr:row>6</xdr:row>
      <xdr:rowOff>104775</xdr:rowOff>
    </xdr:to>
    <xdr:sp macro="" textlink="">
      <xdr:nvSpPr>
        <xdr:cNvPr id="10" name="Flecha derecha 9"/>
        <xdr:cNvSpPr/>
      </xdr:nvSpPr>
      <xdr:spPr>
        <a:xfrm>
          <a:off x="19173265" y="963706"/>
          <a:ext cx="437030" cy="306481"/>
        </a:xfrm>
        <a:prstGeom prst="rightArrow">
          <a:avLst/>
        </a:prstGeom>
        <a:solidFill>
          <a:schemeClr val="accent5">
            <a:lumMod val="7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xdr:col>
      <xdr:colOff>47625</xdr:colOff>
      <xdr:row>0</xdr:row>
      <xdr:rowOff>112060</xdr:rowOff>
    </xdr:from>
    <xdr:to>
      <xdr:col>4</xdr:col>
      <xdr:colOff>333375</xdr:colOff>
      <xdr:row>1</xdr:row>
      <xdr:rowOff>257176</xdr:rowOff>
    </xdr:to>
    <xdr:sp macro="" textlink="">
      <xdr:nvSpPr>
        <xdr:cNvPr id="9" name="Rectángulo redondeado 8">
          <a:hlinkClick xmlns:r="http://schemas.openxmlformats.org/officeDocument/2006/relationships" r:id="rId2"/>
        </xdr:cNvPr>
        <xdr:cNvSpPr/>
      </xdr:nvSpPr>
      <xdr:spPr>
        <a:xfrm>
          <a:off x="342900" y="112060"/>
          <a:ext cx="1695450" cy="335616"/>
        </a:xfrm>
        <a:prstGeom prst="roundRect">
          <a:avLst/>
        </a:prstGeom>
        <a:solidFill>
          <a:srgbClr val="2EB1C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SEGUIMIENTO</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LAURA\1-INFORME%20INGRESOS\4-Informe%20Ventas%20Optica\Consolidados\2019%20-%20Cumplimiento%20Opt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onal"/>
      <sheetName val="BD IPS"/>
      <sheetName val="BD ASR"/>
      <sheetName val="TD Cumpl"/>
      <sheetName val="Aplica 2019"/>
    </sheetNames>
    <sheetDataSet>
      <sheetData sheetId="0" refreshError="1"/>
      <sheetData sheetId="1" refreshError="1"/>
      <sheetData sheetId="2">
        <row r="1">
          <cell r="A1" t="str">
            <v>Año/Mes</v>
          </cell>
          <cell r="B1" t="str">
            <v>AÑO</v>
          </cell>
          <cell r="C1" t="str">
            <v>MES</v>
          </cell>
          <cell r="D1" t="str">
            <v>USUARIO</v>
          </cell>
          <cell r="E1" t="str">
            <v>CEDULA</v>
          </cell>
          <cell r="F1" t="str">
            <v>NOMBRE</v>
          </cell>
          <cell r="G1" t="str">
            <v>INGRESO   GLOBAL</v>
          </cell>
          <cell r="H1" t="str">
            <v>LENTES CONTACTO</v>
          </cell>
          <cell r="I1" t="str">
            <v>AUX.PBS MIPRES TUTELAS ATEP</v>
          </cell>
          <cell r="J1" t="str">
            <v>INGRESOS ASESOR</v>
          </cell>
          <cell r="K1" t="str">
            <v>PRESUPUESTO ASESOR</v>
          </cell>
          <cell r="L1" t="str">
            <v>CUMPLIMIENTO  ASESOR</v>
          </cell>
          <cell r="M1" t="str">
            <v>Aplica</v>
          </cell>
          <cell r="N1" t="str">
            <v>Dias
Hábiles</v>
          </cell>
          <cell r="O1" t="str">
            <v>Punto de Vista</v>
          </cell>
          <cell r="P1" t="str">
            <v>Regional</v>
          </cell>
          <cell r="Q1" t="str">
            <v>Observación</v>
          </cell>
          <cell r="R1" t="str">
            <v>N° Monturas</v>
          </cell>
          <cell r="S1" t="str">
            <v>$ Monturas</v>
          </cell>
          <cell r="T1" t="str">
            <v>N° Lent. Oft. Esp.</v>
          </cell>
          <cell r="U1" t="str">
            <v>$ Lent. Oft. Esp.</v>
          </cell>
          <cell r="V1" t="str">
            <v>N° Aux.Lent.Pos</v>
          </cell>
          <cell r="W1" t="str">
            <v>$ Aux.Lent.Pos</v>
          </cell>
          <cell r="X1" t="str">
            <v>ACCESORIOS MIPRES TUTELAS ARL LC</v>
          </cell>
          <cell r="Y1" t="str">
            <v>VACACIONES</v>
          </cell>
        </row>
        <row r="2">
          <cell r="A2" t="str">
            <v>2017 Enero</v>
          </cell>
        </row>
        <row r="3">
          <cell r="A3" t="str">
            <v>2017 Enero</v>
          </cell>
        </row>
        <row r="4">
          <cell r="A4" t="str">
            <v>2017 Enero</v>
          </cell>
        </row>
        <row r="5">
          <cell r="A5" t="str">
            <v>2017 Enero</v>
          </cell>
        </row>
        <row r="6">
          <cell r="A6" t="str">
            <v>2017 Enero</v>
          </cell>
        </row>
        <row r="7">
          <cell r="A7" t="str">
            <v>2017 Enero</v>
          </cell>
        </row>
        <row r="8">
          <cell r="A8" t="str">
            <v>2017 Enero</v>
          </cell>
        </row>
        <row r="9">
          <cell r="A9" t="str">
            <v>2017 Enero</v>
          </cell>
        </row>
        <row r="10">
          <cell r="A10" t="str">
            <v>2017 Enero</v>
          </cell>
        </row>
        <row r="11">
          <cell r="A11" t="str">
            <v>2017 Enero</v>
          </cell>
        </row>
        <row r="12">
          <cell r="A12" t="str">
            <v>2017 Enero</v>
          </cell>
        </row>
        <row r="13">
          <cell r="A13" t="str">
            <v>2017 Enero</v>
          </cell>
        </row>
        <row r="14">
          <cell r="A14" t="str">
            <v>2017 Enero</v>
          </cell>
        </row>
        <row r="15">
          <cell r="A15" t="str">
            <v>2017 Enero</v>
          </cell>
        </row>
        <row r="16">
          <cell r="A16" t="str">
            <v>2017 Enero</v>
          </cell>
        </row>
        <row r="17">
          <cell r="A17" t="str">
            <v>2017 Enero</v>
          </cell>
        </row>
        <row r="18">
          <cell r="A18" t="str">
            <v>2017 Enero</v>
          </cell>
        </row>
        <row r="19">
          <cell r="A19" t="str">
            <v>2017 Enero</v>
          </cell>
        </row>
        <row r="20">
          <cell r="A20" t="str">
            <v>2017 Enero</v>
          </cell>
        </row>
        <row r="21">
          <cell r="A21" t="str">
            <v>2017 Enero</v>
          </cell>
        </row>
        <row r="22">
          <cell r="A22" t="str">
            <v>2017 Enero</v>
          </cell>
        </row>
        <row r="23">
          <cell r="A23" t="str">
            <v>2017 Enero</v>
          </cell>
        </row>
        <row r="24">
          <cell r="A24" t="str">
            <v>2017 Enero</v>
          </cell>
        </row>
        <row r="25">
          <cell r="A25" t="str">
            <v>2017 Enero</v>
          </cell>
        </row>
        <row r="26">
          <cell r="A26" t="str">
            <v>2017 Enero</v>
          </cell>
        </row>
        <row r="27">
          <cell r="A27" t="str">
            <v>2017 Enero</v>
          </cell>
        </row>
        <row r="28">
          <cell r="A28" t="str">
            <v>2017 Enero</v>
          </cell>
        </row>
        <row r="29">
          <cell r="A29" t="str">
            <v>2017 Enero</v>
          </cell>
        </row>
        <row r="30">
          <cell r="A30" t="str">
            <v>2017 Enero</v>
          </cell>
        </row>
        <row r="31">
          <cell r="A31" t="str">
            <v>2017 Enero</v>
          </cell>
        </row>
        <row r="32">
          <cell r="A32" t="str">
            <v>2017 Enero</v>
          </cell>
        </row>
        <row r="33">
          <cell r="A33" t="str">
            <v>2017 Enero</v>
          </cell>
        </row>
        <row r="34">
          <cell r="A34" t="str">
            <v>2017 Enero</v>
          </cell>
        </row>
        <row r="35">
          <cell r="A35" t="str">
            <v>2017 Enero</v>
          </cell>
        </row>
        <row r="36">
          <cell r="A36" t="str">
            <v>2017 Enero</v>
          </cell>
        </row>
        <row r="37">
          <cell r="A37" t="str">
            <v>2017 Enero</v>
          </cell>
        </row>
        <row r="38">
          <cell r="A38" t="str">
            <v>2017 Enero</v>
          </cell>
        </row>
        <row r="39">
          <cell r="A39" t="str">
            <v>2017 Enero</v>
          </cell>
        </row>
        <row r="40">
          <cell r="A40" t="str">
            <v>2017 Enero</v>
          </cell>
        </row>
        <row r="41">
          <cell r="A41" t="str">
            <v>2017 Enero</v>
          </cell>
        </row>
        <row r="42">
          <cell r="A42" t="str">
            <v>2017 Enero</v>
          </cell>
        </row>
        <row r="43">
          <cell r="A43" t="str">
            <v>2017 Enero</v>
          </cell>
        </row>
        <row r="44">
          <cell r="A44" t="str">
            <v>2017 Enero</v>
          </cell>
        </row>
        <row r="45">
          <cell r="A45" t="str">
            <v>2017 Enero</v>
          </cell>
        </row>
        <row r="46">
          <cell r="A46" t="str">
            <v>2017 Enero</v>
          </cell>
        </row>
        <row r="47">
          <cell r="A47" t="str">
            <v>2017 Enero</v>
          </cell>
        </row>
        <row r="48">
          <cell r="A48" t="str">
            <v>2017 Enero</v>
          </cell>
        </row>
        <row r="49">
          <cell r="A49" t="str">
            <v>2017 Enero</v>
          </cell>
        </row>
        <row r="50">
          <cell r="A50" t="str">
            <v>2017 Enero</v>
          </cell>
        </row>
        <row r="51">
          <cell r="A51" t="str">
            <v>2017 Enero</v>
          </cell>
        </row>
        <row r="52">
          <cell r="A52" t="str">
            <v>2017 Enero</v>
          </cell>
        </row>
        <row r="53">
          <cell r="A53" t="str">
            <v>2017 Enero</v>
          </cell>
        </row>
        <row r="54">
          <cell r="A54" t="str">
            <v>2017 Enero</v>
          </cell>
        </row>
        <row r="55">
          <cell r="A55" t="str">
            <v>2017 Enero</v>
          </cell>
        </row>
        <row r="56">
          <cell r="A56" t="str">
            <v>2017 Enero</v>
          </cell>
        </row>
        <row r="57">
          <cell r="A57" t="str">
            <v>2017 Enero</v>
          </cell>
        </row>
        <row r="58">
          <cell r="A58" t="str">
            <v>2017 Febrero</v>
          </cell>
        </row>
        <row r="59">
          <cell r="A59" t="str">
            <v>2017 Febrero</v>
          </cell>
        </row>
        <row r="60">
          <cell r="A60" t="str">
            <v>2017 Febrero</v>
          </cell>
        </row>
        <row r="61">
          <cell r="A61" t="str">
            <v>2017 Febrero</v>
          </cell>
        </row>
        <row r="62">
          <cell r="A62" t="str">
            <v>2017 Febrero</v>
          </cell>
        </row>
        <row r="63">
          <cell r="A63" t="str">
            <v>2017 Febrero</v>
          </cell>
        </row>
        <row r="64">
          <cell r="A64" t="str">
            <v>2017 Febrero</v>
          </cell>
        </row>
        <row r="65">
          <cell r="A65" t="str">
            <v>2017 Febrero</v>
          </cell>
        </row>
        <row r="66">
          <cell r="A66" t="str">
            <v>2017 Febrero</v>
          </cell>
        </row>
        <row r="67">
          <cell r="A67" t="str">
            <v>2017 Febrero</v>
          </cell>
        </row>
        <row r="68">
          <cell r="A68" t="str">
            <v>2017 Febrero</v>
          </cell>
        </row>
        <row r="69">
          <cell r="A69" t="str">
            <v>2017 Febrero</v>
          </cell>
        </row>
        <row r="70">
          <cell r="A70" t="str">
            <v>2017 Febrero</v>
          </cell>
        </row>
        <row r="71">
          <cell r="A71" t="str">
            <v>2017 Febrero</v>
          </cell>
        </row>
        <row r="72">
          <cell r="A72" t="str">
            <v>2017 Febrero</v>
          </cell>
        </row>
        <row r="73">
          <cell r="A73" t="str">
            <v>2017 Febrero</v>
          </cell>
        </row>
        <row r="74">
          <cell r="A74" t="str">
            <v>2017 Febrero</v>
          </cell>
        </row>
        <row r="75">
          <cell r="A75" t="str">
            <v>2017 Febrero</v>
          </cell>
        </row>
        <row r="76">
          <cell r="A76" t="str">
            <v>2017 Febrero</v>
          </cell>
        </row>
        <row r="77">
          <cell r="A77" t="str">
            <v>2017 Febrero</v>
          </cell>
        </row>
        <row r="78">
          <cell r="A78" t="str">
            <v>2017 Febrero</v>
          </cell>
        </row>
        <row r="79">
          <cell r="A79" t="str">
            <v>2017 Febrero</v>
          </cell>
        </row>
        <row r="80">
          <cell r="A80" t="str">
            <v>2017 Febrero</v>
          </cell>
        </row>
        <row r="81">
          <cell r="A81" t="str">
            <v>2017 Febrero</v>
          </cell>
        </row>
        <row r="82">
          <cell r="A82" t="str">
            <v>2017 Febrero</v>
          </cell>
        </row>
        <row r="83">
          <cell r="A83" t="str">
            <v>2017 Febrero</v>
          </cell>
        </row>
        <row r="84">
          <cell r="A84" t="str">
            <v>2017 Febrero</v>
          </cell>
        </row>
        <row r="85">
          <cell r="A85" t="str">
            <v>2017 Febrero</v>
          </cell>
        </row>
        <row r="86">
          <cell r="A86" t="str">
            <v>2017 Febrero</v>
          </cell>
        </row>
        <row r="87">
          <cell r="A87" t="str">
            <v>2017 Febrero</v>
          </cell>
        </row>
        <row r="88">
          <cell r="A88" t="str">
            <v>2017 Febrero</v>
          </cell>
        </row>
        <row r="89">
          <cell r="A89" t="str">
            <v>2017 Febrero</v>
          </cell>
        </row>
        <row r="90">
          <cell r="A90" t="str">
            <v>2017 Febrero</v>
          </cell>
        </row>
        <row r="91">
          <cell r="A91" t="str">
            <v>2017 Febrero</v>
          </cell>
        </row>
        <row r="92">
          <cell r="A92" t="str">
            <v>2017 Febrero</v>
          </cell>
        </row>
        <row r="93">
          <cell r="A93" t="str">
            <v>2017 Febrero</v>
          </cell>
        </row>
        <row r="94">
          <cell r="A94" t="str">
            <v>2017 Febrero</v>
          </cell>
        </row>
        <row r="95">
          <cell r="A95" t="str">
            <v>2017 Febrero</v>
          </cell>
        </row>
        <row r="96">
          <cell r="A96" t="str">
            <v>2017 Febrero</v>
          </cell>
        </row>
        <row r="97">
          <cell r="A97" t="str">
            <v>2017 Febrero</v>
          </cell>
        </row>
        <row r="98">
          <cell r="A98" t="str">
            <v>2017 Febrero</v>
          </cell>
        </row>
        <row r="99">
          <cell r="A99" t="str">
            <v>2017 Febrero</v>
          </cell>
        </row>
        <row r="100">
          <cell r="A100" t="str">
            <v>2017 Febrero</v>
          </cell>
        </row>
        <row r="101">
          <cell r="A101" t="str">
            <v>2017 Febrero</v>
          </cell>
        </row>
        <row r="102">
          <cell r="A102" t="str">
            <v>2017 Febrero</v>
          </cell>
        </row>
        <row r="103">
          <cell r="A103" t="str">
            <v>2017 Febrero</v>
          </cell>
        </row>
        <row r="104">
          <cell r="A104" t="str">
            <v>2017 Febrero</v>
          </cell>
        </row>
        <row r="105">
          <cell r="A105" t="str">
            <v>2017 Febrero</v>
          </cell>
        </row>
        <row r="106">
          <cell r="A106" t="str">
            <v>2017 Febrero</v>
          </cell>
        </row>
        <row r="107">
          <cell r="A107" t="str">
            <v>2017 Febrero</v>
          </cell>
        </row>
        <row r="108">
          <cell r="A108" t="str">
            <v>2017 Marzo</v>
          </cell>
        </row>
        <row r="109">
          <cell r="A109" t="str">
            <v>2017 Marzo</v>
          </cell>
        </row>
        <row r="110">
          <cell r="A110" t="str">
            <v>2017 Marzo</v>
          </cell>
        </row>
        <row r="111">
          <cell r="A111" t="str">
            <v>2017 Marzo</v>
          </cell>
        </row>
        <row r="112">
          <cell r="A112" t="str">
            <v>2017 Marzo</v>
          </cell>
        </row>
        <row r="113">
          <cell r="A113" t="str">
            <v>2017 Marzo</v>
          </cell>
        </row>
        <row r="114">
          <cell r="A114" t="str">
            <v>2017 Marzo</v>
          </cell>
        </row>
        <row r="115">
          <cell r="A115" t="str">
            <v>2017 Marzo</v>
          </cell>
        </row>
        <row r="116">
          <cell r="A116" t="str">
            <v>2017 Marzo</v>
          </cell>
        </row>
        <row r="117">
          <cell r="A117" t="str">
            <v>2017 Marzo</v>
          </cell>
        </row>
        <row r="118">
          <cell r="A118" t="str">
            <v>2017 Marzo</v>
          </cell>
        </row>
        <row r="119">
          <cell r="A119" t="str">
            <v>2017 Marzo</v>
          </cell>
        </row>
        <row r="120">
          <cell r="A120" t="str">
            <v>2017 Marzo</v>
          </cell>
        </row>
        <row r="121">
          <cell r="A121" t="str">
            <v>2017 Marzo</v>
          </cell>
        </row>
        <row r="122">
          <cell r="A122" t="str">
            <v>2017 Marzo</v>
          </cell>
        </row>
        <row r="123">
          <cell r="A123" t="str">
            <v>2017 Marzo</v>
          </cell>
        </row>
        <row r="124">
          <cell r="A124" t="str">
            <v>2017 Marzo</v>
          </cell>
        </row>
        <row r="125">
          <cell r="A125" t="str">
            <v>2017 Marzo</v>
          </cell>
        </row>
        <row r="126">
          <cell r="A126" t="str">
            <v>2017 Marzo</v>
          </cell>
        </row>
        <row r="127">
          <cell r="A127" t="str">
            <v>2017 Marzo</v>
          </cell>
        </row>
        <row r="128">
          <cell r="A128" t="str">
            <v>2017 Marzo</v>
          </cell>
        </row>
        <row r="129">
          <cell r="A129" t="str">
            <v>2017 Marzo</v>
          </cell>
        </row>
        <row r="130">
          <cell r="A130" t="str">
            <v>2017 Marzo</v>
          </cell>
        </row>
        <row r="131">
          <cell r="A131" t="str">
            <v>2017 Marzo</v>
          </cell>
        </row>
        <row r="132">
          <cell r="A132" t="str">
            <v>2017 Marzo</v>
          </cell>
        </row>
        <row r="133">
          <cell r="A133" t="str">
            <v>2017 Marzo</v>
          </cell>
        </row>
        <row r="134">
          <cell r="A134" t="str">
            <v>2017 Marzo</v>
          </cell>
        </row>
        <row r="135">
          <cell r="A135" t="str">
            <v>2017 Marzo</v>
          </cell>
        </row>
        <row r="136">
          <cell r="A136" t="str">
            <v>2017 Marzo</v>
          </cell>
        </row>
        <row r="137">
          <cell r="A137" t="str">
            <v>2017 Marzo</v>
          </cell>
        </row>
        <row r="138">
          <cell r="A138" t="str">
            <v>2017 Marzo</v>
          </cell>
        </row>
        <row r="139">
          <cell r="A139" t="str">
            <v>2017 Marzo</v>
          </cell>
        </row>
        <row r="140">
          <cell r="A140" t="str">
            <v>2017 Marzo</v>
          </cell>
        </row>
        <row r="141">
          <cell r="A141" t="str">
            <v>2017 Marzo</v>
          </cell>
        </row>
        <row r="142">
          <cell r="A142" t="str">
            <v>2017 Marzo</v>
          </cell>
        </row>
        <row r="143">
          <cell r="A143" t="str">
            <v>2017 Marzo</v>
          </cell>
        </row>
        <row r="144">
          <cell r="A144" t="str">
            <v>2017 Marzo</v>
          </cell>
        </row>
        <row r="145">
          <cell r="A145" t="str">
            <v>2017 Marzo</v>
          </cell>
        </row>
        <row r="146">
          <cell r="A146" t="str">
            <v>2017 Marzo</v>
          </cell>
        </row>
        <row r="147">
          <cell r="A147" t="str">
            <v>2017 Marzo</v>
          </cell>
        </row>
        <row r="148">
          <cell r="A148" t="str">
            <v>2017 Marzo</v>
          </cell>
        </row>
        <row r="149">
          <cell r="A149" t="str">
            <v>2017 Marzo</v>
          </cell>
        </row>
        <row r="150">
          <cell r="A150" t="str">
            <v>2017 Marzo</v>
          </cell>
        </row>
        <row r="151">
          <cell r="A151" t="str">
            <v>2017 Marzo</v>
          </cell>
        </row>
        <row r="152">
          <cell r="A152" t="str">
            <v>2017 Marzo</v>
          </cell>
        </row>
        <row r="153">
          <cell r="A153" t="str">
            <v>2017 Marzo</v>
          </cell>
        </row>
        <row r="154">
          <cell r="A154" t="str">
            <v>2017 Marzo</v>
          </cell>
        </row>
        <row r="155">
          <cell r="A155" t="str">
            <v>2017 Marzo</v>
          </cell>
        </row>
        <row r="156">
          <cell r="A156" t="str">
            <v>2017 Marzo</v>
          </cell>
        </row>
        <row r="157">
          <cell r="A157" t="str">
            <v>2017 Marzo</v>
          </cell>
        </row>
        <row r="158">
          <cell r="A158" t="str">
            <v>2017 Marzo</v>
          </cell>
        </row>
        <row r="159">
          <cell r="A159" t="str">
            <v>2017 Marzo</v>
          </cell>
        </row>
        <row r="160">
          <cell r="A160" t="str">
            <v>2017 Marzo</v>
          </cell>
        </row>
        <row r="161">
          <cell r="A161" t="str">
            <v>2017 Marzo</v>
          </cell>
        </row>
        <row r="162">
          <cell r="A162" t="str">
            <v>2017 Abril</v>
          </cell>
        </row>
        <row r="163">
          <cell r="A163" t="str">
            <v>2017 Abril</v>
          </cell>
        </row>
        <row r="164">
          <cell r="A164" t="str">
            <v>2017 Abril</v>
          </cell>
        </row>
        <row r="165">
          <cell r="A165" t="str">
            <v>2017 Abril</v>
          </cell>
        </row>
        <row r="166">
          <cell r="A166" t="str">
            <v>2017 Abril</v>
          </cell>
        </row>
        <row r="167">
          <cell r="A167" t="str">
            <v>2017 Abril</v>
          </cell>
        </row>
        <row r="168">
          <cell r="A168" t="str">
            <v>2017 Abril</v>
          </cell>
        </row>
        <row r="169">
          <cell r="A169" t="str">
            <v>2017 Abril</v>
          </cell>
        </row>
        <row r="170">
          <cell r="A170" t="str">
            <v>2017 Abril</v>
          </cell>
        </row>
        <row r="171">
          <cell r="A171" t="str">
            <v>2017 Abril</v>
          </cell>
        </row>
        <row r="172">
          <cell r="A172" t="str">
            <v>2017 Abril</v>
          </cell>
        </row>
        <row r="173">
          <cell r="A173" t="str">
            <v>2017 Abril</v>
          </cell>
        </row>
        <row r="174">
          <cell r="A174" t="str">
            <v>2017 Abril</v>
          </cell>
        </row>
        <row r="175">
          <cell r="A175" t="str">
            <v>2017 Abril</v>
          </cell>
        </row>
        <row r="176">
          <cell r="A176" t="str">
            <v>2017 Abril</v>
          </cell>
        </row>
        <row r="177">
          <cell r="A177" t="str">
            <v>2017 Abril</v>
          </cell>
        </row>
        <row r="178">
          <cell r="A178" t="str">
            <v>2017 Abril</v>
          </cell>
        </row>
        <row r="179">
          <cell r="A179" t="str">
            <v>2017 Abril</v>
          </cell>
        </row>
        <row r="180">
          <cell r="A180" t="str">
            <v>2017 Abril</v>
          </cell>
        </row>
        <row r="181">
          <cell r="A181" t="str">
            <v>2017 Abril</v>
          </cell>
        </row>
        <row r="182">
          <cell r="A182" t="str">
            <v>2017 Abril</v>
          </cell>
        </row>
        <row r="183">
          <cell r="A183" t="str">
            <v>2017 Abril</v>
          </cell>
        </row>
        <row r="184">
          <cell r="A184" t="str">
            <v>2017 Abril</v>
          </cell>
        </row>
        <row r="185">
          <cell r="A185" t="str">
            <v>2017 Abril</v>
          </cell>
        </row>
        <row r="186">
          <cell r="A186" t="str">
            <v>2017 Abril</v>
          </cell>
        </row>
        <row r="187">
          <cell r="A187" t="str">
            <v>2017 Abril</v>
          </cell>
        </row>
        <row r="188">
          <cell r="A188" t="str">
            <v>2017 Abril</v>
          </cell>
        </row>
        <row r="189">
          <cell r="A189" t="str">
            <v>2017 Abril</v>
          </cell>
        </row>
        <row r="190">
          <cell r="A190" t="str">
            <v>2017 Abril</v>
          </cell>
        </row>
        <row r="191">
          <cell r="A191" t="str">
            <v>2017 Abril</v>
          </cell>
        </row>
        <row r="192">
          <cell r="A192" t="str">
            <v>2017 Abril</v>
          </cell>
        </row>
        <row r="193">
          <cell r="A193" t="str">
            <v>2017 Abril</v>
          </cell>
        </row>
        <row r="194">
          <cell r="A194" t="str">
            <v>2017 Abril</v>
          </cell>
        </row>
        <row r="195">
          <cell r="A195" t="str">
            <v>2017 Abril</v>
          </cell>
        </row>
        <row r="196">
          <cell r="A196" t="str">
            <v>2017 Abril</v>
          </cell>
        </row>
        <row r="197">
          <cell r="A197" t="str">
            <v>2017 Abril</v>
          </cell>
        </row>
        <row r="198">
          <cell r="A198" t="str">
            <v>2017 Abril</v>
          </cell>
        </row>
        <row r="199">
          <cell r="A199" t="str">
            <v>2017 Abril</v>
          </cell>
        </row>
        <row r="200">
          <cell r="A200" t="str">
            <v>2017 Abril</v>
          </cell>
        </row>
        <row r="201">
          <cell r="A201" t="str">
            <v>2017 Abril</v>
          </cell>
        </row>
        <row r="202">
          <cell r="A202" t="str">
            <v>2017 Abril</v>
          </cell>
        </row>
        <row r="203">
          <cell r="A203" t="str">
            <v>2017 Abril</v>
          </cell>
        </row>
        <row r="204">
          <cell r="A204" t="str">
            <v>2017 Abril</v>
          </cell>
        </row>
        <row r="205">
          <cell r="A205" t="str">
            <v>2017 Abril</v>
          </cell>
        </row>
        <row r="206">
          <cell r="A206" t="str">
            <v>2017 Abril</v>
          </cell>
        </row>
        <row r="207">
          <cell r="A207" t="str">
            <v>2017 Abril</v>
          </cell>
        </row>
        <row r="208">
          <cell r="A208" t="str">
            <v>2017 Abril</v>
          </cell>
        </row>
        <row r="209">
          <cell r="A209" t="str">
            <v>2017 Abril</v>
          </cell>
        </row>
        <row r="210">
          <cell r="A210" t="str">
            <v>2017 Abril</v>
          </cell>
        </row>
        <row r="211">
          <cell r="A211" t="str">
            <v>2017 Abril</v>
          </cell>
        </row>
        <row r="212">
          <cell r="A212" t="str">
            <v>2017 Abril</v>
          </cell>
        </row>
        <row r="213">
          <cell r="A213" t="str">
            <v>2017 Abril</v>
          </cell>
        </row>
        <row r="214">
          <cell r="A214" t="str">
            <v>2017 Abril</v>
          </cell>
        </row>
        <row r="215">
          <cell r="A215" t="str">
            <v>2017 Mayo</v>
          </cell>
        </row>
        <row r="216">
          <cell r="A216" t="str">
            <v>2017 Mayo</v>
          </cell>
        </row>
        <row r="217">
          <cell r="A217" t="str">
            <v>2017 Mayo</v>
          </cell>
        </row>
        <row r="218">
          <cell r="A218" t="str">
            <v>2017 Mayo</v>
          </cell>
        </row>
        <row r="219">
          <cell r="A219" t="str">
            <v>2017 Mayo</v>
          </cell>
        </row>
        <row r="220">
          <cell r="A220" t="str">
            <v>2017 Mayo</v>
          </cell>
        </row>
        <row r="221">
          <cell r="A221" t="str">
            <v>2017 Mayo</v>
          </cell>
        </row>
        <row r="222">
          <cell r="A222" t="str">
            <v>2017 Mayo</v>
          </cell>
        </row>
        <row r="223">
          <cell r="A223" t="str">
            <v>2017 Mayo</v>
          </cell>
        </row>
        <row r="224">
          <cell r="A224" t="str">
            <v>2017 Mayo</v>
          </cell>
        </row>
        <row r="225">
          <cell r="A225" t="str">
            <v>2017 Mayo</v>
          </cell>
        </row>
        <row r="226">
          <cell r="A226" t="str">
            <v>2017 Mayo</v>
          </cell>
        </row>
        <row r="227">
          <cell r="A227" t="str">
            <v>2017 Mayo</v>
          </cell>
        </row>
        <row r="228">
          <cell r="A228" t="str">
            <v>2017 Mayo</v>
          </cell>
        </row>
        <row r="229">
          <cell r="A229" t="str">
            <v>2017 Mayo</v>
          </cell>
        </row>
        <row r="230">
          <cell r="A230" t="str">
            <v>2017 Mayo</v>
          </cell>
        </row>
        <row r="231">
          <cell r="A231" t="str">
            <v>2017 Mayo</v>
          </cell>
        </row>
        <row r="232">
          <cell r="A232" t="str">
            <v>2017 Mayo</v>
          </cell>
        </row>
        <row r="233">
          <cell r="A233" t="str">
            <v>2017 Mayo</v>
          </cell>
        </row>
        <row r="234">
          <cell r="A234" t="str">
            <v>2017 Mayo</v>
          </cell>
        </row>
        <row r="235">
          <cell r="A235" t="str">
            <v>2017 Mayo</v>
          </cell>
        </row>
        <row r="236">
          <cell r="A236" t="str">
            <v>2017 Mayo</v>
          </cell>
        </row>
        <row r="237">
          <cell r="A237" t="str">
            <v>2017 Mayo</v>
          </cell>
        </row>
        <row r="238">
          <cell r="A238" t="str">
            <v>2017 Mayo</v>
          </cell>
        </row>
        <row r="239">
          <cell r="A239" t="str">
            <v>2017 Mayo</v>
          </cell>
        </row>
        <row r="240">
          <cell r="A240" t="str">
            <v>2017 Mayo</v>
          </cell>
        </row>
        <row r="241">
          <cell r="A241" t="str">
            <v>2017 Mayo</v>
          </cell>
        </row>
        <row r="242">
          <cell r="A242" t="str">
            <v>2017 Mayo</v>
          </cell>
        </row>
        <row r="243">
          <cell r="A243" t="str">
            <v>2017 Mayo</v>
          </cell>
        </row>
        <row r="244">
          <cell r="A244" t="str">
            <v>2017 Mayo</v>
          </cell>
        </row>
        <row r="245">
          <cell r="A245" t="str">
            <v>2017 Mayo</v>
          </cell>
        </row>
        <row r="246">
          <cell r="A246" t="str">
            <v>2017 Mayo</v>
          </cell>
        </row>
        <row r="247">
          <cell r="A247" t="str">
            <v>2017 Mayo</v>
          </cell>
        </row>
        <row r="248">
          <cell r="A248" t="str">
            <v>2017 Mayo</v>
          </cell>
        </row>
        <row r="249">
          <cell r="A249" t="str">
            <v>2017 Mayo</v>
          </cell>
        </row>
        <row r="250">
          <cell r="A250" t="str">
            <v>2017 Mayo</v>
          </cell>
        </row>
        <row r="251">
          <cell r="A251" t="str">
            <v>2017 Mayo</v>
          </cell>
        </row>
        <row r="252">
          <cell r="A252" t="str">
            <v>2017 Mayo</v>
          </cell>
        </row>
        <row r="253">
          <cell r="A253" t="str">
            <v>2017 Mayo</v>
          </cell>
        </row>
        <row r="254">
          <cell r="A254" t="str">
            <v>2017 Mayo</v>
          </cell>
        </row>
        <row r="255">
          <cell r="A255" t="str">
            <v>2017 Mayo</v>
          </cell>
        </row>
        <row r="256">
          <cell r="A256" t="str">
            <v>2017 Mayo</v>
          </cell>
        </row>
        <row r="257">
          <cell r="A257" t="str">
            <v>2017 Mayo</v>
          </cell>
        </row>
        <row r="258">
          <cell r="A258" t="str">
            <v>2017 Mayo</v>
          </cell>
        </row>
        <row r="259">
          <cell r="A259" t="str">
            <v>2017 Mayo</v>
          </cell>
        </row>
        <row r="260">
          <cell r="A260" t="str">
            <v>2017 Mayo</v>
          </cell>
        </row>
        <row r="261">
          <cell r="A261" t="str">
            <v>2017 Mayo</v>
          </cell>
        </row>
        <row r="262">
          <cell r="A262" t="str">
            <v>2017 Mayo</v>
          </cell>
        </row>
        <row r="263">
          <cell r="A263" t="str">
            <v>2017 Mayo</v>
          </cell>
        </row>
        <row r="264">
          <cell r="A264" t="str">
            <v>2017 Mayo</v>
          </cell>
        </row>
        <row r="265">
          <cell r="A265" t="str">
            <v>2017 Mayo</v>
          </cell>
        </row>
        <row r="266">
          <cell r="A266" t="str">
            <v>2017 Mayo</v>
          </cell>
        </row>
        <row r="267">
          <cell r="A267" t="str">
            <v>2017 Mayo</v>
          </cell>
        </row>
        <row r="268">
          <cell r="A268" t="str">
            <v>2017 Mayo</v>
          </cell>
        </row>
        <row r="269">
          <cell r="A269" t="str">
            <v>2017 Mayo</v>
          </cell>
        </row>
        <row r="270">
          <cell r="A270" t="str">
            <v>2017 Mayo</v>
          </cell>
        </row>
        <row r="271">
          <cell r="A271" t="str">
            <v>2017 Junio</v>
          </cell>
        </row>
        <row r="272">
          <cell r="A272" t="str">
            <v>2017 Junio</v>
          </cell>
        </row>
        <row r="273">
          <cell r="A273" t="str">
            <v>2017 Junio</v>
          </cell>
        </row>
        <row r="274">
          <cell r="A274" t="str">
            <v>2017 Junio</v>
          </cell>
        </row>
        <row r="275">
          <cell r="A275" t="str">
            <v>2017 Junio</v>
          </cell>
        </row>
        <row r="276">
          <cell r="A276" t="str">
            <v>2017 Junio</v>
          </cell>
        </row>
        <row r="277">
          <cell r="A277" t="str">
            <v>2017 Junio</v>
          </cell>
        </row>
        <row r="278">
          <cell r="A278" t="str">
            <v>2017 Junio</v>
          </cell>
        </row>
        <row r="279">
          <cell r="A279" t="str">
            <v>2017 Junio</v>
          </cell>
        </row>
        <row r="280">
          <cell r="A280" t="str">
            <v>2017 Junio</v>
          </cell>
        </row>
        <row r="281">
          <cell r="A281" t="str">
            <v>2017 Junio</v>
          </cell>
        </row>
        <row r="282">
          <cell r="A282" t="str">
            <v>2017 Junio</v>
          </cell>
        </row>
        <row r="283">
          <cell r="A283" t="str">
            <v>2017 Junio</v>
          </cell>
        </row>
        <row r="284">
          <cell r="A284" t="str">
            <v>2017 Junio</v>
          </cell>
        </row>
        <row r="285">
          <cell r="A285" t="str">
            <v>2017 Junio</v>
          </cell>
        </row>
        <row r="286">
          <cell r="A286" t="str">
            <v>2017 Junio</v>
          </cell>
        </row>
        <row r="287">
          <cell r="A287" t="str">
            <v>2017 Junio</v>
          </cell>
        </row>
        <row r="288">
          <cell r="A288" t="str">
            <v>2017 Junio</v>
          </cell>
        </row>
        <row r="289">
          <cell r="A289" t="str">
            <v>2017 Junio</v>
          </cell>
        </row>
        <row r="290">
          <cell r="A290" t="str">
            <v>2017 Junio</v>
          </cell>
        </row>
        <row r="291">
          <cell r="A291" t="str">
            <v>2017 Junio</v>
          </cell>
        </row>
        <row r="292">
          <cell r="A292" t="str">
            <v>2017 Junio</v>
          </cell>
        </row>
        <row r="293">
          <cell r="A293" t="str">
            <v>2017 Junio</v>
          </cell>
        </row>
        <row r="294">
          <cell r="A294" t="str">
            <v>2017 Junio</v>
          </cell>
        </row>
        <row r="295">
          <cell r="A295" t="str">
            <v>2017 Junio</v>
          </cell>
        </row>
        <row r="296">
          <cell r="A296" t="str">
            <v>2017 Junio</v>
          </cell>
        </row>
        <row r="297">
          <cell r="A297" t="str">
            <v>2017 Junio</v>
          </cell>
        </row>
        <row r="298">
          <cell r="A298" t="str">
            <v>2017 Junio</v>
          </cell>
        </row>
        <row r="299">
          <cell r="A299" t="str">
            <v>2017 Junio</v>
          </cell>
        </row>
        <row r="300">
          <cell r="A300" t="str">
            <v>2017 Junio</v>
          </cell>
        </row>
        <row r="301">
          <cell r="A301" t="str">
            <v>2017 Junio</v>
          </cell>
        </row>
        <row r="302">
          <cell r="A302" t="str">
            <v>2017 Junio</v>
          </cell>
        </row>
        <row r="303">
          <cell r="A303" t="str">
            <v>2017 Junio</v>
          </cell>
        </row>
        <row r="304">
          <cell r="A304" t="str">
            <v>2017 Junio</v>
          </cell>
        </row>
        <row r="305">
          <cell r="A305" t="str">
            <v>2017 Junio</v>
          </cell>
        </row>
        <row r="306">
          <cell r="A306" t="str">
            <v>2017 Junio</v>
          </cell>
        </row>
        <row r="307">
          <cell r="A307" t="str">
            <v>2017 Junio</v>
          </cell>
        </row>
        <row r="308">
          <cell r="A308" t="str">
            <v>2017 Junio</v>
          </cell>
        </row>
        <row r="309">
          <cell r="A309" t="str">
            <v>2017 Junio</v>
          </cell>
        </row>
        <row r="310">
          <cell r="A310" t="str">
            <v>2017 Junio</v>
          </cell>
        </row>
        <row r="311">
          <cell r="A311" t="str">
            <v>2017 Junio</v>
          </cell>
        </row>
        <row r="312">
          <cell r="A312" t="str">
            <v>2017 Junio</v>
          </cell>
        </row>
        <row r="313">
          <cell r="A313" t="str">
            <v>2017 Junio</v>
          </cell>
        </row>
        <row r="314">
          <cell r="A314" t="str">
            <v>2017 Junio</v>
          </cell>
        </row>
        <row r="315">
          <cell r="A315" t="str">
            <v>2017 Junio</v>
          </cell>
        </row>
        <row r="316">
          <cell r="A316" t="str">
            <v>2017 Junio</v>
          </cell>
        </row>
        <row r="317">
          <cell r="A317" t="str">
            <v>2017 Junio</v>
          </cell>
        </row>
        <row r="318">
          <cell r="A318" t="str">
            <v>2017 Junio</v>
          </cell>
        </row>
        <row r="319">
          <cell r="A319" t="str">
            <v>2017 Junio</v>
          </cell>
        </row>
        <row r="320">
          <cell r="A320" t="str">
            <v>2017 Junio</v>
          </cell>
        </row>
        <row r="321">
          <cell r="A321" t="str">
            <v>2017 Junio</v>
          </cell>
        </row>
        <row r="322">
          <cell r="A322" t="str">
            <v>2017 Junio</v>
          </cell>
        </row>
        <row r="323">
          <cell r="A323" t="str">
            <v>2017 Junio</v>
          </cell>
        </row>
        <row r="324">
          <cell r="A324" t="str">
            <v>2017 Junio</v>
          </cell>
        </row>
        <row r="325">
          <cell r="A325" t="str">
            <v>2017 Junio</v>
          </cell>
        </row>
        <row r="326">
          <cell r="A326" t="str">
            <v>2017 Junio</v>
          </cell>
        </row>
        <row r="327">
          <cell r="A327" t="str">
            <v>2017 Junio</v>
          </cell>
        </row>
        <row r="328">
          <cell r="A328" t="str">
            <v>2017 Julio</v>
          </cell>
        </row>
        <row r="329">
          <cell r="A329" t="str">
            <v>2017 Julio</v>
          </cell>
        </row>
        <row r="330">
          <cell r="A330" t="str">
            <v>2017 Julio</v>
          </cell>
        </row>
        <row r="331">
          <cell r="A331" t="str">
            <v>2017 Julio</v>
          </cell>
        </row>
        <row r="332">
          <cell r="A332" t="str">
            <v>2017 Julio</v>
          </cell>
        </row>
        <row r="333">
          <cell r="A333" t="str">
            <v>2017 Julio</v>
          </cell>
        </row>
        <row r="334">
          <cell r="A334" t="str">
            <v>2017 Julio</v>
          </cell>
        </row>
        <row r="335">
          <cell r="A335" t="str">
            <v>2017 Julio</v>
          </cell>
        </row>
        <row r="336">
          <cell r="A336" t="str">
            <v>2017 Julio</v>
          </cell>
        </row>
        <row r="337">
          <cell r="A337" t="str">
            <v>2017 Julio</v>
          </cell>
        </row>
        <row r="338">
          <cell r="A338" t="str">
            <v>2017 Julio</v>
          </cell>
        </row>
        <row r="339">
          <cell r="A339" t="str">
            <v>2017 Julio</v>
          </cell>
        </row>
        <row r="340">
          <cell r="A340" t="str">
            <v>2017 Julio</v>
          </cell>
        </row>
        <row r="341">
          <cell r="A341" t="str">
            <v>2017 Julio</v>
          </cell>
        </row>
        <row r="342">
          <cell r="A342" t="str">
            <v>2017 Julio</v>
          </cell>
        </row>
        <row r="343">
          <cell r="A343" t="str">
            <v>2017 Julio</v>
          </cell>
        </row>
        <row r="344">
          <cell r="A344" t="str">
            <v>2017 Julio</v>
          </cell>
        </row>
        <row r="345">
          <cell r="A345" t="str">
            <v>2017 Julio</v>
          </cell>
        </row>
        <row r="346">
          <cell r="A346" t="str">
            <v>2017 Julio</v>
          </cell>
        </row>
        <row r="347">
          <cell r="A347" t="str">
            <v>2017 Julio</v>
          </cell>
        </row>
        <row r="348">
          <cell r="A348" t="str">
            <v>2017 Julio</v>
          </cell>
        </row>
        <row r="349">
          <cell r="A349" t="str">
            <v>2017 Julio</v>
          </cell>
        </row>
        <row r="350">
          <cell r="A350" t="str">
            <v>2017 Julio</v>
          </cell>
        </row>
        <row r="351">
          <cell r="A351" t="str">
            <v>2017 Julio</v>
          </cell>
        </row>
        <row r="352">
          <cell r="A352" t="str">
            <v>2017 Julio</v>
          </cell>
        </row>
        <row r="353">
          <cell r="A353" t="str">
            <v>2017 Julio</v>
          </cell>
        </row>
        <row r="354">
          <cell r="A354" t="str">
            <v>2017 Julio</v>
          </cell>
        </row>
        <row r="355">
          <cell r="A355" t="str">
            <v>2017 Julio</v>
          </cell>
        </row>
        <row r="356">
          <cell r="A356" t="str">
            <v>2017 Julio</v>
          </cell>
        </row>
        <row r="357">
          <cell r="A357" t="str">
            <v>2017 Julio</v>
          </cell>
        </row>
        <row r="358">
          <cell r="A358" t="str">
            <v>2017 Julio</v>
          </cell>
        </row>
        <row r="359">
          <cell r="A359" t="str">
            <v>2017 Julio</v>
          </cell>
        </row>
        <row r="360">
          <cell r="A360" t="str">
            <v>2017 Julio</v>
          </cell>
        </row>
        <row r="361">
          <cell r="A361" t="str">
            <v>2017 Julio</v>
          </cell>
        </row>
        <row r="362">
          <cell r="A362" t="str">
            <v>2017 Julio</v>
          </cell>
        </row>
        <row r="363">
          <cell r="A363" t="str">
            <v>2017 Julio</v>
          </cell>
        </row>
        <row r="364">
          <cell r="A364" t="str">
            <v>2017 Julio</v>
          </cell>
        </row>
        <row r="365">
          <cell r="A365" t="str">
            <v>2017 Julio</v>
          </cell>
        </row>
        <row r="366">
          <cell r="A366" t="str">
            <v>2017 Julio</v>
          </cell>
        </row>
        <row r="367">
          <cell r="A367" t="str">
            <v>2017 Julio</v>
          </cell>
        </row>
        <row r="368">
          <cell r="A368" t="str">
            <v>2017 Julio</v>
          </cell>
        </row>
        <row r="369">
          <cell r="A369" t="str">
            <v>2017 Julio</v>
          </cell>
        </row>
        <row r="370">
          <cell r="A370" t="str">
            <v>2017 Julio</v>
          </cell>
        </row>
        <row r="371">
          <cell r="A371" t="str">
            <v>2017 Julio</v>
          </cell>
        </row>
        <row r="372">
          <cell r="A372" t="str">
            <v>2017 Julio</v>
          </cell>
        </row>
        <row r="373">
          <cell r="A373" t="str">
            <v>2017 Julio</v>
          </cell>
        </row>
        <row r="374">
          <cell r="A374" t="str">
            <v>2017 Julio</v>
          </cell>
        </row>
        <row r="375">
          <cell r="A375" t="str">
            <v>2017 Julio</v>
          </cell>
        </row>
        <row r="376">
          <cell r="A376" t="str">
            <v>2017 Julio</v>
          </cell>
        </row>
        <row r="377">
          <cell r="A377" t="str">
            <v>2017 Julio</v>
          </cell>
        </row>
        <row r="378">
          <cell r="A378" t="str">
            <v>2017 Julio</v>
          </cell>
        </row>
        <row r="379">
          <cell r="A379" t="str">
            <v>2017 Julio</v>
          </cell>
        </row>
        <row r="380">
          <cell r="A380" t="str">
            <v>2017 Agosto</v>
          </cell>
        </row>
        <row r="381">
          <cell r="A381" t="str">
            <v>2017 Agosto</v>
          </cell>
        </row>
        <row r="382">
          <cell r="A382" t="str">
            <v>2017 Agosto</v>
          </cell>
        </row>
        <row r="383">
          <cell r="A383" t="str">
            <v>2017 Agosto</v>
          </cell>
        </row>
        <row r="384">
          <cell r="A384" t="str">
            <v>2017 Agosto</v>
          </cell>
        </row>
        <row r="385">
          <cell r="A385" t="str">
            <v>2017 Agosto</v>
          </cell>
        </row>
        <row r="386">
          <cell r="A386" t="str">
            <v>2017 Agosto</v>
          </cell>
        </row>
        <row r="387">
          <cell r="A387" t="str">
            <v>2017 Agosto</v>
          </cell>
        </row>
        <row r="388">
          <cell r="A388" t="str">
            <v>2017 Agosto</v>
          </cell>
        </row>
        <row r="389">
          <cell r="A389" t="str">
            <v>2017 Agosto</v>
          </cell>
        </row>
        <row r="390">
          <cell r="A390" t="str">
            <v>2017 Agosto</v>
          </cell>
        </row>
        <row r="391">
          <cell r="A391" t="str">
            <v>2017 Agosto</v>
          </cell>
        </row>
        <row r="392">
          <cell r="A392" t="str">
            <v>2017 Agosto</v>
          </cell>
        </row>
        <row r="393">
          <cell r="A393" t="str">
            <v>2017 Agosto</v>
          </cell>
        </row>
        <row r="394">
          <cell r="A394" t="str">
            <v>2017 Agosto</v>
          </cell>
        </row>
        <row r="395">
          <cell r="A395" t="str">
            <v>2017 Agosto</v>
          </cell>
        </row>
        <row r="396">
          <cell r="A396" t="str">
            <v>2017 Agosto</v>
          </cell>
        </row>
        <row r="397">
          <cell r="A397" t="str">
            <v>2017 Agosto</v>
          </cell>
        </row>
        <row r="398">
          <cell r="A398" t="str">
            <v>2017 Agosto</v>
          </cell>
        </row>
        <row r="399">
          <cell r="A399" t="str">
            <v>2017 Agosto</v>
          </cell>
        </row>
        <row r="400">
          <cell r="A400" t="str">
            <v>2017 Agosto</v>
          </cell>
        </row>
        <row r="401">
          <cell r="A401" t="str">
            <v>2017 Agosto</v>
          </cell>
        </row>
        <row r="402">
          <cell r="A402" t="str">
            <v>2017 Agosto</v>
          </cell>
        </row>
        <row r="403">
          <cell r="A403" t="str">
            <v>2017 Agosto</v>
          </cell>
        </row>
        <row r="404">
          <cell r="A404" t="str">
            <v>2017 Agosto</v>
          </cell>
        </row>
        <row r="405">
          <cell r="A405" t="str">
            <v>2017 Agosto</v>
          </cell>
        </row>
        <row r="406">
          <cell r="A406" t="str">
            <v>2017 Agosto</v>
          </cell>
        </row>
        <row r="407">
          <cell r="A407" t="str">
            <v>2017 Agosto</v>
          </cell>
        </row>
        <row r="408">
          <cell r="A408" t="str">
            <v>2017 Agosto</v>
          </cell>
        </row>
        <row r="409">
          <cell r="A409" t="str">
            <v>2017 Agosto</v>
          </cell>
        </row>
        <row r="410">
          <cell r="A410" t="str">
            <v>2017 Agosto</v>
          </cell>
        </row>
        <row r="411">
          <cell r="A411" t="str">
            <v>2017 Agosto</v>
          </cell>
        </row>
        <row r="412">
          <cell r="A412" t="str">
            <v>2017 Agosto</v>
          </cell>
        </row>
        <row r="413">
          <cell r="A413" t="str">
            <v>2017 Agosto</v>
          </cell>
        </row>
        <row r="414">
          <cell r="A414" t="str">
            <v>2017 Agosto</v>
          </cell>
        </row>
        <row r="415">
          <cell r="A415" t="str">
            <v>2017 Agosto</v>
          </cell>
        </row>
        <row r="416">
          <cell r="A416" t="str">
            <v>2017 Agosto</v>
          </cell>
        </row>
        <row r="417">
          <cell r="A417" t="str">
            <v>2017 Agosto</v>
          </cell>
        </row>
        <row r="418">
          <cell r="A418" t="str">
            <v>2017 Agosto</v>
          </cell>
        </row>
        <row r="419">
          <cell r="A419" t="str">
            <v>2017 Agosto</v>
          </cell>
        </row>
        <row r="420">
          <cell r="A420" t="str">
            <v>2017 Agosto</v>
          </cell>
        </row>
        <row r="421">
          <cell r="A421" t="str">
            <v>2017 Agosto</v>
          </cell>
        </row>
        <row r="422">
          <cell r="A422" t="str">
            <v>2017 Agosto</v>
          </cell>
        </row>
        <row r="423">
          <cell r="A423" t="str">
            <v>2017 Agosto</v>
          </cell>
        </row>
        <row r="424">
          <cell r="A424" t="str">
            <v>2017 Agosto</v>
          </cell>
        </row>
        <row r="425">
          <cell r="A425" t="str">
            <v>2017 Agosto</v>
          </cell>
        </row>
        <row r="426">
          <cell r="A426" t="str">
            <v>2017 Agosto</v>
          </cell>
        </row>
        <row r="427">
          <cell r="A427" t="str">
            <v>2017 Agosto</v>
          </cell>
        </row>
        <row r="428">
          <cell r="A428" t="str">
            <v>2017 Agosto</v>
          </cell>
        </row>
        <row r="429">
          <cell r="A429" t="str">
            <v>2017 Agosto</v>
          </cell>
        </row>
        <row r="430">
          <cell r="A430" t="str">
            <v>2017 Agosto</v>
          </cell>
        </row>
        <row r="431">
          <cell r="A431" t="str">
            <v>2017 Agosto</v>
          </cell>
        </row>
        <row r="432">
          <cell r="A432" t="str">
            <v>2017 Agosto</v>
          </cell>
        </row>
        <row r="433">
          <cell r="A433" t="str">
            <v>2017 Agosto</v>
          </cell>
        </row>
        <row r="434">
          <cell r="A434" t="str">
            <v>2017 Agosto</v>
          </cell>
        </row>
        <row r="435">
          <cell r="A435" t="str">
            <v>2017 Agosto</v>
          </cell>
        </row>
        <row r="436">
          <cell r="A436" t="str">
            <v>2017 Septiembre</v>
          </cell>
        </row>
        <row r="437">
          <cell r="A437" t="str">
            <v>2017 Septiembre</v>
          </cell>
        </row>
        <row r="438">
          <cell r="A438" t="str">
            <v>2017 Septiembre</v>
          </cell>
        </row>
        <row r="439">
          <cell r="A439" t="str">
            <v>2017 Septiembre</v>
          </cell>
        </row>
        <row r="440">
          <cell r="A440" t="str">
            <v>2017 Septiembre</v>
          </cell>
        </row>
        <row r="441">
          <cell r="A441" t="str">
            <v>2017 Septiembre</v>
          </cell>
        </row>
        <row r="442">
          <cell r="A442" t="str">
            <v>2017 Septiembre</v>
          </cell>
        </row>
        <row r="443">
          <cell r="A443" t="str">
            <v>2017 Septiembre</v>
          </cell>
        </row>
        <row r="444">
          <cell r="A444" t="str">
            <v>2017 Septiembre</v>
          </cell>
        </row>
        <row r="445">
          <cell r="A445" t="str">
            <v>2017 Septiembre</v>
          </cell>
        </row>
        <row r="446">
          <cell r="A446" t="str">
            <v>2017 Septiembre</v>
          </cell>
        </row>
        <row r="447">
          <cell r="A447" t="str">
            <v>2017 Septiembre</v>
          </cell>
        </row>
        <row r="448">
          <cell r="A448" t="str">
            <v>2017 Septiembre</v>
          </cell>
        </row>
        <row r="449">
          <cell r="A449" t="str">
            <v>2017 Septiembre</v>
          </cell>
        </row>
        <row r="450">
          <cell r="A450" t="str">
            <v>2017 Septiembre</v>
          </cell>
        </row>
        <row r="451">
          <cell r="A451" t="str">
            <v>2017 Septiembre</v>
          </cell>
        </row>
        <row r="452">
          <cell r="A452" t="str">
            <v>2017 Septiembre</v>
          </cell>
        </row>
        <row r="453">
          <cell r="A453" t="str">
            <v>2017 Septiembre</v>
          </cell>
        </row>
        <row r="454">
          <cell r="A454" t="str">
            <v>2017 Septiembre</v>
          </cell>
        </row>
        <row r="455">
          <cell r="A455" t="str">
            <v>2017 Septiembre</v>
          </cell>
        </row>
        <row r="456">
          <cell r="A456" t="str">
            <v>2017 Septiembre</v>
          </cell>
        </row>
        <row r="457">
          <cell r="A457" t="str">
            <v>2017 Septiembre</v>
          </cell>
        </row>
        <row r="458">
          <cell r="A458" t="str">
            <v>2017 Septiembre</v>
          </cell>
        </row>
        <row r="459">
          <cell r="A459" t="str">
            <v>2017 Septiembre</v>
          </cell>
        </row>
        <row r="460">
          <cell r="A460" t="str">
            <v>2017 Septiembre</v>
          </cell>
        </row>
        <row r="461">
          <cell r="A461" t="str">
            <v>2017 Septiembre</v>
          </cell>
        </row>
        <row r="462">
          <cell r="A462" t="str">
            <v>2017 Septiembre</v>
          </cell>
        </row>
        <row r="463">
          <cell r="A463" t="str">
            <v>2017 Septiembre</v>
          </cell>
        </row>
        <row r="464">
          <cell r="A464" t="str">
            <v>2017 Septiembre</v>
          </cell>
        </row>
        <row r="465">
          <cell r="A465" t="str">
            <v>2017 Septiembre</v>
          </cell>
        </row>
        <row r="466">
          <cell r="A466" t="str">
            <v>2017 Septiembre</v>
          </cell>
        </row>
        <row r="467">
          <cell r="A467" t="str">
            <v>2017 Septiembre</v>
          </cell>
        </row>
        <row r="468">
          <cell r="A468" t="str">
            <v>2017 Septiembre</v>
          </cell>
        </row>
        <row r="469">
          <cell r="A469" t="str">
            <v>2017 Septiembre</v>
          </cell>
        </row>
        <row r="470">
          <cell r="A470" t="str">
            <v>2017 Septiembre</v>
          </cell>
        </row>
        <row r="471">
          <cell r="A471" t="str">
            <v>2017 Septiembre</v>
          </cell>
        </row>
        <row r="472">
          <cell r="A472" t="str">
            <v>2017 Septiembre</v>
          </cell>
        </row>
        <row r="473">
          <cell r="A473" t="str">
            <v>2017 Septiembre</v>
          </cell>
        </row>
        <row r="474">
          <cell r="A474" t="str">
            <v>2017 Septiembre</v>
          </cell>
        </row>
        <row r="475">
          <cell r="A475" t="str">
            <v>2017 Septiembre</v>
          </cell>
        </row>
        <row r="476">
          <cell r="A476" t="str">
            <v>2017 Septiembre</v>
          </cell>
        </row>
        <row r="477">
          <cell r="A477" t="str">
            <v>2017 Septiembre</v>
          </cell>
        </row>
        <row r="478">
          <cell r="A478" t="str">
            <v>2017 Septiembre</v>
          </cell>
        </row>
        <row r="479">
          <cell r="A479" t="str">
            <v>2017 Septiembre</v>
          </cell>
        </row>
        <row r="480">
          <cell r="A480" t="str">
            <v>2017 Septiembre</v>
          </cell>
        </row>
        <row r="481">
          <cell r="A481" t="str">
            <v>2017 Septiembre</v>
          </cell>
        </row>
        <row r="482">
          <cell r="A482" t="str">
            <v>2017 Septiembre</v>
          </cell>
        </row>
        <row r="483">
          <cell r="A483" t="str">
            <v>2017 Septiembre</v>
          </cell>
        </row>
        <row r="484">
          <cell r="A484" t="str">
            <v>2017 Septiembre</v>
          </cell>
        </row>
        <row r="485">
          <cell r="A485" t="str">
            <v>2017 Septiembre</v>
          </cell>
        </row>
        <row r="486">
          <cell r="A486" t="str">
            <v>2017 Septiembre</v>
          </cell>
        </row>
        <row r="487">
          <cell r="A487" t="str">
            <v>2017 Septiembre</v>
          </cell>
        </row>
        <row r="488">
          <cell r="A488" t="str">
            <v>2017 Septiembre</v>
          </cell>
        </row>
        <row r="489">
          <cell r="A489" t="str">
            <v>2017 Septiembre</v>
          </cell>
        </row>
        <row r="490">
          <cell r="A490" t="str">
            <v>2017 Septiembre</v>
          </cell>
        </row>
        <row r="491">
          <cell r="A491" t="str">
            <v>2017 Octubre</v>
          </cell>
        </row>
        <row r="492">
          <cell r="A492" t="str">
            <v>2017 Octubre</v>
          </cell>
        </row>
        <row r="493">
          <cell r="A493" t="str">
            <v>2017 Octubre</v>
          </cell>
        </row>
        <row r="494">
          <cell r="A494" t="str">
            <v>2017 Octubre</v>
          </cell>
        </row>
        <row r="495">
          <cell r="A495" t="str">
            <v>2017 Octubre</v>
          </cell>
        </row>
        <row r="496">
          <cell r="A496" t="str">
            <v>2017 Octubre</v>
          </cell>
        </row>
        <row r="497">
          <cell r="A497" t="str">
            <v>2017 Octubre</v>
          </cell>
        </row>
        <row r="498">
          <cell r="A498" t="str">
            <v>2017 Octubre</v>
          </cell>
        </row>
        <row r="499">
          <cell r="A499" t="str">
            <v>2017 Octubre</v>
          </cell>
        </row>
        <row r="500">
          <cell r="A500" t="str">
            <v>2017 Octubre</v>
          </cell>
        </row>
        <row r="501">
          <cell r="A501" t="str">
            <v>2017 Octubre</v>
          </cell>
        </row>
        <row r="502">
          <cell r="A502" t="str">
            <v>2017 Octubre</v>
          </cell>
        </row>
        <row r="503">
          <cell r="A503" t="str">
            <v>2017 Octubre</v>
          </cell>
        </row>
        <row r="504">
          <cell r="A504" t="str">
            <v>2017 Octubre</v>
          </cell>
        </row>
        <row r="505">
          <cell r="A505" t="str">
            <v>2017 Octubre</v>
          </cell>
        </row>
        <row r="506">
          <cell r="A506" t="str">
            <v>2017 Octubre</v>
          </cell>
        </row>
        <row r="507">
          <cell r="A507" t="str">
            <v>2017 Octubre</v>
          </cell>
        </row>
        <row r="508">
          <cell r="A508" t="str">
            <v>2017 Octubre</v>
          </cell>
        </row>
        <row r="509">
          <cell r="A509" t="str">
            <v>2017 Octubre</v>
          </cell>
        </row>
        <row r="510">
          <cell r="A510" t="str">
            <v>2017 Octubre</v>
          </cell>
        </row>
        <row r="511">
          <cell r="A511" t="str">
            <v>2017 Octubre</v>
          </cell>
        </row>
        <row r="512">
          <cell r="A512" t="str">
            <v>2017 Octubre</v>
          </cell>
        </row>
        <row r="513">
          <cell r="A513" t="str">
            <v>2017 Octubre</v>
          </cell>
        </row>
        <row r="514">
          <cell r="A514" t="str">
            <v>2017 Octubre</v>
          </cell>
        </row>
        <row r="515">
          <cell r="A515" t="str">
            <v>2017 Octubre</v>
          </cell>
        </row>
        <row r="516">
          <cell r="A516" t="str">
            <v>2017 Octubre</v>
          </cell>
        </row>
        <row r="517">
          <cell r="A517" t="str">
            <v>2017 Octubre</v>
          </cell>
        </row>
        <row r="518">
          <cell r="A518" t="str">
            <v>2017 Octubre</v>
          </cell>
        </row>
        <row r="519">
          <cell r="A519" t="str">
            <v>2017 Octubre</v>
          </cell>
        </row>
        <row r="520">
          <cell r="A520" t="str">
            <v>2017 Octubre</v>
          </cell>
        </row>
        <row r="521">
          <cell r="A521" t="str">
            <v>2017 Octubre</v>
          </cell>
        </row>
        <row r="522">
          <cell r="A522" t="str">
            <v>2017 Octubre</v>
          </cell>
        </row>
        <row r="523">
          <cell r="A523" t="str">
            <v>2017 Octubre</v>
          </cell>
        </row>
        <row r="524">
          <cell r="A524" t="str">
            <v>2017 Octubre</v>
          </cell>
        </row>
        <row r="525">
          <cell r="A525" t="str">
            <v>2017 Octubre</v>
          </cell>
        </row>
        <row r="526">
          <cell r="A526" t="str">
            <v>2017 Octubre</v>
          </cell>
        </row>
        <row r="527">
          <cell r="A527" t="str">
            <v>2017 Octubre</v>
          </cell>
        </row>
        <row r="528">
          <cell r="A528" t="str">
            <v>2017 Octubre</v>
          </cell>
        </row>
        <row r="529">
          <cell r="A529" t="str">
            <v>2017 Octubre</v>
          </cell>
        </row>
        <row r="530">
          <cell r="A530" t="str">
            <v>2017 Octubre</v>
          </cell>
        </row>
        <row r="531">
          <cell r="A531" t="str">
            <v>2017 Octubre</v>
          </cell>
        </row>
        <row r="532">
          <cell r="A532" t="str">
            <v>2017 Octubre</v>
          </cell>
        </row>
        <row r="533">
          <cell r="A533" t="str">
            <v>2017 Octubre</v>
          </cell>
        </row>
        <row r="534">
          <cell r="A534" t="str">
            <v>2017 Octubre</v>
          </cell>
        </row>
        <row r="535">
          <cell r="A535" t="str">
            <v>2017 Octubre</v>
          </cell>
        </row>
        <row r="536">
          <cell r="A536" t="str">
            <v>2017 Octubre</v>
          </cell>
        </row>
        <row r="537">
          <cell r="A537" t="str">
            <v>2017 Octubre</v>
          </cell>
        </row>
        <row r="538">
          <cell r="A538" t="str">
            <v>2017 Octubre</v>
          </cell>
        </row>
        <row r="539">
          <cell r="A539" t="str">
            <v>2017 Octubre</v>
          </cell>
        </row>
        <row r="540">
          <cell r="A540" t="str">
            <v>2017 Octubre</v>
          </cell>
        </row>
        <row r="541">
          <cell r="A541" t="str">
            <v>2017 Octubre</v>
          </cell>
        </row>
        <row r="542">
          <cell r="A542" t="str">
            <v>2017 Octubre</v>
          </cell>
        </row>
        <row r="543">
          <cell r="A543" t="str">
            <v>2017 Octubre</v>
          </cell>
        </row>
        <row r="544">
          <cell r="A544" t="str">
            <v>2017 Noviembre</v>
          </cell>
        </row>
        <row r="545">
          <cell r="A545" t="str">
            <v>2017 Noviembre</v>
          </cell>
        </row>
        <row r="546">
          <cell r="A546" t="str">
            <v>2017 Noviembre</v>
          </cell>
        </row>
        <row r="547">
          <cell r="A547" t="str">
            <v>2017 Noviembre</v>
          </cell>
        </row>
        <row r="548">
          <cell r="A548" t="str">
            <v>2017 Noviembre</v>
          </cell>
        </row>
        <row r="549">
          <cell r="A549" t="str">
            <v>2017 Noviembre</v>
          </cell>
        </row>
        <row r="550">
          <cell r="A550" t="str">
            <v>2017 Noviembre</v>
          </cell>
        </row>
        <row r="551">
          <cell r="A551" t="str">
            <v>2017 Noviembre</v>
          </cell>
        </row>
        <row r="552">
          <cell r="A552" t="str">
            <v>2017 Noviembre</v>
          </cell>
        </row>
        <row r="553">
          <cell r="A553" t="str">
            <v>2017 Noviembre</v>
          </cell>
        </row>
        <row r="554">
          <cell r="A554" t="str">
            <v>2017 Noviembre</v>
          </cell>
        </row>
        <row r="555">
          <cell r="A555" t="str">
            <v>2017 Noviembre</v>
          </cell>
        </row>
        <row r="556">
          <cell r="A556" t="str">
            <v>2017 Noviembre</v>
          </cell>
        </row>
        <row r="557">
          <cell r="A557" t="str">
            <v>2017 Noviembre</v>
          </cell>
        </row>
        <row r="558">
          <cell r="A558" t="str">
            <v>2017 Noviembre</v>
          </cell>
        </row>
        <row r="559">
          <cell r="A559" t="str">
            <v>2017 Noviembre</v>
          </cell>
        </row>
        <row r="560">
          <cell r="A560" t="str">
            <v>2017 Noviembre</v>
          </cell>
        </row>
        <row r="561">
          <cell r="A561" t="str">
            <v>2017 Noviembre</v>
          </cell>
        </row>
        <row r="562">
          <cell r="A562" t="str">
            <v>2017 Noviembre</v>
          </cell>
        </row>
        <row r="563">
          <cell r="A563" t="str">
            <v>2017 Noviembre</v>
          </cell>
        </row>
        <row r="564">
          <cell r="A564" t="str">
            <v>2017 Noviembre</v>
          </cell>
        </row>
        <row r="565">
          <cell r="A565" t="str">
            <v>2017 Noviembre</v>
          </cell>
        </row>
        <row r="566">
          <cell r="A566" t="str">
            <v>2017 Noviembre</v>
          </cell>
        </row>
        <row r="567">
          <cell r="A567" t="str">
            <v>2017 Noviembre</v>
          </cell>
        </row>
        <row r="568">
          <cell r="A568" t="str">
            <v>2017 Noviembre</v>
          </cell>
        </row>
        <row r="569">
          <cell r="A569" t="str">
            <v>2017 Noviembre</v>
          </cell>
        </row>
        <row r="570">
          <cell r="A570" t="str">
            <v>2017 Noviembre</v>
          </cell>
        </row>
        <row r="571">
          <cell r="A571" t="str">
            <v>2017 Noviembre</v>
          </cell>
        </row>
        <row r="572">
          <cell r="A572" t="str">
            <v>2017 Noviembre</v>
          </cell>
        </row>
        <row r="573">
          <cell r="A573" t="str">
            <v>2017 Noviembre</v>
          </cell>
        </row>
        <row r="574">
          <cell r="A574" t="str">
            <v>2017 Noviembre</v>
          </cell>
        </row>
        <row r="575">
          <cell r="A575" t="str">
            <v>2017 Noviembre</v>
          </cell>
        </row>
        <row r="576">
          <cell r="A576" t="str">
            <v>2017 Noviembre</v>
          </cell>
        </row>
        <row r="577">
          <cell r="A577" t="str">
            <v>2017 Noviembre</v>
          </cell>
        </row>
        <row r="578">
          <cell r="A578" t="str">
            <v>2017 Noviembre</v>
          </cell>
        </row>
        <row r="579">
          <cell r="A579" t="str">
            <v>2017 Noviembre</v>
          </cell>
        </row>
        <row r="580">
          <cell r="A580" t="str">
            <v>2017 Noviembre</v>
          </cell>
        </row>
        <row r="581">
          <cell r="A581" t="str">
            <v>2017 Noviembre</v>
          </cell>
        </row>
        <row r="582">
          <cell r="A582" t="str">
            <v>2017 Noviembre</v>
          </cell>
        </row>
        <row r="583">
          <cell r="A583" t="str">
            <v>2017 Noviembre</v>
          </cell>
        </row>
        <row r="584">
          <cell r="A584" t="str">
            <v>2017 Noviembre</v>
          </cell>
        </row>
        <row r="585">
          <cell r="A585" t="str">
            <v>2017 Noviembre</v>
          </cell>
        </row>
        <row r="586">
          <cell r="A586" t="str">
            <v>2017 Noviembre</v>
          </cell>
        </row>
        <row r="587">
          <cell r="A587" t="str">
            <v>2017 Noviembre</v>
          </cell>
        </row>
        <row r="588">
          <cell r="A588" t="str">
            <v>2017 Noviembre</v>
          </cell>
        </row>
        <row r="589">
          <cell r="A589" t="str">
            <v>2017 Noviembre</v>
          </cell>
        </row>
        <row r="590">
          <cell r="A590" t="str">
            <v>2017 Noviembre</v>
          </cell>
        </row>
        <row r="591">
          <cell r="A591" t="str">
            <v>2017 Noviembre</v>
          </cell>
        </row>
        <row r="592">
          <cell r="A592" t="str">
            <v>2017 Noviembre</v>
          </cell>
        </row>
        <row r="593">
          <cell r="A593" t="str">
            <v>2017 Noviembre</v>
          </cell>
        </row>
        <row r="594">
          <cell r="A594" t="str">
            <v>2017 Noviembre</v>
          </cell>
        </row>
        <row r="595">
          <cell r="A595" t="str">
            <v>2017 Noviembre</v>
          </cell>
        </row>
        <row r="596">
          <cell r="A596" t="str">
            <v>2017 Noviembre</v>
          </cell>
        </row>
        <row r="597">
          <cell r="A597" t="str">
            <v>2017 Noviembre</v>
          </cell>
        </row>
        <row r="598">
          <cell r="A598" t="str">
            <v>2017 Noviembre</v>
          </cell>
        </row>
        <row r="599">
          <cell r="A599" t="str">
            <v>2017 Diciembre</v>
          </cell>
        </row>
        <row r="600">
          <cell r="A600" t="str">
            <v>2017 Diciembre</v>
          </cell>
        </row>
        <row r="601">
          <cell r="A601" t="str">
            <v>2017 Diciembre</v>
          </cell>
        </row>
        <row r="602">
          <cell r="A602" t="str">
            <v>2017 Diciembre</v>
          </cell>
        </row>
        <row r="603">
          <cell r="A603" t="str">
            <v>2017 Diciembre</v>
          </cell>
        </row>
        <row r="604">
          <cell r="A604" t="str">
            <v>2017 Diciembre</v>
          </cell>
        </row>
        <row r="605">
          <cell r="A605" t="str">
            <v>2017 Diciembre</v>
          </cell>
        </row>
        <row r="606">
          <cell r="A606" t="str">
            <v>2017 Diciembre</v>
          </cell>
        </row>
        <row r="607">
          <cell r="A607" t="str">
            <v>2017 Diciembre</v>
          </cell>
        </row>
        <row r="608">
          <cell r="A608" t="str">
            <v>2017 Diciembre</v>
          </cell>
        </row>
        <row r="609">
          <cell r="A609" t="str">
            <v>2017 Diciembre</v>
          </cell>
        </row>
        <row r="610">
          <cell r="A610" t="str">
            <v>2017 Diciembre</v>
          </cell>
        </row>
        <row r="611">
          <cell r="A611" t="str">
            <v>2017 Diciembre</v>
          </cell>
        </row>
        <row r="612">
          <cell r="A612" t="str">
            <v>2017 Diciembre</v>
          </cell>
        </row>
        <row r="613">
          <cell r="A613" t="str">
            <v>2017 Diciembre</v>
          </cell>
        </row>
        <row r="614">
          <cell r="A614" t="str">
            <v>2017 Diciembre</v>
          </cell>
        </row>
        <row r="615">
          <cell r="A615" t="str">
            <v>2017 Diciembre</v>
          </cell>
        </row>
        <row r="616">
          <cell r="A616" t="str">
            <v>2017 Diciembre</v>
          </cell>
        </row>
        <row r="617">
          <cell r="A617" t="str">
            <v>2017 Diciembre</v>
          </cell>
        </row>
        <row r="618">
          <cell r="A618" t="str">
            <v>2017 Diciembre</v>
          </cell>
        </row>
        <row r="619">
          <cell r="A619" t="str">
            <v>2017 Diciembre</v>
          </cell>
        </row>
        <row r="620">
          <cell r="A620" t="str">
            <v>2017 Diciembre</v>
          </cell>
        </row>
        <row r="621">
          <cell r="A621" t="str">
            <v>2017 Diciembre</v>
          </cell>
        </row>
        <row r="622">
          <cell r="A622" t="str">
            <v>2017 Diciembre</v>
          </cell>
        </row>
        <row r="623">
          <cell r="A623" t="str">
            <v>2017 Diciembre</v>
          </cell>
        </row>
        <row r="624">
          <cell r="A624" t="str">
            <v>2017 Diciembre</v>
          </cell>
        </row>
        <row r="625">
          <cell r="A625" t="str">
            <v>2017 Diciembre</v>
          </cell>
        </row>
        <row r="626">
          <cell r="A626" t="str">
            <v>2017 Diciembre</v>
          </cell>
        </row>
        <row r="627">
          <cell r="A627" t="str">
            <v>2017 Diciembre</v>
          </cell>
        </row>
        <row r="628">
          <cell r="A628" t="str">
            <v>2017 Diciembre</v>
          </cell>
        </row>
        <row r="629">
          <cell r="A629" t="str">
            <v>2017 Diciembre</v>
          </cell>
        </row>
        <row r="630">
          <cell r="A630" t="str">
            <v>2017 Diciembre</v>
          </cell>
        </row>
        <row r="631">
          <cell r="A631" t="str">
            <v>2017 Diciembre</v>
          </cell>
        </row>
        <row r="632">
          <cell r="A632" t="str">
            <v>2017 Diciembre</v>
          </cell>
        </row>
        <row r="633">
          <cell r="A633" t="str">
            <v>2017 Diciembre</v>
          </cell>
        </row>
        <row r="634">
          <cell r="A634" t="str">
            <v>2017 Diciembre</v>
          </cell>
        </row>
        <row r="635">
          <cell r="A635" t="str">
            <v>2017 Diciembre</v>
          </cell>
        </row>
        <row r="636">
          <cell r="A636" t="str">
            <v>2017 Diciembre</v>
          </cell>
        </row>
        <row r="637">
          <cell r="A637" t="str">
            <v>2017 Diciembre</v>
          </cell>
        </row>
        <row r="638">
          <cell r="A638" t="str">
            <v>2017 Diciembre</v>
          </cell>
        </row>
        <row r="639">
          <cell r="A639" t="str">
            <v>2017 Diciembre</v>
          </cell>
        </row>
        <row r="640">
          <cell r="A640" t="str">
            <v>2017 Diciembre</v>
          </cell>
        </row>
        <row r="641">
          <cell r="A641" t="str">
            <v>2017 Diciembre</v>
          </cell>
        </row>
        <row r="642">
          <cell r="A642" t="str">
            <v>2017 Diciembre</v>
          </cell>
        </row>
        <row r="643">
          <cell r="A643" t="str">
            <v>2017 Diciembre</v>
          </cell>
        </row>
        <row r="644">
          <cell r="A644" t="str">
            <v>2017 Diciembre</v>
          </cell>
        </row>
        <row r="645">
          <cell r="A645" t="str">
            <v>2017 Diciembre</v>
          </cell>
        </row>
        <row r="646">
          <cell r="A646" t="str">
            <v>2017 Diciembre</v>
          </cell>
        </row>
        <row r="647">
          <cell r="A647" t="str">
            <v>2017 Diciembre</v>
          </cell>
        </row>
        <row r="648">
          <cell r="A648" t="str">
            <v>2017 Diciembre</v>
          </cell>
        </row>
        <row r="649">
          <cell r="A649" t="str">
            <v>2017 Diciembre</v>
          </cell>
        </row>
        <row r="650">
          <cell r="A650" t="str">
            <v>2017 Diciembre</v>
          </cell>
        </row>
        <row r="651">
          <cell r="A651" t="str">
            <v>2017 Diciembre</v>
          </cell>
        </row>
        <row r="652">
          <cell r="A652" t="str">
            <v>2017 Diciembre</v>
          </cell>
        </row>
        <row r="653">
          <cell r="A653" t="str">
            <v>2017 Diciembre</v>
          </cell>
        </row>
        <row r="654">
          <cell r="A654" t="str">
            <v>2017 Diciembre</v>
          </cell>
        </row>
        <row r="655">
          <cell r="A655" t="str">
            <v>2018 Enero</v>
          </cell>
        </row>
        <row r="656">
          <cell r="A656" t="str">
            <v>2018 Enero</v>
          </cell>
        </row>
        <row r="657">
          <cell r="A657" t="str">
            <v>2018 Enero</v>
          </cell>
        </row>
        <row r="658">
          <cell r="A658" t="str">
            <v>2018 Enero</v>
          </cell>
        </row>
        <row r="659">
          <cell r="A659" t="str">
            <v>2018 Enero</v>
          </cell>
        </row>
        <row r="660">
          <cell r="A660" t="str">
            <v>2018 Enero</v>
          </cell>
        </row>
        <row r="661">
          <cell r="A661" t="str">
            <v>2018 Enero</v>
          </cell>
        </row>
        <row r="662">
          <cell r="A662" t="str">
            <v>2018 Enero</v>
          </cell>
        </row>
        <row r="663">
          <cell r="A663" t="str">
            <v>2018 Enero</v>
          </cell>
        </row>
        <row r="664">
          <cell r="A664" t="str">
            <v>2018 Enero</v>
          </cell>
        </row>
        <row r="665">
          <cell r="A665" t="str">
            <v>2018 Enero</v>
          </cell>
        </row>
        <row r="666">
          <cell r="A666" t="str">
            <v>2018 Enero</v>
          </cell>
        </row>
        <row r="667">
          <cell r="A667" t="str">
            <v>2018 Enero</v>
          </cell>
        </row>
        <row r="668">
          <cell r="A668" t="str">
            <v>2018 Enero</v>
          </cell>
        </row>
        <row r="669">
          <cell r="A669" t="str">
            <v>2018 Enero</v>
          </cell>
        </row>
        <row r="670">
          <cell r="A670" t="str">
            <v>2018 Enero</v>
          </cell>
        </row>
        <row r="671">
          <cell r="A671" t="str">
            <v>2018 Enero</v>
          </cell>
        </row>
        <row r="672">
          <cell r="A672" t="str">
            <v>2018 Enero</v>
          </cell>
        </row>
        <row r="673">
          <cell r="A673" t="str">
            <v>2018 Enero</v>
          </cell>
        </row>
        <row r="674">
          <cell r="A674" t="str">
            <v>2018 Enero</v>
          </cell>
        </row>
        <row r="675">
          <cell r="A675" t="str">
            <v>2018 Enero</v>
          </cell>
        </row>
        <row r="676">
          <cell r="A676" t="str">
            <v>2018 Enero</v>
          </cell>
        </row>
        <row r="677">
          <cell r="A677" t="str">
            <v>2018 Enero</v>
          </cell>
        </row>
        <row r="678">
          <cell r="A678" t="str">
            <v>2018 Enero</v>
          </cell>
        </row>
        <row r="679">
          <cell r="A679" t="str">
            <v>2018 Enero</v>
          </cell>
        </row>
        <row r="680">
          <cell r="A680" t="str">
            <v>2018 Enero</v>
          </cell>
        </row>
        <row r="681">
          <cell r="A681" t="str">
            <v>2018 Enero</v>
          </cell>
        </row>
        <row r="682">
          <cell r="A682" t="str">
            <v>2018 Enero</v>
          </cell>
        </row>
        <row r="683">
          <cell r="A683" t="str">
            <v>2018 Enero</v>
          </cell>
        </row>
        <row r="684">
          <cell r="A684" t="str">
            <v>2018 Enero</v>
          </cell>
        </row>
        <row r="685">
          <cell r="A685" t="str">
            <v>2018 Enero</v>
          </cell>
        </row>
        <row r="686">
          <cell r="A686" t="str">
            <v>2018 Enero</v>
          </cell>
        </row>
        <row r="687">
          <cell r="A687" t="str">
            <v>2018 Enero</v>
          </cell>
        </row>
        <row r="688">
          <cell r="A688" t="str">
            <v>2018 Enero</v>
          </cell>
        </row>
        <row r="689">
          <cell r="A689" t="str">
            <v>2018 Enero</v>
          </cell>
        </row>
        <row r="690">
          <cell r="A690" t="str">
            <v>2018 Enero</v>
          </cell>
        </row>
        <row r="691">
          <cell r="A691" t="str">
            <v>2018 Enero</v>
          </cell>
        </row>
        <row r="692">
          <cell r="A692" t="str">
            <v>2018 Enero</v>
          </cell>
        </row>
        <row r="693">
          <cell r="A693" t="str">
            <v>2018 Enero</v>
          </cell>
        </row>
        <row r="694">
          <cell r="A694" t="str">
            <v>2018 Enero</v>
          </cell>
        </row>
        <row r="695">
          <cell r="A695" t="str">
            <v>2018 Enero</v>
          </cell>
        </row>
        <row r="696">
          <cell r="A696" t="str">
            <v>2018 Enero</v>
          </cell>
        </row>
        <row r="697">
          <cell r="A697" t="str">
            <v>2018 Enero</v>
          </cell>
        </row>
        <row r="698">
          <cell r="A698" t="str">
            <v>2018 Enero</v>
          </cell>
        </row>
        <row r="699">
          <cell r="A699" t="str">
            <v>2018 Enero</v>
          </cell>
        </row>
        <row r="700">
          <cell r="A700" t="str">
            <v>2018 Enero</v>
          </cell>
        </row>
        <row r="701">
          <cell r="A701" t="str">
            <v>2018 Enero</v>
          </cell>
        </row>
        <row r="702">
          <cell r="A702" t="str">
            <v>2018 Enero</v>
          </cell>
        </row>
        <row r="703">
          <cell r="A703" t="str">
            <v>2018 Enero</v>
          </cell>
        </row>
        <row r="704">
          <cell r="A704" t="str">
            <v>2018 Enero</v>
          </cell>
        </row>
        <row r="705">
          <cell r="A705" t="str">
            <v>2018 Enero</v>
          </cell>
        </row>
        <row r="706">
          <cell r="A706" t="str">
            <v>2018 Enero</v>
          </cell>
        </row>
        <row r="707">
          <cell r="A707" t="str">
            <v>2018 Enero</v>
          </cell>
        </row>
        <row r="708">
          <cell r="A708" t="str">
            <v>2018 Enero</v>
          </cell>
        </row>
        <row r="709">
          <cell r="A709" t="str">
            <v>2018 Enero</v>
          </cell>
        </row>
        <row r="710">
          <cell r="A710" t="str">
            <v>2018 Enero</v>
          </cell>
        </row>
        <row r="711">
          <cell r="A711" t="str">
            <v>2018 Enero</v>
          </cell>
        </row>
        <row r="712">
          <cell r="A712" t="str">
            <v>2018 Enero</v>
          </cell>
        </row>
        <row r="713">
          <cell r="A713" t="str">
            <v>2018 Febrero</v>
          </cell>
        </row>
        <row r="714">
          <cell r="A714" t="str">
            <v>2018 Febrero</v>
          </cell>
        </row>
        <row r="715">
          <cell r="A715" t="str">
            <v>2018 Febrero</v>
          </cell>
        </row>
        <row r="716">
          <cell r="A716" t="str">
            <v>2018 Febrero</v>
          </cell>
        </row>
        <row r="717">
          <cell r="A717" t="str">
            <v>2018 Febrero</v>
          </cell>
        </row>
        <row r="718">
          <cell r="A718" t="str">
            <v>2018 Febrero</v>
          </cell>
        </row>
        <row r="719">
          <cell r="A719" t="str">
            <v>2018 Febrero</v>
          </cell>
        </row>
        <row r="720">
          <cell r="A720" t="str">
            <v>2018 Febrero</v>
          </cell>
        </row>
        <row r="721">
          <cell r="A721" t="str">
            <v>2018 Febrero</v>
          </cell>
        </row>
        <row r="722">
          <cell r="A722" t="str">
            <v>2018 Febrero</v>
          </cell>
        </row>
        <row r="723">
          <cell r="A723" t="str">
            <v>2018 Febrero</v>
          </cell>
        </row>
        <row r="724">
          <cell r="A724" t="str">
            <v>2018 Febrero</v>
          </cell>
        </row>
        <row r="725">
          <cell r="A725" t="str">
            <v>2018 Febrero</v>
          </cell>
        </row>
        <row r="726">
          <cell r="A726" t="str">
            <v>2018 Febrero</v>
          </cell>
        </row>
        <row r="727">
          <cell r="A727" t="str">
            <v>2018 Febrero</v>
          </cell>
        </row>
        <row r="728">
          <cell r="A728" t="str">
            <v>2018 Febrero</v>
          </cell>
        </row>
        <row r="729">
          <cell r="A729" t="str">
            <v>2018 Febrero</v>
          </cell>
        </row>
        <row r="730">
          <cell r="A730" t="str">
            <v>2018 Febrero</v>
          </cell>
        </row>
        <row r="731">
          <cell r="A731" t="str">
            <v>2018 Febrero</v>
          </cell>
        </row>
        <row r="732">
          <cell r="A732" t="str">
            <v>2018 Febrero</v>
          </cell>
        </row>
        <row r="733">
          <cell r="A733" t="str">
            <v>2018 Febrero</v>
          </cell>
        </row>
        <row r="734">
          <cell r="A734" t="str">
            <v>2018 Febrero</v>
          </cell>
        </row>
        <row r="735">
          <cell r="A735" t="str">
            <v>2018 Febrero</v>
          </cell>
        </row>
        <row r="736">
          <cell r="A736" t="str">
            <v>2018 Febrero</v>
          </cell>
        </row>
        <row r="737">
          <cell r="A737" t="str">
            <v>2018 Febrero</v>
          </cell>
        </row>
        <row r="738">
          <cell r="A738" t="str">
            <v>2018 Febrero</v>
          </cell>
        </row>
        <row r="739">
          <cell r="A739" t="str">
            <v>2018 Febrero</v>
          </cell>
        </row>
        <row r="740">
          <cell r="A740" t="str">
            <v>2018 Febrero</v>
          </cell>
        </row>
        <row r="741">
          <cell r="A741" t="str">
            <v>2018 Febrero</v>
          </cell>
        </row>
        <row r="742">
          <cell r="A742" t="str">
            <v>2018 Febrero</v>
          </cell>
        </row>
        <row r="743">
          <cell r="A743" t="str">
            <v>2018 Febrero</v>
          </cell>
        </row>
        <row r="744">
          <cell r="A744" t="str">
            <v>2018 Febrero</v>
          </cell>
        </row>
        <row r="745">
          <cell r="A745" t="str">
            <v>2018 Febrero</v>
          </cell>
        </row>
        <row r="746">
          <cell r="A746" t="str">
            <v>2018 Febrero</v>
          </cell>
        </row>
        <row r="747">
          <cell r="A747" t="str">
            <v>2018 Febrero</v>
          </cell>
        </row>
        <row r="748">
          <cell r="A748" t="str">
            <v>2018 Febrero</v>
          </cell>
        </row>
        <row r="749">
          <cell r="A749" t="str">
            <v>2018 Febrero</v>
          </cell>
        </row>
        <row r="750">
          <cell r="A750" t="str">
            <v>2018 Febrero</v>
          </cell>
        </row>
        <row r="751">
          <cell r="A751" t="str">
            <v>2018 Febrero</v>
          </cell>
        </row>
        <row r="752">
          <cell r="A752" t="str">
            <v>2018 Febrero</v>
          </cell>
        </row>
        <row r="753">
          <cell r="A753" t="str">
            <v>2018 Febrero</v>
          </cell>
        </row>
        <row r="754">
          <cell r="A754" t="str">
            <v>2018 Febrero</v>
          </cell>
        </row>
        <row r="755">
          <cell r="A755" t="str">
            <v>2018 Febrero</v>
          </cell>
        </row>
        <row r="756">
          <cell r="A756" t="str">
            <v>2018 Febrero</v>
          </cell>
        </row>
        <row r="757">
          <cell r="A757" t="str">
            <v>2018 Febrero</v>
          </cell>
        </row>
        <row r="758">
          <cell r="A758" t="str">
            <v>2018 Febrero</v>
          </cell>
        </row>
        <row r="759">
          <cell r="A759" t="str">
            <v>2018 Febrero</v>
          </cell>
        </row>
        <row r="760">
          <cell r="A760" t="str">
            <v>2018 Febrero</v>
          </cell>
        </row>
        <row r="761">
          <cell r="A761" t="str">
            <v>2018 Febrero</v>
          </cell>
        </row>
        <row r="762">
          <cell r="A762" t="str">
            <v>2018 Febrero</v>
          </cell>
        </row>
        <row r="763">
          <cell r="A763" t="str">
            <v>2018 Febrero</v>
          </cell>
        </row>
        <row r="764">
          <cell r="A764" t="str">
            <v>2018 Febrero</v>
          </cell>
        </row>
        <row r="765">
          <cell r="A765" t="str">
            <v>2018 Febrero</v>
          </cell>
        </row>
        <row r="766">
          <cell r="A766" t="str">
            <v>2018 Febrero</v>
          </cell>
        </row>
        <row r="767">
          <cell r="A767" t="str">
            <v>2018 Febrero</v>
          </cell>
        </row>
        <row r="768">
          <cell r="A768" t="str">
            <v>2018 Febrero</v>
          </cell>
        </row>
        <row r="769">
          <cell r="A769" t="str">
            <v>2018 Febrero</v>
          </cell>
        </row>
        <row r="770">
          <cell r="A770" t="str">
            <v>2018 Febrero</v>
          </cell>
        </row>
        <row r="771">
          <cell r="A771" t="str">
            <v>2018 Febrero</v>
          </cell>
        </row>
        <row r="772">
          <cell r="A772" t="str">
            <v>2018 Febrero</v>
          </cell>
        </row>
        <row r="773">
          <cell r="A773" t="str">
            <v>2018 Febrero</v>
          </cell>
        </row>
        <row r="774">
          <cell r="A774" t="str">
            <v>2018 Febrero</v>
          </cell>
        </row>
        <row r="775">
          <cell r="A775" t="str">
            <v>2018 Febrero</v>
          </cell>
        </row>
        <row r="776">
          <cell r="A776" t="str">
            <v>2018 Febrero</v>
          </cell>
        </row>
        <row r="777">
          <cell r="A777" t="str">
            <v>2018 Febrero</v>
          </cell>
        </row>
        <row r="778">
          <cell r="A778" t="str">
            <v>2018 Marzo</v>
          </cell>
        </row>
        <row r="779">
          <cell r="A779" t="str">
            <v>2018 Marzo</v>
          </cell>
        </row>
        <row r="780">
          <cell r="A780" t="str">
            <v>2018 Marzo</v>
          </cell>
        </row>
        <row r="781">
          <cell r="A781" t="str">
            <v>2018 Marzo</v>
          </cell>
        </row>
        <row r="782">
          <cell r="A782" t="str">
            <v>2018 Marzo</v>
          </cell>
        </row>
        <row r="783">
          <cell r="A783" t="str">
            <v>2018 Marzo</v>
          </cell>
        </row>
        <row r="784">
          <cell r="A784" t="str">
            <v>2018 Marzo</v>
          </cell>
        </row>
        <row r="785">
          <cell r="A785" t="str">
            <v>2018 Marzo</v>
          </cell>
        </row>
        <row r="786">
          <cell r="A786" t="str">
            <v>2018 Marzo</v>
          </cell>
        </row>
        <row r="787">
          <cell r="A787" t="str">
            <v>2018 Marzo</v>
          </cell>
        </row>
        <row r="788">
          <cell r="A788" t="str">
            <v>2018 Marzo</v>
          </cell>
        </row>
        <row r="789">
          <cell r="A789" t="str">
            <v>2018 Marzo</v>
          </cell>
        </row>
        <row r="790">
          <cell r="A790" t="str">
            <v>2018 Marzo</v>
          </cell>
        </row>
        <row r="791">
          <cell r="A791" t="str">
            <v>2018 Marzo</v>
          </cell>
        </row>
        <row r="792">
          <cell r="A792" t="str">
            <v>2018 Marzo</v>
          </cell>
        </row>
        <row r="793">
          <cell r="A793" t="str">
            <v>2018 Marzo</v>
          </cell>
        </row>
        <row r="794">
          <cell r="A794" t="str">
            <v>2018 Marzo</v>
          </cell>
        </row>
        <row r="795">
          <cell r="A795" t="str">
            <v>2018 Marzo</v>
          </cell>
        </row>
        <row r="796">
          <cell r="A796" t="str">
            <v>2018 Marzo</v>
          </cell>
        </row>
        <row r="797">
          <cell r="A797" t="str">
            <v>2018 Marzo</v>
          </cell>
        </row>
        <row r="798">
          <cell r="A798" t="str">
            <v>2018 Marzo</v>
          </cell>
        </row>
        <row r="799">
          <cell r="A799" t="str">
            <v>2018 Marzo</v>
          </cell>
        </row>
        <row r="800">
          <cell r="A800" t="str">
            <v>2018 Marzo</v>
          </cell>
        </row>
        <row r="801">
          <cell r="A801" t="str">
            <v>2018 Marzo</v>
          </cell>
        </row>
        <row r="802">
          <cell r="A802" t="str">
            <v>2018 Marzo</v>
          </cell>
        </row>
        <row r="803">
          <cell r="A803" t="str">
            <v>2018 Marzo</v>
          </cell>
        </row>
        <row r="804">
          <cell r="A804" t="str">
            <v>2018 Marzo</v>
          </cell>
        </row>
        <row r="805">
          <cell r="A805" t="str">
            <v>2018 Marzo</v>
          </cell>
        </row>
        <row r="806">
          <cell r="A806" t="str">
            <v>2018 Marzo</v>
          </cell>
        </row>
        <row r="807">
          <cell r="A807" t="str">
            <v>2018 Marzo</v>
          </cell>
        </row>
        <row r="808">
          <cell r="A808" t="str">
            <v>2018 Marzo</v>
          </cell>
        </row>
        <row r="809">
          <cell r="A809" t="str">
            <v>2018 Marzo</v>
          </cell>
        </row>
        <row r="810">
          <cell r="A810" t="str">
            <v>2018 Marzo</v>
          </cell>
        </row>
        <row r="811">
          <cell r="A811" t="str">
            <v>2018 Marzo</v>
          </cell>
        </row>
        <row r="812">
          <cell r="A812" t="str">
            <v>2018 Marzo</v>
          </cell>
        </row>
        <row r="813">
          <cell r="A813" t="str">
            <v>2018 Marzo</v>
          </cell>
        </row>
        <row r="814">
          <cell r="A814" t="str">
            <v>2018 Marzo</v>
          </cell>
        </row>
        <row r="815">
          <cell r="A815" t="str">
            <v>2018 Marzo</v>
          </cell>
        </row>
        <row r="816">
          <cell r="A816" t="str">
            <v>2018 Marzo</v>
          </cell>
        </row>
        <row r="817">
          <cell r="A817" t="str">
            <v>2018 Marzo</v>
          </cell>
        </row>
        <row r="818">
          <cell r="A818" t="str">
            <v>2018 Marzo</v>
          </cell>
        </row>
        <row r="819">
          <cell r="A819" t="str">
            <v>2018 Marzo</v>
          </cell>
        </row>
        <row r="820">
          <cell r="A820" t="str">
            <v>2018 Marzo</v>
          </cell>
        </row>
        <row r="821">
          <cell r="A821" t="str">
            <v>2018 Marzo</v>
          </cell>
        </row>
        <row r="822">
          <cell r="A822" t="str">
            <v>2018 Marzo</v>
          </cell>
        </row>
        <row r="823">
          <cell r="A823" t="str">
            <v>2018 Marzo</v>
          </cell>
        </row>
        <row r="824">
          <cell r="A824" t="str">
            <v>2018 Marzo</v>
          </cell>
        </row>
        <row r="825">
          <cell r="A825" t="str">
            <v>2018 Marzo</v>
          </cell>
        </row>
        <row r="826">
          <cell r="A826" t="str">
            <v>2018 Marzo</v>
          </cell>
        </row>
        <row r="827">
          <cell r="A827" t="str">
            <v>2018 Marzo</v>
          </cell>
        </row>
        <row r="828">
          <cell r="A828" t="str">
            <v>2018 Marzo</v>
          </cell>
        </row>
        <row r="829">
          <cell r="A829" t="str">
            <v>2018 Marzo</v>
          </cell>
        </row>
        <row r="830">
          <cell r="A830" t="str">
            <v>2018 Marzo</v>
          </cell>
        </row>
        <row r="831">
          <cell r="A831" t="str">
            <v>2018 Marzo</v>
          </cell>
        </row>
        <row r="832">
          <cell r="A832" t="str">
            <v>2018 Marzo</v>
          </cell>
        </row>
        <row r="833">
          <cell r="A833" t="str">
            <v>2018 Marzo</v>
          </cell>
        </row>
        <row r="834">
          <cell r="A834" t="str">
            <v>2018 Marzo</v>
          </cell>
        </row>
        <row r="835">
          <cell r="A835" t="str">
            <v>2018 Marzo</v>
          </cell>
        </row>
        <row r="836">
          <cell r="A836" t="str">
            <v>2018 Abril</v>
          </cell>
        </row>
        <row r="837">
          <cell r="A837" t="str">
            <v>2018 Abril</v>
          </cell>
        </row>
        <row r="838">
          <cell r="A838" t="str">
            <v>2018 Abril</v>
          </cell>
        </row>
        <row r="839">
          <cell r="A839" t="str">
            <v>2018 Abril</v>
          </cell>
        </row>
        <row r="840">
          <cell r="A840" t="str">
            <v>2018 Abril</v>
          </cell>
        </row>
        <row r="841">
          <cell r="A841" t="str">
            <v>2018 Abril</v>
          </cell>
        </row>
        <row r="842">
          <cell r="A842" t="str">
            <v>2018 Abril</v>
          </cell>
        </row>
        <row r="843">
          <cell r="A843" t="str">
            <v>2018 Abril</v>
          </cell>
        </row>
        <row r="844">
          <cell r="A844" t="str">
            <v>2018 Abril</v>
          </cell>
        </row>
        <row r="845">
          <cell r="A845" t="str">
            <v>2018 Abril</v>
          </cell>
        </row>
        <row r="846">
          <cell r="A846" t="str">
            <v>2018 Abril</v>
          </cell>
        </row>
        <row r="847">
          <cell r="A847" t="str">
            <v>2018 Abril</v>
          </cell>
        </row>
        <row r="848">
          <cell r="A848" t="str">
            <v>2018 Abril</v>
          </cell>
        </row>
        <row r="849">
          <cell r="A849" t="str">
            <v>2018 Abril</v>
          </cell>
        </row>
        <row r="850">
          <cell r="A850" t="str">
            <v>2018 Abril</v>
          </cell>
        </row>
        <row r="851">
          <cell r="A851" t="str">
            <v>2018 Abril</v>
          </cell>
        </row>
        <row r="852">
          <cell r="A852" t="str">
            <v>2018 Abril</v>
          </cell>
        </row>
        <row r="853">
          <cell r="A853" t="str">
            <v>2018 Abril</v>
          </cell>
        </row>
        <row r="854">
          <cell r="A854" t="str">
            <v>2018 Abril</v>
          </cell>
        </row>
        <row r="855">
          <cell r="A855" t="str">
            <v>2018 Abril</v>
          </cell>
        </row>
        <row r="856">
          <cell r="A856" t="str">
            <v>2018 Abril</v>
          </cell>
        </row>
        <row r="857">
          <cell r="A857" t="str">
            <v>2018 Abril</v>
          </cell>
        </row>
        <row r="858">
          <cell r="A858" t="str">
            <v>2018 Abril</v>
          </cell>
        </row>
        <row r="859">
          <cell r="A859" t="str">
            <v>2018 Abril</v>
          </cell>
        </row>
        <row r="860">
          <cell r="A860" t="str">
            <v>2018 Abril</v>
          </cell>
        </row>
        <row r="861">
          <cell r="A861" t="str">
            <v>2018 Abril</v>
          </cell>
        </row>
        <row r="862">
          <cell r="A862" t="str">
            <v>2018 Abril</v>
          </cell>
        </row>
        <row r="863">
          <cell r="A863" t="str">
            <v>2018 Abril</v>
          </cell>
        </row>
        <row r="864">
          <cell r="A864" t="str">
            <v>2018 Abril</v>
          </cell>
        </row>
        <row r="865">
          <cell r="A865" t="str">
            <v>2018 Abril</v>
          </cell>
        </row>
        <row r="866">
          <cell r="A866" t="str">
            <v>2018 Abril</v>
          </cell>
        </row>
        <row r="867">
          <cell r="A867" t="str">
            <v>2018 Abril</v>
          </cell>
        </row>
        <row r="868">
          <cell r="A868" t="str">
            <v>2018 Abril</v>
          </cell>
        </row>
        <row r="869">
          <cell r="A869" t="str">
            <v>2018 Abril</v>
          </cell>
        </row>
        <row r="870">
          <cell r="A870" t="str">
            <v>2018 Abril</v>
          </cell>
        </row>
        <row r="871">
          <cell r="A871" t="str">
            <v>2018 Abril</v>
          </cell>
        </row>
        <row r="872">
          <cell r="A872" t="str">
            <v>2018 Abril</v>
          </cell>
        </row>
        <row r="873">
          <cell r="A873" t="str">
            <v>2018 Abril</v>
          </cell>
        </row>
        <row r="874">
          <cell r="A874" t="str">
            <v>2018 Abril</v>
          </cell>
        </row>
        <row r="875">
          <cell r="A875" t="str">
            <v>2018 Abril</v>
          </cell>
        </row>
        <row r="876">
          <cell r="A876" t="str">
            <v>2018 Abril</v>
          </cell>
        </row>
        <row r="877">
          <cell r="A877" t="str">
            <v>2018 Abril</v>
          </cell>
        </row>
        <row r="878">
          <cell r="A878" t="str">
            <v>2018 Abril</v>
          </cell>
        </row>
        <row r="879">
          <cell r="A879" t="str">
            <v>2018 Abril</v>
          </cell>
        </row>
        <row r="880">
          <cell r="A880" t="str">
            <v>2018 Abril</v>
          </cell>
        </row>
        <row r="881">
          <cell r="A881" t="str">
            <v>2018 Abril</v>
          </cell>
        </row>
        <row r="882">
          <cell r="A882" t="str">
            <v>2018 Abril</v>
          </cell>
        </row>
        <row r="883">
          <cell r="A883" t="str">
            <v>2018 Abril</v>
          </cell>
        </row>
        <row r="884">
          <cell r="A884" t="str">
            <v>2018 Abril</v>
          </cell>
        </row>
        <row r="885">
          <cell r="A885" t="str">
            <v>2018 Abril</v>
          </cell>
        </row>
        <row r="886">
          <cell r="A886" t="str">
            <v>2018 Abril</v>
          </cell>
        </row>
        <row r="887">
          <cell r="A887" t="str">
            <v>2018 Abril</v>
          </cell>
        </row>
        <row r="888">
          <cell r="A888" t="str">
            <v>2018 Abril</v>
          </cell>
        </row>
        <row r="889">
          <cell r="A889" t="str">
            <v>2018 Abril</v>
          </cell>
        </row>
        <row r="890">
          <cell r="A890" t="str">
            <v>2018 Mayo</v>
          </cell>
        </row>
        <row r="891">
          <cell r="A891" t="str">
            <v>2018 Mayo</v>
          </cell>
        </row>
        <row r="892">
          <cell r="A892" t="str">
            <v>2018 Mayo</v>
          </cell>
        </row>
        <row r="893">
          <cell r="A893" t="str">
            <v>2018 Mayo</v>
          </cell>
        </row>
        <row r="894">
          <cell r="A894" t="str">
            <v>2018 Mayo</v>
          </cell>
        </row>
        <row r="895">
          <cell r="A895" t="str">
            <v>2018 Mayo</v>
          </cell>
        </row>
        <row r="896">
          <cell r="A896" t="str">
            <v>2018 Mayo</v>
          </cell>
        </row>
        <row r="897">
          <cell r="A897" t="str">
            <v>2018 Mayo</v>
          </cell>
        </row>
        <row r="898">
          <cell r="A898" t="str">
            <v>2018 Mayo</v>
          </cell>
        </row>
        <row r="899">
          <cell r="A899" t="str">
            <v>2018 Mayo</v>
          </cell>
        </row>
        <row r="900">
          <cell r="A900" t="str">
            <v>2018 Mayo</v>
          </cell>
        </row>
        <row r="901">
          <cell r="A901" t="str">
            <v>2018 Mayo</v>
          </cell>
        </row>
        <row r="902">
          <cell r="A902" t="str">
            <v>2018 Mayo</v>
          </cell>
        </row>
        <row r="903">
          <cell r="A903" t="str">
            <v>2018 Mayo</v>
          </cell>
        </row>
        <row r="904">
          <cell r="A904" t="str">
            <v>2018 Mayo</v>
          </cell>
        </row>
        <row r="905">
          <cell r="A905" t="str">
            <v>2018 Mayo</v>
          </cell>
        </row>
        <row r="906">
          <cell r="A906" t="str">
            <v>2018 Mayo</v>
          </cell>
        </row>
        <row r="907">
          <cell r="A907" t="str">
            <v>2018 Mayo</v>
          </cell>
        </row>
        <row r="908">
          <cell r="A908" t="str">
            <v>2018 Mayo</v>
          </cell>
        </row>
        <row r="909">
          <cell r="A909" t="str">
            <v>2018 Mayo</v>
          </cell>
        </row>
        <row r="910">
          <cell r="A910" t="str">
            <v>2018 Mayo</v>
          </cell>
        </row>
        <row r="911">
          <cell r="A911" t="str">
            <v>2018 Mayo</v>
          </cell>
        </row>
        <row r="912">
          <cell r="A912" t="str">
            <v>2018 Mayo</v>
          </cell>
        </row>
        <row r="913">
          <cell r="A913" t="str">
            <v>2018 Mayo</v>
          </cell>
        </row>
        <row r="914">
          <cell r="A914" t="str">
            <v>2018 Mayo</v>
          </cell>
        </row>
        <row r="915">
          <cell r="A915" t="str">
            <v>2018 Mayo</v>
          </cell>
        </row>
        <row r="916">
          <cell r="A916" t="str">
            <v>2018 Mayo</v>
          </cell>
        </row>
        <row r="917">
          <cell r="A917" t="str">
            <v>2018 Mayo</v>
          </cell>
        </row>
        <row r="918">
          <cell r="A918" t="str">
            <v>2018 Mayo</v>
          </cell>
        </row>
        <row r="919">
          <cell r="A919" t="str">
            <v>2018 Mayo</v>
          </cell>
        </row>
        <row r="920">
          <cell r="A920" t="str">
            <v>2018 Mayo</v>
          </cell>
        </row>
        <row r="921">
          <cell r="A921" t="str">
            <v>2018 Mayo</v>
          </cell>
        </row>
        <row r="922">
          <cell r="A922" t="str">
            <v>2018 Mayo</v>
          </cell>
        </row>
        <row r="923">
          <cell r="A923" t="str">
            <v>2018 Mayo</v>
          </cell>
        </row>
        <row r="924">
          <cell r="A924" t="str">
            <v>2018 Mayo</v>
          </cell>
        </row>
        <row r="925">
          <cell r="A925" t="str">
            <v>2018 Mayo</v>
          </cell>
        </row>
        <row r="926">
          <cell r="A926" t="str">
            <v>2018 Mayo</v>
          </cell>
        </row>
        <row r="927">
          <cell r="A927" t="str">
            <v>2018 Mayo</v>
          </cell>
        </row>
        <row r="928">
          <cell r="A928" t="str">
            <v>2018 Mayo</v>
          </cell>
        </row>
        <row r="929">
          <cell r="A929" t="str">
            <v>2018 Mayo</v>
          </cell>
        </row>
        <row r="930">
          <cell r="A930" t="str">
            <v>2018 Mayo</v>
          </cell>
        </row>
        <row r="931">
          <cell r="A931" t="str">
            <v>2018 Mayo</v>
          </cell>
        </row>
        <row r="932">
          <cell r="A932" t="str">
            <v>2018 Mayo</v>
          </cell>
        </row>
        <row r="933">
          <cell r="A933" t="str">
            <v>2018 Mayo</v>
          </cell>
        </row>
        <row r="934">
          <cell r="A934" t="str">
            <v>2018 Mayo</v>
          </cell>
        </row>
        <row r="935">
          <cell r="A935" t="str">
            <v>2018 Mayo</v>
          </cell>
        </row>
        <row r="936">
          <cell r="A936" t="str">
            <v>2018 Mayo</v>
          </cell>
        </row>
        <row r="937">
          <cell r="A937" t="str">
            <v>2018 Mayo</v>
          </cell>
        </row>
        <row r="938">
          <cell r="A938" t="str">
            <v>2018 Mayo</v>
          </cell>
        </row>
        <row r="939">
          <cell r="A939" t="str">
            <v>2018 Mayo</v>
          </cell>
        </row>
        <row r="940">
          <cell r="A940" t="str">
            <v>2018 Mayo</v>
          </cell>
        </row>
        <row r="941">
          <cell r="A941" t="str">
            <v>2018 Mayo</v>
          </cell>
        </row>
        <row r="942">
          <cell r="A942" t="str">
            <v>2018 Mayo</v>
          </cell>
        </row>
        <row r="943">
          <cell r="A943" t="str">
            <v>2018 Mayo</v>
          </cell>
        </row>
        <row r="944">
          <cell r="A944" t="str">
            <v>2018 Mayo</v>
          </cell>
        </row>
        <row r="945">
          <cell r="A945" t="str">
            <v>2018 Mayo</v>
          </cell>
        </row>
        <row r="946">
          <cell r="A946" t="str">
            <v>2018 Junio</v>
          </cell>
        </row>
        <row r="947">
          <cell r="A947" t="str">
            <v>2018 Junio</v>
          </cell>
        </row>
        <row r="948">
          <cell r="A948" t="str">
            <v>2018 Junio</v>
          </cell>
        </row>
        <row r="949">
          <cell r="A949" t="str">
            <v>2018 Junio</v>
          </cell>
        </row>
        <row r="950">
          <cell r="A950" t="str">
            <v>2018 Junio</v>
          </cell>
        </row>
        <row r="951">
          <cell r="A951" t="str">
            <v>2018 Junio</v>
          </cell>
        </row>
        <row r="952">
          <cell r="A952" t="str">
            <v>2018 Junio</v>
          </cell>
        </row>
        <row r="953">
          <cell r="A953" t="str">
            <v>2018 Junio</v>
          </cell>
        </row>
        <row r="954">
          <cell r="A954" t="str">
            <v>2018 Junio</v>
          </cell>
        </row>
        <row r="955">
          <cell r="A955" t="str">
            <v>2018 Junio</v>
          </cell>
        </row>
        <row r="956">
          <cell r="A956" t="str">
            <v>2018 Junio</v>
          </cell>
        </row>
        <row r="957">
          <cell r="A957" t="str">
            <v>2018 Junio</v>
          </cell>
        </row>
        <row r="958">
          <cell r="A958" t="str">
            <v>2018 Junio</v>
          </cell>
        </row>
        <row r="959">
          <cell r="A959" t="str">
            <v>2018 Junio</v>
          </cell>
        </row>
        <row r="960">
          <cell r="A960" t="str">
            <v>2018 Junio</v>
          </cell>
        </row>
        <row r="961">
          <cell r="A961" t="str">
            <v>2018 Junio</v>
          </cell>
        </row>
        <row r="962">
          <cell r="A962" t="str">
            <v>2018 Junio</v>
          </cell>
        </row>
        <row r="963">
          <cell r="A963" t="str">
            <v>2018 Junio</v>
          </cell>
        </row>
        <row r="964">
          <cell r="A964" t="str">
            <v>2018 Junio</v>
          </cell>
        </row>
        <row r="965">
          <cell r="A965" t="str">
            <v>2018 Junio</v>
          </cell>
        </row>
        <row r="966">
          <cell r="A966" t="str">
            <v>2018 Junio</v>
          </cell>
        </row>
        <row r="967">
          <cell r="A967" t="str">
            <v>2018 Junio</v>
          </cell>
        </row>
        <row r="968">
          <cell r="A968" t="str">
            <v>2018 Junio</v>
          </cell>
        </row>
        <row r="969">
          <cell r="A969" t="str">
            <v>2018 Junio</v>
          </cell>
        </row>
        <row r="970">
          <cell r="A970" t="str">
            <v>2018 Junio</v>
          </cell>
        </row>
        <row r="971">
          <cell r="A971" t="str">
            <v>2018 Junio</v>
          </cell>
        </row>
        <row r="972">
          <cell r="A972" t="str">
            <v>2018 Junio</v>
          </cell>
        </row>
        <row r="973">
          <cell r="A973" t="str">
            <v>2018 Junio</v>
          </cell>
        </row>
        <row r="974">
          <cell r="A974" t="str">
            <v>2018 Junio</v>
          </cell>
        </row>
        <row r="975">
          <cell r="A975" t="str">
            <v>2018 Junio</v>
          </cell>
        </row>
        <row r="976">
          <cell r="A976" t="str">
            <v>2018 Junio</v>
          </cell>
        </row>
        <row r="977">
          <cell r="A977" t="str">
            <v>2018 Junio</v>
          </cell>
        </row>
        <row r="978">
          <cell r="A978" t="str">
            <v>2018 Junio</v>
          </cell>
        </row>
        <row r="979">
          <cell r="A979" t="str">
            <v>2018 Junio</v>
          </cell>
        </row>
        <row r="980">
          <cell r="A980" t="str">
            <v>2018 Junio</v>
          </cell>
        </row>
        <row r="981">
          <cell r="A981" t="str">
            <v>2018 Junio</v>
          </cell>
        </row>
        <row r="982">
          <cell r="A982" t="str">
            <v>2018 Junio</v>
          </cell>
        </row>
        <row r="983">
          <cell r="A983" t="str">
            <v>2018 Junio</v>
          </cell>
        </row>
        <row r="984">
          <cell r="A984" t="str">
            <v>2018 Junio</v>
          </cell>
        </row>
        <row r="985">
          <cell r="A985" t="str">
            <v>2018 Junio</v>
          </cell>
        </row>
        <row r="986">
          <cell r="A986" t="str">
            <v>2018 Junio</v>
          </cell>
        </row>
        <row r="987">
          <cell r="A987" t="str">
            <v>2018 Junio</v>
          </cell>
        </row>
        <row r="988">
          <cell r="A988" t="str">
            <v>2018 Junio</v>
          </cell>
        </row>
        <row r="989">
          <cell r="A989" t="str">
            <v>2018 Junio</v>
          </cell>
        </row>
        <row r="990">
          <cell r="A990" t="str">
            <v>2018 Junio</v>
          </cell>
        </row>
        <row r="991">
          <cell r="A991" t="str">
            <v>2018 Junio</v>
          </cell>
        </row>
        <row r="992">
          <cell r="A992" t="str">
            <v>2018 Junio</v>
          </cell>
        </row>
        <row r="993">
          <cell r="A993" t="str">
            <v>2018 Junio</v>
          </cell>
        </row>
        <row r="994">
          <cell r="A994" t="str">
            <v>2018 Junio</v>
          </cell>
        </row>
        <row r="995">
          <cell r="A995" t="str">
            <v>2018 Junio</v>
          </cell>
        </row>
        <row r="996">
          <cell r="A996" t="str">
            <v>2018 Junio</v>
          </cell>
        </row>
        <row r="997">
          <cell r="A997" t="str">
            <v>2018 Junio</v>
          </cell>
        </row>
        <row r="998">
          <cell r="A998" t="str">
            <v>2018 Junio</v>
          </cell>
        </row>
        <row r="999">
          <cell r="A999" t="str">
            <v>2018 Junio</v>
          </cell>
        </row>
        <row r="1000">
          <cell r="A1000" t="str">
            <v>2018 Junio</v>
          </cell>
        </row>
        <row r="1001">
          <cell r="A1001" t="str">
            <v>2018 Junio</v>
          </cell>
        </row>
        <row r="1002">
          <cell r="A1002" t="str">
            <v>2018 Junio</v>
          </cell>
        </row>
        <row r="1003">
          <cell r="A1003" t="str">
            <v>2018 Junio</v>
          </cell>
        </row>
        <row r="1004">
          <cell r="A1004" t="str">
            <v>2018 Junio</v>
          </cell>
        </row>
        <row r="1005">
          <cell r="A1005" t="str">
            <v>2018 Junio</v>
          </cell>
        </row>
        <row r="1006">
          <cell r="A1006" t="str">
            <v>2018 Junio</v>
          </cell>
        </row>
        <row r="1007">
          <cell r="A1007" t="str">
            <v>2018 Julio</v>
          </cell>
        </row>
        <row r="1008">
          <cell r="A1008" t="str">
            <v>2018 Julio</v>
          </cell>
        </row>
        <row r="1009">
          <cell r="A1009" t="str">
            <v>2018 Julio</v>
          </cell>
        </row>
        <row r="1010">
          <cell r="A1010" t="str">
            <v>2018 Julio</v>
          </cell>
        </row>
        <row r="1011">
          <cell r="A1011" t="str">
            <v>2018 Julio</v>
          </cell>
        </row>
        <row r="1012">
          <cell r="A1012" t="str">
            <v>2018 Julio</v>
          </cell>
        </row>
        <row r="1013">
          <cell r="A1013" t="str">
            <v>2018 Julio</v>
          </cell>
        </row>
        <row r="1014">
          <cell r="A1014" t="str">
            <v>2018 Julio</v>
          </cell>
        </row>
        <row r="1015">
          <cell r="A1015" t="str">
            <v>2018 Julio</v>
          </cell>
        </row>
        <row r="1016">
          <cell r="A1016" t="str">
            <v>2018 Julio</v>
          </cell>
        </row>
        <row r="1017">
          <cell r="A1017" t="str">
            <v>2018 Julio</v>
          </cell>
        </row>
        <row r="1018">
          <cell r="A1018" t="str">
            <v>2018 Julio</v>
          </cell>
        </row>
        <row r="1019">
          <cell r="A1019" t="str">
            <v>2018 Julio</v>
          </cell>
        </row>
        <row r="1020">
          <cell r="A1020" t="str">
            <v>2018 Julio</v>
          </cell>
        </row>
        <row r="1021">
          <cell r="A1021" t="str">
            <v>2018 Julio</v>
          </cell>
        </row>
        <row r="1022">
          <cell r="A1022" t="str">
            <v>2018 Julio</v>
          </cell>
        </row>
        <row r="1023">
          <cell r="A1023" t="str">
            <v>2018 Julio</v>
          </cell>
        </row>
        <row r="1024">
          <cell r="A1024" t="str">
            <v>2018 Julio</v>
          </cell>
        </row>
        <row r="1025">
          <cell r="A1025" t="str">
            <v>2018 Julio</v>
          </cell>
        </row>
        <row r="1026">
          <cell r="A1026" t="str">
            <v>2018 Julio</v>
          </cell>
        </row>
        <row r="1027">
          <cell r="A1027" t="str">
            <v>2018 Julio</v>
          </cell>
        </row>
        <row r="1028">
          <cell r="A1028" t="str">
            <v>2018 Julio</v>
          </cell>
        </row>
        <row r="1029">
          <cell r="A1029" t="str">
            <v>2018 Julio</v>
          </cell>
        </row>
        <row r="1030">
          <cell r="A1030" t="str">
            <v>2018 Julio</v>
          </cell>
        </row>
        <row r="1031">
          <cell r="A1031" t="str">
            <v>2018 Julio</v>
          </cell>
        </row>
        <row r="1032">
          <cell r="A1032" t="str">
            <v>2018 Julio</v>
          </cell>
        </row>
        <row r="1033">
          <cell r="A1033" t="str">
            <v>2018 Julio</v>
          </cell>
        </row>
        <row r="1034">
          <cell r="A1034" t="str">
            <v>2018 Julio</v>
          </cell>
        </row>
        <row r="1035">
          <cell r="A1035" t="str">
            <v>2018 Julio</v>
          </cell>
        </row>
        <row r="1036">
          <cell r="A1036" t="str">
            <v>2018 Julio</v>
          </cell>
        </row>
        <row r="1037">
          <cell r="A1037" t="str">
            <v>2018 Julio</v>
          </cell>
        </row>
        <row r="1038">
          <cell r="A1038" t="str">
            <v>2018 Julio</v>
          </cell>
        </row>
        <row r="1039">
          <cell r="A1039" t="str">
            <v>2018 Julio</v>
          </cell>
        </row>
        <row r="1040">
          <cell r="A1040" t="str">
            <v>2018 Julio</v>
          </cell>
        </row>
        <row r="1041">
          <cell r="A1041" t="str">
            <v>2018 Julio</v>
          </cell>
        </row>
        <row r="1042">
          <cell r="A1042" t="str">
            <v>2018 Julio</v>
          </cell>
        </row>
        <row r="1043">
          <cell r="A1043" t="str">
            <v>2018 Julio</v>
          </cell>
        </row>
        <row r="1044">
          <cell r="A1044" t="str">
            <v>2018 Julio</v>
          </cell>
        </row>
        <row r="1045">
          <cell r="A1045" t="str">
            <v>2018 Julio</v>
          </cell>
        </row>
        <row r="1046">
          <cell r="A1046" t="str">
            <v>2018 Julio</v>
          </cell>
        </row>
        <row r="1047">
          <cell r="A1047" t="str">
            <v>2018 Julio</v>
          </cell>
        </row>
        <row r="1048">
          <cell r="A1048" t="str">
            <v>2018 Julio</v>
          </cell>
        </row>
        <row r="1049">
          <cell r="A1049" t="str">
            <v>2018 Julio</v>
          </cell>
        </row>
        <row r="1050">
          <cell r="A1050" t="str">
            <v>2018 Julio</v>
          </cell>
        </row>
        <row r="1051">
          <cell r="A1051" t="str">
            <v>2018 Julio</v>
          </cell>
        </row>
        <row r="1052">
          <cell r="A1052" t="str">
            <v>2018 Julio</v>
          </cell>
        </row>
        <row r="1053">
          <cell r="A1053" t="str">
            <v>2018 Julio</v>
          </cell>
        </row>
        <row r="1054">
          <cell r="A1054" t="str">
            <v>2018 Julio</v>
          </cell>
        </row>
        <row r="1055">
          <cell r="A1055" t="str">
            <v>2018 Julio</v>
          </cell>
        </row>
        <row r="1056">
          <cell r="A1056" t="str">
            <v>2018 Julio</v>
          </cell>
        </row>
        <row r="1057">
          <cell r="A1057" t="str">
            <v>2018 Julio</v>
          </cell>
        </row>
        <row r="1058">
          <cell r="A1058" t="str">
            <v>2018 Julio</v>
          </cell>
        </row>
        <row r="1059">
          <cell r="A1059" t="str">
            <v>2018 Julio</v>
          </cell>
        </row>
        <row r="1060">
          <cell r="A1060" t="str">
            <v>2018 Julio</v>
          </cell>
        </row>
        <row r="1061">
          <cell r="A1061" t="str">
            <v>2018 Julio</v>
          </cell>
        </row>
        <row r="1062">
          <cell r="A1062" t="str">
            <v>2018 Julio</v>
          </cell>
        </row>
        <row r="1063">
          <cell r="A1063" t="str">
            <v>2018 Julio</v>
          </cell>
        </row>
        <row r="1064">
          <cell r="A1064" t="str">
            <v>2018 Julio</v>
          </cell>
        </row>
        <row r="1065">
          <cell r="A1065" t="str">
            <v>2018 Julio</v>
          </cell>
        </row>
        <row r="1066">
          <cell r="A1066" t="str">
            <v>2018 Julio</v>
          </cell>
        </row>
        <row r="1067">
          <cell r="A1067" t="str">
            <v>2018 Julio</v>
          </cell>
        </row>
        <row r="1068">
          <cell r="A1068" t="str">
            <v>2018 Julio</v>
          </cell>
        </row>
        <row r="1069">
          <cell r="A1069" t="str">
            <v>2018 Agosto</v>
          </cell>
        </row>
        <row r="1070">
          <cell r="A1070" t="str">
            <v>2018 Agosto</v>
          </cell>
        </row>
        <row r="1071">
          <cell r="A1071" t="str">
            <v>2018 Agosto</v>
          </cell>
        </row>
        <row r="1072">
          <cell r="A1072" t="str">
            <v>2018 Agosto</v>
          </cell>
        </row>
        <row r="1073">
          <cell r="A1073" t="str">
            <v>2018 Agosto</v>
          </cell>
        </row>
        <row r="1074">
          <cell r="A1074" t="str">
            <v>2018 Agosto</v>
          </cell>
        </row>
        <row r="1075">
          <cell r="A1075" t="str">
            <v>2018 Agosto</v>
          </cell>
        </row>
        <row r="1076">
          <cell r="A1076" t="str">
            <v>2018 Agosto</v>
          </cell>
        </row>
        <row r="1077">
          <cell r="A1077" t="str">
            <v>2018 Agosto</v>
          </cell>
        </row>
        <row r="1078">
          <cell r="A1078" t="str">
            <v>2018 Agosto</v>
          </cell>
        </row>
        <row r="1079">
          <cell r="A1079" t="str">
            <v>2018 Agosto</v>
          </cell>
        </row>
        <row r="1080">
          <cell r="A1080" t="str">
            <v>2018 Agosto</v>
          </cell>
        </row>
        <row r="1081">
          <cell r="A1081" t="str">
            <v>2018 Agosto</v>
          </cell>
        </row>
        <row r="1082">
          <cell r="A1082" t="str">
            <v>2018 Agosto</v>
          </cell>
        </row>
        <row r="1083">
          <cell r="A1083" t="str">
            <v>2018 Agosto</v>
          </cell>
        </row>
        <row r="1084">
          <cell r="A1084" t="str">
            <v>2018 Agosto</v>
          </cell>
        </row>
        <row r="1085">
          <cell r="A1085" t="str">
            <v>2018 Agosto</v>
          </cell>
        </row>
        <row r="1086">
          <cell r="A1086" t="str">
            <v>2018 Agosto</v>
          </cell>
        </row>
        <row r="1087">
          <cell r="A1087" t="str">
            <v>2018 Agosto</v>
          </cell>
        </row>
        <row r="1088">
          <cell r="A1088" t="str">
            <v>2018 Agosto</v>
          </cell>
        </row>
        <row r="1089">
          <cell r="A1089" t="str">
            <v>2018 Agosto</v>
          </cell>
        </row>
        <row r="1090">
          <cell r="A1090" t="str">
            <v>2018 Agosto</v>
          </cell>
        </row>
        <row r="1091">
          <cell r="A1091" t="str">
            <v>2018 Agosto</v>
          </cell>
        </row>
        <row r="1092">
          <cell r="A1092" t="str">
            <v>2018 Agosto</v>
          </cell>
        </row>
        <row r="1093">
          <cell r="A1093" t="str">
            <v>2018 Agosto</v>
          </cell>
        </row>
        <row r="1094">
          <cell r="A1094" t="str">
            <v>2018 Agosto</v>
          </cell>
        </row>
        <row r="1095">
          <cell r="A1095" t="str">
            <v>2018 Agosto</v>
          </cell>
        </row>
        <row r="1096">
          <cell r="A1096" t="str">
            <v>2018 Agosto</v>
          </cell>
        </row>
        <row r="1097">
          <cell r="A1097" t="str">
            <v>2018 Agosto</v>
          </cell>
        </row>
        <row r="1098">
          <cell r="A1098" t="str">
            <v>2018 Agosto</v>
          </cell>
        </row>
        <row r="1099">
          <cell r="A1099" t="str">
            <v>2018 Agosto</v>
          </cell>
        </row>
        <row r="1100">
          <cell r="A1100" t="str">
            <v>2018 Agosto</v>
          </cell>
        </row>
        <row r="1101">
          <cell r="A1101" t="str">
            <v>2018 Agosto</v>
          </cell>
        </row>
        <row r="1102">
          <cell r="A1102" t="str">
            <v>2018 Agosto</v>
          </cell>
        </row>
        <row r="1103">
          <cell r="A1103" t="str">
            <v>2018 Agosto</v>
          </cell>
        </row>
        <row r="1104">
          <cell r="A1104" t="str">
            <v>2018 Agosto</v>
          </cell>
        </row>
        <row r="1105">
          <cell r="A1105" t="str">
            <v>2018 Agosto</v>
          </cell>
        </row>
        <row r="1106">
          <cell r="A1106" t="str">
            <v>2018 Agosto</v>
          </cell>
        </row>
        <row r="1107">
          <cell r="A1107" t="str">
            <v>2018 Agosto</v>
          </cell>
        </row>
        <row r="1108">
          <cell r="A1108" t="str">
            <v>2018 Agosto</v>
          </cell>
        </row>
        <row r="1109">
          <cell r="A1109" t="str">
            <v>2018 Agosto</v>
          </cell>
        </row>
        <row r="1110">
          <cell r="A1110" t="str">
            <v>2018 Agosto</v>
          </cell>
        </row>
        <row r="1111">
          <cell r="A1111" t="str">
            <v>2018 Agosto</v>
          </cell>
        </row>
        <row r="1112">
          <cell r="A1112" t="str">
            <v>2018 Agosto</v>
          </cell>
        </row>
        <row r="1113">
          <cell r="A1113" t="str">
            <v>2018 Agosto</v>
          </cell>
        </row>
        <row r="1114">
          <cell r="A1114" t="str">
            <v>2018 Agosto</v>
          </cell>
        </row>
        <row r="1115">
          <cell r="A1115" t="str">
            <v>2018 Agosto</v>
          </cell>
        </row>
        <row r="1116">
          <cell r="A1116" t="str">
            <v>2018 Agosto</v>
          </cell>
        </row>
        <row r="1117">
          <cell r="A1117" t="str">
            <v>2018 Agosto</v>
          </cell>
        </row>
        <row r="1118">
          <cell r="A1118" t="str">
            <v>2018 Agosto</v>
          </cell>
        </row>
        <row r="1119">
          <cell r="A1119" t="str">
            <v>2018 Agosto</v>
          </cell>
        </row>
        <row r="1120">
          <cell r="A1120" t="str">
            <v>2018 Agosto</v>
          </cell>
        </row>
        <row r="1121">
          <cell r="A1121" t="str">
            <v>2018 Agosto</v>
          </cell>
        </row>
        <row r="1122">
          <cell r="A1122" t="str">
            <v>2018 Agosto</v>
          </cell>
        </row>
        <row r="1123">
          <cell r="A1123" t="str">
            <v>2018 Agosto</v>
          </cell>
        </row>
        <row r="1124">
          <cell r="A1124" t="str">
            <v>2018 Agosto</v>
          </cell>
        </row>
        <row r="1125">
          <cell r="A1125" t="str">
            <v>2018 Agosto</v>
          </cell>
        </row>
        <row r="1126">
          <cell r="A1126" t="str">
            <v>2018 Agosto</v>
          </cell>
        </row>
        <row r="1127">
          <cell r="A1127" t="str">
            <v>2018 Septiembre</v>
          </cell>
        </row>
        <row r="1128">
          <cell r="A1128" t="str">
            <v>2018 Septiembre</v>
          </cell>
        </row>
        <row r="1129">
          <cell r="A1129" t="str">
            <v>2018 Septiembre</v>
          </cell>
        </row>
        <row r="1130">
          <cell r="A1130" t="str">
            <v>2018 Septiembre</v>
          </cell>
        </row>
        <row r="1131">
          <cell r="A1131" t="str">
            <v>2018 Septiembre</v>
          </cell>
        </row>
        <row r="1132">
          <cell r="A1132" t="str">
            <v>2018 Septiembre</v>
          </cell>
        </row>
        <row r="1133">
          <cell r="A1133" t="str">
            <v>2018 Septiembre</v>
          </cell>
        </row>
        <row r="1134">
          <cell r="A1134" t="str">
            <v>2018 Septiembre</v>
          </cell>
        </row>
        <row r="1135">
          <cell r="A1135" t="str">
            <v>2018 Septiembre</v>
          </cell>
        </row>
        <row r="1136">
          <cell r="A1136" t="str">
            <v>2018 Septiembre</v>
          </cell>
        </row>
        <row r="1137">
          <cell r="A1137" t="str">
            <v>2018 Septiembre</v>
          </cell>
        </row>
        <row r="1138">
          <cell r="A1138" t="str">
            <v>2018 Septiembre</v>
          </cell>
        </row>
        <row r="1139">
          <cell r="A1139" t="str">
            <v>2018 Septiembre</v>
          </cell>
        </row>
        <row r="1140">
          <cell r="A1140" t="str">
            <v>2018 Septiembre</v>
          </cell>
        </row>
        <row r="1141">
          <cell r="A1141" t="str">
            <v>2018 Septiembre</v>
          </cell>
        </row>
        <row r="1142">
          <cell r="A1142" t="str">
            <v>2018 Septiembre</v>
          </cell>
        </row>
        <row r="1143">
          <cell r="A1143" t="str">
            <v>2018 Septiembre</v>
          </cell>
        </row>
        <row r="1144">
          <cell r="A1144" t="str">
            <v>2018 Septiembre</v>
          </cell>
        </row>
        <row r="1145">
          <cell r="A1145" t="str">
            <v>2018 Septiembre</v>
          </cell>
        </row>
        <row r="1146">
          <cell r="A1146" t="str">
            <v>2018 Septiembre</v>
          </cell>
        </row>
        <row r="1147">
          <cell r="A1147" t="str">
            <v>2018 Septiembre</v>
          </cell>
        </row>
        <row r="1148">
          <cell r="A1148" t="str">
            <v>2018 Septiembre</v>
          </cell>
        </row>
        <row r="1149">
          <cell r="A1149" t="str">
            <v>2018 Septiembre</v>
          </cell>
        </row>
        <row r="1150">
          <cell r="A1150" t="str">
            <v>2018 Septiembre</v>
          </cell>
        </row>
        <row r="1151">
          <cell r="A1151" t="str">
            <v>2018 Septiembre</v>
          </cell>
        </row>
        <row r="1152">
          <cell r="A1152" t="str">
            <v>2018 Septiembre</v>
          </cell>
        </row>
        <row r="1153">
          <cell r="A1153" t="str">
            <v>2018 Septiembre</v>
          </cell>
        </row>
        <row r="1154">
          <cell r="A1154" t="str">
            <v>2018 Septiembre</v>
          </cell>
        </row>
        <row r="1155">
          <cell r="A1155" t="str">
            <v>2018 Septiembre</v>
          </cell>
        </row>
        <row r="1156">
          <cell r="A1156" t="str">
            <v>2018 Septiembre</v>
          </cell>
        </row>
        <row r="1157">
          <cell r="A1157" t="str">
            <v>2018 Septiembre</v>
          </cell>
        </row>
        <row r="1158">
          <cell r="A1158" t="str">
            <v>2018 Septiembre</v>
          </cell>
        </row>
        <row r="1159">
          <cell r="A1159" t="str">
            <v>2018 Septiembre</v>
          </cell>
        </row>
        <row r="1160">
          <cell r="A1160" t="str">
            <v>2018 Septiembre</v>
          </cell>
        </row>
        <row r="1161">
          <cell r="A1161" t="str">
            <v>2018 Septiembre</v>
          </cell>
        </row>
        <row r="1162">
          <cell r="A1162" t="str">
            <v>2018 Septiembre</v>
          </cell>
        </row>
        <row r="1163">
          <cell r="A1163" t="str">
            <v>2018 Septiembre</v>
          </cell>
        </row>
        <row r="1164">
          <cell r="A1164" t="str">
            <v>2018 Septiembre</v>
          </cell>
        </row>
        <row r="1165">
          <cell r="A1165" t="str">
            <v>2018 Septiembre</v>
          </cell>
        </row>
        <row r="1166">
          <cell r="A1166" t="str">
            <v>2018 Septiembre</v>
          </cell>
        </row>
        <row r="1167">
          <cell r="A1167" t="str">
            <v>2018 Septiembre</v>
          </cell>
        </row>
        <row r="1168">
          <cell r="A1168" t="str">
            <v>2018 Septiembre</v>
          </cell>
        </row>
        <row r="1169">
          <cell r="A1169" t="str">
            <v>2018 Septiembre</v>
          </cell>
        </row>
        <row r="1170">
          <cell r="A1170" t="str">
            <v>2018 Septiembre</v>
          </cell>
        </row>
        <row r="1171">
          <cell r="A1171" t="str">
            <v>2018 Septiembre</v>
          </cell>
        </row>
        <row r="1172">
          <cell r="A1172" t="str">
            <v>2018 Septiembre</v>
          </cell>
        </row>
        <row r="1173">
          <cell r="A1173" t="str">
            <v>2018 Septiembre</v>
          </cell>
        </row>
        <row r="1174">
          <cell r="A1174" t="str">
            <v>2018 Septiembre</v>
          </cell>
        </row>
        <row r="1175">
          <cell r="A1175" t="str">
            <v>2018 Septiembre</v>
          </cell>
        </row>
        <row r="1176">
          <cell r="A1176" t="str">
            <v>2018 Septiembre</v>
          </cell>
        </row>
        <row r="1177">
          <cell r="A1177" t="str">
            <v>2018 Septiembre</v>
          </cell>
        </row>
        <row r="1178">
          <cell r="A1178" t="str">
            <v>2018 Septiembre</v>
          </cell>
        </row>
        <row r="1179">
          <cell r="A1179" t="str">
            <v>2018 Septiembre</v>
          </cell>
        </row>
        <row r="1180">
          <cell r="A1180" t="str">
            <v>2018 Septiembre</v>
          </cell>
        </row>
        <row r="1181">
          <cell r="A1181" t="str">
            <v>2018 Septiembre</v>
          </cell>
        </row>
        <row r="1182">
          <cell r="A1182" t="str">
            <v>2018 Septiembre</v>
          </cell>
        </row>
        <row r="1183">
          <cell r="A1183" t="str">
            <v>2018 Septiembre</v>
          </cell>
        </row>
        <row r="1184">
          <cell r="A1184" t="str">
            <v>2018 Septiembre</v>
          </cell>
        </row>
        <row r="1185">
          <cell r="A1185" t="str">
            <v>2018 Septiembre</v>
          </cell>
        </row>
        <row r="1186">
          <cell r="A1186" t="str">
            <v>2018 Septiembre</v>
          </cell>
        </row>
        <row r="1187">
          <cell r="A1187" t="str">
            <v>2018 Octubre</v>
          </cell>
        </row>
        <row r="1188">
          <cell r="A1188" t="str">
            <v>2018 Octubre</v>
          </cell>
        </row>
        <row r="1189">
          <cell r="A1189" t="str">
            <v>2018 Octubre</v>
          </cell>
        </row>
        <row r="1190">
          <cell r="A1190" t="str">
            <v>2018 Octubre</v>
          </cell>
        </row>
        <row r="1191">
          <cell r="A1191" t="str">
            <v>2018 Octubre</v>
          </cell>
        </row>
        <row r="1192">
          <cell r="A1192" t="str">
            <v>2018 Octubre</v>
          </cell>
        </row>
        <row r="1193">
          <cell r="A1193" t="str">
            <v>2018 Octubre</v>
          </cell>
        </row>
        <row r="1194">
          <cell r="A1194" t="str">
            <v>2018 Octubre</v>
          </cell>
        </row>
        <row r="1195">
          <cell r="A1195" t="str">
            <v>2018 Octubre</v>
          </cell>
        </row>
        <row r="1196">
          <cell r="A1196" t="str">
            <v>2018 Octubre</v>
          </cell>
        </row>
        <row r="1197">
          <cell r="A1197" t="str">
            <v>2018 Octubre</v>
          </cell>
        </row>
        <row r="1198">
          <cell r="A1198" t="str">
            <v>2018 Octubre</v>
          </cell>
        </row>
        <row r="1199">
          <cell r="A1199" t="str">
            <v>2018 Octubre</v>
          </cell>
        </row>
        <row r="1200">
          <cell r="A1200" t="str">
            <v>2018 Octubre</v>
          </cell>
        </row>
        <row r="1201">
          <cell r="A1201" t="str">
            <v>2018 Octubre</v>
          </cell>
        </row>
        <row r="1202">
          <cell r="A1202" t="str">
            <v>2018 Octubre</v>
          </cell>
        </row>
        <row r="1203">
          <cell r="A1203" t="str">
            <v>2018 Octubre</v>
          </cell>
        </row>
        <row r="1204">
          <cell r="A1204" t="str">
            <v>2018 Octubre</v>
          </cell>
        </row>
        <row r="1205">
          <cell r="A1205" t="str">
            <v>2018 Octubre</v>
          </cell>
        </row>
        <row r="1206">
          <cell r="A1206" t="str">
            <v>2018 Octubre</v>
          </cell>
        </row>
        <row r="1207">
          <cell r="A1207" t="str">
            <v>2018 Octubre</v>
          </cell>
        </row>
        <row r="1208">
          <cell r="A1208" t="str">
            <v>2018 Octubre</v>
          </cell>
        </row>
        <row r="1209">
          <cell r="A1209" t="str">
            <v>2018 Octubre</v>
          </cell>
        </row>
        <row r="1210">
          <cell r="A1210" t="str">
            <v>2018 Octubre</v>
          </cell>
        </row>
        <row r="1211">
          <cell r="A1211" t="str">
            <v>2018 Octubre</v>
          </cell>
        </row>
        <row r="1212">
          <cell r="A1212" t="str">
            <v>2018 Octubre</v>
          </cell>
        </row>
        <row r="1213">
          <cell r="A1213" t="str">
            <v>2018 Octubre</v>
          </cell>
        </row>
        <row r="1214">
          <cell r="A1214" t="str">
            <v>2018 Octubre</v>
          </cell>
        </row>
        <row r="1215">
          <cell r="A1215" t="str">
            <v>2018 Octubre</v>
          </cell>
        </row>
        <row r="1216">
          <cell r="A1216" t="str">
            <v>2018 Octubre</v>
          </cell>
        </row>
        <row r="1217">
          <cell r="A1217" t="str">
            <v>2018 Octubre</v>
          </cell>
        </row>
        <row r="1218">
          <cell r="A1218" t="str">
            <v>2018 Octubre</v>
          </cell>
        </row>
        <row r="1219">
          <cell r="A1219" t="str">
            <v>2018 Octubre</v>
          </cell>
        </row>
        <row r="1220">
          <cell r="A1220" t="str">
            <v>2018 Octubre</v>
          </cell>
        </row>
        <row r="1221">
          <cell r="A1221" t="str">
            <v>2018 Octubre</v>
          </cell>
        </row>
        <row r="1222">
          <cell r="A1222" t="str">
            <v>2018 Octubre</v>
          </cell>
        </row>
        <row r="1223">
          <cell r="A1223" t="str">
            <v>2018 Octubre</v>
          </cell>
        </row>
        <row r="1224">
          <cell r="A1224" t="str">
            <v>2018 Octubre</v>
          </cell>
        </row>
        <row r="1225">
          <cell r="A1225" t="str">
            <v>2018 Octubre</v>
          </cell>
        </row>
        <row r="1226">
          <cell r="A1226" t="str">
            <v>2018 Octubre</v>
          </cell>
        </row>
        <row r="1227">
          <cell r="A1227" t="str">
            <v>2018 Octubre</v>
          </cell>
        </row>
        <row r="1228">
          <cell r="A1228" t="str">
            <v>2018 Octubre</v>
          </cell>
        </row>
        <row r="1229">
          <cell r="A1229" t="str">
            <v>2018 Octubre</v>
          </cell>
        </row>
        <row r="1230">
          <cell r="A1230" t="str">
            <v>2018 Octubre</v>
          </cell>
        </row>
        <row r="1231">
          <cell r="A1231" t="str">
            <v>2018 Octubre</v>
          </cell>
        </row>
        <row r="1232">
          <cell r="A1232" t="str">
            <v>2018 Octubre</v>
          </cell>
        </row>
        <row r="1233">
          <cell r="A1233" t="str">
            <v>2018 Octubre</v>
          </cell>
        </row>
        <row r="1234">
          <cell r="A1234" t="str">
            <v>2018 Octubre</v>
          </cell>
        </row>
        <row r="1235">
          <cell r="A1235" t="str">
            <v>2018 Octubre</v>
          </cell>
        </row>
        <row r="1236">
          <cell r="A1236" t="str">
            <v>2018 Octubre</v>
          </cell>
        </row>
        <row r="1237">
          <cell r="A1237" t="str">
            <v>2018 Octubre</v>
          </cell>
        </row>
        <row r="1238">
          <cell r="A1238" t="str">
            <v>2018 Octubre</v>
          </cell>
        </row>
        <row r="1239">
          <cell r="A1239" t="str">
            <v>2018 Octubre</v>
          </cell>
        </row>
        <row r="1240">
          <cell r="A1240" t="str">
            <v>2018 Octubre</v>
          </cell>
        </row>
        <row r="1241">
          <cell r="A1241" t="str">
            <v>2018 Octubre</v>
          </cell>
        </row>
        <row r="1242">
          <cell r="A1242" t="str">
            <v>2018 Octubre</v>
          </cell>
        </row>
        <row r="1243">
          <cell r="A1243" t="str">
            <v>2018 Octubre</v>
          </cell>
        </row>
        <row r="1244">
          <cell r="A1244" t="str">
            <v>2018 Octubre</v>
          </cell>
        </row>
        <row r="1245">
          <cell r="A1245" t="str">
            <v>2018 Octubre</v>
          </cell>
        </row>
        <row r="1246">
          <cell r="A1246" t="str">
            <v>2018 Octubre</v>
          </cell>
        </row>
        <row r="1247">
          <cell r="A1247" t="str">
            <v>2018 Octubre</v>
          </cell>
        </row>
        <row r="1248">
          <cell r="A1248" t="str">
            <v>2018 Octubre</v>
          </cell>
        </row>
        <row r="1249">
          <cell r="A1249" t="str">
            <v>2018 Octubre</v>
          </cell>
        </row>
        <row r="1250">
          <cell r="A1250" t="str">
            <v>2018 Octubre</v>
          </cell>
        </row>
        <row r="1251">
          <cell r="A1251" t="str">
            <v>2018 Octubre</v>
          </cell>
        </row>
        <row r="1252">
          <cell r="A1252" t="str">
            <v>2018 Octubre</v>
          </cell>
        </row>
        <row r="1253">
          <cell r="A1253" t="str">
            <v>2018 Noviembre</v>
          </cell>
        </row>
        <row r="1254">
          <cell r="A1254" t="str">
            <v>2018 Noviembre</v>
          </cell>
        </row>
        <row r="1255">
          <cell r="A1255" t="str">
            <v>2018 Noviembre</v>
          </cell>
        </row>
        <row r="1256">
          <cell r="A1256" t="str">
            <v>2018 Noviembre</v>
          </cell>
        </row>
        <row r="1257">
          <cell r="A1257" t="str">
            <v>2018 Noviembre</v>
          </cell>
        </row>
        <row r="1258">
          <cell r="A1258" t="str">
            <v>2018 Noviembre</v>
          </cell>
        </row>
        <row r="1259">
          <cell r="A1259" t="str">
            <v>2018 Noviembre</v>
          </cell>
        </row>
        <row r="1260">
          <cell r="A1260" t="str">
            <v>2018 Noviembre</v>
          </cell>
        </row>
        <row r="1261">
          <cell r="A1261" t="str">
            <v>2018 Noviembre</v>
          </cell>
        </row>
        <row r="1262">
          <cell r="A1262" t="str">
            <v>2018 Noviembre</v>
          </cell>
        </row>
        <row r="1263">
          <cell r="A1263" t="str">
            <v>2018 Noviembre</v>
          </cell>
        </row>
        <row r="1264">
          <cell r="A1264" t="str">
            <v>2018 Noviembre</v>
          </cell>
        </row>
        <row r="1265">
          <cell r="A1265" t="str">
            <v>2018 Noviembre</v>
          </cell>
        </row>
        <row r="1266">
          <cell r="A1266" t="str">
            <v>2018 Noviembre</v>
          </cell>
        </row>
        <row r="1267">
          <cell r="A1267" t="str">
            <v>2018 Noviembre</v>
          </cell>
        </row>
        <row r="1268">
          <cell r="A1268" t="str">
            <v>2018 Noviembre</v>
          </cell>
        </row>
        <row r="1269">
          <cell r="A1269" t="str">
            <v>2018 Noviembre</v>
          </cell>
        </row>
        <row r="1270">
          <cell r="A1270" t="str">
            <v>2018 Noviembre</v>
          </cell>
        </row>
        <row r="1271">
          <cell r="A1271" t="str">
            <v>2018 Noviembre</v>
          </cell>
        </row>
        <row r="1272">
          <cell r="A1272" t="str">
            <v>2018 Noviembre</v>
          </cell>
        </row>
        <row r="1273">
          <cell r="A1273" t="str">
            <v>2018 Noviembre</v>
          </cell>
        </row>
        <row r="1274">
          <cell r="A1274" t="str">
            <v>2018 Noviembre</v>
          </cell>
        </row>
        <row r="1275">
          <cell r="A1275" t="str">
            <v>2018 Noviembre</v>
          </cell>
        </row>
        <row r="1276">
          <cell r="A1276" t="str">
            <v>2018 Noviembre</v>
          </cell>
        </row>
        <row r="1277">
          <cell r="A1277" t="str">
            <v>2018 Noviembre</v>
          </cell>
        </row>
        <row r="1278">
          <cell r="A1278" t="str">
            <v>2018 Noviembre</v>
          </cell>
        </row>
        <row r="1279">
          <cell r="A1279" t="str">
            <v>2018 Noviembre</v>
          </cell>
        </row>
        <row r="1280">
          <cell r="A1280" t="str">
            <v>2018 Noviembre</v>
          </cell>
        </row>
        <row r="1281">
          <cell r="A1281" t="str">
            <v>2018 Noviembre</v>
          </cell>
        </row>
        <row r="1282">
          <cell r="A1282" t="str">
            <v>2018 Noviembre</v>
          </cell>
        </row>
        <row r="1283">
          <cell r="A1283" t="str">
            <v>2018 Noviembre</v>
          </cell>
        </row>
        <row r="1284">
          <cell r="A1284" t="str">
            <v>2018 Noviembre</v>
          </cell>
        </row>
        <row r="1285">
          <cell r="A1285" t="str">
            <v>2018 Noviembre</v>
          </cell>
        </row>
        <row r="1286">
          <cell r="A1286" t="str">
            <v>2018 Noviembre</v>
          </cell>
        </row>
        <row r="1287">
          <cell r="A1287" t="str">
            <v>2018 Noviembre</v>
          </cell>
        </row>
        <row r="1288">
          <cell r="A1288" t="str">
            <v>2018 Noviembre</v>
          </cell>
        </row>
        <row r="1289">
          <cell r="A1289" t="str">
            <v>2018 Noviembre</v>
          </cell>
        </row>
        <row r="1290">
          <cell r="A1290" t="str">
            <v>2018 Noviembre</v>
          </cell>
        </row>
        <row r="1291">
          <cell r="A1291" t="str">
            <v>2018 Noviembre</v>
          </cell>
        </row>
        <row r="1292">
          <cell r="A1292" t="str">
            <v>2018 Noviembre</v>
          </cell>
        </row>
        <row r="1293">
          <cell r="A1293" t="str">
            <v>2018 Noviembre</v>
          </cell>
        </row>
        <row r="1294">
          <cell r="A1294" t="str">
            <v>2018 Noviembre</v>
          </cell>
        </row>
        <row r="1295">
          <cell r="A1295" t="str">
            <v>2018 Noviembre</v>
          </cell>
        </row>
        <row r="1296">
          <cell r="A1296" t="str">
            <v>2018 Noviembre</v>
          </cell>
        </row>
        <row r="1297">
          <cell r="A1297" t="str">
            <v>2018 Noviembre</v>
          </cell>
        </row>
        <row r="1298">
          <cell r="A1298" t="str">
            <v>2018 Noviembre</v>
          </cell>
        </row>
        <row r="1299">
          <cell r="A1299" t="str">
            <v>2018 Noviembre</v>
          </cell>
        </row>
        <row r="1300">
          <cell r="A1300" t="str">
            <v>2018 Noviembre</v>
          </cell>
        </row>
        <row r="1301">
          <cell r="A1301" t="str">
            <v>2018 Noviembre</v>
          </cell>
        </row>
        <row r="1302">
          <cell r="A1302" t="str">
            <v>2018 Noviembre</v>
          </cell>
        </row>
        <row r="1303">
          <cell r="A1303" t="str">
            <v>2018 Noviembre</v>
          </cell>
        </row>
        <row r="1304">
          <cell r="A1304" t="str">
            <v>2018 Noviembre</v>
          </cell>
        </row>
        <row r="1305">
          <cell r="A1305" t="str">
            <v>2018 Noviembre</v>
          </cell>
        </row>
        <row r="1306">
          <cell r="A1306" t="str">
            <v>2018 Noviembre</v>
          </cell>
        </row>
        <row r="1307">
          <cell r="A1307" t="str">
            <v>2018 Noviembre</v>
          </cell>
        </row>
        <row r="1308">
          <cell r="A1308" t="str">
            <v>2018 Noviembre</v>
          </cell>
        </row>
        <row r="1309">
          <cell r="A1309" t="str">
            <v>2018 Noviembre</v>
          </cell>
        </row>
        <row r="1310">
          <cell r="A1310" t="str">
            <v>2018 Noviembre</v>
          </cell>
        </row>
        <row r="1311">
          <cell r="A1311" t="str">
            <v>2018 Noviembre</v>
          </cell>
        </row>
        <row r="1312">
          <cell r="A1312" t="str">
            <v>2018 Noviembre</v>
          </cell>
        </row>
        <row r="1313">
          <cell r="A1313" t="str">
            <v>2018 Noviembre</v>
          </cell>
        </row>
        <row r="1314">
          <cell r="A1314" t="str">
            <v>2018 Noviembre</v>
          </cell>
        </row>
        <row r="1315">
          <cell r="A1315" t="str">
            <v>2018 Noviembre</v>
          </cell>
        </row>
        <row r="1316">
          <cell r="A1316" t="str">
            <v>2018 Noviembre</v>
          </cell>
        </row>
        <row r="1317">
          <cell r="A1317" t="str">
            <v>2018 Noviembre</v>
          </cell>
        </row>
        <row r="1318">
          <cell r="A1318" t="str">
            <v>2018 Noviembre</v>
          </cell>
        </row>
        <row r="1319">
          <cell r="A1319" t="str">
            <v>2018 Noviembre</v>
          </cell>
        </row>
        <row r="1320">
          <cell r="A1320" t="str">
            <v>2018 Noviembre</v>
          </cell>
        </row>
        <row r="1321">
          <cell r="A1321" t="str">
            <v>2018 Noviembre</v>
          </cell>
        </row>
        <row r="1322">
          <cell r="A1322" t="str">
            <v>2018 Noviembre</v>
          </cell>
        </row>
        <row r="1323">
          <cell r="A1323" t="str">
            <v>2018 Diciembre</v>
          </cell>
        </row>
        <row r="1324">
          <cell r="A1324" t="str">
            <v>2018 Diciembre</v>
          </cell>
        </row>
        <row r="1325">
          <cell r="A1325" t="str">
            <v>2018 Diciembre</v>
          </cell>
        </row>
        <row r="1326">
          <cell r="A1326" t="str">
            <v>2018 Diciembre</v>
          </cell>
        </row>
        <row r="1327">
          <cell r="A1327" t="str">
            <v>2018 Diciembre</v>
          </cell>
        </row>
        <row r="1328">
          <cell r="A1328" t="str">
            <v>2018 Diciembre</v>
          </cell>
        </row>
        <row r="1329">
          <cell r="A1329" t="str">
            <v>2018 Diciembre</v>
          </cell>
        </row>
        <row r="1330">
          <cell r="A1330" t="str">
            <v>2018 Diciembre</v>
          </cell>
        </row>
        <row r="1331">
          <cell r="A1331" t="str">
            <v>2018 Diciembre</v>
          </cell>
        </row>
        <row r="1332">
          <cell r="A1332" t="str">
            <v>2018 Diciembre</v>
          </cell>
        </row>
        <row r="1333">
          <cell r="A1333" t="str">
            <v>2018 Diciembre</v>
          </cell>
        </row>
        <row r="1334">
          <cell r="A1334" t="str">
            <v>2018 Diciembre</v>
          </cell>
        </row>
        <row r="1335">
          <cell r="A1335" t="str">
            <v>2018 Diciembre</v>
          </cell>
        </row>
        <row r="1336">
          <cell r="A1336" t="str">
            <v>2018 Diciembre</v>
          </cell>
        </row>
        <row r="1337">
          <cell r="A1337" t="str">
            <v>2018 Diciembre</v>
          </cell>
        </row>
        <row r="1338">
          <cell r="A1338" t="str">
            <v>2018 Diciembre</v>
          </cell>
        </row>
        <row r="1339">
          <cell r="A1339" t="str">
            <v>2018 Diciembre</v>
          </cell>
        </row>
        <row r="1340">
          <cell r="A1340" t="str">
            <v>2018 Diciembre</v>
          </cell>
        </row>
        <row r="1341">
          <cell r="A1341" t="str">
            <v>2018 Diciembre</v>
          </cell>
        </row>
        <row r="1342">
          <cell r="A1342" t="str">
            <v>2018 Diciembre</v>
          </cell>
        </row>
        <row r="1343">
          <cell r="A1343" t="str">
            <v>2018 Diciembre</v>
          </cell>
        </row>
        <row r="1344">
          <cell r="A1344" t="str">
            <v>2018 Diciembre</v>
          </cell>
        </row>
        <row r="1345">
          <cell r="A1345" t="str">
            <v>2018 Diciembre</v>
          </cell>
        </row>
        <row r="1346">
          <cell r="A1346" t="str">
            <v>2018 Diciembre</v>
          </cell>
        </row>
        <row r="1347">
          <cell r="A1347" t="str">
            <v>2018 Diciembre</v>
          </cell>
        </row>
        <row r="1348">
          <cell r="A1348" t="str">
            <v>2018 Diciembre</v>
          </cell>
        </row>
        <row r="1349">
          <cell r="A1349" t="str">
            <v>2018 Diciembre</v>
          </cell>
        </row>
        <row r="1350">
          <cell r="A1350" t="str">
            <v>2018 Diciembre</v>
          </cell>
        </row>
        <row r="1351">
          <cell r="A1351" t="str">
            <v>2018 Diciembre</v>
          </cell>
        </row>
        <row r="1352">
          <cell r="A1352" t="str">
            <v>2018 Diciembre</v>
          </cell>
        </row>
        <row r="1353">
          <cell r="A1353" t="str">
            <v>2018 Diciembre</v>
          </cell>
        </row>
        <row r="1354">
          <cell r="A1354" t="str">
            <v>2018 Diciembre</v>
          </cell>
        </row>
        <row r="1355">
          <cell r="A1355" t="str">
            <v>2018 Diciembre</v>
          </cell>
        </row>
        <row r="1356">
          <cell r="A1356" t="str">
            <v>2018 Diciembre</v>
          </cell>
        </row>
        <row r="1357">
          <cell r="A1357" t="str">
            <v>2018 Diciembre</v>
          </cell>
        </row>
        <row r="1358">
          <cell r="A1358" t="str">
            <v>2018 Diciembre</v>
          </cell>
        </row>
        <row r="1359">
          <cell r="A1359" t="str">
            <v>2018 Diciembre</v>
          </cell>
        </row>
        <row r="1360">
          <cell r="A1360" t="str">
            <v>2018 Diciembre</v>
          </cell>
        </row>
        <row r="1361">
          <cell r="A1361" t="str">
            <v>2018 Diciembre</v>
          </cell>
        </row>
        <row r="1362">
          <cell r="A1362" t="str">
            <v>2018 Diciembre</v>
          </cell>
        </row>
        <row r="1363">
          <cell r="A1363" t="str">
            <v>2018 Diciembre</v>
          </cell>
        </row>
        <row r="1364">
          <cell r="A1364" t="str">
            <v>2018 Diciembre</v>
          </cell>
        </row>
        <row r="1365">
          <cell r="A1365" t="str">
            <v>2018 Diciembre</v>
          </cell>
        </row>
        <row r="1366">
          <cell r="A1366" t="str">
            <v>2018 Diciembre</v>
          </cell>
        </row>
        <row r="1367">
          <cell r="A1367" t="str">
            <v>2018 Diciembre</v>
          </cell>
        </row>
        <row r="1368">
          <cell r="A1368" t="str">
            <v>2018 Diciembre</v>
          </cell>
        </row>
        <row r="1369">
          <cell r="A1369" t="str">
            <v>2018 Diciembre</v>
          </cell>
        </row>
        <row r="1370">
          <cell r="A1370" t="str">
            <v>2018 Diciembre</v>
          </cell>
        </row>
        <row r="1371">
          <cell r="A1371" t="str">
            <v>2018 Diciembre</v>
          </cell>
        </row>
        <row r="1372">
          <cell r="A1372" t="str">
            <v>2018 Diciembre</v>
          </cell>
        </row>
        <row r="1373">
          <cell r="A1373" t="str">
            <v>2018 Diciembre</v>
          </cell>
        </row>
        <row r="1374">
          <cell r="A1374" t="str">
            <v>2018 Diciembre</v>
          </cell>
        </row>
        <row r="1375">
          <cell r="A1375" t="str">
            <v>2018 Diciembre</v>
          </cell>
        </row>
        <row r="1376">
          <cell r="A1376" t="str">
            <v>2018 Diciembre</v>
          </cell>
        </row>
        <row r="1377">
          <cell r="A1377" t="str">
            <v>2018 Diciembre</v>
          </cell>
        </row>
        <row r="1378">
          <cell r="A1378" t="str">
            <v>2018 Diciembre</v>
          </cell>
        </row>
        <row r="1379">
          <cell r="A1379" t="str">
            <v>2018 Diciembre</v>
          </cell>
        </row>
        <row r="1380">
          <cell r="A1380" t="str">
            <v>2018 Diciembre</v>
          </cell>
        </row>
        <row r="1381">
          <cell r="A1381" t="str">
            <v>2018 Diciembre</v>
          </cell>
        </row>
        <row r="1382">
          <cell r="A1382" t="str">
            <v>2018 Diciembre</v>
          </cell>
        </row>
        <row r="1383">
          <cell r="A1383" t="str">
            <v>2018 Diciembre</v>
          </cell>
        </row>
        <row r="1384">
          <cell r="A1384" t="str">
            <v>2018 Diciembre</v>
          </cell>
        </row>
        <row r="1385">
          <cell r="A1385" t="str">
            <v>2018 Diciembre</v>
          </cell>
        </row>
        <row r="1386">
          <cell r="A1386" t="str">
            <v>2018 Diciembre</v>
          </cell>
        </row>
        <row r="1387">
          <cell r="A1387" t="str">
            <v>2018 Diciembre</v>
          </cell>
        </row>
        <row r="1388">
          <cell r="A1388" t="str">
            <v>2018 Diciembre</v>
          </cell>
        </row>
        <row r="1389">
          <cell r="A1389" t="str">
            <v>2018 Diciembre</v>
          </cell>
        </row>
        <row r="1390">
          <cell r="A1390" t="str">
            <v>2018 Diciembre</v>
          </cell>
        </row>
        <row r="1391">
          <cell r="A1391" t="str">
            <v>2018 Diciembre</v>
          </cell>
        </row>
        <row r="1392">
          <cell r="A1392" t="str">
            <v>2018 Diciembre</v>
          </cell>
        </row>
        <row r="1393">
          <cell r="A1393" t="str">
            <v>2018 Diciembre</v>
          </cell>
        </row>
        <row r="1394">
          <cell r="A1394" t="str">
            <v>2019 Enero</v>
          </cell>
        </row>
        <row r="1395">
          <cell r="A1395" t="str">
            <v>2019 Enero</v>
          </cell>
        </row>
        <row r="1396">
          <cell r="A1396" t="str">
            <v>2019 Enero</v>
          </cell>
        </row>
        <row r="1397">
          <cell r="A1397" t="str">
            <v>2019 Enero</v>
          </cell>
        </row>
        <row r="1398">
          <cell r="A1398" t="str">
            <v>2019 Enero</v>
          </cell>
        </row>
        <row r="1399">
          <cell r="A1399" t="str">
            <v>2019 Enero</v>
          </cell>
        </row>
        <row r="1400">
          <cell r="A1400" t="str">
            <v>2019 Enero</v>
          </cell>
        </row>
        <row r="1401">
          <cell r="A1401" t="str">
            <v>2019 Enero</v>
          </cell>
        </row>
        <row r="1402">
          <cell r="A1402" t="str">
            <v>2019 Enero</v>
          </cell>
        </row>
        <row r="1403">
          <cell r="A1403" t="str">
            <v>2019 Enero</v>
          </cell>
        </row>
        <row r="1404">
          <cell r="A1404" t="str">
            <v>2019 Enero</v>
          </cell>
        </row>
        <row r="1405">
          <cell r="A1405" t="str">
            <v>2019 Enero</v>
          </cell>
        </row>
        <row r="1406">
          <cell r="A1406" t="str">
            <v>2019 Enero</v>
          </cell>
        </row>
        <row r="1407">
          <cell r="A1407" t="str">
            <v>2019 Enero</v>
          </cell>
        </row>
        <row r="1408">
          <cell r="A1408" t="str">
            <v>2019 Enero</v>
          </cell>
        </row>
        <row r="1409">
          <cell r="A1409" t="str">
            <v>2019 Enero</v>
          </cell>
        </row>
        <row r="1410">
          <cell r="A1410" t="str">
            <v>2019 Enero</v>
          </cell>
        </row>
        <row r="1411">
          <cell r="A1411" t="str">
            <v>2019 Enero</v>
          </cell>
        </row>
        <row r="1412">
          <cell r="A1412" t="str">
            <v>2019 Enero</v>
          </cell>
        </row>
        <row r="1413">
          <cell r="A1413" t="str">
            <v>2019 Enero</v>
          </cell>
        </row>
        <row r="1414">
          <cell r="A1414" t="str">
            <v>2019 Enero</v>
          </cell>
        </row>
        <row r="1415">
          <cell r="A1415" t="str">
            <v>2019 Enero</v>
          </cell>
        </row>
        <row r="1416">
          <cell r="A1416" t="str">
            <v>2019 Enero</v>
          </cell>
        </row>
        <row r="1417">
          <cell r="A1417" t="str">
            <v>2019 Enero</v>
          </cell>
        </row>
        <row r="1418">
          <cell r="A1418" t="str">
            <v>2019 Enero</v>
          </cell>
        </row>
        <row r="1419">
          <cell r="A1419" t="str">
            <v>2019 Enero</v>
          </cell>
        </row>
        <row r="1420">
          <cell r="A1420" t="str">
            <v>2019 Enero</v>
          </cell>
        </row>
        <row r="1421">
          <cell r="A1421" t="str">
            <v>2019 Enero</v>
          </cell>
        </row>
        <row r="1422">
          <cell r="A1422" t="str">
            <v>2019 Enero</v>
          </cell>
        </row>
        <row r="1423">
          <cell r="A1423" t="str">
            <v>2019 Enero</v>
          </cell>
        </row>
        <row r="1424">
          <cell r="A1424" t="str">
            <v>2019 Enero</v>
          </cell>
        </row>
        <row r="1425">
          <cell r="A1425" t="str">
            <v>2019 Enero</v>
          </cell>
        </row>
        <row r="1426">
          <cell r="A1426" t="str">
            <v>2019 Enero</v>
          </cell>
        </row>
        <row r="1427">
          <cell r="A1427" t="str">
            <v>2019 Enero</v>
          </cell>
        </row>
        <row r="1428">
          <cell r="A1428" t="str">
            <v>2019 Enero</v>
          </cell>
        </row>
        <row r="1429">
          <cell r="A1429" t="str">
            <v>2019 Enero</v>
          </cell>
        </row>
        <row r="1430">
          <cell r="A1430" t="str">
            <v>2019 Enero</v>
          </cell>
        </row>
        <row r="1431">
          <cell r="A1431" t="str">
            <v>2019 Enero</v>
          </cell>
        </row>
        <row r="1432">
          <cell r="A1432" t="str">
            <v>2019 Enero</v>
          </cell>
        </row>
        <row r="1433">
          <cell r="A1433" t="str">
            <v>2019 Enero</v>
          </cell>
        </row>
        <row r="1434">
          <cell r="A1434" t="str">
            <v>2019 Enero</v>
          </cell>
        </row>
        <row r="1435">
          <cell r="A1435" t="str">
            <v>2019 Enero</v>
          </cell>
        </row>
        <row r="1436">
          <cell r="A1436" t="str">
            <v>2019 Enero</v>
          </cell>
        </row>
        <row r="1437">
          <cell r="A1437" t="str">
            <v>2019 Enero</v>
          </cell>
        </row>
        <row r="1438">
          <cell r="A1438" t="str">
            <v>2019 Enero</v>
          </cell>
        </row>
        <row r="1439">
          <cell r="A1439" t="str">
            <v>2019 Enero</v>
          </cell>
        </row>
        <row r="1440">
          <cell r="A1440" t="str">
            <v>2019 Enero</v>
          </cell>
        </row>
        <row r="1441">
          <cell r="A1441" t="str">
            <v>2019 Enero</v>
          </cell>
        </row>
        <row r="1442">
          <cell r="A1442" t="str">
            <v>2019 Enero</v>
          </cell>
        </row>
        <row r="1443">
          <cell r="A1443" t="str">
            <v>2019 Enero</v>
          </cell>
        </row>
        <row r="1444">
          <cell r="A1444" t="str">
            <v>2019 Enero</v>
          </cell>
        </row>
        <row r="1445">
          <cell r="A1445" t="str">
            <v>2019 Enero</v>
          </cell>
        </row>
        <row r="1446">
          <cell r="A1446" t="str">
            <v>2019 Enero</v>
          </cell>
        </row>
        <row r="1447">
          <cell r="A1447" t="str">
            <v>2019 Enero</v>
          </cell>
        </row>
        <row r="1448">
          <cell r="A1448" t="str">
            <v>2019 Enero</v>
          </cell>
        </row>
        <row r="1449">
          <cell r="A1449" t="str">
            <v>2019 Enero</v>
          </cell>
        </row>
        <row r="1450">
          <cell r="A1450" t="str">
            <v>2019 Enero</v>
          </cell>
        </row>
        <row r="1451">
          <cell r="A1451" t="str">
            <v>2019 Enero</v>
          </cell>
        </row>
        <row r="1452">
          <cell r="A1452" t="str">
            <v>2019 Enero</v>
          </cell>
        </row>
        <row r="1453">
          <cell r="A1453" t="str">
            <v>2019 Enero</v>
          </cell>
        </row>
        <row r="1454">
          <cell r="A1454" t="str">
            <v>2019 Enero</v>
          </cell>
        </row>
        <row r="1455">
          <cell r="A1455" t="str">
            <v>2019 Enero</v>
          </cell>
        </row>
        <row r="1456">
          <cell r="A1456" t="str">
            <v>2019 Enero</v>
          </cell>
        </row>
        <row r="1457">
          <cell r="A1457" t="str">
            <v>2019 Enero</v>
          </cell>
        </row>
        <row r="1458">
          <cell r="A1458" t="str">
            <v>2019 Enero</v>
          </cell>
        </row>
        <row r="1459">
          <cell r="A1459" t="str">
            <v>2019 Enero</v>
          </cell>
        </row>
        <row r="1460">
          <cell r="A1460" t="str">
            <v>2019 Enero</v>
          </cell>
        </row>
        <row r="1461">
          <cell r="A1461" t="str">
            <v>2019 Enero</v>
          </cell>
        </row>
        <row r="1462">
          <cell r="A1462" t="str">
            <v>2019 Enero</v>
          </cell>
        </row>
        <row r="1463">
          <cell r="A1463" t="str">
            <v>2019 Febrero</v>
          </cell>
        </row>
        <row r="1464">
          <cell r="A1464" t="str">
            <v>2019 Febrero</v>
          </cell>
        </row>
        <row r="1465">
          <cell r="A1465" t="str">
            <v>2019 Febrero</v>
          </cell>
        </row>
        <row r="1466">
          <cell r="A1466" t="str">
            <v>2019 Febrero</v>
          </cell>
        </row>
        <row r="1467">
          <cell r="A1467" t="str">
            <v>2019 Febrero</v>
          </cell>
        </row>
        <row r="1468">
          <cell r="A1468" t="str">
            <v>2019 Febrero</v>
          </cell>
        </row>
        <row r="1469">
          <cell r="A1469" t="str">
            <v>2019 Febrero</v>
          </cell>
        </row>
        <row r="1470">
          <cell r="A1470" t="str">
            <v>2019 Febrero</v>
          </cell>
        </row>
        <row r="1471">
          <cell r="A1471" t="str">
            <v>2019 Febrero</v>
          </cell>
        </row>
        <row r="1472">
          <cell r="A1472" t="str">
            <v>2019 Febrero</v>
          </cell>
        </row>
        <row r="1473">
          <cell r="A1473" t="str">
            <v>2019 Febrero</v>
          </cell>
        </row>
        <row r="1474">
          <cell r="A1474" t="str">
            <v>2019 Febrero</v>
          </cell>
        </row>
        <row r="1475">
          <cell r="A1475" t="str">
            <v>2019 Febrero</v>
          </cell>
        </row>
        <row r="1476">
          <cell r="A1476" t="str">
            <v>2019 Febrero</v>
          </cell>
        </row>
        <row r="1477">
          <cell r="A1477" t="str">
            <v>2019 Febrero</v>
          </cell>
        </row>
        <row r="1478">
          <cell r="A1478" t="str">
            <v>2019 Febrero</v>
          </cell>
        </row>
        <row r="1479">
          <cell r="A1479" t="str">
            <v>2019 Febrero</v>
          </cell>
        </row>
        <row r="1480">
          <cell r="A1480" t="str">
            <v>2019 Febrero</v>
          </cell>
        </row>
        <row r="1481">
          <cell r="A1481" t="str">
            <v>2019 Febrero</v>
          </cell>
        </row>
        <row r="1482">
          <cell r="A1482" t="str">
            <v>2019 Febrero</v>
          </cell>
        </row>
        <row r="1483">
          <cell r="A1483" t="str">
            <v>2019 Febrero</v>
          </cell>
        </row>
        <row r="1484">
          <cell r="A1484" t="str">
            <v>2019 Febrero</v>
          </cell>
        </row>
        <row r="1485">
          <cell r="A1485" t="str">
            <v>2019 Febrero</v>
          </cell>
        </row>
        <row r="1486">
          <cell r="A1486" t="str">
            <v>2019 Febrero</v>
          </cell>
        </row>
        <row r="1487">
          <cell r="A1487" t="str">
            <v>2019 Febrero</v>
          </cell>
        </row>
        <row r="1488">
          <cell r="A1488" t="str">
            <v>2019 Febrero</v>
          </cell>
        </row>
        <row r="1489">
          <cell r="A1489" t="str">
            <v>2019 Febrero</v>
          </cell>
        </row>
        <row r="1490">
          <cell r="A1490" t="str">
            <v>2019 Febrero</v>
          </cell>
        </row>
        <row r="1491">
          <cell r="A1491" t="str">
            <v>2019 Febrero</v>
          </cell>
        </row>
        <row r="1492">
          <cell r="A1492" t="str">
            <v>2019 Febrero</v>
          </cell>
        </row>
        <row r="1493">
          <cell r="A1493" t="str">
            <v>2019 Febrero</v>
          </cell>
        </row>
        <row r="1494">
          <cell r="A1494" t="str">
            <v>2019 Febrero</v>
          </cell>
        </row>
        <row r="1495">
          <cell r="A1495" t="str">
            <v>2019 Febrero</v>
          </cell>
        </row>
        <row r="1496">
          <cell r="A1496" t="str">
            <v>2019 Febrero</v>
          </cell>
        </row>
        <row r="1497">
          <cell r="A1497" t="str">
            <v>2019 Febrero</v>
          </cell>
        </row>
        <row r="1498">
          <cell r="A1498" t="str">
            <v>2019 Febrero</v>
          </cell>
        </row>
        <row r="1499">
          <cell r="A1499" t="str">
            <v>2019 Febrero</v>
          </cell>
        </row>
        <row r="1500">
          <cell r="A1500" t="str">
            <v>2019 Febrero</v>
          </cell>
        </row>
        <row r="1501">
          <cell r="A1501" t="str">
            <v>2019 Febrero</v>
          </cell>
        </row>
        <row r="1502">
          <cell r="A1502" t="str">
            <v>2019 Febrero</v>
          </cell>
        </row>
        <row r="1503">
          <cell r="A1503" t="str">
            <v>2019 Febrero</v>
          </cell>
        </row>
        <row r="1504">
          <cell r="A1504" t="str">
            <v>2019 Febrero</v>
          </cell>
        </row>
        <row r="1505">
          <cell r="A1505" t="str">
            <v>2019 Febrero</v>
          </cell>
        </row>
        <row r="1506">
          <cell r="A1506" t="str">
            <v>2019 Febrero</v>
          </cell>
        </row>
        <row r="1507">
          <cell r="A1507" t="str">
            <v>2019 Febrero</v>
          </cell>
        </row>
        <row r="1508">
          <cell r="A1508" t="str">
            <v>2019 Febrero</v>
          </cell>
        </row>
        <row r="1509">
          <cell r="A1509" t="str">
            <v>2019 Febrero</v>
          </cell>
        </row>
        <row r="1510">
          <cell r="A1510" t="str">
            <v>2019 Febrero</v>
          </cell>
        </row>
        <row r="1511">
          <cell r="A1511" t="str">
            <v>2019 Febrero</v>
          </cell>
        </row>
        <row r="1512">
          <cell r="A1512" t="str">
            <v>2019 Febrero</v>
          </cell>
        </row>
        <row r="1513">
          <cell r="A1513" t="str">
            <v>2019 Febrero</v>
          </cell>
        </row>
        <row r="1514">
          <cell r="A1514" t="str">
            <v>2019 Febrero</v>
          </cell>
        </row>
        <row r="1515">
          <cell r="A1515" t="str">
            <v>2019 Febrero</v>
          </cell>
        </row>
        <row r="1516">
          <cell r="A1516" t="str">
            <v>2019 Febrero</v>
          </cell>
        </row>
        <row r="1517">
          <cell r="A1517" t="str">
            <v>2019 Febrero</v>
          </cell>
        </row>
        <row r="1518">
          <cell r="A1518" t="str">
            <v>2019 Febrero</v>
          </cell>
        </row>
        <row r="1519">
          <cell r="A1519" t="str">
            <v>2019 Febrero</v>
          </cell>
        </row>
        <row r="1520">
          <cell r="A1520" t="str">
            <v>2019 Febrero</v>
          </cell>
        </row>
        <row r="1521">
          <cell r="A1521" t="str">
            <v>2019 Febrero</v>
          </cell>
        </row>
        <row r="1522">
          <cell r="A1522" t="str">
            <v>2019 Febrero</v>
          </cell>
        </row>
        <row r="1523">
          <cell r="A1523" t="str">
            <v>2019 Febrero</v>
          </cell>
        </row>
        <row r="1524">
          <cell r="A1524" t="str">
            <v>2019 Febrero</v>
          </cell>
        </row>
        <row r="1525">
          <cell r="A1525" t="str">
            <v>2019 Febrero</v>
          </cell>
        </row>
        <row r="1526">
          <cell r="A1526" t="str">
            <v>2019 Febrero</v>
          </cell>
        </row>
        <row r="1527">
          <cell r="A1527" t="str">
            <v>2019 Febrero</v>
          </cell>
        </row>
        <row r="1528">
          <cell r="A1528" t="str">
            <v>2019 Febrero</v>
          </cell>
        </row>
        <row r="1529">
          <cell r="A1529" t="str">
            <v>2019 Febrero</v>
          </cell>
        </row>
        <row r="1530">
          <cell r="A1530" t="str">
            <v>2019 Febrero</v>
          </cell>
        </row>
        <row r="1531">
          <cell r="A1531" t="str">
            <v>2019 Marzo</v>
          </cell>
        </row>
        <row r="1532">
          <cell r="A1532" t="str">
            <v>2019 Marzo</v>
          </cell>
        </row>
        <row r="1533">
          <cell r="A1533" t="str">
            <v>2019 Marzo</v>
          </cell>
        </row>
        <row r="1534">
          <cell r="A1534" t="str">
            <v>2019 Marzo</v>
          </cell>
        </row>
        <row r="1535">
          <cell r="A1535" t="str">
            <v>2019 Marzo</v>
          </cell>
        </row>
        <row r="1536">
          <cell r="A1536" t="str">
            <v>2019 Marzo</v>
          </cell>
        </row>
        <row r="1537">
          <cell r="A1537" t="str">
            <v>2019 Marzo</v>
          </cell>
        </row>
        <row r="1538">
          <cell r="A1538" t="str">
            <v>2019 Marzo</v>
          </cell>
        </row>
        <row r="1539">
          <cell r="A1539" t="str">
            <v>2019 Marzo</v>
          </cell>
        </row>
        <row r="1540">
          <cell r="A1540" t="str">
            <v>2019 Marzo</v>
          </cell>
        </row>
        <row r="1541">
          <cell r="A1541" t="str">
            <v>2019 Marzo</v>
          </cell>
        </row>
        <row r="1542">
          <cell r="A1542" t="str">
            <v>2019 Marzo</v>
          </cell>
        </row>
        <row r="1543">
          <cell r="A1543" t="str">
            <v>2019 Marzo</v>
          </cell>
        </row>
        <row r="1544">
          <cell r="A1544" t="str">
            <v>2019 Marzo</v>
          </cell>
        </row>
        <row r="1545">
          <cell r="A1545" t="str">
            <v>2019 Marzo</v>
          </cell>
        </row>
        <row r="1546">
          <cell r="A1546" t="str">
            <v>2019 Marzo</v>
          </cell>
        </row>
        <row r="1547">
          <cell r="A1547" t="str">
            <v>2019 Marzo</v>
          </cell>
        </row>
        <row r="1548">
          <cell r="A1548" t="str">
            <v>2019 Marzo</v>
          </cell>
        </row>
        <row r="1549">
          <cell r="A1549" t="str">
            <v>2019 Marzo</v>
          </cell>
        </row>
        <row r="1550">
          <cell r="A1550" t="str">
            <v>2019 Marzo</v>
          </cell>
        </row>
        <row r="1551">
          <cell r="A1551" t="str">
            <v>2019 Marzo</v>
          </cell>
        </row>
        <row r="1552">
          <cell r="A1552" t="str">
            <v>2019 Marzo</v>
          </cell>
        </row>
        <row r="1553">
          <cell r="A1553" t="str">
            <v>2019 Marzo</v>
          </cell>
        </row>
        <row r="1554">
          <cell r="A1554" t="str">
            <v>2019 Marzo</v>
          </cell>
        </row>
        <row r="1555">
          <cell r="A1555" t="str">
            <v>2019 Marzo</v>
          </cell>
        </row>
        <row r="1556">
          <cell r="A1556" t="str">
            <v>2019 Marzo</v>
          </cell>
        </row>
        <row r="1557">
          <cell r="A1557" t="str">
            <v>2019 Marzo</v>
          </cell>
        </row>
        <row r="1558">
          <cell r="A1558" t="str">
            <v>2019 Marzo</v>
          </cell>
        </row>
        <row r="1559">
          <cell r="A1559" t="str">
            <v>2019 Marzo</v>
          </cell>
        </row>
        <row r="1560">
          <cell r="A1560" t="str">
            <v>2019 Marzo</v>
          </cell>
        </row>
        <row r="1561">
          <cell r="A1561" t="str">
            <v>2019 Marzo</v>
          </cell>
        </row>
        <row r="1562">
          <cell r="A1562" t="str">
            <v>2019 Marzo</v>
          </cell>
        </row>
        <row r="1563">
          <cell r="A1563" t="str">
            <v>2019 Marzo</v>
          </cell>
        </row>
        <row r="1564">
          <cell r="A1564" t="str">
            <v>2019 Marzo</v>
          </cell>
        </row>
        <row r="1565">
          <cell r="A1565" t="str">
            <v>2019 Marzo</v>
          </cell>
        </row>
        <row r="1566">
          <cell r="A1566" t="str">
            <v>2019 Marzo</v>
          </cell>
        </row>
        <row r="1567">
          <cell r="A1567" t="str">
            <v>2019 Marzo</v>
          </cell>
        </row>
        <row r="1568">
          <cell r="A1568" t="str">
            <v>2019 Marzo</v>
          </cell>
        </row>
        <row r="1569">
          <cell r="A1569" t="str">
            <v>2019 Marzo</v>
          </cell>
        </row>
        <row r="1570">
          <cell r="A1570" t="str">
            <v>2019 Marzo</v>
          </cell>
        </row>
        <row r="1571">
          <cell r="A1571" t="str">
            <v>2019 Marzo</v>
          </cell>
        </row>
        <row r="1572">
          <cell r="A1572" t="str">
            <v>2019 Marzo</v>
          </cell>
        </row>
        <row r="1573">
          <cell r="A1573" t="str">
            <v>2019 Marzo</v>
          </cell>
        </row>
        <row r="1574">
          <cell r="A1574" t="str">
            <v>2019 Marzo</v>
          </cell>
        </row>
        <row r="1575">
          <cell r="A1575" t="str">
            <v>2019 Marzo</v>
          </cell>
        </row>
        <row r="1576">
          <cell r="A1576" t="str">
            <v>2019 Marzo</v>
          </cell>
        </row>
        <row r="1577">
          <cell r="A1577" t="str">
            <v>2019 Marzo</v>
          </cell>
        </row>
        <row r="1578">
          <cell r="A1578" t="str">
            <v>2019 Marzo</v>
          </cell>
        </row>
        <row r="1579">
          <cell r="A1579" t="str">
            <v>2019 Marzo</v>
          </cell>
        </row>
        <row r="1580">
          <cell r="A1580" t="str">
            <v>2019 Marzo</v>
          </cell>
        </row>
        <row r="1581">
          <cell r="A1581" t="str">
            <v>2019 Marzo</v>
          </cell>
        </row>
        <row r="1582">
          <cell r="A1582" t="str">
            <v>2019 Marzo</v>
          </cell>
        </row>
        <row r="1583">
          <cell r="A1583" t="str">
            <v>2019 Marzo</v>
          </cell>
        </row>
        <row r="1584">
          <cell r="A1584" t="str">
            <v>2019 Marzo</v>
          </cell>
        </row>
        <row r="1585">
          <cell r="A1585" t="str">
            <v>2019 Marzo</v>
          </cell>
        </row>
        <row r="1586">
          <cell r="A1586" t="str">
            <v>2019 Marzo</v>
          </cell>
        </row>
        <row r="1587">
          <cell r="A1587" t="str">
            <v>2019 Marzo</v>
          </cell>
        </row>
        <row r="1588">
          <cell r="A1588" t="str">
            <v>2019 Marzo</v>
          </cell>
        </row>
        <row r="1589">
          <cell r="A1589" t="str">
            <v>2019 Marzo</v>
          </cell>
        </row>
        <row r="1590">
          <cell r="A1590" t="str">
            <v>2019 Marzo</v>
          </cell>
        </row>
        <row r="1591">
          <cell r="A1591" t="str">
            <v>2019 Marzo</v>
          </cell>
        </row>
        <row r="1592">
          <cell r="A1592" t="str">
            <v>2019 Marzo</v>
          </cell>
        </row>
        <row r="1593">
          <cell r="A1593" t="str">
            <v>2019 Marzo</v>
          </cell>
        </row>
        <row r="1594">
          <cell r="A1594" t="str">
            <v>2019 Marzo</v>
          </cell>
        </row>
        <row r="1595">
          <cell r="A1595" t="str">
            <v>2019 Marzo</v>
          </cell>
        </row>
        <row r="1596">
          <cell r="A1596" t="str">
            <v>2019 Marzo</v>
          </cell>
        </row>
        <row r="1597">
          <cell r="A1597" t="str">
            <v>2019 Marzo</v>
          </cell>
        </row>
        <row r="1598">
          <cell r="A1598" t="str">
            <v>2019 Marzo</v>
          </cell>
        </row>
        <row r="1599">
          <cell r="A1599" t="str">
            <v>2019 Marzo</v>
          </cell>
        </row>
        <row r="1600">
          <cell r="A1600" t="str">
            <v>2019 Marzo</v>
          </cell>
        </row>
      </sheetData>
      <sheetData sheetId="3" refreshError="1"/>
      <sheetData sheetId="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aura Estefania Bolivar Guerra" refreshedDate="43578.739625347225" createdVersion="6" refreshedVersion="6" minRefreshableVersion="3" recordCount="2042">
  <cacheSource type="worksheet">
    <worksheetSource ref="A1:Z2043" sheet="BD ASR"/>
  </cacheSource>
  <cacheFields count="27">
    <cacheField name="N° Mes" numFmtId="0">
      <sharedItems containsSemiMixedTypes="0" containsString="0" containsNumber="1" containsInteger="1" minValue="1" maxValue="12"/>
    </cacheField>
    <cacheField name="Año/Mes" numFmtId="0">
      <sharedItems count="39">
        <s v="2016 ENE"/>
        <s v="2016 FEB"/>
        <s v="2016 MAR"/>
        <s v="2016 ABR"/>
        <s v="2016 MAY"/>
        <s v="2016 JUN"/>
        <s v="2016 JUL"/>
        <s v="2016 AGO"/>
        <s v="2016 SEP"/>
        <s v="2016 OCT"/>
        <s v="2016 NOV"/>
        <s v="2016 DIC"/>
        <s v="2017 ENE"/>
        <s v="2017 FEB"/>
        <s v="2017 MAR"/>
        <s v="2017 ABR"/>
        <s v="2017 MAY"/>
        <s v="2017 JUN"/>
        <s v="2017 JUL"/>
        <s v="2017 AGO"/>
        <s v="2017 SEP"/>
        <s v="2017 OCT"/>
        <s v="2017 NOV"/>
        <s v="2017 DIC"/>
        <s v="2018 ENE"/>
        <s v="2018 FEB"/>
        <s v="2018 MAR"/>
        <s v="2018 ABR"/>
        <s v="2018 MAY"/>
        <s v="2018 JUN"/>
        <s v="2018 JUL"/>
        <s v="2018 AGO"/>
        <s v="2018 SEP"/>
        <s v="2018 OCT"/>
        <s v="2018 NOV"/>
        <s v="2018 DIC"/>
        <s v="2019 ENE"/>
        <s v="2019 FEB"/>
        <s v="2019 MAR"/>
      </sharedItems>
    </cacheField>
    <cacheField name="AÑO" numFmtId="0">
      <sharedItems containsSemiMixedTypes="0" containsString="0" containsNumber="1" containsInteger="1" minValue="2016" maxValue="2019" count="4">
        <n v="2016"/>
        <n v="2017"/>
        <n v="2018"/>
        <n v="2019"/>
      </sharedItems>
    </cacheField>
    <cacheField name="MES" numFmtId="0">
      <sharedItems/>
    </cacheField>
    <cacheField name="USUARIO" numFmtId="0">
      <sharedItems containsMixedTypes="1" containsNumber="1" containsInteger="1" minValue="4433285837" maxValue="4433628391"/>
    </cacheField>
    <cacheField name="CEDULA" numFmtId="0">
      <sharedItems containsString="0" containsBlank="1" containsNumber="1" containsInteger="1" minValue="3438422" maxValue="1234189600" count="90">
        <n v="43920870"/>
        <n v="43169964"/>
        <n v="43253531"/>
        <n v="43821410"/>
        <n v="39442617"/>
        <n v="1013628003"/>
        <n v="43971430"/>
        <n v="43184345"/>
        <n v="1030634664"/>
        <n v="43554403"/>
        <n v="23857915"/>
        <n v="52725011"/>
        <n v="1040030764"/>
        <n v="31307503"/>
        <n v="42164020"/>
        <n v="1035417626"/>
        <n v="43874518"/>
        <n v="52260671"/>
        <n v="1036779770"/>
        <n v="1017141451"/>
        <n v="43343234"/>
        <n v="43745192"/>
        <n v="43866877"/>
        <n v="43113640"/>
        <n v="39448823"/>
        <n v="43109744"/>
        <n v="43599983"/>
        <n v="42689970"/>
        <n v="43907427"/>
        <n v="91511871"/>
        <n v="79701425"/>
        <n v="34542470"/>
        <n v="52730701"/>
        <n v="43745952"/>
        <n v="43259130"/>
        <n v="32256379"/>
        <n v="3438422"/>
        <m/>
        <n v="1017207399"/>
        <n v="1036598360"/>
        <n v="43758991"/>
        <n v="21113054"/>
        <n v="43636530"/>
        <n v="1030611855"/>
        <n v="1017200970"/>
        <n v="1020736461"/>
        <n v="43800272"/>
        <n v="31445278"/>
        <n v="1144140699"/>
        <n v="43114534"/>
        <n v="1017167720"/>
        <n v="1020419011"/>
        <n v="21428423"/>
        <n v="79850984"/>
        <n v="1234189600"/>
        <n v="1020443426"/>
        <n v="1020419615"/>
        <n v="21982241"/>
        <n v="1020409789"/>
        <n v="31309227"/>
        <n v="1130597373"/>
        <n v="1020451288"/>
        <n v="66857504"/>
        <n v="32183069"/>
        <n v="1035913369"/>
        <n v="43906785"/>
        <n v="39275090"/>
        <n v="1151951440"/>
        <n v="1010207310"/>
        <n v="1095794354"/>
        <n v="1144061613"/>
        <n v="1020399898"/>
        <n v="1020425089"/>
        <n v="1130676531"/>
        <n v="1128476466"/>
        <n v="39175639"/>
        <n v="1001131473"/>
        <n v="1128267208"/>
        <n v="1035224144"/>
        <n v="16379021"/>
        <n v="1017191161"/>
        <n v="1128442101"/>
        <n v="32352312"/>
        <n v="1020769180"/>
        <n v="66910365"/>
        <n v="1232400088"/>
        <n v="1128402269"/>
        <n v="6228363"/>
        <n v="1126257967"/>
        <n v="79805095"/>
      </sharedItems>
    </cacheField>
    <cacheField name="NOMBRE" numFmtId="0">
      <sharedItems containsBlank="1" count="92">
        <s v="Adriana Espitia Anaya"/>
        <s v="Adriana Lucia Mosquera Lujan"/>
        <s v="Alexandra Maria Loaiza Grisales"/>
        <s v="Ana Maria Lopez Bedoya"/>
        <s v="Angela Rocio Garcia Arango"/>
        <s v="Anlly Yulieth Lineros Zorro"/>
        <s v="Bibiana Bedoya Castellar"/>
        <m/>
        <s v="Claudia Maria Blandon Arenas"/>
        <s v="Claudia Yaneth Palacios Corredor"/>
        <s v="Derly Yennifer Arteaga Moreno"/>
        <s v="Diana Maria Palacio Alzate"/>
        <s v="Diana Catalina Quintero Medina"/>
        <s v="Elizabeth Velez Suaza"/>
        <s v="Genny Natalia Henao Posada"/>
        <s v="Isabel Cristina Mora Gomez"/>
        <s v="Jaqueline Vera Guzman"/>
        <s v="Lila Daniza Cardona Ramirez"/>
        <s v="Luz Marina Ardila Moreno"/>
        <s v="Luz Nidia Hernandez Gonzalez"/>
        <s v="Margarita Maria Garcia Palacio"/>
        <s v="Maria Mercedes Ocampo Ocampo"/>
        <s v="Maricela Serna Areiza"/>
        <s v="Maria Eugenia Soto Castaño"/>
        <s v="Monica Janeth Mejia"/>
        <s v="Natalia Pizarro Duque"/>
        <s v="Oscar Alonso De La Pava Suarez"/>
        <s v="Raul Fernando Moreno Garzon"/>
        <s v="Rocio Elena Fajardo Sanchez"/>
        <s v="Rosa Cristina Vega"/>
        <s v="Viviana Maria Vasquez Zapata"/>
        <s v="Zuly Johanna Aristizabal Gaviria"/>
        <s v="Carolayn Vanegas Beltran"/>
        <s v="Diana Patricia Pobre Pama"/>
        <s v="Maria Eugenia Marin Sanchez"/>
        <s v="Adriana  Espitia Anaya"/>
        <s v="Paula Zoraida Gomez Baena"/>
        <s v="Alvaro Ignacio Ospina"/>
        <s v="Laura Echavarria Fernandez"/>
        <s v="Leidy Johana Gomez Vinasco"/>
        <s v="Lina Maria Guzman Diaz"/>
        <s v="Maria Gladys Saldaña Acero"/>
        <s v="Ruby Alexandra Hinestroza Garcia"/>
        <s v="Katherine Vanegas Beltran"/>
        <s v="Erika Vanessa Sanchez Valle"/>
        <s v="Andrea Del Pilar Sanchez Zarabanda"/>
        <s v="Angela Maria Rodriguez Pineda"/>
        <s v="Paola Andrea Pantoja Cabezas        "/>
        <s v="Gisell Alejandra Camacho        "/>
        <s v="Hisnara Emely Osorio Pino"/>
        <s v="Deisy Carolina Carmona Cardona"/>
        <s v="Yeny Johana Suarez Perez"/>
        <s v="Herica Maria Roman"/>
        <s v="Camilo Puentes Hernandez"/>
        <s v="Lilibeth Foronda Victoria"/>
        <s v="Cindy Vanesa Garcia Cuartas"/>
        <s v="Yurani Usuga Vergara"/>
        <s v="Yuliana Maria Rios Restrepo"/>
        <s v="Suanny Mileidy Hernandez Cordoba"/>
        <s v="Carolina Rivera Carvajal"/>
        <s v="Tatiana Rivera Trejos"/>
        <s v="Carol Cristina Ramirez Monsalve"/>
        <s v="Yaneth Armero Navia"/>
        <s v="Natalia Andrea Vanegas Morales"/>
        <s v="Yenifer Paola Sinisterra Giraldo"/>
        <s v="Ana Karina Bernal"/>
        <s v="Norely Del Socorro Aristizabal Martinez"/>
        <s v="Monica Arango Giraldo"/>
        <s v="Lorena Bernal Cruz"/>
        <s v="Monica Lopez Salamanca"/>
        <s v="Angie Serna Brand"/>
        <s v="Leidy Yasmin Carmona Orrego"/>
        <s v="Leidy Parra Madrid"/>
        <s v="Heidy Johanna Valencia Villamarin"/>
        <s v="Vanesa Lopez Bermudez"/>
        <s v="Sandra Patricia Castrillon Acevedo"/>
        <s v="Mariana Higuita Rojas"/>
        <s v="Maria Isabel Gomez Ortega"/>
        <s v="Milena Caterine Quintero Olarte"/>
        <s v="Dany David Leon Serrato"/>
        <s v="Astrid Del Carmen Taborda"/>
        <s v="Lizeth Milena Garcia Sanmartin"/>
        <s v="Viviana Marcela Ruiz"/>
        <s v="Christian Alberto Vergara Romero"/>
        <s v="Aura Maria Castro Motato"/>
        <s v="Makerlyn Alexa Bermudez Valderrama"/>
        <s v="Juan Esteban Vasquez Londoño"/>
        <s v="Jose Miguel Valderruten Perez"/>
        <s v="Alcibiades Manuel Padilla Navarro"/>
        <s v="Alex Giovanni Rodriguez Barrantes"/>
        <s v="Ruby Alexandra Hinestroza" u="1"/>
        <s v="Carolina  Gonzalez Ceballos" u="1"/>
      </sharedItems>
    </cacheField>
    <cacheField name="INGRESO   GLOBAL" numFmtId="164">
      <sharedItems containsSemiMixedTypes="0" containsString="0" containsNumber="1" containsInteger="1" minValue="-4054670" maxValue="103867711"/>
    </cacheField>
    <cacheField name="LENTES CONTACTO" numFmtId="164">
      <sharedItems containsSemiMixedTypes="0" containsString="0" containsNumber="1" containsInteger="1" minValue="0" maxValue="6065000"/>
    </cacheField>
    <cacheField name="AUX.PBS MIPRES TUTELAS ATEP" numFmtId="164">
      <sharedItems containsSemiMixedTypes="0" containsString="0" containsNumber="1" containsInteger="1" minValue="-113335" maxValue="23386455"/>
    </cacheField>
    <cacheField name="INGRESOS ASESOR" numFmtId="164">
      <sharedItems containsSemiMixedTypes="0" containsString="0" containsNumber="1" containsInteger="1" minValue="-4054670" maxValue="93907527"/>
    </cacheField>
    <cacheField name="PRESUPUESTO ASESOR" numFmtId="0">
      <sharedItems containsString="0" containsBlank="1" containsNumber="1" minValue="2400000" maxValue="53366666.666666664"/>
    </cacheField>
    <cacheField name="CUMPLIMIENTO  ASESOR" numFmtId="165">
      <sharedItems containsString="0" containsBlank="1" containsNumber="1" minValue="0" maxValue="15.170358467741936"/>
    </cacheField>
    <cacheField name="Aplica" numFmtId="165">
      <sharedItems count="2">
        <s v="NO"/>
        <s v="Si"/>
      </sharedItems>
    </cacheField>
    <cacheField name="Dias_x000a_Hábiles" numFmtId="0">
      <sharedItems containsSemiMixedTypes="0" containsString="0" containsNumber="1" containsInteger="1" minValue="23" maxValue="26"/>
    </cacheField>
    <cacheField name="Punto de Vista" numFmtId="0">
      <sharedItems/>
    </cacheField>
    <cacheField name="Regional" numFmtId="0">
      <sharedItems/>
    </cacheField>
    <cacheField name="Observación" numFmtId="0">
      <sharedItems containsMixedTypes="1" containsNumber="1" containsInteger="1" minValue="0" maxValue="0"/>
    </cacheField>
    <cacheField name="N° Monturas" numFmtId="0">
      <sharedItems containsString="0" containsBlank="1" containsNumber="1" containsInteger="1" minValue="0" maxValue="176"/>
    </cacheField>
    <cacheField name="$ Monturas" numFmtId="164">
      <sharedItems containsString="0" containsBlank="1" containsNumber="1" containsInteger="1" minValue="-1261122" maxValue="29315678"/>
    </cacheField>
    <cacheField name="N° Lent. Oft. Esp." numFmtId="0">
      <sharedItems containsString="0" containsBlank="1" containsNumber="1" containsInteger="1" minValue="-4" maxValue="445"/>
    </cacheField>
    <cacheField name="$ Lent. Oft. Esp." numFmtId="164">
      <sharedItems containsString="0" containsBlank="1" containsNumber="1" containsInteger="1" minValue="-4400552" maxValue="54244230"/>
    </cacheField>
    <cacheField name="N° Aux.Lent.Pos" numFmtId="0">
      <sharedItems containsString="0" containsBlank="1" containsNumber="1" containsInteger="1" minValue="-207" maxValue="4783"/>
    </cacheField>
    <cacheField name="$ Aux.Lent.Pos" numFmtId="0">
      <sharedItems containsString="0" containsBlank="1" containsNumber="1" containsInteger="1" minValue="0" maxValue="23386455"/>
    </cacheField>
    <cacheField name="ACCESORIOS MIPRES TUTELAS ARL LC" numFmtId="164">
      <sharedItems containsSemiMixedTypes="0" containsString="0" containsNumber="1" containsInteger="1" minValue="-5401503" maxValue="92307728"/>
    </cacheField>
    <cacheField name="VACACIONES" numFmtId="0">
      <sharedItems containsBlank="1"/>
    </cacheField>
    <cacheField name="CUMPLIMIENTO" numFmtId="0" formula="'INGRESOS ASESOR'/'PRESUPUESTO ASESO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aura Estefania Bolivar Guerra" refreshedDate="43578.740931134256" createdVersion="6" refreshedVersion="6" minRefreshableVersion="3" recordCount="2042">
  <cacheSource type="worksheet">
    <worksheetSource name="BD_ASR"/>
  </cacheSource>
  <cacheFields count="26">
    <cacheField name="N° Mes" numFmtId="0">
      <sharedItems containsSemiMixedTypes="0" containsString="0" containsNumber="1" containsInteger="1" minValue="1" maxValue="12"/>
    </cacheField>
    <cacheField name="Año/Mes" numFmtId="0">
      <sharedItems count="39">
        <s v="2016 ENE"/>
        <s v="2016 FEB"/>
        <s v="2016 MAR"/>
        <s v="2016 ABR"/>
        <s v="2016 MAY"/>
        <s v="2016 JUN"/>
        <s v="2016 JUL"/>
        <s v="2016 AGO"/>
        <s v="2016 SEP"/>
        <s v="2016 OCT"/>
        <s v="2016 NOV"/>
        <s v="2016 DIC"/>
        <s v="2017 ENE"/>
        <s v="2017 FEB"/>
        <s v="2017 MAR"/>
        <s v="2017 ABR"/>
        <s v="2017 MAY"/>
        <s v="2017 JUN"/>
        <s v="2017 JUL"/>
        <s v="2017 AGO"/>
        <s v="2017 SEP"/>
        <s v="2017 OCT"/>
        <s v="2017 NOV"/>
        <s v="2017 DIC"/>
        <s v="2018 ENE"/>
        <s v="2018 FEB"/>
        <s v="2018 MAR"/>
        <s v="2018 ABR"/>
        <s v="2018 MAY"/>
        <s v="2018 JUN"/>
        <s v="2018 JUL"/>
        <s v="2018 AGO"/>
        <s v="2018 SEP"/>
        <s v="2018 OCT"/>
        <s v="2018 NOV"/>
        <s v="2018 DIC"/>
        <s v="2019 ENE"/>
        <s v="2019 FEB"/>
        <s v="2019 MAR"/>
      </sharedItems>
    </cacheField>
    <cacheField name="AÑO" numFmtId="0">
      <sharedItems containsSemiMixedTypes="0" containsString="0" containsNumber="1" containsInteger="1" minValue="2016" maxValue="2019"/>
    </cacheField>
    <cacheField name="MES" numFmtId="0">
      <sharedItems/>
    </cacheField>
    <cacheField name="USUARIO" numFmtId="0">
      <sharedItems containsMixedTypes="1" containsNumber="1" containsInteger="1" minValue="4433285837" maxValue="4433628391"/>
    </cacheField>
    <cacheField name="CEDULA" numFmtId="0">
      <sharedItems containsString="0" containsBlank="1" containsNumber="1" containsInteger="1" minValue="3438422" maxValue="1234189600"/>
    </cacheField>
    <cacheField name="NOMBRE" numFmtId="0">
      <sharedItems containsBlank="1" count="94">
        <s v="Adriana Espitia Anaya"/>
        <s v="Adriana Lucia Mosquera Lujan"/>
        <s v="Alexandra Maria Loaiza Grisales"/>
        <s v="Ana Maria Lopez Bedoya"/>
        <s v="Angela Rocio Garcia Arango"/>
        <s v="Anlly Yulieth Lineros Zorro"/>
        <s v="Bibiana Bedoya Castellar"/>
        <m/>
        <s v="Claudia Maria Blandon Arenas"/>
        <s v="Claudia Yaneth Palacios Corredor"/>
        <s v="Derly Yennifer Arteaga Moreno"/>
        <s v="Diana Maria Palacio Alzate"/>
        <s v="Diana Catalina Quintero Medina"/>
        <s v="Elizabeth Velez Suaza"/>
        <s v="Genny Natalia Henao Posada"/>
        <s v="Isabel Cristina Mora Gomez"/>
        <s v="Jaqueline Vera Guzman"/>
        <s v="Lila Daniza Cardona Ramirez"/>
        <s v="Luz Marina Ardila Moreno"/>
        <s v="Luz Nidia Hernandez Gonzalez"/>
        <s v="Margarita Maria Garcia Palacio"/>
        <s v="Maria Mercedes Ocampo Ocampo"/>
        <s v="Maricela Serna Areiza"/>
        <s v="Maria Eugenia Soto Castaño"/>
        <s v="Monica Janeth Mejia"/>
        <s v="Natalia Pizarro Duque"/>
        <s v="Oscar Alonso De La Pava Suarez"/>
        <s v="Raul Fernando Moreno Garzon"/>
        <s v="Rocio Elena Fajardo Sanchez"/>
        <s v="Rosa Cristina Vega"/>
        <s v="Viviana Maria Vasquez Zapata"/>
        <s v="Zuly Johanna Aristizabal Gaviria"/>
        <s v="Carolayn Vanegas Beltran"/>
        <s v="Diana Patricia Pobre Pama"/>
        <s v="Maria Eugenia Marin Sanchez"/>
        <s v="Adriana  Espitia Anaya"/>
        <s v="Paula Zoraida Gomez Baena"/>
        <s v="Alvaro Ignacio Ospina"/>
        <s v="Laura Echavarria Fernandez"/>
        <s v="Leidy Johana Gomez Vinasco"/>
        <s v="Lina Maria Guzman Diaz"/>
        <s v="Maria Gladys Saldaña Acero"/>
        <s v="Ruby Alexandra Hinestroza Garcia"/>
        <s v="Katherine Vanegas Beltran"/>
        <s v="Erika Vanessa Sanchez Valle"/>
        <s v="Andrea Del Pilar Sanchez Zarabanda"/>
        <s v="Angela Maria Rodriguez Pineda"/>
        <s v="Paola Andrea Pantoja Cabezas        "/>
        <s v="Gisell Alejandra Camacho        "/>
        <s v="Hisnara Emely Osorio Pino"/>
        <s v="Deisy Carolina Carmona Cardona"/>
        <s v="Yeny Johana Suarez Perez"/>
        <s v="Herica Maria Roman"/>
        <s v="Camilo Puentes Hernandez"/>
        <s v="Lilibeth Foronda Victoria"/>
        <s v="Cindy Vanesa Garcia Cuartas"/>
        <s v="Yurani Usuga Vergara"/>
        <s v="Yuliana Maria Rios Restrepo"/>
        <s v="Suanny Mileidy Hernandez Cordoba"/>
        <s v="Carolina Rivera Carvajal"/>
        <s v="Tatiana Rivera Trejos"/>
        <s v="Carol Cristina Ramirez Monsalve"/>
        <s v="Yaneth Armero Navia"/>
        <s v="Natalia Andrea Vanegas Morales"/>
        <s v="Yenifer Paola Sinisterra Giraldo"/>
        <s v="Ana Karina Bernal"/>
        <s v="Norely Del Socorro Aristizabal Martinez"/>
        <s v="Monica Arango Giraldo"/>
        <s v="Lorena Bernal Cruz"/>
        <s v="Monica Lopez Salamanca"/>
        <s v="Angie Serna Brand"/>
        <s v="Leidy Yasmin Carmona Orrego"/>
        <s v="Leidy Parra Madrid"/>
        <s v="Heidy Johanna Valencia Villamarin"/>
        <s v="Vanesa Lopez Bermudez"/>
        <s v="Sandra Patricia Castrillon Acevedo"/>
        <s v="Mariana Higuita Rojas"/>
        <s v="Maria Isabel Gomez Ortega"/>
        <s v="Milena Caterine Quintero Olarte"/>
        <s v="Dany David Leon Serrato"/>
        <s v="Astrid Del Carmen Taborda"/>
        <s v="Lizeth Milena Garcia Sanmartin"/>
        <s v="Viviana Marcela Ruiz"/>
        <s v="Christian Alberto Vergara Romero"/>
        <s v="Aura Maria Castro Motato"/>
        <s v="Makerlyn Alexa Bermudez Valderrama"/>
        <s v="Juan Esteban Vasquez Londoño"/>
        <s v="Jose Miguel Valderruten Perez"/>
        <s v="Alcibiades Manuel Padilla Navarro"/>
        <s v="Alex Giovanni Rodriguez Barrantes"/>
        <s v="Maria Eugenia Soto" u="1"/>
        <s v="Mariana Higuita" u="1"/>
        <s v="Ruby Alexandra Hinestroza" u="1"/>
        <s v="Carolina  Gonzalez Ceballos" u="1"/>
      </sharedItems>
    </cacheField>
    <cacheField name="INGRESO   GLOBAL" numFmtId="164">
      <sharedItems containsSemiMixedTypes="0" containsString="0" containsNumber="1" containsInteger="1" minValue="-4054670" maxValue="103867711"/>
    </cacheField>
    <cacheField name="LENTES CONTACTO" numFmtId="164">
      <sharedItems containsSemiMixedTypes="0" containsString="0" containsNumber="1" containsInteger="1" minValue="0" maxValue="6065000"/>
    </cacheField>
    <cacheField name="AUX.PBS MIPRES TUTELAS ATEP" numFmtId="164">
      <sharedItems containsSemiMixedTypes="0" containsString="0" containsNumber="1" containsInteger="1" minValue="-113335" maxValue="23386455"/>
    </cacheField>
    <cacheField name="INGRESOS ASESOR" numFmtId="164">
      <sharedItems containsSemiMixedTypes="0" containsString="0" containsNumber="1" containsInteger="1" minValue="-4054670" maxValue="93907527"/>
    </cacheField>
    <cacheField name="PRESUPUESTO ASESOR" numFmtId="0">
      <sharedItems containsString="0" containsBlank="1" containsNumber="1" minValue="2400000" maxValue="53366666.666666664"/>
    </cacheField>
    <cacheField name="CUMPLIMIENTO  ASESOR" numFmtId="165">
      <sharedItems containsString="0" containsBlank="1" containsNumber="1" minValue="0" maxValue="15.170358467741936"/>
    </cacheField>
    <cacheField name="Aplica" numFmtId="165">
      <sharedItems count="2">
        <s v="NO"/>
        <s v="Si"/>
      </sharedItems>
    </cacheField>
    <cacheField name="Dias_x000a_Hábiles" numFmtId="0">
      <sharedItems containsSemiMixedTypes="0" containsString="0" containsNumber="1" containsInteger="1" minValue="23" maxValue="26"/>
    </cacheField>
    <cacheField name="Punto de Vista" numFmtId="0">
      <sharedItems count="18">
        <s v=""/>
        <s v="IPS Pto De Vista Molinos"/>
        <s v="IPS Punto de Vista Bello"/>
        <s v="IPS Pto De Vista Unicentro"/>
        <s v="IPS Pto De Vista San Diego"/>
        <s v="IPS Pto De Vista Centro"/>
        <s v="IPS Pto De Vista Olaya"/>
        <s v="IPS Pto De Vista Rionegro"/>
        <s v="IPS Pto De Vista Punto Clave"/>
        <s v="IPS Pto De Vista Santa Bárbara"/>
        <s v="IPS Punto de Vista Mayorca"/>
        <s v="IPS Pto De Vista Industriales"/>
        <s v="Optica Salud Sura Chipichape"/>
        <s v="Ferias Empresariales Antioquia"/>
        <s v="Punto de Vista Tequendama"/>
        <s v="IPS Pto De Vista SSura Clle100"/>
        <s v="Punto de Vista Cali Norte"/>
        <s v="Ferias Cali"/>
      </sharedItems>
    </cacheField>
    <cacheField name="Regional" numFmtId="0">
      <sharedItems/>
    </cacheField>
    <cacheField name="Observación" numFmtId="0">
      <sharedItems/>
    </cacheField>
    <cacheField name="N° Monturas" numFmtId="0">
      <sharedItems containsString="0" containsBlank="1" containsNumber="1" containsInteger="1" minValue="0" maxValue="176"/>
    </cacheField>
    <cacheField name="$ Monturas" numFmtId="164">
      <sharedItems containsString="0" containsBlank="1" containsNumber="1" containsInteger="1" minValue="-1261122" maxValue="29315678"/>
    </cacheField>
    <cacheField name="N° Lent. Oft. Esp." numFmtId="0">
      <sharedItems containsString="0" containsBlank="1" containsNumber="1" containsInteger="1" minValue="-4" maxValue="445"/>
    </cacheField>
    <cacheField name="$ Lent. Oft. Esp." numFmtId="164">
      <sharedItems containsString="0" containsBlank="1" containsNumber="1" containsInteger="1" minValue="-4400552" maxValue="54244230"/>
    </cacheField>
    <cacheField name="N° Aux.Lent.Pos" numFmtId="0">
      <sharedItems containsString="0" containsBlank="1" containsNumber="1" containsInteger="1" minValue="-207" maxValue="4783"/>
    </cacheField>
    <cacheField name="$ Aux.Lent.Pos" numFmtId="0">
      <sharedItems containsString="0" containsBlank="1" containsNumber="1" containsInteger="1" minValue="0" maxValue="23386455"/>
    </cacheField>
    <cacheField name="ACCESORIOS MIPRES TUTELAS ARL LC" numFmtId="164">
      <sharedItems containsSemiMixedTypes="0" containsString="0" containsNumber="1" containsInteger="1" minValue="-5401503" maxValue="92307728"/>
    </cacheField>
    <cacheField name="VACACIONES" numFmtId="0">
      <sharedItems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042">
  <r>
    <n v="1"/>
    <x v="0"/>
    <x v="0"/>
    <s v="Enero"/>
    <s v="ADRIESAN"/>
    <x v="0"/>
    <x v="0"/>
    <n v="24114029"/>
    <n v="3635660"/>
    <n v="2524480"/>
    <n v="17953889"/>
    <n v="40000000"/>
    <n v="0.44884722500000002"/>
    <x v="0"/>
    <n v="24"/>
    <s v=""/>
    <s v=""/>
    <s v="No Aplica"/>
    <m/>
    <m/>
    <m/>
    <m/>
    <m/>
    <m/>
    <n v="24114029"/>
    <m/>
  </r>
  <r>
    <n v="1"/>
    <x v="0"/>
    <x v="0"/>
    <s v="Enero"/>
    <s v="ADRIMOLU"/>
    <x v="1"/>
    <x v="1"/>
    <n v="25988283"/>
    <n v="652000"/>
    <n v="2977045"/>
    <n v="22359238"/>
    <n v="17333333.333333332"/>
    <n v="1.2899560384615385"/>
    <x v="1"/>
    <n v="24"/>
    <s v="IPS Pto De Vista Molinos"/>
    <s v="Antioquia"/>
    <s v="Cumple"/>
    <m/>
    <m/>
    <m/>
    <m/>
    <m/>
    <m/>
    <n v="25988283"/>
    <m/>
  </r>
  <r>
    <n v="1"/>
    <x v="0"/>
    <x v="0"/>
    <s v="Enero"/>
    <s v="ALEXLOGR"/>
    <x v="2"/>
    <x v="2"/>
    <n v="45216009"/>
    <n v="3276100"/>
    <n v="2597845"/>
    <n v="39342064"/>
    <n v="40000000"/>
    <n v="0.98355159999999997"/>
    <x v="1"/>
    <n v="24"/>
    <s v="IPS Punto de Vista Bello"/>
    <s v="Antioquia"/>
    <s v="Fluctúa"/>
    <m/>
    <m/>
    <m/>
    <m/>
    <m/>
    <m/>
    <n v="45216009"/>
    <m/>
  </r>
  <r>
    <n v="1"/>
    <x v="0"/>
    <x v="0"/>
    <s v="Enero"/>
    <s v="ANAMLOBE"/>
    <x v="3"/>
    <x v="3"/>
    <n v="60312267"/>
    <n v="1159600"/>
    <n v="3957071"/>
    <n v="55195596"/>
    <n v="40000000"/>
    <n v="1.3798899"/>
    <x v="1"/>
    <n v="24"/>
    <s v="IPS Pto De Vista Unicentro"/>
    <s v="Antioquia"/>
    <s v="Siempre Cumple"/>
    <m/>
    <m/>
    <m/>
    <m/>
    <m/>
    <m/>
    <n v="60312267"/>
    <m/>
  </r>
  <r>
    <n v="1"/>
    <x v="0"/>
    <x v="0"/>
    <s v="Enero"/>
    <s v="ANGEGAAR"/>
    <x v="4"/>
    <x v="4"/>
    <n v="51262661"/>
    <n v="598200"/>
    <n v="3686234"/>
    <n v="46978227"/>
    <n v="40000000"/>
    <n v="1.1744556749999999"/>
    <x v="1"/>
    <n v="24"/>
    <s v="IPS Pto De Vista San Diego"/>
    <s v="Antioquia"/>
    <s v="Fluctúa"/>
    <m/>
    <m/>
    <m/>
    <m/>
    <m/>
    <m/>
    <n v="51262661"/>
    <m/>
  </r>
  <r>
    <n v="1"/>
    <x v="0"/>
    <x v="0"/>
    <s v="Enero"/>
    <s v="ANLLLIZO"/>
    <x v="5"/>
    <x v="5"/>
    <n v="6977349"/>
    <n v="0"/>
    <n v="344107"/>
    <n v="6633242"/>
    <n v="26416666.666666664"/>
    <n v="0.25110064353312306"/>
    <x v="0"/>
    <n v="24"/>
    <s v=""/>
    <s v=""/>
    <s v="No Aplica"/>
    <m/>
    <m/>
    <m/>
    <m/>
    <m/>
    <m/>
    <n v="6977349"/>
    <m/>
  </r>
  <r>
    <n v="1"/>
    <x v="0"/>
    <x v="0"/>
    <s v="Enero"/>
    <s v="BIBIBECA"/>
    <x v="6"/>
    <x v="6"/>
    <n v="43366839"/>
    <n v="1597500"/>
    <n v="4547202"/>
    <n v="37222137"/>
    <n v="40000000"/>
    <n v="0.93055342500000005"/>
    <x v="1"/>
    <n v="24"/>
    <s v="IPS Pto De Vista Centro"/>
    <s v="Antioquia"/>
    <s v="Fluctúa"/>
    <m/>
    <m/>
    <m/>
    <m/>
    <m/>
    <m/>
    <n v="43366839"/>
    <m/>
  </r>
  <r>
    <n v="1"/>
    <x v="0"/>
    <x v="0"/>
    <s v="Enero"/>
    <s v="CAROGOCE"/>
    <x v="7"/>
    <x v="7"/>
    <n v="1130738"/>
    <n v="77000"/>
    <n v="0"/>
    <n v="1053738"/>
    <m/>
    <m/>
    <x v="0"/>
    <n v="24"/>
    <s v=""/>
    <s v=""/>
    <s v="No Aplica"/>
    <m/>
    <m/>
    <m/>
    <m/>
    <m/>
    <m/>
    <n v="1130738"/>
    <m/>
  </r>
  <r>
    <n v="1"/>
    <x v="0"/>
    <x v="0"/>
    <s v="Enero"/>
    <s v="CAROVABE"/>
    <x v="8"/>
    <x v="7"/>
    <n v="1815199"/>
    <n v="0"/>
    <n v="356672"/>
    <n v="1458527"/>
    <m/>
    <m/>
    <x v="0"/>
    <n v="24"/>
    <s v=""/>
    <s v=""/>
    <s v="No Aplica"/>
    <m/>
    <m/>
    <m/>
    <m/>
    <m/>
    <m/>
    <n v="1815199"/>
    <m/>
  </r>
  <r>
    <n v="1"/>
    <x v="0"/>
    <x v="0"/>
    <s v="Enero"/>
    <s v="CLAUBLAR"/>
    <x v="9"/>
    <x v="8"/>
    <n v="45603665"/>
    <n v="1458300"/>
    <n v="4118567"/>
    <n v="40026798"/>
    <n v="40000000"/>
    <n v="1.00066995"/>
    <x v="1"/>
    <n v="24"/>
    <s v="IPS Pto De Vista Centro"/>
    <s v="Antioquia"/>
    <s v="Fluctúa"/>
    <m/>
    <m/>
    <m/>
    <m/>
    <m/>
    <m/>
    <n v="45603665"/>
    <m/>
  </r>
  <r>
    <n v="1"/>
    <x v="0"/>
    <x v="0"/>
    <s v="Enero"/>
    <s v="CLAUPACO"/>
    <x v="10"/>
    <x v="9"/>
    <n v="15931655"/>
    <n v="1794200"/>
    <n v="1455675"/>
    <n v="12681780"/>
    <n v="26000000"/>
    <n v="0.48776076923076922"/>
    <x v="0"/>
    <n v="24"/>
    <s v=""/>
    <s v=""/>
    <s v="No Aplica"/>
    <m/>
    <m/>
    <m/>
    <m/>
    <m/>
    <m/>
    <n v="15931655"/>
    <m/>
  </r>
  <r>
    <n v="1"/>
    <x v="0"/>
    <x v="0"/>
    <s v="Enero"/>
    <s v="DERLARMO"/>
    <x v="11"/>
    <x v="10"/>
    <n v="2354991"/>
    <n v="0"/>
    <n v="444814"/>
    <n v="1910177"/>
    <n v="5416666.666666666"/>
    <n v="0.35264806153846157"/>
    <x v="1"/>
    <n v="24"/>
    <s v="IPS Pto De Vista Olaya"/>
    <s v="Centro"/>
    <s v="Cumple"/>
    <m/>
    <m/>
    <m/>
    <m/>
    <m/>
    <m/>
    <n v="2354991"/>
    <m/>
  </r>
  <r>
    <n v="1"/>
    <x v="0"/>
    <x v="0"/>
    <s v="Enero"/>
    <s v="DIANPAAL"/>
    <x v="12"/>
    <x v="11"/>
    <n v="31122283"/>
    <n v="1736500"/>
    <n v="1758341"/>
    <n v="27627442"/>
    <n v="30000000"/>
    <n v="0.92091473333333329"/>
    <x v="1"/>
    <n v="24"/>
    <s v="IPS Pto De Vista Rionegro"/>
    <s v="Antioquia"/>
    <s v="Cumple"/>
    <m/>
    <m/>
    <m/>
    <m/>
    <m/>
    <m/>
    <n v="31122283"/>
    <m/>
  </r>
  <r>
    <n v="1"/>
    <x v="0"/>
    <x v="0"/>
    <s v="Enero"/>
    <s v="DIANPOPA"/>
    <x v="13"/>
    <x v="7"/>
    <n v="268570"/>
    <n v="0"/>
    <n v="0"/>
    <n v="268570"/>
    <m/>
    <m/>
    <x v="0"/>
    <n v="24"/>
    <s v=""/>
    <s v=""/>
    <s v="No Aplica"/>
    <m/>
    <m/>
    <m/>
    <m/>
    <m/>
    <m/>
    <n v="268570"/>
    <m/>
  </r>
  <r>
    <n v="1"/>
    <x v="0"/>
    <x v="0"/>
    <s v="Enero"/>
    <s v="DIANQUME"/>
    <x v="14"/>
    <x v="12"/>
    <n v="45923828"/>
    <n v="3935000"/>
    <n v="2718450"/>
    <n v="39270378"/>
    <n v="36000000"/>
    <n v="1.0908438333333332"/>
    <x v="1"/>
    <n v="24"/>
    <s v="IPS Pto De Vista Molinos"/>
    <s v="Antioquia"/>
    <s v="Cumple"/>
    <m/>
    <m/>
    <m/>
    <m/>
    <m/>
    <m/>
    <n v="45923828"/>
    <m/>
  </r>
  <r>
    <n v="1"/>
    <x v="0"/>
    <x v="0"/>
    <s v="Enero"/>
    <s v="ELIZVESU"/>
    <x v="15"/>
    <x v="13"/>
    <n v="30944117"/>
    <n v="1578840"/>
    <n v="2501408"/>
    <n v="26863869"/>
    <n v="22500000"/>
    <n v="1.1939497333333333"/>
    <x v="1"/>
    <n v="24"/>
    <s v="IPS Pto De Vista Unicentro"/>
    <s v="Antioquia"/>
    <s v="Fluctúa"/>
    <m/>
    <m/>
    <m/>
    <m/>
    <m/>
    <m/>
    <n v="30944117"/>
    <m/>
  </r>
  <r>
    <n v="1"/>
    <x v="0"/>
    <x v="0"/>
    <s v="Enero"/>
    <s v="GENNHEPO"/>
    <x v="16"/>
    <x v="14"/>
    <n v="28759819"/>
    <n v="929900"/>
    <n v="2581449"/>
    <n v="25248470"/>
    <n v="32000000"/>
    <n v="0.78901468750000003"/>
    <x v="1"/>
    <n v="24"/>
    <s v="IPS Pto De Vista Punto Clave"/>
    <s v="Antioquia"/>
    <s v="Fluctúa"/>
    <m/>
    <m/>
    <m/>
    <m/>
    <m/>
    <m/>
    <n v="28759819"/>
    <m/>
  </r>
  <r>
    <n v="1"/>
    <x v="0"/>
    <x v="0"/>
    <s v="Enero"/>
    <s v="ISABMOGO"/>
    <x v="17"/>
    <x v="15"/>
    <n v="28436549"/>
    <n v="768000"/>
    <n v="1931858"/>
    <n v="25736691"/>
    <n v="26000000"/>
    <n v="0.98987273076923077"/>
    <x v="1"/>
    <n v="24"/>
    <s v="IPS Pto De Vista Santa Bárbara"/>
    <s v="Centro"/>
    <s v="No Cumple"/>
    <m/>
    <m/>
    <m/>
    <m/>
    <m/>
    <m/>
    <n v="28436549"/>
    <m/>
  </r>
  <r>
    <n v="1"/>
    <x v="0"/>
    <x v="0"/>
    <s v="Enero"/>
    <s v="JAQUVEGU"/>
    <x v="18"/>
    <x v="16"/>
    <n v="28396875"/>
    <n v="2276400"/>
    <n v="1705092"/>
    <n v="24415383"/>
    <n v="30000000"/>
    <n v="0.81384610000000002"/>
    <x v="0"/>
    <n v="24"/>
    <s v="IPS Pto De Vista Rionegro"/>
    <s v="Antioquia"/>
    <s v="No Aplica"/>
    <m/>
    <m/>
    <m/>
    <m/>
    <m/>
    <m/>
    <n v="28396875"/>
    <m/>
  </r>
  <r>
    <n v="1"/>
    <x v="0"/>
    <x v="0"/>
    <s v="Enero"/>
    <s v="LILACARA"/>
    <x v="19"/>
    <x v="17"/>
    <n v="56956363"/>
    <n v="2185700"/>
    <n v="4549820"/>
    <n v="50220843"/>
    <n v="36000000"/>
    <n v="1.3950234166666666"/>
    <x v="1"/>
    <n v="24"/>
    <s v="IPS Pto De Vista Molinos"/>
    <s v="Antioquia"/>
    <s v="Cumple"/>
    <m/>
    <m/>
    <m/>
    <m/>
    <m/>
    <m/>
    <n v="56956363"/>
    <m/>
  </r>
  <r>
    <n v="1"/>
    <x v="0"/>
    <x v="0"/>
    <s v="Enero"/>
    <s v="LUZMARMO"/>
    <x v="20"/>
    <x v="18"/>
    <n v="40283212"/>
    <n v="1134100"/>
    <n v="3278175"/>
    <n v="35870937"/>
    <n v="38500000"/>
    <n v="0.93171264935064935"/>
    <x v="0"/>
    <n v="24"/>
    <s v=""/>
    <s v=""/>
    <s v="No Aplica"/>
    <m/>
    <m/>
    <m/>
    <m/>
    <m/>
    <m/>
    <n v="40283212"/>
    <m/>
  </r>
  <r>
    <n v="1"/>
    <x v="0"/>
    <x v="0"/>
    <s v="Enero"/>
    <s v="LUZNHEGO"/>
    <x v="21"/>
    <x v="19"/>
    <n v="27561873"/>
    <n v="824850"/>
    <n v="0"/>
    <n v="26737023"/>
    <n v="21000000"/>
    <n v="1.2731915714285715"/>
    <x v="1"/>
    <n v="24"/>
    <s v="IPS Punto de Vista Mayorca"/>
    <s v="Antioquia"/>
    <s v="Siempre Cumple"/>
    <m/>
    <m/>
    <m/>
    <m/>
    <m/>
    <m/>
    <n v="27561873"/>
    <m/>
  </r>
  <r>
    <n v="1"/>
    <x v="0"/>
    <x v="0"/>
    <s v="Enero"/>
    <s v="MARGGAPA"/>
    <x v="22"/>
    <x v="20"/>
    <n v="48137539"/>
    <n v="3639730"/>
    <n v="3691481"/>
    <n v="40806328"/>
    <n v="40000000"/>
    <n v="1.0201582"/>
    <x v="1"/>
    <n v="24"/>
    <s v="IPS Pto De Vista Centro"/>
    <s v="Antioquia"/>
    <s v="Fluctúa"/>
    <m/>
    <m/>
    <m/>
    <m/>
    <m/>
    <m/>
    <n v="48137539"/>
    <m/>
  </r>
  <r>
    <n v="1"/>
    <x v="0"/>
    <x v="0"/>
    <s v="Enero"/>
    <s v="MARIMASA"/>
    <x v="23"/>
    <x v="7"/>
    <n v="1819636"/>
    <n v="0"/>
    <n v="0"/>
    <n v="1819636"/>
    <m/>
    <m/>
    <x v="1"/>
    <n v="24"/>
    <s v="IPS Pto De Vista San Diego"/>
    <s v="Antioquia"/>
    <s v="Siempre Cumple"/>
    <m/>
    <m/>
    <m/>
    <m/>
    <m/>
    <m/>
    <n v="1819636"/>
    <m/>
  </r>
  <r>
    <n v="1"/>
    <x v="0"/>
    <x v="0"/>
    <s v="Enero"/>
    <s v="MARIOCOC"/>
    <x v="24"/>
    <x v="21"/>
    <n v="33755358"/>
    <n v="1533700"/>
    <n v="2368027"/>
    <n v="29853631"/>
    <n v="30000000"/>
    <n v="0.99512103333333335"/>
    <x v="1"/>
    <n v="24"/>
    <s v="IPS Pto De Vista Rionegro"/>
    <s v="Antioquia"/>
    <s v="Cumple"/>
    <m/>
    <m/>
    <m/>
    <m/>
    <m/>
    <m/>
    <n v="33755358"/>
    <m/>
  </r>
  <r>
    <n v="1"/>
    <x v="0"/>
    <x v="0"/>
    <s v="Enero"/>
    <s v="MARISEAR"/>
    <x v="25"/>
    <x v="22"/>
    <n v="1735878"/>
    <n v="329940"/>
    <n v="0"/>
    <n v="1405938"/>
    <n v="8666666.666666666"/>
    <n v="0.16222361538461538"/>
    <x v="0"/>
    <n v="24"/>
    <s v=""/>
    <s v=""/>
    <s v="No Aplica"/>
    <m/>
    <m/>
    <m/>
    <m/>
    <m/>
    <m/>
    <n v="1735878"/>
    <m/>
  </r>
  <r>
    <n v="1"/>
    <x v="0"/>
    <x v="0"/>
    <s v="Enero"/>
    <s v="MARISOCA"/>
    <x v="26"/>
    <x v="23"/>
    <n v="42677545"/>
    <n v="675200"/>
    <n v="3477391"/>
    <n v="38524954"/>
    <n v="40000000"/>
    <n v="0.96312385"/>
    <x v="0"/>
    <n v="24"/>
    <s v=""/>
    <s v=""/>
    <s v="No Aplica"/>
    <m/>
    <m/>
    <m/>
    <m/>
    <m/>
    <m/>
    <n v="42677545"/>
    <m/>
  </r>
  <r>
    <n v="1"/>
    <x v="0"/>
    <x v="0"/>
    <s v="Enero"/>
    <s v="MONIMEME"/>
    <x v="27"/>
    <x v="24"/>
    <n v="36390790"/>
    <n v="1169400"/>
    <n v="2735617"/>
    <n v="32485773"/>
    <n v="11666666.666666668"/>
    <n v="2.7844948285714284"/>
    <x v="0"/>
    <n v="24"/>
    <s v=""/>
    <s v=""/>
    <s v="No Aplica"/>
    <m/>
    <m/>
    <m/>
    <m/>
    <m/>
    <m/>
    <n v="36390790"/>
    <m/>
  </r>
  <r>
    <n v="1"/>
    <x v="0"/>
    <x v="0"/>
    <s v="Enero"/>
    <s v="NATAPIDU"/>
    <x v="28"/>
    <x v="25"/>
    <n v="36234860"/>
    <n v="350820"/>
    <n v="1137047"/>
    <n v="34746993"/>
    <n v="28500000"/>
    <n v="1.2191927368421052"/>
    <x v="1"/>
    <n v="24"/>
    <s v="IPS Pto De Vista Industriales"/>
    <s v="Antioquia"/>
    <s v="Cumple"/>
    <m/>
    <m/>
    <m/>
    <m/>
    <m/>
    <m/>
    <n v="36234860"/>
    <m/>
  </r>
  <r>
    <n v="1"/>
    <x v="0"/>
    <x v="0"/>
    <s v="Enero"/>
    <s v="OSCADESU"/>
    <x v="29"/>
    <x v="26"/>
    <n v="33059588"/>
    <n v="3155560"/>
    <n v="3186981"/>
    <n v="26717047"/>
    <n v="26000000"/>
    <n v="1.0275787307692308"/>
    <x v="0"/>
    <n v="24"/>
    <s v=""/>
    <s v=""/>
    <s v="No Aplica"/>
    <m/>
    <m/>
    <m/>
    <m/>
    <m/>
    <m/>
    <n v="33059588"/>
    <m/>
  </r>
  <r>
    <n v="1"/>
    <x v="0"/>
    <x v="0"/>
    <s v="Enero"/>
    <s v="RAULMOGA"/>
    <x v="30"/>
    <x v="27"/>
    <n v="12377840"/>
    <n v="366600"/>
    <n v="1171192"/>
    <n v="10840048"/>
    <n v="21000000"/>
    <n v="0.51619276190476193"/>
    <x v="0"/>
    <n v="24"/>
    <s v="IPS Pto De Vista Olaya"/>
    <s v="Centro"/>
    <s v="No Aplica"/>
    <m/>
    <m/>
    <m/>
    <m/>
    <m/>
    <m/>
    <n v="12377840"/>
    <m/>
  </r>
  <r>
    <n v="1"/>
    <x v="0"/>
    <x v="0"/>
    <s v="Enero"/>
    <s v="ROCIFASA"/>
    <x v="31"/>
    <x v="28"/>
    <n v="19542392"/>
    <n v="473220"/>
    <n v="0"/>
    <n v="19069172"/>
    <n v="21000000"/>
    <n v="0.90805580952380949"/>
    <x v="1"/>
    <n v="24"/>
    <s v="Optica Salud Sura Chipichape"/>
    <s v="Occidente"/>
    <s v="Cumple"/>
    <m/>
    <m/>
    <m/>
    <m/>
    <m/>
    <m/>
    <n v="19542392"/>
    <m/>
  </r>
  <r>
    <n v="1"/>
    <x v="0"/>
    <x v="0"/>
    <s v="Enero"/>
    <s v="ROSAVEGI"/>
    <x v="32"/>
    <x v="29"/>
    <n v="13510580"/>
    <n v="192000"/>
    <n v="488772"/>
    <n v="12829808"/>
    <n v="21000000"/>
    <n v="0.61094323809523809"/>
    <x v="0"/>
    <n v="24"/>
    <s v=""/>
    <s v=""/>
    <s v="No Aplica"/>
    <m/>
    <m/>
    <m/>
    <m/>
    <m/>
    <m/>
    <n v="13510580"/>
    <m/>
  </r>
  <r>
    <n v="1"/>
    <x v="0"/>
    <x v="0"/>
    <s v="Enero"/>
    <s v="VIVIVAZA"/>
    <x v="33"/>
    <x v="30"/>
    <n v="60428270"/>
    <n v="1388700"/>
    <n v="4526308"/>
    <n v="54513262"/>
    <n v="40000000"/>
    <n v="1.3628315499999999"/>
    <x v="1"/>
    <n v="24"/>
    <s v="IPS Pto De Vista Unicentro"/>
    <s v="Antioquia"/>
    <s v="Cumple"/>
    <m/>
    <m/>
    <m/>
    <m/>
    <m/>
    <m/>
    <n v="60428270"/>
    <m/>
  </r>
  <r>
    <n v="1"/>
    <x v="0"/>
    <x v="0"/>
    <s v="Enero"/>
    <s v="ZULYARGA"/>
    <x v="34"/>
    <x v="31"/>
    <n v="55846407"/>
    <n v="2438750"/>
    <n v="3687060"/>
    <n v="49720597"/>
    <n v="40000000"/>
    <n v="1.243014925"/>
    <x v="1"/>
    <n v="24"/>
    <s v="IPS Pto De Vista Molinos"/>
    <s v="Antioquia"/>
    <n v="0"/>
    <m/>
    <m/>
    <m/>
    <m/>
    <m/>
    <m/>
    <n v="55846407"/>
    <m/>
  </r>
  <r>
    <n v="2"/>
    <x v="1"/>
    <x v="0"/>
    <s v="Febrero"/>
    <s v="ADRIESAN"/>
    <x v="0"/>
    <x v="0"/>
    <n v="41352730"/>
    <n v="1612600"/>
    <n v="1698294"/>
    <n v="38041836"/>
    <n v="32800000"/>
    <n v="1.1598120731707318"/>
    <x v="0"/>
    <n v="25"/>
    <s v=""/>
    <s v=""/>
    <s v="No Aplica"/>
    <m/>
    <m/>
    <m/>
    <m/>
    <m/>
    <m/>
    <n v="41352730"/>
    <m/>
  </r>
  <r>
    <n v="2"/>
    <x v="1"/>
    <x v="0"/>
    <s v="Febrero"/>
    <s v="ADRIMOLU"/>
    <x v="1"/>
    <x v="1"/>
    <n v="27179896"/>
    <n v="829200"/>
    <n v="1329705"/>
    <n v="25020991"/>
    <n v="24960000"/>
    <n v="1.0024435496794872"/>
    <x v="1"/>
    <n v="25"/>
    <s v="IPS Pto De Vista Molinos"/>
    <s v="Antioquia"/>
    <s v="Cumple"/>
    <m/>
    <m/>
    <m/>
    <m/>
    <m/>
    <m/>
    <n v="27179896"/>
    <m/>
  </r>
  <r>
    <n v="2"/>
    <x v="1"/>
    <x v="0"/>
    <s v="Febrero"/>
    <s v="ALEXLOGR"/>
    <x v="2"/>
    <x v="2"/>
    <n v="39803918"/>
    <n v="2979740"/>
    <n v="2610309"/>
    <n v="34213869"/>
    <n v="32000000"/>
    <n v="1.0691834062500001"/>
    <x v="1"/>
    <n v="25"/>
    <s v="IPS Punto de Vista Bello"/>
    <s v="Antioquia"/>
    <s v="Fluctúa"/>
    <m/>
    <m/>
    <m/>
    <m/>
    <m/>
    <m/>
    <n v="39803918"/>
    <m/>
  </r>
  <r>
    <n v="2"/>
    <x v="1"/>
    <x v="0"/>
    <s v="Febrero"/>
    <s v="ANAMLOBE"/>
    <x v="3"/>
    <x v="3"/>
    <n v="67741163"/>
    <n v="1246000"/>
    <n v="3690933"/>
    <n v="62804230"/>
    <n v="40000000"/>
    <n v="1.57010575"/>
    <x v="1"/>
    <n v="25"/>
    <s v="IPS Pto De Vista Unicentro"/>
    <s v="Antioquia"/>
    <s v="Siempre Cumple"/>
    <m/>
    <m/>
    <m/>
    <m/>
    <m/>
    <m/>
    <n v="67741163"/>
    <m/>
  </r>
  <r>
    <n v="2"/>
    <x v="1"/>
    <x v="0"/>
    <s v="Febrero"/>
    <s v="ANGEGAAR"/>
    <x v="4"/>
    <x v="4"/>
    <n v="50259026"/>
    <n v="2652710"/>
    <n v="2830305"/>
    <n v="44776011"/>
    <n v="40000000"/>
    <n v="1.1194002750000001"/>
    <x v="1"/>
    <n v="25"/>
    <s v="IPS Pto De Vista San Diego"/>
    <s v="Antioquia"/>
    <s v="Fluctúa"/>
    <m/>
    <m/>
    <m/>
    <m/>
    <m/>
    <m/>
    <n v="50259026"/>
    <m/>
  </r>
  <r>
    <n v="2"/>
    <x v="1"/>
    <x v="0"/>
    <s v="Febrero"/>
    <s v="ANLLLIZO"/>
    <x v="5"/>
    <x v="5"/>
    <n v="30381799"/>
    <n v="222030"/>
    <n v="0"/>
    <n v="30159769"/>
    <n v="30400000"/>
    <n v="0.99209766447368419"/>
    <x v="0"/>
    <n v="25"/>
    <s v=""/>
    <s v=""/>
    <s v="No Aplica"/>
    <m/>
    <m/>
    <m/>
    <m/>
    <m/>
    <m/>
    <n v="30381799"/>
    <m/>
  </r>
  <r>
    <n v="2"/>
    <x v="1"/>
    <x v="0"/>
    <s v="Febrero"/>
    <s v="BIBIBECA"/>
    <x v="6"/>
    <x v="6"/>
    <n v="43647916"/>
    <n v="337600"/>
    <n v="2443455"/>
    <n v="40866861"/>
    <n v="40000000"/>
    <n v="1.0216715249999999"/>
    <x v="1"/>
    <n v="25"/>
    <s v="IPS Pto De Vista Centro"/>
    <s v="Antioquia"/>
    <s v="Fluctúa"/>
    <m/>
    <m/>
    <m/>
    <m/>
    <m/>
    <m/>
    <n v="43647916"/>
    <m/>
  </r>
  <r>
    <n v="2"/>
    <x v="1"/>
    <x v="0"/>
    <s v="Febrero"/>
    <s v="CAROGOCE"/>
    <x v="7"/>
    <x v="7"/>
    <n v="1476525"/>
    <n v="0"/>
    <n v="0"/>
    <n v="1476525"/>
    <m/>
    <m/>
    <x v="0"/>
    <n v="25"/>
    <s v=""/>
    <s v=""/>
    <s v="No Aplica"/>
    <m/>
    <m/>
    <m/>
    <m/>
    <m/>
    <m/>
    <n v="1476525"/>
    <m/>
  </r>
  <r>
    <n v="2"/>
    <x v="1"/>
    <x v="0"/>
    <s v="Febrero"/>
    <s v="CAROVABE"/>
    <x v="8"/>
    <x v="32"/>
    <n v="39908241"/>
    <n v="821040"/>
    <n v="3608708"/>
    <n v="35478493"/>
    <n v="32000000"/>
    <n v="1.10870290625"/>
    <x v="0"/>
    <n v="25"/>
    <s v=""/>
    <s v=""/>
    <s v="No Aplica"/>
    <m/>
    <m/>
    <m/>
    <m/>
    <m/>
    <m/>
    <n v="39908241"/>
    <m/>
  </r>
  <r>
    <n v="2"/>
    <x v="1"/>
    <x v="0"/>
    <s v="Febrero"/>
    <s v="CLAUBLAR"/>
    <x v="9"/>
    <x v="8"/>
    <n v="47859109"/>
    <n v="2682100"/>
    <n v="3147942"/>
    <n v="42029067"/>
    <n v="40000000"/>
    <n v="1.0507266749999999"/>
    <x v="1"/>
    <n v="25"/>
    <s v="IPS Pto De Vista Centro"/>
    <s v="Antioquia"/>
    <s v="Fluctúa"/>
    <m/>
    <m/>
    <m/>
    <m/>
    <m/>
    <m/>
    <n v="47859109"/>
    <m/>
  </r>
  <r>
    <n v="2"/>
    <x v="1"/>
    <x v="0"/>
    <s v="Febrero"/>
    <s v="CLAUPACO"/>
    <x v="10"/>
    <x v="9"/>
    <n v="31926979"/>
    <n v="1684200"/>
    <n v="1476449"/>
    <n v="28766330"/>
    <n v="26000000"/>
    <n v="1.1063973076923077"/>
    <x v="0"/>
    <n v="25"/>
    <s v=""/>
    <s v=""/>
    <s v="No Aplica"/>
    <m/>
    <m/>
    <m/>
    <m/>
    <m/>
    <m/>
    <n v="31926979"/>
    <m/>
  </r>
  <r>
    <n v="2"/>
    <x v="1"/>
    <x v="0"/>
    <s v="Febrero"/>
    <s v="DERLARMO"/>
    <x v="11"/>
    <x v="10"/>
    <n v="15483856"/>
    <n v="669800"/>
    <n v="688436"/>
    <n v="14125620"/>
    <n v="21000000"/>
    <n v="0.67264857142857137"/>
    <x v="1"/>
    <n v="25"/>
    <s v="IPS Pto De Vista Olaya"/>
    <s v="Centro"/>
    <s v="Cumple"/>
    <m/>
    <m/>
    <m/>
    <m/>
    <m/>
    <m/>
    <n v="15483856"/>
    <m/>
  </r>
  <r>
    <n v="2"/>
    <x v="1"/>
    <x v="0"/>
    <s v="Febrero"/>
    <s v="DIANPAAL"/>
    <x v="12"/>
    <x v="11"/>
    <n v="42399343"/>
    <n v="2415400"/>
    <n v="2519268"/>
    <n v="37464675"/>
    <n v="30000000"/>
    <n v="1.2488224999999999"/>
    <x v="1"/>
    <n v="25"/>
    <s v="IPS Pto De Vista Rionegro"/>
    <s v="Antioquia"/>
    <s v="Cumple"/>
    <m/>
    <m/>
    <m/>
    <m/>
    <m/>
    <m/>
    <n v="42399343"/>
    <m/>
  </r>
  <r>
    <n v="2"/>
    <x v="1"/>
    <x v="0"/>
    <s v="Febrero"/>
    <s v="DIANPOPA"/>
    <x v="13"/>
    <x v="33"/>
    <n v="29248608"/>
    <n v="409770"/>
    <n v="0"/>
    <n v="28838838"/>
    <n v="30100000"/>
    <n v="0.95810093023255816"/>
    <x v="0"/>
    <n v="25"/>
    <s v=""/>
    <s v=""/>
    <s v="No Aplica"/>
    <m/>
    <m/>
    <m/>
    <m/>
    <m/>
    <m/>
    <n v="29248608"/>
    <m/>
  </r>
  <r>
    <n v="2"/>
    <x v="1"/>
    <x v="0"/>
    <s v="Febrero"/>
    <s v="DIANQUME"/>
    <x v="14"/>
    <x v="12"/>
    <n v="46133231"/>
    <n v="3046600"/>
    <n v="2757486"/>
    <n v="40329145"/>
    <n v="36000000"/>
    <n v="1.1202540277777777"/>
    <x v="1"/>
    <n v="25"/>
    <s v="IPS Pto De Vista Molinos"/>
    <s v="Antioquia"/>
    <s v="Cumple"/>
    <m/>
    <m/>
    <m/>
    <m/>
    <m/>
    <m/>
    <n v="46133231"/>
    <m/>
  </r>
  <r>
    <n v="2"/>
    <x v="1"/>
    <x v="0"/>
    <s v="Febrero"/>
    <s v="ELIZVESU"/>
    <x v="15"/>
    <x v="13"/>
    <n v="53215956"/>
    <n v="4569240"/>
    <n v="3334261"/>
    <n v="45312455"/>
    <n v="36000000"/>
    <n v="1.2586793055555556"/>
    <x v="1"/>
    <n v="25"/>
    <s v="IPS Pto De Vista Unicentro"/>
    <s v="Antioquia"/>
    <s v="Fluctúa"/>
    <m/>
    <m/>
    <m/>
    <m/>
    <m/>
    <m/>
    <n v="53215956"/>
    <m/>
  </r>
  <r>
    <n v="2"/>
    <x v="1"/>
    <x v="0"/>
    <s v="Febrero"/>
    <s v="GENNHEPO"/>
    <x v="16"/>
    <x v="14"/>
    <n v="42595601"/>
    <n v="1298200"/>
    <n v="2789090"/>
    <n v="38508311"/>
    <n v="36000000"/>
    <n v="1.0696753055555555"/>
    <x v="1"/>
    <n v="25"/>
    <s v="IPS Pto De Vista Punto Clave"/>
    <s v="Antioquia"/>
    <s v="Fluctúa"/>
    <m/>
    <m/>
    <m/>
    <m/>
    <m/>
    <m/>
    <n v="42595601"/>
    <m/>
  </r>
  <r>
    <n v="2"/>
    <x v="1"/>
    <x v="0"/>
    <s v="Febrero"/>
    <s v="ISABMOGO"/>
    <x v="17"/>
    <x v="15"/>
    <n v="15360111"/>
    <n v="762200"/>
    <n v="1122509"/>
    <n v="13475402"/>
    <n v="26000000"/>
    <n v="0.51828469230769236"/>
    <x v="1"/>
    <n v="25"/>
    <s v="IPS Pto De Vista Santa Bárbara"/>
    <s v="Centro"/>
    <s v="No Cumple"/>
    <m/>
    <m/>
    <m/>
    <m/>
    <m/>
    <m/>
    <n v="15360111"/>
    <m/>
  </r>
  <r>
    <n v="2"/>
    <x v="1"/>
    <x v="0"/>
    <s v="Febrero"/>
    <s v="JAQUVEGU"/>
    <x v="18"/>
    <x v="16"/>
    <n v="38708424"/>
    <n v="2470000"/>
    <n v="2244919"/>
    <n v="33993505"/>
    <n v="30000000"/>
    <n v="1.1331168333333332"/>
    <x v="0"/>
    <n v="25"/>
    <s v="IPS Pto De Vista Rionegro"/>
    <s v="Antioquia"/>
    <s v="No Aplica"/>
    <m/>
    <m/>
    <m/>
    <m/>
    <m/>
    <m/>
    <n v="38708424"/>
    <m/>
  </r>
  <r>
    <n v="2"/>
    <x v="1"/>
    <x v="0"/>
    <s v="Febrero"/>
    <s v="LILACARA"/>
    <x v="19"/>
    <x v="17"/>
    <n v="51983115"/>
    <n v="2539450"/>
    <n v="4138584"/>
    <n v="45305081"/>
    <n v="36000000"/>
    <n v="1.2584744722222223"/>
    <x v="1"/>
    <n v="25"/>
    <s v="IPS Pto De Vista Molinos"/>
    <s v="Antioquia"/>
    <s v="Cumple"/>
    <m/>
    <m/>
    <m/>
    <m/>
    <m/>
    <m/>
    <n v="51983115"/>
    <m/>
  </r>
  <r>
    <n v="2"/>
    <x v="1"/>
    <x v="0"/>
    <s v="Febrero"/>
    <s v="LUZMARMO"/>
    <x v="20"/>
    <x v="18"/>
    <n v="45143428"/>
    <n v="2007930"/>
    <n v="2707411"/>
    <n v="40428087"/>
    <n v="40000000"/>
    <n v="1.010702175"/>
    <x v="0"/>
    <n v="25"/>
    <s v=""/>
    <s v=""/>
    <s v="No Aplica"/>
    <m/>
    <m/>
    <m/>
    <m/>
    <m/>
    <m/>
    <n v="45143428"/>
    <m/>
  </r>
  <r>
    <n v="2"/>
    <x v="1"/>
    <x v="0"/>
    <s v="Febrero"/>
    <s v="LUZNHEGO"/>
    <x v="21"/>
    <x v="19"/>
    <n v="25566331"/>
    <n v="0"/>
    <n v="0"/>
    <n v="25566331"/>
    <n v="21000000"/>
    <n v="1.2174443333333334"/>
    <x v="1"/>
    <n v="25"/>
    <s v="IPS Punto de Vista Mayorca"/>
    <s v="Antioquia"/>
    <s v="Siempre Cumple"/>
    <m/>
    <m/>
    <m/>
    <m/>
    <m/>
    <m/>
    <n v="25566331"/>
    <m/>
  </r>
  <r>
    <n v="2"/>
    <x v="1"/>
    <x v="0"/>
    <s v="Febrero"/>
    <s v="MARGGAPA"/>
    <x v="22"/>
    <x v="20"/>
    <n v="48338355"/>
    <n v="468700"/>
    <n v="4322599"/>
    <n v="43547056"/>
    <n v="40000000"/>
    <n v="1.0886764"/>
    <x v="1"/>
    <n v="25"/>
    <s v="IPS Pto De Vista Centro"/>
    <s v="Antioquia"/>
    <s v="Fluctúa"/>
    <m/>
    <m/>
    <m/>
    <m/>
    <m/>
    <m/>
    <n v="48338355"/>
    <m/>
  </r>
  <r>
    <n v="2"/>
    <x v="1"/>
    <x v="0"/>
    <s v="Febrero"/>
    <s v="MARIMASA"/>
    <x v="23"/>
    <x v="34"/>
    <n v="55550"/>
    <n v="0"/>
    <n v="0"/>
    <n v="55550"/>
    <n v="40000000"/>
    <n v="1.38875E-3"/>
    <x v="1"/>
    <n v="25"/>
    <s v="IPS Pto De Vista San Diego"/>
    <s v="Antioquia"/>
    <s v="Siempre Cumple"/>
    <m/>
    <m/>
    <m/>
    <m/>
    <m/>
    <m/>
    <n v="55550"/>
    <m/>
  </r>
  <r>
    <n v="2"/>
    <x v="1"/>
    <x v="0"/>
    <s v="Febrero"/>
    <s v="MARIOCOC"/>
    <x v="24"/>
    <x v="21"/>
    <n v="15673663"/>
    <n v="285400"/>
    <n v="1514830"/>
    <n v="13873433"/>
    <n v="8400000"/>
    <n v="1.6515991666666667"/>
    <x v="1"/>
    <n v="25"/>
    <s v="IPS Pto De Vista Rionegro"/>
    <s v="Antioquia"/>
    <s v="Cumple"/>
    <m/>
    <m/>
    <m/>
    <m/>
    <m/>
    <m/>
    <n v="15673663"/>
    <m/>
  </r>
  <r>
    <n v="2"/>
    <x v="1"/>
    <x v="0"/>
    <s v="Febrero"/>
    <s v="MARISEAR"/>
    <x v="25"/>
    <x v="22"/>
    <n v="11628511"/>
    <n v="389800"/>
    <n v="0"/>
    <n v="11238711"/>
    <n v="40100000"/>
    <n v="0.28026710723192022"/>
    <x v="0"/>
    <n v="25"/>
    <s v=""/>
    <s v=""/>
    <s v="No Aplica"/>
    <m/>
    <m/>
    <m/>
    <m/>
    <m/>
    <m/>
    <n v="11628511"/>
    <m/>
  </r>
  <r>
    <n v="2"/>
    <x v="1"/>
    <x v="0"/>
    <s v="Febrero"/>
    <s v="MARISOCA"/>
    <x v="26"/>
    <x v="23"/>
    <n v="31061715"/>
    <n v="1041800"/>
    <n v="1923536"/>
    <n v="28096379"/>
    <n v="40000000"/>
    <n v="0.70240947499999995"/>
    <x v="0"/>
    <n v="25"/>
    <s v=""/>
    <s v=""/>
    <s v="No Aplica"/>
    <m/>
    <m/>
    <m/>
    <m/>
    <m/>
    <m/>
    <n v="31061715"/>
    <m/>
  </r>
  <r>
    <n v="2"/>
    <x v="1"/>
    <x v="0"/>
    <s v="Febrero"/>
    <s v="MONIMEME"/>
    <x v="27"/>
    <x v="24"/>
    <n v="42720050"/>
    <n v="2857800"/>
    <n v="1785110"/>
    <n v="38077140"/>
    <n v="38400000"/>
    <n v="0.9915921875"/>
    <x v="0"/>
    <n v="25"/>
    <s v=""/>
    <s v=""/>
    <s v="No Aplica"/>
    <m/>
    <m/>
    <m/>
    <m/>
    <m/>
    <m/>
    <n v="42720050"/>
    <m/>
  </r>
  <r>
    <n v="2"/>
    <x v="1"/>
    <x v="0"/>
    <s v="Febrero"/>
    <s v="NATAPIDU"/>
    <x v="28"/>
    <x v="25"/>
    <n v="54909036"/>
    <n v="1183480"/>
    <n v="721656"/>
    <n v="53003900"/>
    <n v="36000000"/>
    <n v="1.4723305555555555"/>
    <x v="1"/>
    <n v="25"/>
    <s v="IPS Pto De Vista Industriales"/>
    <s v="Antioquia"/>
    <s v="Cumple"/>
    <m/>
    <m/>
    <m/>
    <m/>
    <m/>
    <m/>
    <n v="54909036"/>
    <m/>
  </r>
  <r>
    <n v="2"/>
    <x v="1"/>
    <x v="0"/>
    <s v="Febrero"/>
    <s v="OSCADESU"/>
    <x v="29"/>
    <x v="26"/>
    <n v="28520063"/>
    <n v="1520930"/>
    <n v="4235676"/>
    <n v="22763457"/>
    <n v="26000000"/>
    <n v="0.87551757692307697"/>
    <x v="0"/>
    <n v="25"/>
    <s v=""/>
    <s v=""/>
    <s v="No Aplica"/>
    <m/>
    <m/>
    <m/>
    <m/>
    <m/>
    <m/>
    <n v="28520063"/>
    <m/>
  </r>
  <r>
    <n v="2"/>
    <x v="1"/>
    <x v="0"/>
    <s v="Febrero"/>
    <s v="RAULMOGA"/>
    <x v="30"/>
    <x v="27"/>
    <n v="25056058"/>
    <n v="389800"/>
    <n v="1098916"/>
    <n v="23567342"/>
    <n v="21000000"/>
    <n v="1.1222543809523811"/>
    <x v="0"/>
    <n v="25"/>
    <s v="IPS Pto De Vista Olaya"/>
    <s v="Centro"/>
    <s v="No Aplica"/>
    <m/>
    <m/>
    <m/>
    <m/>
    <m/>
    <m/>
    <n v="25056058"/>
    <m/>
  </r>
  <r>
    <n v="2"/>
    <x v="1"/>
    <x v="0"/>
    <s v="Febrero"/>
    <s v="ROCIFASA"/>
    <x v="31"/>
    <x v="28"/>
    <n v="19810676"/>
    <n v="358200"/>
    <n v="0"/>
    <n v="19452476"/>
    <n v="17640000"/>
    <n v="1.1027480725623582"/>
    <x v="1"/>
    <n v="25"/>
    <s v="Optica Salud Sura Chipichape"/>
    <s v="Occidente"/>
    <s v="Cumple"/>
    <m/>
    <m/>
    <m/>
    <m/>
    <m/>
    <m/>
    <n v="19810676"/>
    <m/>
  </r>
  <r>
    <n v="2"/>
    <x v="1"/>
    <x v="0"/>
    <s v="Febrero"/>
    <s v="ROSAVEGI"/>
    <x v="32"/>
    <x v="29"/>
    <n v="16015157"/>
    <n v="1386200"/>
    <n v="828178"/>
    <n v="13800779"/>
    <n v="26000000"/>
    <n v="0.53079919230769235"/>
    <x v="0"/>
    <n v="25"/>
    <s v=""/>
    <s v=""/>
    <s v="No Aplica"/>
    <m/>
    <m/>
    <m/>
    <m/>
    <m/>
    <m/>
    <n v="16015157"/>
    <m/>
  </r>
  <r>
    <n v="2"/>
    <x v="1"/>
    <x v="0"/>
    <s v="Febrero"/>
    <s v="VIVIVAZA"/>
    <x v="33"/>
    <x v="30"/>
    <n v="60603293"/>
    <n v="989600"/>
    <n v="3785190"/>
    <n v="55828503"/>
    <n v="40000000"/>
    <n v="1.3957125749999999"/>
    <x v="1"/>
    <n v="25"/>
    <s v="IPS Pto De Vista Unicentro"/>
    <s v="Antioquia"/>
    <s v="Cumple"/>
    <m/>
    <m/>
    <m/>
    <m/>
    <m/>
    <m/>
    <n v="60603293"/>
    <m/>
  </r>
  <r>
    <n v="2"/>
    <x v="1"/>
    <x v="0"/>
    <s v="Febrero"/>
    <s v="ZULYARGA"/>
    <x v="34"/>
    <x v="31"/>
    <n v="45042771"/>
    <n v="3925400"/>
    <n v="3158549"/>
    <n v="37958822"/>
    <n v="28800000"/>
    <n v="1.3180146527777779"/>
    <x v="1"/>
    <n v="25"/>
    <s v="IPS Pto De Vista Molinos"/>
    <s v="Antioquia"/>
    <n v="0"/>
    <m/>
    <m/>
    <m/>
    <m/>
    <m/>
    <m/>
    <n v="45042771"/>
    <m/>
  </r>
  <r>
    <n v="3"/>
    <x v="2"/>
    <x v="0"/>
    <s v="Marzo"/>
    <s v="ADRIESAN"/>
    <x v="0"/>
    <x v="35"/>
    <n v="38604219"/>
    <n v="2299200"/>
    <n v="2149416"/>
    <n v="34155603"/>
    <n v="34960000"/>
    <n v="0.97699093249427915"/>
    <x v="0"/>
    <n v="25"/>
    <s v=""/>
    <s v=""/>
    <s v="No Aplica"/>
    <m/>
    <m/>
    <m/>
    <m/>
    <m/>
    <m/>
    <n v="38604219"/>
    <m/>
  </r>
  <r>
    <n v="3"/>
    <x v="2"/>
    <x v="0"/>
    <s v="Marzo"/>
    <s v="ADRIMOLU"/>
    <x v="1"/>
    <x v="1"/>
    <n v="27408362"/>
    <n v="352700"/>
    <n v="2908277"/>
    <n v="24147385"/>
    <n v="26000000"/>
    <n v="0.92874557692307691"/>
    <x v="1"/>
    <n v="25"/>
    <s v="IPS Pto De Vista Molinos"/>
    <s v="Antioquia"/>
    <s v="Cumple"/>
    <m/>
    <m/>
    <m/>
    <m/>
    <m/>
    <m/>
    <n v="27408362"/>
    <m/>
  </r>
  <r>
    <n v="3"/>
    <x v="2"/>
    <x v="0"/>
    <s v="Marzo"/>
    <s v="ALEXLOGR"/>
    <x v="2"/>
    <x v="2"/>
    <n v="36144833"/>
    <n v="1071200"/>
    <n v="2713839"/>
    <n v="32359794"/>
    <n v="33920000"/>
    <n v="0.95400336084905657"/>
    <x v="1"/>
    <n v="25"/>
    <s v="IPS Punto de Vista Bello"/>
    <s v="Antioquia"/>
    <s v="Fluctúa"/>
    <m/>
    <m/>
    <m/>
    <m/>
    <m/>
    <m/>
    <n v="36144833"/>
    <m/>
  </r>
  <r>
    <n v="3"/>
    <x v="2"/>
    <x v="0"/>
    <s v="Marzo"/>
    <s v="ANAMLOBE"/>
    <x v="3"/>
    <x v="3"/>
    <n v="54569045"/>
    <n v="285400"/>
    <n v="3458843"/>
    <n v="50824802"/>
    <n v="35087500"/>
    <n v="1.4485159102244389"/>
    <x v="1"/>
    <n v="25"/>
    <s v="IPS Pto De Vista Unicentro"/>
    <s v="Antioquia"/>
    <s v="Siempre Cumple"/>
    <m/>
    <m/>
    <m/>
    <m/>
    <m/>
    <m/>
    <n v="54569045"/>
    <m/>
  </r>
  <r>
    <n v="3"/>
    <x v="2"/>
    <x v="0"/>
    <s v="Marzo"/>
    <s v="ANGEGAAR"/>
    <x v="4"/>
    <x v="4"/>
    <n v="14335565"/>
    <n v="1019000"/>
    <n v="744600"/>
    <n v="12571965"/>
    <n v="8333333.333333334"/>
    <n v="1.5086358"/>
    <x v="1"/>
    <n v="25"/>
    <s v="IPS Pto De Vista San Diego"/>
    <s v="Antioquia"/>
    <s v="Fluctúa"/>
    <m/>
    <m/>
    <m/>
    <m/>
    <m/>
    <m/>
    <n v="14335565"/>
    <m/>
  </r>
  <r>
    <n v="3"/>
    <x v="2"/>
    <x v="0"/>
    <s v="Marzo"/>
    <s v="ANLLLIZO"/>
    <x v="5"/>
    <x v="5"/>
    <n v="30353"/>
    <n v="0"/>
    <n v="30353"/>
    <n v="0"/>
    <n v="6125000"/>
    <n v="0"/>
    <x v="0"/>
    <n v="25"/>
    <s v=""/>
    <s v=""/>
    <s v="No Aplica"/>
    <m/>
    <m/>
    <m/>
    <m/>
    <m/>
    <m/>
    <n v="30353"/>
    <m/>
  </r>
  <r>
    <n v="3"/>
    <x v="2"/>
    <x v="0"/>
    <s v="Marzo"/>
    <s v="BIBIBECA"/>
    <x v="6"/>
    <x v="6"/>
    <n v="43085950"/>
    <n v="495400"/>
    <n v="4533725"/>
    <n v="38056825"/>
    <n v="40000000"/>
    <n v="0.95142062500000002"/>
    <x v="1"/>
    <n v="25"/>
    <s v="IPS Pto De Vista Centro"/>
    <s v="Antioquia"/>
    <s v="Fluctúa"/>
    <m/>
    <m/>
    <m/>
    <m/>
    <m/>
    <m/>
    <n v="43085950"/>
    <m/>
  </r>
  <r>
    <n v="3"/>
    <x v="2"/>
    <x v="0"/>
    <s v="Marzo"/>
    <s v="CAROGOCE"/>
    <x v="7"/>
    <x v="7"/>
    <n v="219337"/>
    <n v="0"/>
    <n v="0"/>
    <n v="219337"/>
    <m/>
    <m/>
    <x v="0"/>
    <n v="25"/>
    <s v=""/>
    <s v=""/>
    <s v="No Aplica"/>
    <m/>
    <m/>
    <m/>
    <m/>
    <m/>
    <m/>
    <n v="219337"/>
    <m/>
  </r>
  <r>
    <n v="3"/>
    <x v="2"/>
    <x v="0"/>
    <s v="Marzo"/>
    <s v="CAROVABE"/>
    <x v="8"/>
    <x v="32"/>
    <n v="44741175"/>
    <n v="1137420"/>
    <n v="3568635"/>
    <n v="40035120"/>
    <n v="40000000"/>
    <n v="1.0008779999999999"/>
    <x v="0"/>
    <n v="25"/>
    <s v=""/>
    <s v=""/>
    <s v="No Aplica"/>
    <m/>
    <m/>
    <m/>
    <m/>
    <m/>
    <m/>
    <n v="44741175"/>
    <m/>
  </r>
  <r>
    <n v="3"/>
    <x v="2"/>
    <x v="0"/>
    <s v="Marzo"/>
    <s v="CLAUBLAR"/>
    <x v="9"/>
    <x v="8"/>
    <n v="48609633"/>
    <n v="1182600"/>
    <n v="3801835"/>
    <n v="43625198"/>
    <n v="40000000"/>
    <n v="1.0906299500000001"/>
    <x v="1"/>
    <n v="25"/>
    <s v="IPS Pto De Vista Centro"/>
    <s v="Antioquia"/>
    <s v="Fluctúa"/>
    <m/>
    <m/>
    <m/>
    <m/>
    <m/>
    <m/>
    <n v="48609633"/>
    <m/>
  </r>
  <r>
    <n v="3"/>
    <x v="2"/>
    <x v="0"/>
    <s v="Marzo"/>
    <s v="CLAUPACO"/>
    <x v="10"/>
    <x v="9"/>
    <n v="29079535"/>
    <n v="272000"/>
    <n v="941951"/>
    <n v="27865584"/>
    <n v="23833333.333333332"/>
    <n v="1.1691853426573426"/>
    <x v="0"/>
    <n v="25"/>
    <s v=""/>
    <s v=""/>
    <s v="No Aplica"/>
    <m/>
    <m/>
    <m/>
    <m/>
    <m/>
    <m/>
    <n v="29079535"/>
    <m/>
  </r>
  <r>
    <n v="3"/>
    <x v="2"/>
    <x v="0"/>
    <s v="Marzo"/>
    <s v="DERLARMO"/>
    <x v="11"/>
    <x v="10"/>
    <n v="23729140"/>
    <n v="0"/>
    <n v="1202340"/>
    <n v="22526800"/>
    <n v="21000000"/>
    <n v="1.0727047619047618"/>
    <x v="1"/>
    <n v="25"/>
    <s v="IPS Pto De Vista Olaya"/>
    <s v="Centro"/>
    <s v="Cumple"/>
    <m/>
    <m/>
    <m/>
    <m/>
    <m/>
    <m/>
    <n v="23729140"/>
    <m/>
  </r>
  <r>
    <n v="3"/>
    <x v="2"/>
    <x v="0"/>
    <s v="Marzo"/>
    <s v="DIANPAAL"/>
    <x v="12"/>
    <x v="11"/>
    <n v="38468590"/>
    <n v="3076830"/>
    <n v="1741670"/>
    <n v="33650090"/>
    <n v="30100000"/>
    <n v="1.1179431893687708"/>
    <x v="1"/>
    <n v="25"/>
    <s v="IPS Pto De Vista Rionegro"/>
    <s v="Antioquia"/>
    <s v="Cumple"/>
    <m/>
    <m/>
    <m/>
    <m/>
    <m/>
    <m/>
    <n v="38468590"/>
    <m/>
  </r>
  <r>
    <n v="3"/>
    <x v="2"/>
    <x v="0"/>
    <s v="Marzo"/>
    <s v="DIANPOPA"/>
    <x v="13"/>
    <x v="33"/>
    <n v="4915265"/>
    <n v="0"/>
    <n v="0"/>
    <n v="4915265"/>
    <n v="30100000"/>
    <n v="0.16329784053156146"/>
    <x v="0"/>
    <n v="25"/>
    <s v=""/>
    <s v=""/>
    <s v="No Aplica"/>
    <m/>
    <m/>
    <m/>
    <m/>
    <m/>
    <m/>
    <n v="4915265"/>
    <m/>
  </r>
  <r>
    <n v="3"/>
    <x v="2"/>
    <x v="0"/>
    <s v="Marzo"/>
    <s v="DIANQUME"/>
    <x v="14"/>
    <x v="12"/>
    <n v="39802207"/>
    <n v="2447300"/>
    <n v="2441894"/>
    <n v="34913013"/>
    <n v="36000000"/>
    <n v="0.96980591666666671"/>
    <x v="1"/>
    <n v="25"/>
    <s v="IPS Pto De Vista Molinos"/>
    <s v="Antioquia"/>
    <s v="Cumple"/>
    <m/>
    <m/>
    <m/>
    <m/>
    <m/>
    <m/>
    <n v="39802207"/>
    <m/>
  </r>
  <r>
    <n v="3"/>
    <x v="2"/>
    <x v="0"/>
    <s v="Marzo"/>
    <s v="ELIZVESU"/>
    <x v="15"/>
    <x v="13"/>
    <n v="47225266"/>
    <n v="1095200"/>
    <n v="4275520"/>
    <n v="41854546"/>
    <n v="36000000"/>
    <n v="1.1626262777777778"/>
    <x v="1"/>
    <n v="25"/>
    <s v="IPS Pto De Vista Unicentro"/>
    <s v="Antioquia"/>
    <s v="Fluctúa"/>
    <m/>
    <m/>
    <m/>
    <m/>
    <m/>
    <m/>
    <n v="47225266"/>
    <m/>
  </r>
  <r>
    <n v="3"/>
    <x v="2"/>
    <x v="0"/>
    <s v="Marzo"/>
    <s v="GENNHEPO"/>
    <x v="16"/>
    <x v="14"/>
    <n v="43833949"/>
    <n v="2093300"/>
    <n v="2736053"/>
    <n v="39004596"/>
    <n v="40000000"/>
    <n v="0.97511490000000001"/>
    <x v="1"/>
    <n v="25"/>
    <s v="IPS Pto De Vista Punto Clave"/>
    <s v="Antioquia"/>
    <s v="Fluctúa"/>
    <m/>
    <m/>
    <m/>
    <m/>
    <m/>
    <m/>
    <n v="43833949"/>
    <m/>
  </r>
  <r>
    <n v="3"/>
    <x v="2"/>
    <x v="0"/>
    <s v="Marzo"/>
    <s v="ISABMOGO"/>
    <x v="17"/>
    <x v="15"/>
    <n v="25291621"/>
    <n v="384000"/>
    <n v="1208254"/>
    <n v="23699367"/>
    <n v="23833333.333333332"/>
    <n v="0.99437903496503499"/>
    <x v="1"/>
    <n v="25"/>
    <s v="IPS Pto De Vista Santa Bárbara"/>
    <s v="Centro"/>
    <s v="No Cumple"/>
    <m/>
    <m/>
    <m/>
    <m/>
    <m/>
    <m/>
    <n v="25291621"/>
    <m/>
  </r>
  <r>
    <n v="3"/>
    <x v="2"/>
    <x v="0"/>
    <s v="Marzo"/>
    <s v="JAQUVEGU"/>
    <x v="18"/>
    <x v="16"/>
    <n v="35942694"/>
    <n v="3894900"/>
    <n v="1629713"/>
    <n v="30418081"/>
    <n v="30100000"/>
    <n v="1.0105674750830564"/>
    <x v="0"/>
    <n v="25"/>
    <s v="IPS Pto De Vista Rionegro"/>
    <s v="Antioquia"/>
    <s v="No Aplica"/>
    <m/>
    <m/>
    <m/>
    <m/>
    <m/>
    <m/>
    <n v="35942694"/>
    <m/>
  </r>
  <r>
    <n v="3"/>
    <x v="2"/>
    <x v="0"/>
    <s v="Marzo"/>
    <s v="LILACARA"/>
    <x v="19"/>
    <x v="17"/>
    <n v="47595758"/>
    <n v="4065100"/>
    <n v="2807918"/>
    <n v="40722740"/>
    <n v="40100000"/>
    <n v="1.0155296758104737"/>
    <x v="1"/>
    <n v="25"/>
    <s v="IPS Pto De Vista Molinos"/>
    <s v="Antioquia"/>
    <s v="Cumple"/>
    <m/>
    <m/>
    <m/>
    <m/>
    <m/>
    <m/>
    <n v="47595758"/>
    <m/>
  </r>
  <r>
    <n v="3"/>
    <x v="2"/>
    <x v="0"/>
    <s v="Marzo"/>
    <s v="LUZMARMO"/>
    <x v="20"/>
    <x v="18"/>
    <n v="39110319"/>
    <n v="2373700"/>
    <n v="3015725"/>
    <n v="33720894"/>
    <n v="40000000"/>
    <n v="0.84302235000000003"/>
    <x v="0"/>
    <n v="25"/>
    <s v=""/>
    <s v=""/>
    <s v="No Aplica"/>
    <m/>
    <m/>
    <m/>
    <m/>
    <m/>
    <m/>
    <n v="39110319"/>
    <m/>
  </r>
  <r>
    <n v="3"/>
    <x v="2"/>
    <x v="0"/>
    <s v="Marzo"/>
    <s v="LUZNHEGO"/>
    <x v="21"/>
    <x v="19"/>
    <n v="21114117"/>
    <n v="0"/>
    <n v="0"/>
    <n v="21114117"/>
    <n v="21000000"/>
    <n v="1.0054341428571429"/>
    <x v="1"/>
    <n v="25"/>
    <s v="IPS Punto de Vista Mayorca"/>
    <s v="Antioquia"/>
    <s v="Siempre Cumple"/>
    <m/>
    <m/>
    <m/>
    <m/>
    <m/>
    <m/>
    <n v="21114117"/>
    <m/>
  </r>
  <r>
    <n v="3"/>
    <x v="2"/>
    <x v="0"/>
    <s v="Marzo"/>
    <s v="MARGGAPA"/>
    <x v="22"/>
    <x v="20"/>
    <n v="45106993"/>
    <n v="960600"/>
    <n v="3963531"/>
    <n v="40182862"/>
    <n v="40000000"/>
    <n v="1.0045715500000001"/>
    <x v="1"/>
    <n v="25"/>
    <s v="IPS Pto De Vista Centro"/>
    <s v="Antioquia"/>
    <s v="Fluctúa"/>
    <m/>
    <m/>
    <m/>
    <m/>
    <m/>
    <m/>
    <n v="45106993"/>
    <m/>
  </r>
  <r>
    <n v="3"/>
    <x v="2"/>
    <x v="0"/>
    <s v="Marzo"/>
    <s v="MARIMASA"/>
    <x v="23"/>
    <x v="34"/>
    <n v="43791271"/>
    <n v="1496000"/>
    <n v="2553439"/>
    <n v="39741832"/>
    <n v="36666666.666666672"/>
    <n v="1.0838681454545454"/>
    <x v="1"/>
    <n v="25"/>
    <s v="IPS Pto De Vista San Diego"/>
    <s v="Antioquia"/>
    <s v="Siempre Cumple"/>
    <m/>
    <m/>
    <m/>
    <m/>
    <m/>
    <m/>
    <n v="43791271"/>
    <m/>
  </r>
  <r>
    <n v="3"/>
    <x v="2"/>
    <x v="0"/>
    <s v="Marzo"/>
    <s v="MARIOCOC"/>
    <x v="24"/>
    <x v="21"/>
    <n v="35410752"/>
    <n v="1922400"/>
    <n v="2031302"/>
    <n v="31457050"/>
    <n v="30100000"/>
    <n v="1.0450847176079734"/>
    <x v="1"/>
    <n v="25"/>
    <s v="IPS Pto De Vista Rionegro"/>
    <s v="Antioquia"/>
    <s v="Cumple"/>
    <m/>
    <m/>
    <m/>
    <m/>
    <m/>
    <m/>
    <n v="35410752"/>
    <m/>
  </r>
  <r>
    <n v="3"/>
    <x v="2"/>
    <x v="0"/>
    <s v="Marzo"/>
    <s v="MARISEAR"/>
    <x v="25"/>
    <x v="22"/>
    <n v="33001399"/>
    <n v="92340"/>
    <n v="2015832"/>
    <n v="30893227"/>
    <n v="40100000"/>
    <n v="0.77040466334164592"/>
    <x v="0"/>
    <n v="25"/>
    <s v=""/>
    <s v=""/>
    <s v="No Aplica"/>
    <m/>
    <m/>
    <m/>
    <m/>
    <m/>
    <m/>
    <n v="33001399"/>
    <m/>
  </r>
  <r>
    <n v="3"/>
    <x v="2"/>
    <x v="0"/>
    <s v="Marzo"/>
    <s v="MARISOCA"/>
    <x v="26"/>
    <x v="23"/>
    <n v="47387348"/>
    <n v="0"/>
    <n v="3891777"/>
    <n v="43495571"/>
    <n v="40000000"/>
    <n v="1.087389275"/>
    <x v="0"/>
    <n v="25"/>
    <s v=""/>
    <s v=""/>
    <s v="No Aplica"/>
    <m/>
    <m/>
    <m/>
    <m/>
    <m/>
    <m/>
    <n v="47387348"/>
    <m/>
  </r>
  <r>
    <n v="3"/>
    <x v="2"/>
    <x v="0"/>
    <s v="Marzo"/>
    <s v="MONIMEME"/>
    <x v="27"/>
    <x v="24"/>
    <n v="49474337"/>
    <n v="1410800"/>
    <n v="3689399"/>
    <n v="44374138"/>
    <n v="40000000"/>
    <n v="1.10935345"/>
    <x v="0"/>
    <n v="25"/>
    <s v=""/>
    <s v=""/>
    <s v="No Aplica"/>
    <m/>
    <m/>
    <m/>
    <m/>
    <m/>
    <m/>
    <n v="49474337"/>
    <m/>
  </r>
  <r>
    <n v="3"/>
    <x v="2"/>
    <x v="0"/>
    <s v="Marzo"/>
    <s v="NATAPIDU"/>
    <x v="28"/>
    <x v="25"/>
    <n v="36567008"/>
    <n v="352800"/>
    <n v="493987"/>
    <n v="35720221"/>
    <n v="36000000"/>
    <n v="0.99222836111111112"/>
    <x v="1"/>
    <n v="25"/>
    <s v="IPS Pto De Vista Industriales"/>
    <s v="Antioquia"/>
    <s v="Cumple"/>
    <m/>
    <m/>
    <m/>
    <m/>
    <m/>
    <m/>
    <n v="36567008"/>
    <m/>
  </r>
  <r>
    <n v="3"/>
    <x v="2"/>
    <x v="0"/>
    <s v="Marzo"/>
    <s v="OSCADESU"/>
    <x v="29"/>
    <x v="26"/>
    <n v="18312088"/>
    <n v="420000"/>
    <n v="2050873"/>
    <n v="15841215"/>
    <n v="12480000"/>
    <n v="1.2693281249999999"/>
    <x v="0"/>
    <n v="25"/>
    <s v=""/>
    <s v=""/>
    <s v="No Aplica"/>
    <m/>
    <m/>
    <m/>
    <m/>
    <m/>
    <m/>
    <n v="18312088"/>
    <m/>
  </r>
  <r>
    <n v="3"/>
    <x v="2"/>
    <x v="0"/>
    <s v="Marzo"/>
    <s v="RAULMOGA"/>
    <x v="30"/>
    <x v="27"/>
    <n v="17596352"/>
    <n v="544800"/>
    <n v="1208509"/>
    <n v="15843043"/>
    <n v="14875000"/>
    <n v="1.0650785210084033"/>
    <x v="0"/>
    <n v="25"/>
    <s v="IPS Pto De Vista Olaya"/>
    <s v="Centro"/>
    <s v="No Aplica"/>
    <m/>
    <m/>
    <m/>
    <m/>
    <m/>
    <m/>
    <n v="17596352"/>
    <m/>
  </r>
  <r>
    <n v="3"/>
    <x v="2"/>
    <x v="0"/>
    <s v="Marzo"/>
    <s v="ROCIFASA"/>
    <x v="31"/>
    <x v="28"/>
    <n v="23280166"/>
    <n v="743940"/>
    <n v="0"/>
    <n v="22536226"/>
    <n v="21000000"/>
    <n v="1.073153619047619"/>
    <x v="1"/>
    <n v="25"/>
    <s v="Optica Salud Sura Chipichape"/>
    <s v="Occidente"/>
    <s v="Cumple"/>
    <m/>
    <m/>
    <m/>
    <m/>
    <m/>
    <m/>
    <n v="23280166"/>
    <m/>
  </r>
  <r>
    <n v="3"/>
    <x v="2"/>
    <x v="0"/>
    <s v="Marzo"/>
    <s v="ROSAVEGI"/>
    <x v="32"/>
    <x v="7"/>
    <n v="3944893"/>
    <n v="779600"/>
    <n v="34334"/>
    <n v="3130959"/>
    <m/>
    <m/>
    <x v="0"/>
    <n v="25"/>
    <s v=""/>
    <s v=""/>
    <s v="No Aplica"/>
    <m/>
    <m/>
    <m/>
    <m/>
    <m/>
    <m/>
    <n v="3944893"/>
    <m/>
  </r>
  <r>
    <n v="3"/>
    <x v="2"/>
    <x v="0"/>
    <s v="Marzo"/>
    <s v="VIVIVAZA"/>
    <x v="33"/>
    <x v="30"/>
    <n v="67357247"/>
    <n v="2512900"/>
    <n v="4695846"/>
    <n v="60148501"/>
    <n v="40100000"/>
    <n v="1.4999626184538652"/>
    <x v="1"/>
    <n v="25"/>
    <s v="IPS Pto De Vista Unicentro"/>
    <s v="Antioquia"/>
    <s v="Cumple"/>
    <m/>
    <m/>
    <m/>
    <m/>
    <m/>
    <m/>
    <n v="67357247"/>
    <m/>
  </r>
  <r>
    <n v="3"/>
    <x v="2"/>
    <x v="0"/>
    <s v="Marzo"/>
    <s v="ZULYARGA"/>
    <x v="34"/>
    <x v="31"/>
    <n v="9155770"/>
    <n v="285400"/>
    <n v="843129"/>
    <n v="8027241"/>
    <n v="21000000"/>
    <n v="0.38224957142857141"/>
    <x v="1"/>
    <n v="25"/>
    <s v="IPS Pto De Vista Molinos"/>
    <s v="Antioquia"/>
    <n v="0"/>
    <m/>
    <m/>
    <m/>
    <m/>
    <m/>
    <m/>
    <n v="9155770"/>
    <m/>
  </r>
  <r>
    <n v="4"/>
    <x v="3"/>
    <x v="0"/>
    <s v="Abril"/>
    <s v="ADRIESAN"/>
    <x v="0"/>
    <x v="35"/>
    <n v="6514145"/>
    <n v="816000"/>
    <n v="1270649"/>
    <n v="4427496"/>
    <n v="4153846.1538461535"/>
    <n v="1.0658786666666666"/>
    <x v="0"/>
    <n v="24"/>
    <s v=""/>
    <s v=""/>
    <s v="No Aplica"/>
    <m/>
    <m/>
    <m/>
    <m/>
    <m/>
    <m/>
    <n v="6514145"/>
    <m/>
  </r>
  <r>
    <n v="4"/>
    <x v="3"/>
    <x v="0"/>
    <s v="Abril"/>
    <s v="ADRIMOLU"/>
    <x v="1"/>
    <x v="1"/>
    <n v="33026151"/>
    <n v="1874100"/>
    <n v="3774821"/>
    <n v="27377230"/>
    <n v="26000000"/>
    <n v="1.0529703846153846"/>
    <x v="1"/>
    <n v="24"/>
    <s v="IPS Pto De Vista Molinos"/>
    <s v="Antioquia"/>
    <s v="Cumple"/>
    <m/>
    <m/>
    <m/>
    <m/>
    <m/>
    <m/>
    <n v="33026151"/>
    <m/>
  </r>
  <r>
    <n v="4"/>
    <x v="3"/>
    <x v="0"/>
    <s v="Abril"/>
    <s v="ALEXLOGR"/>
    <x v="2"/>
    <x v="2"/>
    <n v="35592944"/>
    <n v="3788200"/>
    <n v="4205491"/>
    <n v="27599253"/>
    <n v="29884615.384615384"/>
    <n v="0.92352712741312748"/>
    <x v="1"/>
    <n v="24"/>
    <s v="IPS Punto de Vista Bello"/>
    <s v="Antioquia"/>
    <s v="Fluctúa"/>
    <m/>
    <m/>
    <m/>
    <m/>
    <m/>
    <m/>
    <n v="35592944"/>
    <m/>
  </r>
  <r>
    <n v="4"/>
    <x v="3"/>
    <x v="0"/>
    <s v="Abril"/>
    <s v="ANAMLOBE"/>
    <x v="3"/>
    <x v="3"/>
    <n v="68085280"/>
    <n v="975700"/>
    <n v="4375941"/>
    <n v="62733639"/>
    <n v="40100000"/>
    <n v="1.5644299002493764"/>
    <x v="1"/>
    <n v="24"/>
    <s v="IPS Pto De Vista Unicentro"/>
    <s v="Antioquia"/>
    <s v="Siempre Cumple"/>
    <m/>
    <m/>
    <m/>
    <m/>
    <m/>
    <m/>
    <n v="68085280"/>
    <m/>
  </r>
  <r>
    <n v="4"/>
    <x v="3"/>
    <x v="0"/>
    <s v="Abril"/>
    <s v="ANGEGAAR"/>
    <x v="4"/>
    <x v="4"/>
    <n v="46065974"/>
    <n v="1077400"/>
    <n v="4456731"/>
    <n v="40531843"/>
    <n v="40000000"/>
    <n v="1.013296075"/>
    <x v="1"/>
    <n v="24"/>
    <s v="IPS Pto De Vista San Diego"/>
    <s v="Antioquia"/>
    <s v="Fluctúa"/>
    <m/>
    <m/>
    <m/>
    <m/>
    <m/>
    <m/>
    <n v="46065974"/>
    <m/>
  </r>
  <r>
    <n v="4"/>
    <x v="3"/>
    <x v="0"/>
    <s v="Abril"/>
    <s v="ANLLLIZO"/>
    <x v="5"/>
    <x v="5"/>
    <n v="5366615"/>
    <n v="420000"/>
    <n v="515659"/>
    <n v="4430956"/>
    <n v="23223076.923076924"/>
    <n v="0.19079969526333221"/>
    <x v="0"/>
    <n v="24"/>
    <s v=""/>
    <s v=""/>
    <s v="No Aplica"/>
    <m/>
    <m/>
    <m/>
    <m/>
    <m/>
    <m/>
    <n v="5366615"/>
    <m/>
  </r>
  <r>
    <n v="4"/>
    <x v="3"/>
    <x v="0"/>
    <s v="Abril"/>
    <s v="BIBIBECA"/>
    <x v="6"/>
    <x v="6"/>
    <n v="45567259"/>
    <n v="1739500"/>
    <n v="4162529"/>
    <n v="39665230"/>
    <n v="40000000"/>
    <n v="0.99163075000000001"/>
    <x v="1"/>
    <n v="24"/>
    <s v="IPS Pto De Vista Centro"/>
    <s v="Antioquia"/>
    <s v="Fluctúa"/>
    <m/>
    <m/>
    <m/>
    <m/>
    <m/>
    <m/>
    <n v="45567259"/>
    <m/>
  </r>
  <r>
    <n v="4"/>
    <x v="3"/>
    <x v="0"/>
    <s v="Abril"/>
    <s v="CAROGOCE"/>
    <x v="7"/>
    <x v="7"/>
    <n v="207940"/>
    <n v="0"/>
    <n v="0"/>
    <n v="207940"/>
    <m/>
    <m/>
    <x v="0"/>
    <n v="24"/>
    <s v=""/>
    <s v=""/>
    <s v="No Aplica"/>
    <m/>
    <m/>
    <m/>
    <m/>
    <m/>
    <m/>
    <n v="207940"/>
    <m/>
  </r>
  <r>
    <n v="4"/>
    <x v="3"/>
    <x v="0"/>
    <s v="Abril"/>
    <s v="CAROVABE"/>
    <x v="8"/>
    <x v="32"/>
    <n v="46519168"/>
    <n v="2865600"/>
    <n v="4939347"/>
    <n v="38714221"/>
    <n v="40000000"/>
    <n v="0.96785552500000005"/>
    <x v="0"/>
    <n v="24"/>
    <s v=""/>
    <s v=""/>
    <s v="No Aplica"/>
    <m/>
    <m/>
    <m/>
    <m/>
    <m/>
    <m/>
    <n v="46519168"/>
    <m/>
  </r>
  <r>
    <n v="4"/>
    <x v="3"/>
    <x v="0"/>
    <s v="Abril"/>
    <s v="CLAUBLAR"/>
    <x v="9"/>
    <x v="8"/>
    <n v="57439514"/>
    <n v="1386800"/>
    <n v="4242035"/>
    <n v="51810679"/>
    <n v="40000000"/>
    <n v="1.2952669750000001"/>
    <x v="1"/>
    <n v="24"/>
    <s v="IPS Pto De Vista Centro"/>
    <s v="Antioquia"/>
    <s v="Fluctúa"/>
    <m/>
    <m/>
    <m/>
    <m/>
    <m/>
    <m/>
    <n v="57439514"/>
    <m/>
  </r>
  <r>
    <n v="4"/>
    <x v="3"/>
    <x v="0"/>
    <s v="Abril"/>
    <s v="CLAUPACO"/>
    <x v="10"/>
    <x v="9"/>
    <n v="14821319"/>
    <n v="774600"/>
    <n v="1427370"/>
    <n v="12619349"/>
    <n v="26000000"/>
    <n v="0.48535957692307691"/>
    <x v="0"/>
    <n v="24"/>
    <s v=""/>
    <s v=""/>
    <s v="No Aplica"/>
    <m/>
    <m/>
    <m/>
    <m/>
    <m/>
    <m/>
    <n v="14821319"/>
    <m/>
  </r>
  <r>
    <n v="4"/>
    <x v="3"/>
    <x v="0"/>
    <s v="Abril"/>
    <s v="DERLARMO"/>
    <x v="11"/>
    <x v="10"/>
    <n v="22862466"/>
    <n v="210000"/>
    <n v="1777667"/>
    <n v="20874799"/>
    <n v="21000000"/>
    <n v="0.99403804761904757"/>
    <x v="1"/>
    <n v="24"/>
    <s v="IPS Pto De Vista Olaya"/>
    <s v="Centro"/>
    <s v="Cumple"/>
    <m/>
    <m/>
    <m/>
    <m/>
    <m/>
    <m/>
    <n v="22862466"/>
    <m/>
  </r>
  <r>
    <n v="4"/>
    <x v="3"/>
    <x v="0"/>
    <s v="Abril"/>
    <s v="DIANPAAL"/>
    <x v="12"/>
    <x v="11"/>
    <n v="17899720"/>
    <n v="198000"/>
    <n v="1339293"/>
    <n v="16362427"/>
    <n v="6946153.846153846"/>
    <n v="2.3556096456256923"/>
    <x v="1"/>
    <n v="24"/>
    <s v="IPS Pto De Vista Rionegro"/>
    <s v="Antioquia"/>
    <s v="Cumple"/>
    <m/>
    <m/>
    <m/>
    <m/>
    <m/>
    <m/>
    <n v="17899720"/>
    <m/>
  </r>
  <r>
    <n v="4"/>
    <x v="3"/>
    <x v="0"/>
    <s v="Abril"/>
    <s v="DIANPOPA"/>
    <x v="13"/>
    <x v="33"/>
    <n v="14772532"/>
    <n v="0"/>
    <n v="0"/>
    <n v="14772532"/>
    <n v="30100000"/>
    <n v="0.49078179401993355"/>
    <x v="0"/>
    <n v="24"/>
    <s v=""/>
    <s v=""/>
    <s v="No Aplica"/>
    <m/>
    <m/>
    <m/>
    <m/>
    <m/>
    <m/>
    <n v="14772532"/>
    <m/>
  </r>
  <r>
    <n v="4"/>
    <x v="3"/>
    <x v="0"/>
    <s v="Abril"/>
    <s v="DIANQUME"/>
    <x v="14"/>
    <x v="12"/>
    <n v="44586694"/>
    <n v="1521400"/>
    <n v="3385711"/>
    <n v="39679583"/>
    <n v="40000000"/>
    <n v="0.99198957499999996"/>
    <x v="1"/>
    <n v="24"/>
    <s v="IPS Pto De Vista Molinos"/>
    <s v="Antioquia"/>
    <s v="Cumple"/>
    <m/>
    <m/>
    <m/>
    <m/>
    <m/>
    <m/>
    <n v="44586694"/>
    <m/>
  </r>
  <r>
    <n v="4"/>
    <x v="3"/>
    <x v="0"/>
    <s v="Abril"/>
    <s v="ELIZVESU"/>
    <x v="15"/>
    <x v="13"/>
    <n v="45025377"/>
    <n v="1260000"/>
    <n v="3181059"/>
    <n v="40584318"/>
    <n v="31846153.846153844"/>
    <n v="1.2743867971014493"/>
    <x v="1"/>
    <n v="24"/>
    <s v="IPS Pto De Vista Unicentro"/>
    <s v="Antioquia"/>
    <s v="Fluctúa"/>
    <m/>
    <m/>
    <m/>
    <m/>
    <m/>
    <m/>
    <n v="45025377"/>
    <m/>
  </r>
  <r>
    <n v="4"/>
    <x v="3"/>
    <x v="0"/>
    <s v="Abril"/>
    <s v="GENNHEPO"/>
    <x v="16"/>
    <x v="14"/>
    <n v="50035088"/>
    <n v="1531400"/>
    <n v="3337848"/>
    <n v="45165840"/>
    <n v="39692307.692307696"/>
    <n v="1.1378990697674418"/>
    <x v="1"/>
    <n v="24"/>
    <s v="IPS Pto De Vista Punto Clave"/>
    <s v="Antioquia"/>
    <s v="Fluctúa"/>
    <m/>
    <m/>
    <m/>
    <m/>
    <m/>
    <m/>
    <n v="50035088"/>
    <m/>
  </r>
  <r>
    <n v="4"/>
    <x v="3"/>
    <x v="0"/>
    <s v="Abril"/>
    <s v="ISABMOGO"/>
    <x v="17"/>
    <x v="15"/>
    <n v="31291530"/>
    <n v="1492000"/>
    <n v="1478784"/>
    <n v="28320746"/>
    <n v="26000000"/>
    <n v="1.0892594615384616"/>
    <x v="1"/>
    <n v="24"/>
    <s v="IPS Pto De Vista Santa Bárbara"/>
    <s v="Centro"/>
    <s v="No Cumple"/>
    <m/>
    <m/>
    <m/>
    <m/>
    <m/>
    <m/>
    <n v="31291530"/>
    <m/>
  </r>
  <r>
    <n v="4"/>
    <x v="3"/>
    <x v="0"/>
    <s v="Abril"/>
    <s v="JAQUVEGU"/>
    <x v="18"/>
    <x v="16"/>
    <n v="34134978"/>
    <n v="1679500"/>
    <n v="2891764"/>
    <n v="29563714"/>
    <n v="30100000"/>
    <n v="0.9821831893687708"/>
    <x v="0"/>
    <n v="24"/>
    <s v="IPS Pto De Vista Rionegro"/>
    <s v="Antioquia"/>
    <s v="No Aplica"/>
    <m/>
    <m/>
    <m/>
    <m/>
    <m/>
    <m/>
    <n v="34134978"/>
    <m/>
  </r>
  <r>
    <n v="4"/>
    <x v="3"/>
    <x v="0"/>
    <s v="Abril"/>
    <s v="LILACARA"/>
    <x v="19"/>
    <x v="17"/>
    <n v="52683299"/>
    <n v="2168400"/>
    <n v="4297020"/>
    <n v="46217879"/>
    <n v="40100000"/>
    <n v="1.1525655610972569"/>
    <x v="1"/>
    <n v="24"/>
    <s v="IPS Pto De Vista Molinos"/>
    <s v="Antioquia"/>
    <s v="Cumple"/>
    <m/>
    <m/>
    <m/>
    <m/>
    <m/>
    <m/>
    <n v="52683299"/>
    <m/>
  </r>
  <r>
    <n v="4"/>
    <x v="3"/>
    <x v="0"/>
    <s v="Abril"/>
    <s v="LUZMARMO"/>
    <x v="20"/>
    <x v="18"/>
    <n v="42804816"/>
    <n v="1543400"/>
    <n v="3550906"/>
    <n v="37710510"/>
    <n v="38530769.230769232"/>
    <n v="0.97871157915751639"/>
    <x v="0"/>
    <n v="24"/>
    <s v=""/>
    <s v=""/>
    <s v="No Aplica"/>
    <m/>
    <m/>
    <m/>
    <m/>
    <m/>
    <m/>
    <n v="42804816"/>
    <m/>
  </r>
  <r>
    <n v="4"/>
    <x v="3"/>
    <x v="0"/>
    <s v="Abril"/>
    <s v="LUZNHEGO"/>
    <x v="21"/>
    <x v="19"/>
    <n v="31461000"/>
    <n v="178200"/>
    <n v="0"/>
    <n v="31282800"/>
    <n v="21000000"/>
    <n v="1.4896571428571428"/>
    <x v="1"/>
    <n v="24"/>
    <s v="IPS Punto de Vista Mayorca"/>
    <s v="Antioquia"/>
    <s v="Siempre Cumple"/>
    <m/>
    <m/>
    <m/>
    <m/>
    <m/>
    <m/>
    <n v="31461000"/>
    <m/>
  </r>
  <r>
    <n v="4"/>
    <x v="3"/>
    <x v="0"/>
    <s v="Abril"/>
    <s v="MARGGAPA"/>
    <x v="22"/>
    <x v="20"/>
    <n v="52888680"/>
    <n v="2514200"/>
    <n v="5015816"/>
    <n v="45358664"/>
    <n v="40000000"/>
    <n v="1.1339665999999999"/>
    <x v="1"/>
    <n v="24"/>
    <s v="IPS Pto De Vista Centro"/>
    <s v="Antioquia"/>
    <s v="Fluctúa"/>
    <m/>
    <m/>
    <m/>
    <m/>
    <m/>
    <m/>
    <n v="52888680"/>
    <m/>
  </r>
  <r>
    <n v="4"/>
    <x v="3"/>
    <x v="0"/>
    <s v="Abril"/>
    <s v="MARIMASA"/>
    <x v="23"/>
    <x v="34"/>
    <n v="47584735"/>
    <n v="2476200"/>
    <n v="3748906"/>
    <n v="41359629"/>
    <n v="36000000"/>
    <n v="1.1488785833333333"/>
    <x v="1"/>
    <n v="24"/>
    <s v="IPS Pto De Vista San Diego"/>
    <s v="Antioquia"/>
    <s v="Siempre Cumple"/>
    <m/>
    <m/>
    <m/>
    <m/>
    <m/>
    <m/>
    <n v="47584735"/>
    <m/>
  </r>
  <r>
    <n v="4"/>
    <x v="3"/>
    <x v="0"/>
    <s v="Abril"/>
    <s v="MARIOCOC"/>
    <x v="24"/>
    <x v="21"/>
    <n v="39780484"/>
    <n v="1763500"/>
    <n v="3293599"/>
    <n v="34723385"/>
    <n v="30100000"/>
    <n v="1.153600830564784"/>
    <x v="1"/>
    <n v="24"/>
    <s v="IPS Pto De Vista Rionegro"/>
    <s v="Antioquia"/>
    <s v="Cumple"/>
    <m/>
    <m/>
    <m/>
    <m/>
    <m/>
    <m/>
    <n v="39780484"/>
    <m/>
  </r>
  <r>
    <n v="4"/>
    <x v="3"/>
    <x v="0"/>
    <s v="Abril"/>
    <s v="MARISEAR"/>
    <x v="25"/>
    <x v="22"/>
    <n v="45303292"/>
    <n v="396000"/>
    <n v="2623957"/>
    <n v="42283335"/>
    <n v="40000000"/>
    <n v="1.0570833749999999"/>
    <x v="0"/>
    <n v="24"/>
    <s v=""/>
    <s v=""/>
    <s v="No Aplica"/>
    <m/>
    <m/>
    <m/>
    <m/>
    <m/>
    <m/>
    <n v="45303292"/>
    <m/>
  </r>
  <r>
    <n v="4"/>
    <x v="3"/>
    <x v="0"/>
    <s v="Abril"/>
    <s v="MARISOCA"/>
    <x v="26"/>
    <x v="23"/>
    <n v="36742910"/>
    <n v="0"/>
    <n v="2677772"/>
    <n v="34065138"/>
    <n v="40000000"/>
    <n v="0.85162844999999998"/>
    <x v="0"/>
    <n v="24"/>
    <s v=""/>
    <s v=""/>
    <s v="No Aplica"/>
    <m/>
    <m/>
    <m/>
    <m/>
    <m/>
    <m/>
    <n v="36742910"/>
    <m/>
  </r>
  <r>
    <n v="4"/>
    <x v="3"/>
    <x v="0"/>
    <s v="Abril"/>
    <s v="MONIMEME"/>
    <x v="27"/>
    <x v="24"/>
    <n v="50821274"/>
    <n v="2407400"/>
    <n v="4019753"/>
    <n v="44394121"/>
    <n v="40000000"/>
    <n v="1.109853025"/>
    <x v="0"/>
    <n v="24"/>
    <s v=""/>
    <s v=""/>
    <s v="No Aplica"/>
    <m/>
    <m/>
    <m/>
    <m/>
    <m/>
    <m/>
    <n v="50821274"/>
    <m/>
  </r>
  <r>
    <n v="4"/>
    <x v="3"/>
    <x v="0"/>
    <s v="Abril"/>
    <s v="NATAPIDU"/>
    <x v="28"/>
    <x v="25"/>
    <n v="44020568"/>
    <n v="535500"/>
    <n v="891113"/>
    <n v="42593955"/>
    <n v="33230769.230769228"/>
    <n v="1.2817625347222223"/>
    <x v="1"/>
    <n v="24"/>
    <s v="IPS Pto De Vista Industriales"/>
    <s v="Antioquia"/>
    <s v="Cumple"/>
    <m/>
    <m/>
    <m/>
    <m/>
    <m/>
    <m/>
    <n v="44020568"/>
    <m/>
  </r>
  <r>
    <n v="4"/>
    <x v="3"/>
    <x v="0"/>
    <s v="Abril"/>
    <s v="OSCADESU"/>
    <x v="29"/>
    <x v="26"/>
    <n v="21384643"/>
    <n v="1461000"/>
    <n v="1863156"/>
    <n v="18060487"/>
    <n v="20000000"/>
    <n v="0.90302435000000003"/>
    <x v="0"/>
    <n v="24"/>
    <s v=""/>
    <s v=""/>
    <s v="No Aplica"/>
    <m/>
    <m/>
    <m/>
    <m/>
    <m/>
    <m/>
    <n v="21384643"/>
    <m/>
  </r>
  <r>
    <n v="4"/>
    <x v="3"/>
    <x v="0"/>
    <s v="Abril"/>
    <s v="PAULGOBA"/>
    <x v="35"/>
    <x v="36"/>
    <n v="54080769"/>
    <n v="0"/>
    <n v="1816899"/>
    <n v="52263870"/>
    <n v="32080000"/>
    <n v="1.6291730049875313"/>
    <x v="1"/>
    <n v="24"/>
    <s v="Ferias Empresariales Antioquia"/>
    <s v="Antioquia"/>
    <s v="Fluctúa"/>
    <m/>
    <m/>
    <m/>
    <m/>
    <m/>
    <m/>
    <n v="54080769"/>
    <m/>
  </r>
  <r>
    <n v="4"/>
    <x v="3"/>
    <x v="0"/>
    <s v="Abril"/>
    <s v="RAULMOGA"/>
    <x v="30"/>
    <x v="27"/>
    <n v="9828271"/>
    <n v="285400"/>
    <n v="568545"/>
    <n v="8974326"/>
    <n v="18576923.07692308"/>
    <n v="0.48309001242236016"/>
    <x v="0"/>
    <n v="24"/>
    <s v="IPS Pto De Vista Olaya"/>
    <s v="Centro"/>
    <s v="No Aplica"/>
    <m/>
    <m/>
    <m/>
    <m/>
    <m/>
    <m/>
    <n v="9828271"/>
    <m/>
  </r>
  <r>
    <n v="4"/>
    <x v="3"/>
    <x v="0"/>
    <s v="Abril"/>
    <s v="ROCIFASA"/>
    <x v="31"/>
    <x v="28"/>
    <n v="29489503"/>
    <n v="689400"/>
    <n v="0"/>
    <n v="28800103"/>
    <n v="21000000"/>
    <n v="1.3714334761904763"/>
    <x v="1"/>
    <n v="24"/>
    <s v="Optica Salud Sura Chipichape"/>
    <s v="Occidente"/>
    <s v="Cumple"/>
    <m/>
    <m/>
    <m/>
    <m/>
    <m/>
    <m/>
    <n v="29489503"/>
    <m/>
  </r>
  <r>
    <n v="4"/>
    <x v="3"/>
    <x v="0"/>
    <s v="Abril"/>
    <s v="VIVIVAZA"/>
    <x v="33"/>
    <x v="30"/>
    <n v="28056895"/>
    <n v="1254800"/>
    <n v="2522971"/>
    <n v="24279124"/>
    <n v="12338461.538461538"/>
    <n v="1.9677594264339153"/>
    <x v="1"/>
    <n v="24"/>
    <s v="IPS Pto De Vista Unicentro"/>
    <s v="Antioquia"/>
    <s v="Cumple"/>
    <m/>
    <m/>
    <m/>
    <m/>
    <m/>
    <m/>
    <n v="28056895"/>
    <m/>
  </r>
  <r>
    <n v="4"/>
    <x v="3"/>
    <x v="0"/>
    <s v="Abril"/>
    <s v="ZULYARGA"/>
    <x v="34"/>
    <x v="31"/>
    <n v="58511425"/>
    <n v="2577500"/>
    <n v="4183897"/>
    <n v="51750028"/>
    <n v="36000000"/>
    <n v="1.4375007777777777"/>
    <x v="1"/>
    <n v="24"/>
    <s v="IPS Pto De Vista Molinos"/>
    <s v="Antioquia"/>
    <n v="0"/>
    <m/>
    <m/>
    <m/>
    <m/>
    <m/>
    <m/>
    <n v="58511425"/>
    <m/>
  </r>
  <r>
    <n v="5"/>
    <x v="4"/>
    <x v="0"/>
    <s v="Mayo"/>
    <s v="ADRIMOLU"/>
    <x v="1"/>
    <x v="1"/>
    <n v="42249481"/>
    <n v="1586000"/>
    <n v="10452862"/>
    <n v="30210619"/>
    <n v="24916666.666666664"/>
    <n v="1.2124663143812711"/>
    <x v="1"/>
    <n v="24"/>
    <s v="IPS Pto De Vista Molinos"/>
    <s v="Antioquia"/>
    <s v="Cumple"/>
    <m/>
    <m/>
    <m/>
    <m/>
    <m/>
    <m/>
    <n v="42249481"/>
    <m/>
  </r>
  <r>
    <n v="5"/>
    <x v="4"/>
    <x v="0"/>
    <s v="Mayo"/>
    <s v="ALEXLOGR"/>
    <x v="2"/>
    <x v="2"/>
    <n v="56480775"/>
    <n v="2096100"/>
    <n v="11903238"/>
    <n v="42481437"/>
    <n v="40000000"/>
    <n v="1.062035925"/>
    <x v="1"/>
    <n v="24"/>
    <s v="IPS Punto de Vista Bello"/>
    <s v="Antioquia"/>
    <s v="Fluctúa"/>
    <m/>
    <m/>
    <m/>
    <m/>
    <m/>
    <m/>
    <n v="56480775"/>
    <m/>
  </r>
  <r>
    <n v="5"/>
    <x v="4"/>
    <x v="0"/>
    <s v="Mayo"/>
    <s v="ALVAOSOS"/>
    <x v="36"/>
    <x v="37"/>
    <n v="21305523"/>
    <n v="0"/>
    <n v="7439356"/>
    <n v="13866167"/>
    <n v="24080000"/>
    <n v="0.5758375"/>
    <x v="1"/>
    <n v="24"/>
    <s v="IPS Pto De Vista Punto Clave"/>
    <s v="Antioquia"/>
    <s v="Siempre Cumple"/>
    <m/>
    <m/>
    <m/>
    <m/>
    <m/>
    <m/>
    <n v="21305523"/>
    <m/>
  </r>
  <r>
    <n v="5"/>
    <x v="4"/>
    <x v="0"/>
    <s v="Mayo"/>
    <s v="ANAMLOBE"/>
    <x v="3"/>
    <x v="3"/>
    <n v="19747742"/>
    <n v="420000"/>
    <n v="2276974"/>
    <n v="17050768"/>
    <n v="10025000"/>
    <n v="1.7008247381546135"/>
    <x v="1"/>
    <n v="24"/>
    <s v="IPS Pto De Vista Unicentro"/>
    <s v="Antioquia"/>
    <s v="Siempre Cumple"/>
    <m/>
    <m/>
    <m/>
    <m/>
    <m/>
    <m/>
    <n v="19747742"/>
    <m/>
  </r>
  <r>
    <n v="5"/>
    <x v="4"/>
    <x v="0"/>
    <s v="Mayo"/>
    <s v="ANAMSAPV"/>
    <x v="37"/>
    <x v="7"/>
    <n v="273053"/>
    <n v="0"/>
    <n v="273053"/>
    <n v="0"/>
    <m/>
    <m/>
    <x v="0"/>
    <n v="24"/>
    <s v=""/>
    <s v=""/>
    <s v="No Aplica"/>
    <m/>
    <m/>
    <m/>
    <m/>
    <m/>
    <m/>
    <n v="273053"/>
    <m/>
  </r>
  <r>
    <n v="5"/>
    <x v="4"/>
    <x v="0"/>
    <s v="Mayo"/>
    <s v="ANGEGAAR"/>
    <x v="4"/>
    <x v="4"/>
    <n v="52111297"/>
    <n v="1089400"/>
    <n v="14474545"/>
    <n v="36547352"/>
    <n v="37937500"/>
    <n v="0.96335688962108734"/>
    <x v="1"/>
    <n v="24"/>
    <s v="IPS Pto De Vista San Diego"/>
    <s v="Antioquia"/>
    <s v="Fluctúa"/>
    <m/>
    <m/>
    <m/>
    <m/>
    <m/>
    <m/>
    <n v="52111297"/>
    <m/>
  </r>
  <r>
    <n v="5"/>
    <x v="4"/>
    <x v="0"/>
    <s v="Mayo"/>
    <s v="ANLLLIZO"/>
    <x v="5"/>
    <x v="5"/>
    <n v="1654152"/>
    <n v="356400"/>
    <n v="278839"/>
    <n v="1018913"/>
    <n v="5416666.666666666"/>
    <n v="0.18810701538461541"/>
    <x v="0"/>
    <n v="24"/>
    <s v=""/>
    <s v=""/>
    <s v="No Aplica"/>
    <m/>
    <m/>
    <m/>
    <m/>
    <m/>
    <m/>
    <n v="1654152"/>
    <m/>
  </r>
  <r>
    <n v="5"/>
    <x v="4"/>
    <x v="0"/>
    <s v="Mayo"/>
    <s v="ASTRGAAC"/>
    <x v="37"/>
    <x v="7"/>
    <n v="304060"/>
    <n v="0"/>
    <n v="0"/>
    <n v="304060"/>
    <m/>
    <m/>
    <x v="0"/>
    <n v="24"/>
    <s v=""/>
    <s v=""/>
    <s v="No Aplica"/>
    <m/>
    <m/>
    <m/>
    <m/>
    <m/>
    <m/>
    <n v="304060"/>
    <m/>
  </r>
  <r>
    <n v="5"/>
    <x v="4"/>
    <x v="0"/>
    <s v="Mayo"/>
    <s v="BIBIBECA"/>
    <x v="6"/>
    <x v="6"/>
    <n v="55515851"/>
    <n v="1923400"/>
    <n v="11094684"/>
    <n v="42497767"/>
    <n v="40000000"/>
    <n v="1.062444175"/>
    <x v="1"/>
    <n v="24"/>
    <s v="IPS Pto De Vista Centro"/>
    <s v="Antioquia"/>
    <s v="Fluctúa"/>
    <m/>
    <m/>
    <m/>
    <m/>
    <m/>
    <m/>
    <n v="55515851"/>
    <m/>
  </r>
  <r>
    <n v="5"/>
    <x v="4"/>
    <x v="0"/>
    <s v="Mayo"/>
    <s v="CAROVABE"/>
    <x v="8"/>
    <x v="32"/>
    <n v="52189801"/>
    <n v="998900"/>
    <n v="10177312"/>
    <n v="41013589"/>
    <n v="40000000"/>
    <n v="1.025339725"/>
    <x v="0"/>
    <n v="24"/>
    <s v=""/>
    <s v=""/>
    <s v="No Aplica"/>
    <m/>
    <m/>
    <m/>
    <m/>
    <m/>
    <m/>
    <n v="52189801"/>
    <m/>
  </r>
  <r>
    <n v="5"/>
    <x v="4"/>
    <x v="0"/>
    <s v="Mayo"/>
    <s v="CLAUBLAR"/>
    <x v="9"/>
    <x v="8"/>
    <n v="60217905"/>
    <n v="420000"/>
    <n v="11910402"/>
    <n v="47887503"/>
    <n v="40000000"/>
    <n v="1.1971875750000001"/>
    <x v="1"/>
    <n v="24"/>
    <s v="IPS Pto De Vista Centro"/>
    <s v="Antioquia"/>
    <s v="Fluctúa"/>
    <m/>
    <m/>
    <m/>
    <m/>
    <m/>
    <m/>
    <n v="60217905"/>
    <m/>
  </r>
  <r>
    <n v="5"/>
    <x v="4"/>
    <x v="0"/>
    <s v="Mayo"/>
    <s v="CLAUPACO"/>
    <x v="10"/>
    <x v="9"/>
    <n v="17405268"/>
    <n v="1138000"/>
    <n v="2637503"/>
    <n v="13629765"/>
    <n v="20583333.333333332"/>
    <n v="0.66217481781376519"/>
    <x v="0"/>
    <n v="24"/>
    <s v=""/>
    <s v=""/>
    <s v="No Aplica"/>
    <m/>
    <m/>
    <m/>
    <m/>
    <m/>
    <m/>
    <n v="17405268"/>
    <m/>
  </r>
  <r>
    <n v="5"/>
    <x v="4"/>
    <x v="0"/>
    <s v="Mayo"/>
    <s v="DERLARMO"/>
    <x v="11"/>
    <x v="10"/>
    <n v="20176198"/>
    <n v="1047800"/>
    <n v="3797051"/>
    <n v="15331347"/>
    <n v="21000000"/>
    <n v="0.73006414285714283"/>
    <x v="1"/>
    <n v="24"/>
    <s v="IPS Pto De Vista Olaya"/>
    <s v="Centro"/>
    <s v="Cumple"/>
    <m/>
    <m/>
    <m/>
    <m/>
    <m/>
    <m/>
    <n v="20176198"/>
    <m/>
  </r>
  <r>
    <n v="5"/>
    <x v="4"/>
    <x v="0"/>
    <s v="Mayo"/>
    <s v="DIANPAAL"/>
    <x v="12"/>
    <x v="11"/>
    <n v="25002323"/>
    <n v="1058100"/>
    <n v="2584230"/>
    <n v="21359993"/>
    <n v="30100000"/>
    <n v="0.70963431893687712"/>
    <x v="1"/>
    <n v="24"/>
    <s v="IPS Pto De Vista Rionegro"/>
    <s v="Antioquia"/>
    <s v="Cumple"/>
    <m/>
    <m/>
    <m/>
    <m/>
    <m/>
    <m/>
    <n v="25002323"/>
    <m/>
  </r>
  <r>
    <n v="5"/>
    <x v="4"/>
    <x v="0"/>
    <s v="Mayo"/>
    <s v="DIANPOPA"/>
    <x v="13"/>
    <x v="33"/>
    <n v="24439162"/>
    <n v="0"/>
    <n v="0"/>
    <n v="24439162"/>
    <n v="30100000"/>
    <n v="0.81193229235880404"/>
    <x v="0"/>
    <n v="24"/>
    <s v=""/>
    <s v=""/>
    <s v="No Aplica"/>
    <m/>
    <m/>
    <m/>
    <m/>
    <m/>
    <m/>
    <n v="24439162"/>
    <m/>
  </r>
  <r>
    <n v="5"/>
    <x v="4"/>
    <x v="0"/>
    <s v="Mayo"/>
    <s v="DIANQUME"/>
    <x v="14"/>
    <x v="12"/>
    <n v="42807644"/>
    <n v="0"/>
    <n v="12075166"/>
    <n v="30732478"/>
    <n v="28333333.333333336"/>
    <n v="1.084675694117647"/>
    <x v="1"/>
    <n v="24"/>
    <s v="IPS Pto De Vista Molinos"/>
    <s v="Antioquia"/>
    <s v="Cumple"/>
    <m/>
    <m/>
    <m/>
    <m/>
    <m/>
    <m/>
    <n v="42807644"/>
    <m/>
  </r>
  <r>
    <n v="5"/>
    <x v="4"/>
    <x v="0"/>
    <s v="Mayo"/>
    <s v="ELIZVESU"/>
    <x v="15"/>
    <x v="13"/>
    <n v="12747561"/>
    <n v="285400"/>
    <n v="1806410"/>
    <n v="10655751"/>
    <n v="10500000"/>
    <n v="1.0148334285714287"/>
    <x v="1"/>
    <n v="24"/>
    <s v="IPS Pto De Vista Unicentro"/>
    <s v="Antioquia"/>
    <s v="Fluctúa"/>
    <m/>
    <m/>
    <m/>
    <m/>
    <m/>
    <m/>
    <n v="12747561"/>
    <m/>
  </r>
  <r>
    <n v="5"/>
    <x v="4"/>
    <x v="0"/>
    <s v="Mayo"/>
    <s v="GENNHEPO"/>
    <x v="16"/>
    <x v="14"/>
    <n v="45635536"/>
    <n v="702700"/>
    <n v="8863927"/>
    <n v="36068909"/>
    <n v="40000000"/>
    <n v="0.90172272499999995"/>
    <x v="1"/>
    <n v="24"/>
    <s v="IPS Pto De Vista Punto Clave"/>
    <s v="Antioquia"/>
    <s v="Fluctúa"/>
    <m/>
    <m/>
    <m/>
    <m/>
    <m/>
    <m/>
    <n v="45635536"/>
    <m/>
  </r>
  <r>
    <n v="5"/>
    <x v="4"/>
    <x v="0"/>
    <s v="Mayo"/>
    <s v="ISABMOGO"/>
    <x v="17"/>
    <x v="15"/>
    <n v="12618158"/>
    <n v="1306000"/>
    <n v="2437232"/>
    <n v="8874926"/>
    <n v="26000000"/>
    <n v="0.3413433076923077"/>
    <x v="1"/>
    <n v="24"/>
    <s v="IPS Pto De Vista Santa Bárbara"/>
    <s v="Centro"/>
    <s v="No Cumple"/>
    <m/>
    <m/>
    <m/>
    <m/>
    <m/>
    <m/>
    <n v="12618158"/>
    <m/>
  </r>
  <r>
    <n v="5"/>
    <x v="4"/>
    <x v="0"/>
    <s v="Mayo"/>
    <s v="JAQUVEGU"/>
    <x v="18"/>
    <x v="16"/>
    <n v="32504174"/>
    <n v="2527200"/>
    <n v="3471546"/>
    <n v="26505428"/>
    <n v="30100000"/>
    <n v="0.88057900332225914"/>
    <x v="0"/>
    <n v="24"/>
    <s v="IPS Pto De Vista Rionegro"/>
    <s v="Antioquia"/>
    <s v="No Aplica"/>
    <m/>
    <m/>
    <m/>
    <m/>
    <m/>
    <m/>
    <n v="32504174"/>
    <m/>
  </r>
  <r>
    <n v="5"/>
    <x v="4"/>
    <x v="0"/>
    <s v="Mayo"/>
    <s v="LAURECFE"/>
    <x v="38"/>
    <x v="38"/>
    <n v="30910682"/>
    <n v="0"/>
    <n v="9985478"/>
    <n v="20925204"/>
    <n v="30746666.666666668"/>
    <n v="0.68056821335646134"/>
    <x v="0"/>
    <n v="24"/>
    <s v=""/>
    <s v=""/>
    <s v="No Aplica"/>
    <m/>
    <m/>
    <m/>
    <m/>
    <m/>
    <m/>
    <n v="30910682"/>
    <m/>
  </r>
  <r>
    <n v="5"/>
    <x v="4"/>
    <x v="0"/>
    <s v="Mayo"/>
    <s v="LEIDGOVI"/>
    <x v="39"/>
    <x v="39"/>
    <n v="49511959"/>
    <n v="2432900"/>
    <n v="12166794"/>
    <n v="34912265"/>
    <n v="26133333.333333336"/>
    <n v="1.3359285076530611"/>
    <x v="1"/>
    <n v="24"/>
    <s v="IPS Pto De Vista Punto Clave"/>
    <s v="Antioquia"/>
    <s v="Fluctúa"/>
    <m/>
    <m/>
    <m/>
    <m/>
    <m/>
    <m/>
    <n v="49511959"/>
    <m/>
  </r>
  <r>
    <n v="5"/>
    <x v="4"/>
    <x v="0"/>
    <s v="Mayo"/>
    <s v="LILACARA"/>
    <x v="19"/>
    <x v="17"/>
    <n v="54872248"/>
    <n v="1284230"/>
    <n v="11684285"/>
    <n v="41903733"/>
    <n v="36000000"/>
    <n v="1.1639925833333333"/>
    <x v="1"/>
    <n v="24"/>
    <s v="IPS Pto De Vista Molinos"/>
    <s v="Antioquia"/>
    <s v="Cumple"/>
    <m/>
    <m/>
    <m/>
    <m/>
    <m/>
    <m/>
    <n v="54872248"/>
    <m/>
  </r>
  <r>
    <n v="5"/>
    <x v="4"/>
    <x v="0"/>
    <s v="Mayo"/>
    <s v="LINAGUDI"/>
    <x v="40"/>
    <x v="40"/>
    <n v="19323149"/>
    <n v="0"/>
    <n v="5918700"/>
    <n v="13404449"/>
    <n v="24080000"/>
    <n v="0.55666316445182729"/>
    <x v="0"/>
    <n v="24"/>
    <s v=""/>
    <s v=""/>
    <s v="No Aplica"/>
    <m/>
    <m/>
    <m/>
    <m/>
    <m/>
    <m/>
    <n v="19323149"/>
    <m/>
  </r>
  <r>
    <n v="5"/>
    <x v="4"/>
    <x v="0"/>
    <s v="Mayo"/>
    <s v="LUZMARMO"/>
    <x v="20"/>
    <x v="18"/>
    <n v="33681412"/>
    <n v="1165530"/>
    <n v="6176598"/>
    <n v="26339284"/>
    <n v="29904166.666666664"/>
    <n v="0.88078976731224756"/>
    <x v="0"/>
    <n v="24"/>
    <s v=""/>
    <s v=""/>
    <s v="No Aplica"/>
    <m/>
    <m/>
    <m/>
    <m/>
    <m/>
    <m/>
    <n v="33681412"/>
    <m/>
  </r>
  <r>
    <n v="5"/>
    <x v="4"/>
    <x v="0"/>
    <s v="Mayo"/>
    <s v="LUZNHEGO"/>
    <x v="21"/>
    <x v="19"/>
    <n v="29786095"/>
    <n v="663030"/>
    <n v="0"/>
    <n v="29123065"/>
    <n v="21000000"/>
    <n v="1.3868126190476191"/>
    <x v="1"/>
    <n v="24"/>
    <s v="IPS Punto de Vista Mayorca"/>
    <s v="Antioquia"/>
    <s v="Siempre Cumple"/>
    <m/>
    <m/>
    <m/>
    <m/>
    <m/>
    <m/>
    <n v="29786095"/>
    <m/>
  </r>
  <r>
    <n v="5"/>
    <x v="4"/>
    <x v="0"/>
    <s v="Mayo"/>
    <s v="MARGGAPA"/>
    <x v="22"/>
    <x v="20"/>
    <n v="55537686"/>
    <n v="684000"/>
    <n v="11456572"/>
    <n v="43397114"/>
    <n v="40000000"/>
    <n v="1.0849278499999999"/>
    <x v="1"/>
    <n v="24"/>
    <s v="IPS Pto De Vista Centro"/>
    <s v="Antioquia"/>
    <s v="Fluctúa"/>
    <m/>
    <m/>
    <m/>
    <m/>
    <m/>
    <m/>
    <n v="55537686"/>
    <m/>
  </r>
  <r>
    <n v="5"/>
    <x v="4"/>
    <x v="0"/>
    <s v="Mayo"/>
    <s v="MARIMASA"/>
    <x v="23"/>
    <x v="34"/>
    <n v="42966417"/>
    <n v="0"/>
    <n v="10085155"/>
    <n v="32881262"/>
    <n v="33000000"/>
    <n v="0.99640187878787878"/>
    <x v="1"/>
    <n v="24"/>
    <s v="IPS Pto De Vista San Diego"/>
    <s v="Antioquia"/>
    <s v="Siempre Cumple"/>
    <m/>
    <m/>
    <m/>
    <m/>
    <m/>
    <m/>
    <n v="42966417"/>
    <m/>
  </r>
  <r>
    <n v="5"/>
    <x v="4"/>
    <x v="0"/>
    <s v="Mayo"/>
    <s v="MARIOCOC"/>
    <x v="24"/>
    <x v="21"/>
    <n v="33183982"/>
    <n v="1378700"/>
    <n v="4184652"/>
    <n v="27620630"/>
    <n v="23829166.666666668"/>
    <n v="1.1591101940898758"/>
    <x v="1"/>
    <n v="24"/>
    <s v="IPS Pto De Vista Rionegro"/>
    <s v="Antioquia"/>
    <s v="Cumple"/>
    <m/>
    <m/>
    <m/>
    <m/>
    <m/>
    <m/>
    <n v="33183982"/>
    <m/>
  </r>
  <r>
    <n v="5"/>
    <x v="4"/>
    <x v="0"/>
    <s v="Mayo"/>
    <s v="MARISEAR"/>
    <x v="25"/>
    <x v="22"/>
    <n v="35234581"/>
    <n v="2614700"/>
    <n v="10320320"/>
    <n v="22299561"/>
    <n v="26666666.666666668"/>
    <n v="0.83623353749999996"/>
    <x v="0"/>
    <n v="24"/>
    <s v=""/>
    <s v=""/>
    <s v="No Aplica"/>
    <m/>
    <m/>
    <m/>
    <m/>
    <m/>
    <m/>
    <n v="35234581"/>
    <m/>
  </r>
  <r>
    <n v="5"/>
    <x v="4"/>
    <x v="0"/>
    <s v="Mayo"/>
    <s v="MARISLAC"/>
    <x v="41"/>
    <x v="41"/>
    <n v="15759300"/>
    <n v="474000"/>
    <n v="3348119"/>
    <n v="11937181"/>
    <n v="20800000"/>
    <n v="0.57390293269230774"/>
    <x v="0"/>
    <n v="24"/>
    <s v=""/>
    <s v=""/>
    <s v="No Aplica"/>
    <m/>
    <m/>
    <m/>
    <m/>
    <m/>
    <m/>
    <n v="15759300"/>
    <m/>
  </r>
  <r>
    <n v="5"/>
    <x v="4"/>
    <x v="0"/>
    <s v="Mayo"/>
    <s v="MARISOCA"/>
    <x v="26"/>
    <x v="23"/>
    <n v="42979690"/>
    <n v="418000"/>
    <n v="10662699"/>
    <n v="31898991"/>
    <n v="40000000"/>
    <n v="0.79747477499999997"/>
    <x v="0"/>
    <n v="24"/>
    <s v=""/>
    <s v=""/>
    <s v="No Aplica"/>
    <m/>
    <m/>
    <m/>
    <m/>
    <m/>
    <m/>
    <n v="42979690"/>
    <m/>
  </r>
  <r>
    <n v="5"/>
    <x v="4"/>
    <x v="0"/>
    <s v="Mayo"/>
    <s v="MONIMEME"/>
    <x v="27"/>
    <x v="24"/>
    <n v="57578906"/>
    <n v="816000"/>
    <n v="11657564"/>
    <n v="45105342"/>
    <n v="40000000"/>
    <n v="1.1276335500000001"/>
    <x v="0"/>
    <n v="24"/>
    <s v=""/>
    <s v=""/>
    <s v="No Aplica"/>
    <m/>
    <m/>
    <m/>
    <m/>
    <m/>
    <m/>
    <n v="57578906"/>
    <m/>
  </r>
  <r>
    <n v="5"/>
    <x v="4"/>
    <x v="0"/>
    <s v="Mayo"/>
    <s v="NATAPIDU"/>
    <x v="28"/>
    <x v="25"/>
    <n v="45254387"/>
    <n v="256860"/>
    <n v="565862"/>
    <n v="44431665"/>
    <n v="36000000"/>
    <n v="1.2342129166666667"/>
    <x v="1"/>
    <n v="24"/>
    <s v="IPS Pto De Vista Industriales"/>
    <s v="Antioquia"/>
    <s v="Cumple"/>
    <m/>
    <m/>
    <m/>
    <m/>
    <m/>
    <m/>
    <n v="45254387"/>
    <m/>
  </r>
  <r>
    <n v="5"/>
    <x v="4"/>
    <x v="0"/>
    <s v="Mayo"/>
    <s v="OSCADESU"/>
    <x v="29"/>
    <x v="26"/>
    <n v="31246463"/>
    <n v="1311400"/>
    <n v="10877416"/>
    <n v="19057647"/>
    <n v="26000000"/>
    <n v="0.73298642307692308"/>
    <x v="0"/>
    <n v="24"/>
    <s v=""/>
    <s v=""/>
    <s v="No Aplica"/>
    <m/>
    <m/>
    <m/>
    <m/>
    <m/>
    <m/>
    <n v="31246463"/>
    <m/>
  </r>
  <r>
    <n v="5"/>
    <x v="4"/>
    <x v="0"/>
    <s v="Mayo"/>
    <s v="PAULESVE"/>
    <x v="37"/>
    <x v="7"/>
    <n v="44000"/>
    <n v="0"/>
    <n v="44000"/>
    <n v="0"/>
    <m/>
    <m/>
    <x v="0"/>
    <n v="24"/>
    <s v=""/>
    <s v=""/>
    <s v="No Aplica"/>
    <m/>
    <m/>
    <m/>
    <m/>
    <m/>
    <m/>
    <n v="44000"/>
    <m/>
  </r>
  <r>
    <n v="5"/>
    <x v="4"/>
    <x v="0"/>
    <s v="Mayo"/>
    <s v="PAULGOBA"/>
    <x v="35"/>
    <x v="36"/>
    <n v="71311962"/>
    <n v="0"/>
    <n v="10330401"/>
    <n v="60981561"/>
    <n v="32080000"/>
    <n v="1.9009214775561096"/>
    <x v="1"/>
    <n v="24"/>
    <s v="Ferias Empresariales Antioquia"/>
    <s v="Antioquia"/>
    <s v="Fluctúa"/>
    <m/>
    <m/>
    <m/>
    <m/>
    <m/>
    <m/>
    <n v="71311962"/>
    <m/>
  </r>
  <r>
    <n v="5"/>
    <x v="4"/>
    <x v="0"/>
    <s v="Mayo"/>
    <s v="RAULMOGA"/>
    <x v="30"/>
    <x v="27"/>
    <n v="21591778"/>
    <n v="0"/>
    <n v="3739040"/>
    <n v="17852738"/>
    <n v="21000000"/>
    <n v="0.85013038095238092"/>
    <x v="0"/>
    <n v="24"/>
    <s v="IPS Pto De Vista Olaya"/>
    <s v="Centro"/>
    <s v="No Aplica"/>
    <m/>
    <m/>
    <m/>
    <m/>
    <m/>
    <m/>
    <n v="21591778"/>
    <m/>
  </r>
  <r>
    <n v="5"/>
    <x v="4"/>
    <x v="0"/>
    <s v="Mayo"/>
    <s v="ROCIFASA"/>
    <x v="31"/>
    <x v="28"/>
    <n v="27102271"/>
    <n v="838800"/>
    <n v="0"/>
    <n v="26263471"/>
    <n v="21000000"/>
    <n v="1.2506414761904763"/>
    <x v="1"/>
    <n v="24"/>
    <s v="Optica Salud Sura Chipichape"/>
    <s v="Occidente"/>
    <s v="Cumple"/>
    <m/>
    <m/>
    <m/>
    <m/>
    <m/>
    <m/>
    <n v="27102271"/>
    <m/>
  </r>
  <r>
    <n v="5"/>
    <x v="4"/>
    <x v="0"/>
    <s v="Mayo"/>
    <s v="ROSAVEGI"/>
    <x v="32"/>
    <x v="7"/>
    <n v="186473"/>
    <n v="0"/>
    <n v="0"/>
    <n v="186473"/>
    <m/>
    <m/>
    <x v="0"/>
    <n v="24"/>
    <s v=""/>
    <s v=""/>
    <s v="No Aplica"/>
    <m/>
    <m/>
    <m/>
    <m/>
    <m/>
    <m/>
    <n v="186473"/>
    <m/>
  </r>
  <r>
    <n v="5"/>
    <x v="4"/>
    <x v="0"/>
    <s v="Mayo"/>
    <s v="RUBYHIGA"/>
    <x v="42"/>
    <x v="7"/>
    <n v="7976896"/>
    <n v="0"/>
    <n v="3976000"/>
    <n v="4000896"/>
    <m/>
    <m/>
    <x v="0"/>
    <n v="24"/>
    <s v=""/>
    <s v=""/>
    <s v="No Aplica"/>
    <m/>
    <m/>
    <m/>
    <m/>
    <m/>
    <m/>
    <n v="7976896"/>
    <m/>
  </r>
  <r>
    <n v="5"/>
    <x v="4"/>
    <x v="0"/>
    <s v="Mayo"/>
    <s v="VIVIVAZA"/>
    <x v="33"/>
    <x v="30"/>
    <n v="60578613"/>
    <n v="483400"/>
    <n v="13501100"/>
    <n v="46594113"/>
    <n v="40100000"/>
    <n v="1.1619479551122194"/>
    <x v="1"/>
    <n v="24"/>
    <s v="IPS Pto De Vista Unicentro"/>
    <s v="Antioquia"/>
    <s v="Cumple"/>
    <m/>
    <m/>
    <m/>
    <m/>
    <m/>
    <m/>
    <n v="60578613"/>
    <m/>
  </r>
  <r>
    <n v="5"/>
    <x v="4"/>
    <x v="0"/>
    <s v="Mayo"/>
    <s v="ZULYARGA"/>
    <x v="34"/>
    <x v="31"/>
    <n v="62768743"/>
    <n v="2724700"/>
    <n v="14292572"/>
    <n v="45751471"/>
    <n v="40100000"/>
    <n v="1.1409344389027432"/>
    <x v="1"/>
    <n v="24"/>
    <s v="IPS Pto De Vista Molinos"/>
    <s v="Antioquia"/>
    <n v="0"/>
    <m/>
    <m/>
    <m/>
    <m/>
    <m/>
    <m/>
    <n v="62768743"/>
    <m/>
  </r>
  <r>
    <n v="6"/>
    <x v="5"/>
    <x v="0"/>
    <s v="Junio"/>
    <s v="ADRIESAN"/>
    <x v="0"/>
    <x v="7"/>
    <n v="219657"/>
    <n v="0"/>
    <n v="41678"/>
    <n v="177979"/>
    <m/>
    <m/>
    <x v="0"/>
    <n v="25"/>
    <s v=""/>
    <s v=""/>
    <s v="No Aplica"/>
    <m/>
    <m/>
    <m/>
    <m/>
    <m/>
    <m/>
    <n v="219657"/>
    <m/>
  </r>
  <r>
    <n v="6"/>
    <x v="5"/>
    <x v="0"/>
    <s v="Junio"/>
    <s v="ADRIMOLU"/>
    <x v="1"/>
    <x v="1"/>
    <n v="46550776"/>
    <n v="940800"/>
    <n v="15445862"/>
    <n v="30164114"/>
    <n v="27670833.333333332"/>
    <n v="1.0901050082818853"/>
    <x v="1"/>
    <n v="25"/>
    <s v="IPS Pto De Vista Molinos"/>
    <s v="Antioquia"/>
    <s v="Cumple"/>
    <m/>
    <m/>
    <m/>
    <m/>
    <m/>
    <m/>
    <n v="46550776"/>
    <m/>
  </r>
  <r>
    <n v="6"/>
    <x v="5"/>
    <x v="0"/>
    <s v="Junio"/>
    <s v="ALEXLOGR"/>
    <x v="2"/>
    <x v="2"/>
    <n v="46347776"/>
    <n v="1410800"/>
    <n v="12431471"/>
    <n v="32505505"/>
    <n v="40000000"/>
    <n v="0.81263762500000003"/>
    <x v="1"/>
    <n v="25"/>
    <s v="IPS Punto de Vista Bello"/>
    <s v="Antioquia"/>
    <s v="Fluctúa"/>
    <m/>
    <m/>
    <m/>
    <m/>
    <m/>
    <m/>
    <n v="46347776"/>
    <m/>
  </r>
  <r>
    <n v="6"/>
    <x v="5"/>
    <x v="0"/>
    <s v="Junio"/>
    <s v="ALVAOSOS"/>
    <x v="36"/>
    <x v="37"/>
    <n v="35573711"/>
    <n v="0"/>
    <n v="13283778"/>
    <n v="22289933"/>
    <n v="27090000"/>
    <n v="0.82281037283130309"/>
    <x v="1"/>
    <n v="25"/>
    <s v="IPS Pto De Vista Punto Clave"/>
    <s v="Antioquia"/>
    <s v="Siempre Cumple"/>
    <m/>
    <m/>
    <m/>
    <m/>
    <m/>
    <m/>
    <n v="35573711"/>
    <m/>
  </r>
  <r>
    <n v="6"/>
    <x v="5"/>
    <x v="0"/>
    <s v="Junio"/>
    <s v="ANAMLOBE"/>
    <x v="3"/>
    <x v="3"/>
    <n v="71870923"/>
    <n v="638100"/>
    <n v="12288200"/>
    <n v="58944623"/>
    <n v="40100000"/>
    <n v="1.4699407231920198"/>
    <x v="1"/>
    <n v="25"/>
    <s v="IPS Pto De Vista Unicentro"/>
    <s v="Antioquia"/>
    <s v="Siempre Cumple"/>
    <m/>
    <m/>
    <m/>
    <m/>
    <m/>
    <m/>
    <n v="71870923"/>
    <m/>
  </r>
  <r>
    <n v="6"/>
    <x v="5"/>
    <x v="0"/>
    <s v="Junio"/>
    <s v="ANAMSAPV"/>
    <x v="37"/>
    <x v="7"/>
    <n v="83000"/>
    <n v="0"/>
    <n v="83000"/>
    <n v="0"/>
    <m/>
    <m/>
    <x v="0"/>
    <n v="25"/>
    <s v=""/>
    <s v=""/>
    <s v="No Aplica"/>
    <m/>
    <m/>
    <m/>
    <m/>
    <m/>
    <m/>
    <n v="83000"/>
    <m/>
  </r>
  <r>
    <n v="6"/>
    <x v="5"/>
    <x v="0"/>
    <s v="Junio"/>
    <s v="ANGEGAAR"/>
    <x v="4"/>
    <x v="4"/>
    <n v="56118088"/>
    <n v="2004000"/>
    <n v="13570500"/>
    <n v="40543588"/>
    <n v="40000000"/>
    <n v="1.0135897"/>
    <x v="1"/>
    <n v="25"/>
    <s v="IPS Pto De Vista San Diego"/>
    <s v="Antioquia"/>
    <s v="Fluctúa"/>
    <m/>
    <m/>
    <m/>
    <m/>
    <m/>
    <m/>
    <n v="56118088"/>
    <m/>
  </r>
  <r>
    <n v="6"/>
    <x v="5"/>
    <x v="0"/>
    <s v="Junio"/>
    <s v="ANLLLIZO"/>
    <x v="5"/>
    <x v="5"/>
    <n v="17138216"/>
    <n v="272000"/>
    <n v="3081600"/>
    <n v="13784616"/>
    <n v="26000000"/>
    <n v="0.53017753846153848"/>
    <x v="0"/>
    <n v="25"/>
    <s v=""/>
    <s v=""/>
    <s v="No Aplica"/>
    <m/>
    <m/>
    <m/>
    <m/>
    <m/>
    <m/>
    <n v="17138216"/>
    <m/>
  </r>
  <r>
    <n v="6"/>
    <x v="5"/>
    <x v="0"/>
    <s v="Junio"/>
    <s v="BIBIBECA"/>
    <x v="6"/>
    <x v="6"/>
    <n v="46186436"/>
    <n v="1266100"/>
    <n v="12648633"/>
    <n v="32271703"/>
    <n v="40000000"/>
    <n v="0.80679257500000001"/>
    <x v="1"/>
    <n v="25"/>
    <s v="IPS Pto De Vista Centro"/>
    <s v="Antioquia"/>
    <s v="Fluctúa"/>
    <m/>
    <m/>
    <m/>
    <m/>
    <m/>
    <m/>
    <n v="46186436"/>
    <m/>
  </r>
  <r>
    <n v="6"/>
    <x v="5"/>
    <x v="0"/>
    <s v="Junio"/>
    <s v="CAROGOCE"/>
    <x v="7"/>
    <x v="7"/>
    <n v="196765"/>
    <n v="0"/>
    <n v="0"/>
    <n v="196765"/>
    <m/>
    <m/>
    <x v="0"/>
    <n v="25"/>
    <s v=""/>
    <s v=""/>
    <s v="No Aplica"/>
    <m/>
    <m/>
    <m/>
    <m/>
    <m/>
    <m/>
    <n v="196765"/>
    <m/>
  </r>
  <r>
    <n v="6"/>
    <x v="5"/>
    <x v="0"/>
    <s v="Junio"/>
    <s v="CAROVABE"/>
    <x v="8"/>
    <x v="32"/>
    <n v="50755487"/>
    <n v="903400"/>
    <n v="13467352"/>
    <n v="36384735"/>
    <n v="40000000"/>
    <n v="0.90961837499999998"/>
    <x v="0"/>
    <n v="25"/>
    <s v=""/>
    <s v=""/>
    <s v="No Aplica"/>
    <m/>
    <m/>
    <m/>
    <m/>
    <m/>
    <m/>
    <n v="50755487"/>
    <m/>
  </r>
  <r>
    <n v="6"/>
    <x v="5"/>
    <x v="0"/>
    <s v="Junio"/>
    <s v="CLAUBLAR"/>
    <x v="9"/>
    <x v="8"/>
    <n v="60692956"/>
    <n v="1292200"/>
    <n v="13387707"/>
    <n v="46013049"/>
    <n v="40000000"/>
    <n v="1.1503262249999999"/>
    <x v="1"/>
    <n v="25"/>
    <s v="IPS Pto De Vista Centro"/>
    <s v="Antioquia"/>
    <s v="Fluctúa"/>
    <m/>
    <m/>
    <m/>
    <m/>
    <m/>
    <m/>
    <n v="60692956"/>
    <m/>
  </r>
  <r>
    <n v="6"/>
    <x v="5"/>
    <x v="0"/>
    <s v="Junio"/>
    <s v="CLAUPACO"/>
    <x v="10"/>
    <x v="9"/>
    <n v="37514479"/>
    <n v="388000"/>
    <n v="5461900"/>
    <n v="31664579"/>
    <n v="26000000"/>
    <n v="1.217868423076923"/>
    <x v="0"/>
    <n v="25"/>
    <s v=""/>
    <s v=""/>
    <s v="No Aplica"/>
    <m/>
    <m/>
    <m/>
    <m/>
    <m/>
    <m/>
    <n v="37514479"/>
    <m/>
  </r>
  <r>
    <n v="6"/>
    <x v="5"/>
    <x v="0"/>
    <s v="Junio"/>
    <s v="DERLARMO"/>
    <x v="11"/>
    <x v="10"/>
    <n v="23880175"/>
    <n v="816000"/>
    <n v="6142697"/>
    <n v="16921478"/>
    <n v="21000000"/>
    <n v="0.8057846666666667"/>
    <x v="1"/>
    <n v="25"/>
    <s v="IPS Pto De Vista Olaya"/>
    <s v="Centro"/>
    <s v="Cumple"/>
    <m/>
    <m/>
    <m/>
    <m/>
    <m/>
    <m/>
    <n v="23880175"/>
    <m/>
  </r>
  <r>
    <n v="6"/>
    <x v="5"/>
    <x v="0"/>
    <s v="Junio"/>
    <s v="DIANPAAL"/>
    <x v="12"/>
    <x v="11"/>
    <n v="45082621"/>
    <n v="1925400"/>
    <n v="8215197"/>
    <n v="34942024"/>
    <n v="30100000"/>
    <n v="1.160864584717608"/>
    <x v="1"/>
    <n v="25"/>
    <s v="IPS Pto De Vista Rionegro"/>
    <s v="Antioquia"/>
    <s v="Cumple"/>
    <m/>
    <m/>
    <m/>
    <m/>
    <m/>
    <m/>
    <n v="45082621"/>
    <m/>
  </r>
  <r>
    <n v="6"/>
    <x v="5"/>
    <x v="0"/>
    <s v="Junio"/>
    <s v="DIANPOPA"/>
    <x v="13"/>
    <x v="33"/>
    <n v="15146478"/>
    <n v="256860"/>
    <n v="0"/>
    <n v="14889618"/>
    <n v="30100000"/>
    <n v="0.49467169435215946"/>
    <x v="0"/>
    <n v="25"/>
    <s v=""/>
    <s v=""/>
    <s v="No Aplica"/>
    <m/>
    <m/>
    <m/>
    <m/>
    <m/>
    <m/>
    <n v="15146478"/>
    <m/>
  </r>
  <r>
    <n v="6"/>
    <x v="5"/>
    <x v="0"/>
    <s v="Junio"/>
    <s v="DIANQUME"/>
    <x v="14"/>
    <x v="12"/>
    <n v="25067081"/>
    <n v="982700"/>
    <n v="3446600"/>
    <n v="20637781"/>
    <n v="20160000"/>
    <n v="1.0236994543650795"/>
    <x v="1"/>
    <n v="25"/>
    <s v="IPS Pto De Vista Molinos"/>
    <s v="Antioquia"/>
    <s v="Cumple"/>
    <m/>
    <m/>
    <m/>
    <m/>
    <m/>
    <m/>
    <n v="25067081"/>
    <m/>
  </r>
  <r>
    <n v="6"/>
    <x v="5"/>
    <x v="0"/>
    <s v="Junio"/>
    <s v="DORYMOCR"/>
    <x v="37"/>
    <x v="7"/>
    <n v="159700"/>
    <n v="0"/>
    <n v="159700"/>
    <n v="0"/>
    <m/>
    <m/>
    <x v="0"/>
    <n v="25"/>
    <s v=""/>
    <s v=""/>
    <s v="No Aplica"/>
    <m/>
    <m/>
    <m/>
    <m/>
    <m/>
    <m/>
    <n v="159700"/>
    <m/>
  </r>
  <r>
    <n v="6"/>
    <x v="5"/>
    <x v="0"/>
    <s v="Junio"/>
    <s v="ELIZVESU"/>
    <x v="15"/>
    <x v="13"/>
    <n v="57277414"/>
    <n v="598200"/>
    <n v="11267278"/>
    <n v="45411936"/>
    <n v="36000000"/>
    <n v="1.2614426666666667"/>
    <x v="1"/>
    <n v="25"/>
    <s v="IPS Pto De Vista Unicentro"/>
    <s v="Antioquia"/>
    <s v="Fluctúa"/>
    <m/>
    <m/>
    <m/>
    <m/>
    <m/>
    <m/>
    <n v="57277414"/>
    <m/>
  </r>
  <r>
    <n v="6"/>
    <x v="5"/>
    <x v="0"/>
    <s v="Junio"/>
    <s v="GENNHEPO"/>
    <x v="16"/>
    <x v="14"/>
    <n v="59789020"/>
    <n v="1688100"/>
    <n v="13090068"/>
    <n v="45010852"/>
    <n v="39840000"/>
    <n v="1.1297904618473895"/>
    <x v="1"/>
    <n v="25"/>
    <s v="IPS Pto De Vista Punto Clave"/>
    <s v="Antioquia"/>
    <s v="Fluctúa"/>
    <m/>
    <m/>
    <m/>
    <m/>
    <m/>
    <m/>
    <n v="59789020"/>
    <m/>
  </r>
  <r>
    <n v="6"/>
    <x v="5"/>
    <x v="0"/>
    <s v="Junio"/>
    <s v="ISABMOGO"/>
    <x v="17"/>
    <x v="15"/>
    <n v="16690339"/>
    <n v="384000"/>
    <n v="3723100"/>
    <n v="12583239"/>
    <n v="6240000"/>
    <n v="2.0165447115384616"/>
    <x v="1"/>
    <n v="25"/>
    <s v="IPS Pto De Vista Santa Bárbara"/>
    <s v="Centro"/>
    <s v="No Cumple"/>
    <m/>
    <m/>
    <m/>
    <m/>
    <m/>
    <m/>
    <n v="16690339"/>
    <m/>
  </r>
  <r>
    <n v="6"/>
    <x v="5"/>
    <x v="0"/>
    <s v="Junio"/>
    <s v="JAQUVEGU"/>
    <x v="18"/>
    <x v="16"/>
    <n v="39514721"/>
    <n v="1323400"/>
    <n v="9201439"/>
    <n v="28989882"/>
    <n v="30100000"/>
    <n v="0.96311900332225908"/>
    <x v="0"/>
    <n v="25"/>
    <s v="IPS Pto De Vista Rionegro"/>
    <s v="Antioquia"/>
    <s v="No Aplica"/>
    <m/>
    <m/>
    <m/>
    <m/>
    <m/>
    <m/>
    <n v="39514721"/>
    <m/>
  </r>
  <r>
    <n v="6"/>
    <x v="5"/>
    <x v="0"/>
    <s v="Junio"/>
    <s v="LAURECFE"/>
    <x v="38"/>
    <x v="38"/>
    <n v="34292198"/>
    <n v="0"/>
    <n v="12283900"/>
    <n v="22008298"/>
    <n v="27090000"/>
    <n v="0.81241410114433366"/>
    <x v="0"/>
    <n v="25"/>
    <s v=""/>
    <s v=""/>
    <s v="No Aplica"/>
    <m/>
    <m/>
    <m/>
    <m/>
    <m/>
    <m/>
    <n v="34292198"/>
    <m/>
  </r>
  <r>
    <n v="6"/>
    <x v="5"/>
    <x v="0"/>
    <s v="Junio"/>
    <s v="LEIDGOVI"/>
    <x v="39"/>
    <x v="39"/>
    <n v="65298816"/>
    <n v="2298000"/>
    <n v="13579633"/>
    <n v="49421183"/>
    <n v="40000000"/>
    <n v="1.2355295749999999"/>
    <x v="1"/>
    <n v="25"/>
    <s v="IPS Pto De Vista Punto Clave"/>
    <s v="Antioquia"/>
    <s v="Fluctúa"/>
    <m/>
    <m/>
    <m/>
    <m/>
    <m/>
    <m/>
    <n v="65298816"/>
    <m/>
  </r>
  <r>
    <n v="6"/>
    <x v="5"/>
    <x v="0"/>
    <s v="Junio"/>
    <s v="LILACARA"/>
    <x v="19"/>
    <x v="17"/>
    <n v="74273078"/>
    <n v="1875660"/>
    <n v="17242000"/>
    <n v="55155418"/>
    <n v="36000000"/>
    <n v="1.5320949444444445"/>
    <x v="1"/>
    <n v="25"/>
    <s v="IPS Pto De Vista Molinos"/>
    <s v="Antioquia"/>
    <s v="Cumple"/>
    <m/>
    <m/>
    <m/>
    <m/>
    <m/>
    <m/>
    <n v="74273078"/>
    <m/>
  </r>
  <r>
    <n v="6"/>
    <x v="5"/>
    <x v="0"/>
    <s v="Junio"/>
    <s v="LINAGUDI"/>
    <x v="40"/>
    <x v="40"/>
    <n v="35017458"/>
    <n v="562700"/>
    <n v="11089400"/>
    <n v="23365358"/>
    <n v="27090000"/>
    <n v="0.86250860095976378"/>
    <x v="0"/>
    <n v="25"/>
    <s v=""/>
    <s v=""/>
    <s v="No Aplica"/>
    <m/>
    <m/>
    <m/>
    <m/>
    <m/>
    <m/>
    <n v="35017458"/>
    <m/>
  </r>
  <r>
    <n v="6"/>
    <x v="5"/>
    <x v="0"/>
    <s v="Junio"/>
    <s v="LUZMARMO"/>
    <x v="20"/>
    <x v="7"/>
    <n v="4114250"/>
    <n v="198000"/>
    <n v="523100"/>
    <n v="3393150"/>
    <m/>
    <m/>
    <x v="0"/>
    <n v="25"/>
    <s v=""/>
    <s v=""/>
    <s v="No Aplica"/>
    <m/>
    <m/>
    <m/>
    <m/>
    <m/>
    <m/>
    <n v="4114250"/>
    <m/>
  </r>
  <r>
    <n v="6"/>
    <x v="5"/>
    <x v="0"/>
    <s v="Junio"/>
    <s v="LUZNHEGO"/>
    <x v="21"/>
    <x v="19"/>
    <n v="27423383"/>
    <n v="378000"/>
    <n v="0"/>
    <n v="27045383"/>
    <n v="21000000"/>
    <n v="1.2878753809523809"/>
    <x v="1"/>
    <n v="25"/>
    <s v="IPS Punto de Vista Mayorca"/>
    <s v="Antioquia"/>
    <s v="Siempre Cumple"/>
    <m/>
    <m/>
    <m/>
    <m/>
    <m/>
    <m/>
    <n v="27423383"/>
    <m/>
  </r>
  <r>
    <n v="6"/>
    <x v="5"/>
    <x v="0"/>
    <s v="Junio"/>
    <s v="MARGGAPA"/>
    <x v="22"/>
    <x v="20"/>
    <n v="50869018"/>
    <n v="1783100"/>
    <n v="14021366"/>
    <n v="35064552"/>
    <n v="40000000"/>
    <n v="0.8766138"/>
    <x v="1"/>
    <n v="25"/>
    <s v="IPS Pto De Vista Centro"/>
    <s v="Antioquia"/>
    <s v="Fluctúa"/>
    <m/>
    <m/>
    <m/>
    <m/>
    <m/>
    <m/>
    <n v="50869018"/>
    <m/>
  </r>
  <r>
    <n v="6"/>
    <x v="5"/>
    <x v="0"/>
    <s v="Junio"/>
    <s v="MARIMASA"/>
    <x v="23"/>
    <x v="34"/>
    <n v="42967898"/>
    <n v="1311400"/>
    <n v="11159500"/>
    <n v="30496998"/>
    <n v="15840000"/>
    <n v="1.9253155303030303"/>
    <x v="1"/>
    <n v="25"/>
    <s v="IPS Pto De Vista San Diego"/>
    <s v="Antioquia"/>
    <s v="Siempre Cumple"/>
    <m/>
    <m/>
    <m/>
    <m/>
    <m/>
    <m/>
    <n v="42967898"/>
    <m/>
  </r>
  <r>
    <n v="6"/>
    <x v="5"/>
    <x v="0"/>
    <s v="Junio"/>
    <s v="MARIOCOC"/>
    <x v="24"/>
    <x v="21"/>
    <n v="53328895"/>
    <n v="1802260"/>
    <n v="8162651"/>
    <n v="43363984"/>
    <n v="38454166.666666664"/>
    <n v="1.1276797226135009"/>
    <x v="1"/>
    <n v="25"/>
    <s v="IPS Pto De Vista Rionegro"/>
    <s v="Antioquia"/>
    <s v="Cumple"/>
    <m/>
    <m/>
    <m/>
    <m/>
    <m/>
    <m/>
    <n v="53328895"/>
    <m/>
  </r>
  <r>
    <n v="6"/>
    <x v="5"/>
    <x v="0"/>
    <s v="Junio"/>
    <s v="MARISEAR"/>
    <x v="25"/>
    <x v="22"/>
    <n v="53949045"/>
    <n v="2907360"/>
    <n v="12979381"/>
    <n v="38062304"/>
    <n v="53366666.666666664"/>
    <n v="0.71322243597751411"/>
    <x v="0"/>
    <n v="25"/>
    <s v=""/>
    <s v=""/>
    <s v="No Aplica"/>
    <m/>
    <m/>
    <m/>
    <m/>
    <m/>
    <m/>
    <n v="53949045"/>
    <m/>
  </r>
  <r>
    <n v="6"/>
    <x v="5"/>
    <x v="0"/>
    <s v="Junio"/>
    <s v="MARISLAC"/>
    <x v="41"/>
    <x v="7"/>
    <n v="1571048"/>
    <n v="0"/>
    <n v="363400"/>
    <n v="1207648"/>
    <m/>
    <m/>
    <x v="0"/>
    <n v="25"/>
    <s v=""/>
    <s v=""/>
    <s v="No Aplica"/>
    <m/>
    <m/>
    <m/>
    <m/>
    <m/>
    <m/>
    <n v="1571048"/>
    <m/>
  </r>
  <r>
    <n v="6"/>
    <x v="5"/>
    <x v="0"/>
    <s v="Junio"/>
    <s v="MARISOCA"/>
    <x v="26"/>
    <x v="23"/>
    <n v="36184672"/>
    <n v="1598700"/>
    <n v="8710456"/>
    <n v="25875516"/>
    <n v="40000000"/>
    <n v="0.64688789999999996"/>
    <x v="0"/>
    <n v="25"/>
    <s v=""/>
    <s v=""/>
    <s v="No Aplica"/>
    <m/>
    <m/>
    <m/>
    <m/>
    <m/>
    <m/>
    <n v="36184672"/>
    <m/>
  </r>
  <r>
    <n v="6"/>
    <x v="5"/>
    <x v="0"/>
    <s v="Junio"/>
    <s v="MONIMEME"/>
    <x v="27"/>
    <x v="24"/>
    <n v="60757457"/>
    <n v="1454100"/>
    <n v="14893412"/>
    <n v="44409945"/>
    <n v="40000000"/>
    <n v="1.1102486250000001"/>
    <x v="0"/>
    <n v="25"/>
    <s v=""/>
    <s v=""/>
    <s v="No Aplica"/>
    <m/>
    <m/>
    <m/>
    <m/>
    <m/>
    <m/>
    <n v="60757457"/>
    <m/>
  </r>
  <r>
    <n v="6"/>
    <x v="5"/>
    <x v="0"/>
    <s v="Junio"/>
    <s v="NATAPIDU"/>
    <x v="28"/>
    <x v="25"/>
    <n v="40230653"/>
    <n v="986700"/>
    <n v="2409255"/>
    <n v="36834698"/>
    <n v="34560000"/>
    <n v="1.0658188078703703"/>
    <x v="1"/>
    <n v="25"/>
    <s v="IPS Pto De Vista Industriales"/>
    <s v="Antioquia"/>
    <s v="Cumple"/>
    <m/>
    <m/>
    <m/>
    <m/>
    <m/>
    <m/>
    <n v="40230653"/>
    <m/>
  </r>
  <r>
    <n v="6"/>
    <x v="5"/>
    <x v="0"/>
    <s v="Junio"/>
    <s v="OSCADESU"/>
    <x v="29"/>
    <x v="26"/>
    <n v="39204251"/>
    <n v="816000"/>
    <n v="10855433"/>
    <n v="27532818"/>
    <n v="26000000"/>
    <n v="1.0589545384615384"/>
    <x v="0"/>
    <n v="25"/>
    <s v=""/>
    <s v=""/>
    <s v="No Aplica"/>
    <m/>
    <m/>
    <m/>
    <m/>
    <m/>
    <m/>
    <n v="39204251"/>
    <m/>
  </r>
  <r>
    <n v="6"/>
    <x v="5"/>
    <x v="0"/>
    <s v="Junio"/>
    <s v="PAULESVE"/>
    <x v="37"/>
    <x v="7"/>
    <n v="726800"/>
    <n v="0"/>
    <n v="726800"/>
    <n v="0"/>
    <m/>
    <m/>
    <x v="0"/>
    <n v="25"/>
    <s v=""/>
    <s v=""/>
    <s v="No Aplica"/>
    <m/>
    <m/>
    <m/>
    <m/>
    <m/>
    <m/>
    <n v="726800"/>
    <m/>
  </r>
  <r>
    <n v="6"/>
    <x v="5"/>
    <x v="0"/>
    <s v="Junio"/>
    <s v="PAULGOBA"/>
    <x v="35"/>
    <x v="36"/>
    <n v="44683494"/>
    <n v="0"/>
    <n v="2972400"/>
    <n v="41711094"/>
    <n v="40100000"/>
    <n v="1.0401769077306733"/>
    <x v="1"/>
    <n v="25"/>
    <s v="Ferias Empresariales Antioquia"/>
    <s v="Antioquia"/>
    <s v="Fluctúa"/>
    <m/>
    <m/>
    <m/>
    <m/>
    <m/>
    <m/>
    <n v="44683494"/>
    <m/>
  </r>
  <r>
    <n v="6"/>
    <x v="5"/>
    <x v="0"/>
    <s v="Junio"/>
    <s v="RAULMOGA"/>
    <x v="30"/>
    <x v="27"/>
    <n v="22404051"/>
    <n v="969400"/>
    <n v="3987126"/>
    <n v="17447525"/>
    <n v="21000000"/>
    <n v="0.83083452380952383"/>
    <x v="0"/>
    <n v="25"/>
    <s v="IPS Pto De Vista Olaya"/>
    <s v="Centro"/>
    <s v="No Aplica"/>
    <m/>
    <m/>
    <m/>
    <m/>
    <m/>
    <m/>
    <n v="22404051"/>
    <m/>
  </r>
  <r>
    <n v="6"/>
    <x v="5"/>
    <x v="0"/>
    <s v="Junio"/>
    <s v="ROCIFASA"/>
    <x v="31"/>
    <x v="28"/>
    <n v="24550496"/>
    <n v="970200"/>
    <n v="0"/>
    <n v="23580296"/>
    <n v="21000000"/>
    <n v="1.1228712380952381"/>
    <x v="1"/>
    <n v="25"/>
    <s v="Optica Salud Sura Chipichape"/>
    <s v="Occidente"/>
    <s v="Cumple"/>
    <m/>
    <m/>
    <m/>
    <m/>
    <m/>
    <m/>
    <n v="24550496"/>
    <m/>
  </r>
  <r>
    <n v="6"/>
    <x v="5"/>
    <x v="0"/>
    <s v="Junio"/>
    <s v="RUBYHIGA"/>
    <x v="42"/>
    <x v="42"/>
    <n v="36208678"/>
    <n v="2734200"/>
    <n v="10962800"/>
    <n v="22511678"/>
    <n v="32000000"/>
    <n v="0.7034899375"/>
    <x v="0"/>
    <n v="25"/>
    <s v=""/>
    <s v=""/>
    <s v="No Aplica"/>
    <m/>
    <m/>
    <m/>
    <m/>
    <m/>
    <m/>
    <n v="36208678"/>
    <m/>
  </r>
  <r>
    <n v="6"/>
    <x v="5"/>
    <x v="0"/>
    <s v="Junio"/>
    <s v="VIVIVAZA"/>
    <x v="33"/>
    <x v="30"/>
    <n v="84427441"/>
    <n v="2529400"/>
    <n v="19230500"/>
    <n v="62667541"/>
    <n v="40100000"/>
    <n v="1.5627815710723192"/>
    <x v="1"/>
    <n v="25"/>
    <s v="IPS Pto De Vista Unicentro"/>
    <s v="Antioquia"/>
    <s v="Cumple"/>
    <m/>
    <m/>
    <m/>
    <m/>
    <m/>
    <m/>
    <n v="84427441"/>
    <m/>
  </r>
  <r>
    <n v="6"/>
    <x v="5"/>
    <x v="0"/>
    <s v="Junio"/>
    <s v="ZULYARGA"/>
    <x v="34"/>
    <x v="31"/>
    <n v="59704251"/>
    <n v="2746200"/>
    <n v="15147600"/>
    <n v="41810451"/>
    <n v="40100000"/>
    <n v="1.0426546384039901"/>
    <x v="1"/>
    <n v="25"/>
    <s v="IPS Pto De Vista Molinos"/>
    <s v="Antioquia"/>
    <n v="0"/>
    <m/>
    <m/>
    <m/>
    <m/>
    <m/>
    <m/>
    <n v="59704251"/>
    <m/>
  </r>
  <r>
    <n v="7"/>
    <x v="6"/>
    <x v="0"/>
    <s v="Julio"/>
    <s v="ADRIESAN"/>
    <x v="0"/>
    <x v="7"/>
    <n v="1043043"/>
    <n v="0"/>
    <n v="0"/>
    <n v="1043043"/>
    <m/>
    <m/>
    <x v="0"/>
    <n v="24"/>
    <s v=""/>
    <s v=""/>
    <s v="No Aplica"/>
    <m/>
    <m/>
    <m/>
    <m/>
    <m/>
    <m/>
    <n v="1043043"/>
    <m/>
  </r>
  <r>
    <n v="7"/>
    <x v="6"/>
    <x v="0"/>
    <s v="Julio"/>
    <s v="ADRIMOLU"/>
    <x v="1"/>
    <x v="1"/>
    <n v="48222315"/>
    <n v="1490400"/>
    <n v="14349991"/>
    <n v="32381924"/>
    <n v="26000000"/>
    <n v="1.2454586153846154"/>
    <x v="1"/>
    <n v="24"/>
    <s v="IPS Pto De Vista Molinos"/>
    <s v="Antioquia"/>
    <s v="Cumple"/>
    <m/>
    <m/>
    <m/>
    <m/>
    <m/>
    <m/>
    <n v="48222315"/>
    <m/>
  </r>
  <r>
    <n v="7"/>
    <x v="6"/>
    <x v="0"/>
    <s v="Julio"/>
    <s v="ALEXLOGR"/>
    <x v="2"/>
    <x v="2"/>
    <n v="25566766"/>
    <n v="0"/>
    <n v="5815400"/>
    <n v="19751366"/>
    <n v="10000000"/>
    <n v="1.9751365999999999"/>
    <x v="1"/>
    <n v="24"/>
    <s v="IPS Punto de Vista Bello"/>
    <s v="Antioquia"/>
    <s v="Fluctúa"/>
    <m/>
    <m/>
    <m/>
    <m/>
    <m/>
    <m/>
    <n v="25566766"/>
    <m/>
  </r>
  <r>
    <n v="7"/>
    <x v="6"/>
    <x v="0"/>
    <s v="Julio"/>
    <s v="ALVAOSOS"/>
    <x v="36"/>
    <x v="37"/>
    <n v="37029998"/>
    <n v="1180700"/>
    <n v="9613000"/>
    <n v="26236298"/>
    <n v="30100000"/>
    <n v="0.87163780730897011"/>
    <x v="1"/>
    <n v="24"/>
    <s v="IPS Pto De Vista Punto Clave"/>
    <s v="Antioquia"/>
    <s v="Siempre Cumple"/>
    <m/>
    <m/>
    <m/>
    <m/>
    <m/>
    <m/>
    <n v="37029998"/>
    <m/>
  </r>
  <r>
    <n v="7"/>
    <x v="6"/>
    <x v="0"/>
    <s v="Julio"/>
    <s v="ANAMLOBE"/>
    <x v="3"/>
    <x v="3"/>
    <n v="92307728"/>
    <n v="352700"/>
    <n v="18446600"/>
    <n v="73508428"/>
    <n v="40100000"/>
    <n v="1.8331278802992519"/>
    <x v="1"/>
    <n v="24"/>
    <s v="IPS Pto De Vista Unicentro"/>
    <s v="Antioquia"/>
    <s v="Siempre Cumple"/>
    <m/>
    <m/>
    <m/>
    <m/>
    <m/>
    <m/>
    <n v="92307728"/>
    <m/>
  </r>
  <r>
    <n v="7"/>
    <x v="6"/>
    <x v="0"/>
    <s v="Julio"/>
    <s v="ANAMSAPV"/>
    <x v="37"/>
    <x v="7"/>
    <n v="577700"/>
    <n v="0"/>
    <n v="577700"/>
    <n v="0"/>
    <m/>
    <m/>
    <x v="0"/>
    <n v="24"/>
    <s v=""/>
    <s v=""/>
    <s v="No Aplica"/>
    <m/>
    <m/>
    <m/>
    <m/>
    <m/>
    <m/>
    <n v="577700"/>
    <m/>
  </r>
  <r>
    <n v="7"/>
    <x v="6"/>
    <x v="0"/>
    <s v="Julio"/>
    <s v="ANGEGAAR"/>
    <x v="4"/>
    <x v="4"/>
    <n v="60488714"/>
    <n v="1850100"/>
    <n v="16139100"/>
    <n v="42499514"/>
    <n v="38350000"/>
    <n v="1.1082011473272491"/>
    <x v="1"/>
    <n v="24"/>
    <s v="IPS Pto De Vista San Diego"/>
    <s v="Antioquia"/>
    <s v="Fluctúa"/>
    <m/>
    <m/>
    <m/>
    <m/>
    <m/>
    <m/>
    <n v="60488714"/>
    <m/>
  </r>
  <r>
    <n v="7"/>
    <x v="6"/>
    <x v="0"/>
    <s v="Julio"/>
    <s v="ANLLLIZO"/>
    <x v="5"/>
    <x v="5"/>
    <n v="28233697"/>
    <n v="1497400"/>
    <n v="6426278"/>
    <n v="20310019"/>
    <n v="20583333.333333332"/>
    <n v="0.98672157085020251"/>
    <x v="0"/>
    <n v="24"/>
    <s v=""/>
    <s v=""/>
    <s v="No Aplica"/>
    <m/>
    <m/>
    <m/>
    <m/>
    <m/>
    <m/>
    <n v="28233697"/>
    <m/>
  </r>
  <r>
    <n v="7"/>
    <x v="6"/>
    <x v="0"/>
    <s v="Julio"/>
    <s v="BIBIBECA"/>
    <x v="6"/>
    <x v="6"/>
    <n v="55426932"/>
    <n v="1486200"/>
    <n v="17408600"/>
    <n v="36532132"/>
    <n v="40000000"/>
    <n v="0.91330330000000004"/>
    <x v="1"/>
    <n v="24"/>
    <s v="IPS Pto De Vista Centro"/>
    <s v="Antioquia"/>
    <s v="Fluctúa"/>
    <m/>
    <m/>
    <m/>
    <m/>
    <m/>
    <m/>
    <n v="55426932"/>
    <m/>
  </r>
  <r>
    <n v="7"/>
    <x v="6"/>
    <x v="0"/>
    <s v="Julio"/>
    <s v="CAROVABE"/>
    <x v="8"/>
    <x v="32"/>
    <n v="59925785"/>
    <n v="142700"/>
    <n v="17707999"/>
    <n v="42075086"/>
    <n v="40000000"/>
    <n v="1.0518771499999999"/>
    <x v="0"/>
    <n v="24"/>
    <s v=""/>
    <s v=""/>
    <s v="No Aplica"/>
    <m/>
    <m/>
    <m/>
    <m/>
    <m/>
    <m/>
    <n v="59925785"/>
    <m/>
  </r>
  <r>
    <n v="7"/>
    <x v="6"/>
    <x v="0"/>
    <s v="Julio"/>
    <s v="CLAUBLAR"/>
    <x v="9"/>
    <x v="8"/>
    <n v="59593594"/>
    <n v="1386800"/>
    <n v="15634698"/>
    <n v="42572096"/>
    <n v="40000000"/>
    <n v="1.0643024000000001"/>
    <x v="1"/>
    <n v="24"/>
    <s v="IPS Pto De Vista Centro"/>
    <s v="Antioquia"/>
    <s v="Fluctúa"/>
    <m/>
    <m/>
    <m/>
    <m/>
    <m/>
    <m/>
    <n v="59593594"/>
    <m/>
  </r>
  <r>
    <n v="7"/>
    <x v="6"/>
    <x v="0"/>
    <s v="Julio"/>
    <s v="CLAUPACO"/>
    <x v="10"/>
    <x v="9"/>
    <n v="15616723"/>
    <n v="829400"/>
    <n v="2113600"/>
    <n v="12673723"/>
    <n v="5416666.666666666"/>
    <n v="2.3397642461538464"/>
    <x v="0"/>
    <n v="24"/>
    <s v=""/>
    <s v=""/>
    <s v="No Aplica"/>
    <m/>
    <m/>
    <m/>
    <m/>
    <m/>
    <m/>
    <n v="15616723"/>
    <m/>
  </r>
  <r>
    <n v="7"/>
    <x v="6"/>
    <x v="0"/>
    <s v="Julio"/>
    <s v="DERLARMO"/>
    <x v="11"/>
    <x v="10"/>
    <n v="32552627"/>
    <n v="420000"/>
    <n v="8603600"/>
    <n v="23529027"/>
    <n v="21000000"/>
    <n v="1.120429857142857"/>
    <x v="1"/>
    <n v="24"/>
    <s v="IPS Pto De Vista Olaya"/>
    <s v="Centro"/>
    <s v="Cumple"/>
    <m/>
    <m/>
    <m/>
    <m/>
    <m/>
    <m/>
    <n v="32552627"/>
    <m/>
  </r>
  <r>
    <n v="7"/>
    <x v="6"/>
    <x v="0"/>
    <s v="Julio"/>
    <s v="DIANPAAL"/>
    <x v="12"/>
    <x v="11"/>
    <n v="44401094"/>
    <n v="2187700"/>
    <n v="8385867"/>
    <n v="33827527"/>
    <n v="30100000"/>
    <n v="1.1238381063122924"/>
    <x v="1"/>
    <n v="24"/>
    <s v="IPS Pto De Vista Rionegro"/>
    <s v="Antioquia"/>
    <s v="Cumple"/>
    <m/>
    <m/>
    <m/>
    <m/>
    <m/>
    <m/>
    <n v="44401094"/>
    <m/>
  </r>
  <r>
    <n v="7"/>
    <x v="6"/>
    <x v="0"/>
    <s v="Julio"/>
    <s v="DIANPOPA"/>
    <x v="13"/>
    <x v="33"/>
    <n v="35761894"/>
    <n v="0"/>
    <n v="0"/>
    <n v="35761894"/>
    <n v="30100000"/>
    <n v="1.1881027906976744"/>
    <x v="0"/>
    <n v="24"/>
    <s v=""/>
    <s v=""/>
    <s v="No Aplica"/>
    <m/>
    <m/>
    <m/>
    <m/>
    <m/>
    <m/>
    <n v="35761894"/>
    <m/>
  </r>
  <r>
    <n v="7"/>
    <x v="6"/>
    <x v="0"/>
    <s v="Julio"/>
    <s v="DIANQUME"/>
    <x v="14"/>
    <x v="12"/>
    <n v="61512852"/>
    <n v="4101500"/>
    <n v="13038200"/>
    <n v="44373152"/>
    <n v="36000000"/>
    <n v="1.2325875555555557"/>
    <x v="1"/>
    <n v="24"/>
    <s v="IPS Pto De Vista Molinos"/>
    <s v="Antioquia"/>
    <s v="Cumple"/>
    <m/>
    <m/>
    <m/>
    <m/>
    <m/>
    <m/>
    <n v="61512852"/>
    <m/>
  </r>
  <r>
    <n v="7"/>
    <x v="6"/>
    <x v="0"/>
    <s v="Julio"/>
    <s v="ELIZVESU"/>
    <x v="15"/>
    <x v="13"/>
    <n v="60404679"/>
    <n v="1200700"/>
    <n v="15108900"/>
    <n v="44095079"/>
    <n v="36000000"/>
    <n v="1.2248633055555556"/>
    <x v="1"/>
    <n v="24"/>
    <s v="IPS Pto De Vista Unicentro"/>
    <s v="Antioquia"/>
    <s v="Fluctúa"/>
    <m/>
    <m/>
    <m/>
    <m/>
    <m/>
    <m/>
    <n v="60404679"/>
    <m/>
  </r>
  <r>
    <n v="7"/>
    <x v="6"/>
    <x v="0"/>
    <s v="Julio"/>
    <s v="GENNHEPO"/>
    <x v="16"/>
    <x v="14"/>
    <n v="49064965"/>
    <n v="3304000"/>
    <n v="9855500"/>
    <n v="35905465"/>
    <n v="38500000"/>
    <n v="0.93260948051948056"/>
    <x v="1"/>
    <n v="24"/>
    <s v="IPS Pto De Vista Punto Clave"/>
    <s v="Antioquia"/>
    <s v="Fluctúa"/>
    <m/>
    <m/>
    <m/>
    <m/>
    <m/>
    <m/>
    <n v="49064965"/>
    <m/>
  </r>
  <r>
    <n v="7"/>
    <x v="6"/>
    <x v="0"/>
    <s v="Julio"/>
    <s v="ISABMOGO"/>
    <x v="17"/>
    <x v="15"/>
    <n v="33038406"/>
    <n v="1193800"/>
    <n v="5326100"/>
    <n v="26518506"/>
    <n v="26000000"/>
    <n v="1.0199425384615384"/>
    <x v="1"/>
    <n v="24"/>
    <s v="IPS Pto De Vista Santa Bárbara"/>
    <s v="Centro"/>
    <s v="No Cumple"/>
    <m/>
    <m/>
    <m/>
    <m/>
    <m/>
    <m/>
    <n v="33038406"/>
    <m/>
  </r>
  <r>
    <n v="7"/>
    <x v="6"/>
    <x v="0"/>
    <s v="Julio"/>
    <s v="JAQUVEGU"/>
    <x v="18"/>
    <x v="16"/>
    <n v="37899172"/>
    <n v="2031500"/>
    <n v="8865823"/>
    <n v="27001849"/>
    <n v="27591666.666666668"/>
    <n v="0.97862334038054966"/>
    <x v="0"/>
    <n v="24"/>
    <s v="IPS Pto De Vista Rionegro"/>
    <s v="Antioquia"/>
    <s v="No Aplica"/>
    <m/>
    <m/>
    <m/>
    <m/>
    <m/>
    <m/>
    <n v="37899172"/>
    <m/>
  </r>
  <r>
    <n v="7"/>
    <x v="6"/>
    <x v="0"/>
    <s v="Julio"/>
    <s v="LAURECFE"/>
    <x v="38"/>
    <x v="7"/>
    <n v="9999030"/>
    <n v="0"/>
    <n v="4955600"/>
    <n v="5043430"/>
    <m/>
    <m/>
    <x v="0"/>
    <n v="24"/>
    <s v=""/>
    <s v=""/>
    <s v="No Aplica"/>
    <m/>
    <m/>
    <m/>
    <m/>
    <m/>
    <m/>
    <n v="9999030"/>
    <m/>
  </r>
  <r>
    <n v="7"/>
    <x v="6"/>
    <x v="0"/>
    <s v="Julio"/>
    <s v="LEIDGOVI"/>
    <x v="39"/>
    <x v="39"/>
    <n v="52903397"/>
    <n v="3437400"/>
    <n v="12811100"/>
    <n v="36654897"/>
    <n v="27508333.333333332"/>
    <n v="1.3325015571039081"/>
    <x v="1"/>
    <n v="24"/>
    <s v="IPS Pto De Vista Punto Clave"/>
    <s v="Antioquia"/>
    <s v="Fluctúa"/>
    <m/>
    <m/>
    <m/>
    <m/>
    <m/>
    <m/>
    <n v="52903397"/>
    <m/>
  </r>
  <r>
    <n v="7"/>
    <x v="6"/>
    <x v="0"/>
    <s v="Julio"/>
    <s v="LILACARA"/>
    <x v="19"/>
    <x v="17"/>
    <n v="70993794"/>
    <n v="2765800"/>
    <n v="19340100"/>
    <n v="48887894"/>
    <n v="36000000"/>
    <n v="1.3579970555555556"/>
    <x v="1"/>
    <n v="24"/>
    <s v="IPS Pto De Vista Molinos"/>
    <s v="Antioquia"/>
    <s v="Cumple"/>
    <m/>
    <m/>
    <m/>
    <m/>
    <m/>
    <m/>
    <n v="70993794"/>
    <m/>
  </r>
  <r>
    <n v="7"/>
    <x v="6"/>
    <x v="0"/>
    <s v="Julio"/>
    <s v="LINAGUDI"/>
    <x v="40"/>
    <x v="40"/>
    <n v="35517708"/>
    <n v="285400"/>
    <n v="10396500"/>
    <n v="24835808"/>
    <n v="30100000"/>
    <n v="0.82510990033222587"/>
    <x v="0"/>
    <n v="24"/>
    <s v=""/>
    <s v=""/>
    <s v="No Aplica"/>
    <m/>
    <m/>
    <m/>
    <m/>
    <m/>
    <m/>
    <n v="35517708"/>
    <m/>
  </r>
  <r>
    <n v="7"/>
    <x v="6"/>
    <x v="0"/>
    <s v="Julio"/>
    <s v="LUZMARMO"/>
    <x v="20"/>
    <x v="7"/>
    <n v="663082"/>
    <n v="0"/>
    <n v="479100"/>
    <n v="183982"/>
    <m/>
    <m/>
    <x v="0"/>
    <n v="24"/>
    <s v=""/>
    <s v=""/>
    <s v="No Aplica"/>
    <m/>
    <m/>
    <m/>
    <m/>
    <m/>
    <m/>
    <n v="663082"/>
    <m/>
  </r>
  <r>
    <n v="7"/>
    <x v="6"/>
    <x v="0"/>
    <s v="Julio"/>
    <s v="LUZNHEGO"/>
    <x v="21"/>
    <x v="19"/>
    <n v="25919057"/>
    <n v="554400"/>
    <n v="0"/>
    <n v="25364657"/>
    <n v="21000000"/>
    <n v="1.2078408095238096"/>
    <x v="1"/>
    <n v="24"/>
    <s v="IPS Punto de Vista Mayorca"/>
    <s v="Antioquia"/>
    <s v="Siempre Cumple"/>
    <m/>
    <m/>
    <m/>
    <m/>
    <m/>
    <m/>
    <n v="25919057"/>
    <m/>
  </r>
  <r>
    <n v="7"/>
    <x v="6"/>
    <x v="0"/>
    <s v="Julio"/>
    <s v="MARGGAPA"/>
    <x v="22"/>
    <x v="20"/>
    <n v="60787368"/>
    <n v="1037800"/>
    <n v="17527900"/>
    <n v="42221668"/>
    <n v="40000000"/>
    <n v="1.0555417"/>
    <x v="1"/>
    <n v="24"/>
    <s v="IPS Pto De Vista Centro"/>
    <s v="Antioquia"/>
    <s v="Fluctúa"/>
    <m/>
    <m/>
    <m/>
    <m/>
    <m/>
    <m/>
    <n v="60787368"/>
    <m/>
  </r>
  <r>
    <n v="7"/>
    <x v="6"/>
    <x v="0"/>
    <s v="Julio"/>
    <s v="MARIMASA"/>
    <x v="23"/>
    <x v="34"/>
    <n v="14712749"/>
    <n v="1402700"/>
    <n v="3033500"/>
    <n v="10276549"/>
    <n v="25083333.333333336"/>
    <n v="0.40969630564784049"/>
    <x v="1"/>
    <n v="24"/>
    <s v="IPS Pto De Vista San Diego"/>
    <s v="Antioquia"/>
    <s v="Siempre Cumple"/>
    <m/>
    <m/>
    <m/>
    <m/>
    <m/>
    <m/>
    <n v="14712749"/>
    <m/>
  </r>
  <r>
    <n v="7"/>
    <x v="6"/>
    <x v="0"/>
    <s v="Julio"/>
    <s v="MARIOCOC"/>
    <x v="24"/>
    <x v="21"/>
    <n v="45780818"/>
    <n v="2128700"/>
    <n v="7666270"/>
    <n v="35985848"/>
    <n v="30100000"/>
    <n v="1.195543122923588"/>
    <x v="1"/>
    <n v="24"/>
    <s v="IPS Pto De Vista Rionegro"/>
    <s v="Antioquia"/>
    <s v="Cumple"/>
    <m/>
    <m/>
    <m/>
    <m/>
    <m/>
    <m/>
    <n v="45780818"/>
    <m/>
  </r>
  <r>
    <n v="7"/>
    <x v="6"/>
    <x v="0"/>
    <s v="Julio"/>
    <s v="MARISEAR"/>
    <x v="25"/>
    <x v="22"/>
    <n v="48725686"/>
    <n v="2540260"/>
    <n v="12301412"/>
    <n v="33884014"/>
    <n v="40000000"/>
    <n v="0.84710034999999995"/>
    <x v="0"/>
    <n v="24"/>
    <s v=""/>
    <s v=""/>
    <s v="No Aplica"/>
    <m/>
    <m/>
    <m/>
    <m/>
    <m/>
    <m/>
    <n v="48725686"/>
    <m/>
  </r>
  <r>
    <n v="7"/>
    <x v="6"/>
    <x v="0"/>
    <s v="Julio"/>
    <s v="MARISOCA"/>
    <x v="26"/>
    <x v="23"/>
    <n v="45799016"/>
    <n v="0"/>
    <n v="11265200"/>
    <n v="34533816"/>
    <n v="39666666.666666672"/>
    <n v="0.87060040336134448"/>
    <x v="0"/>
    <n v="24"/>
    <s v=""/>
    <s v=""/>
    <s v="No Aplica"/>
    <m/>
    <m/>
    <m/>
    <m/>
    <m/>
    <m/>
    <n v="45799016"/>
    <m/>
  </r>
  <r>
    <n v="7"/>
    <x v="6"/>
    <x v="0"/>
    <s v="Julio"/>
    <s v="MONIMEME"/>
    <x v="27"/>
    <x v="24"/>
    <n v="60003217"/>
    <n v="436000"/>
    <n v="14920856"/>
    <n v="44646361"/>
    <n v="40000000"/>
    <n v="1.116159025"/>
    <x v="0"/>
    <n v="24"/>
    <s v=""/>
    <s v=""/>
    <s v="No Aplica"/>
    <m/>
    <m/>
    <m/>
    <m/>
    <m/>
    <m/>
    <n v="60003217"/>
    <m/>
  </r>
  <r>
    <n v="7"/>
    <x v="6"/>
    <x v="0"/>
    <s v="Julio"/>
    <s v="NATAPIDU"/>
    <x v="28"/>
    <x v="25"/>
    <n v="20936477"/>
    <n v="0"/>
    <n v="3578600"/>
    <n v="17357877"/>
    <n v="19500000"/>
    <n v="0.89014753846153849"/>
    <x v="1"/>
    <n v="24"/>
    <s v="IPS Pto De Vista Industriales"/>
    <s v="Antioquia"/>
    <s v="Cumple"/>
    <m/>
    <m/>
    <m/>
    <m/>
    <m/>
    <m/>
    <n v="20936477"/>
    <m/>
  </r>
  <r>
    <n v="7"/>
    <x v="6"/>
    <x v="0"/>
    <s v="Julio"/>
    <s v="OSCADESU"/>
    <x v="29"/>
    <x v="26"/>
    <n v="41602020"/>
    <n v="2134200"/>
    <n v="15525800"/>
    <n v="23942020"/>
    <n v="26000000"/>
    <n v="0.92084692307692306"/>
    <x v="0"/>
    <n v="24"/>
    <s v=""/>
    <s v=""/>
    <s v="No Aplica"/>
    <m/>
    <m/>
    <m/>
    <m/>
    <m/>
    <m/>
    <n v="41602020"/>
    <m/>
  </r>
  <r>
    <n v="7"/>
    <x v="6"/>
    <x v="0"/>
    <s v="Julio"/>
    <s v="PAULGOBA"/>
    <x v="35"/>
    <x v="36"/>
    <n v="82167268"/>
    <n v="0"/>
    <n v="7127900"/>
    <n v="75039368"/>
    <n v="40100000"/>
    <n v="1.8713059351620949"/>
    <x v="1"/>
    <n v="24"/>
    <s v="Ferias Empresariales Antioquia"/>
    <s v="Antioquia"/>
    <s v="Fluctúa"/>
    <m/>
    <m/>
    <m/>
    <m/>
    <m/>
    <m/>
    <n v="82167268"/>
    <m/>
  </r>
  <r>
    <n v="7"/>
    <x v="6"/>
    <x v="0"/>
    <s v="Julio"/>
    <s v="RAULMOGA"/>
    <x v="30"/>
    <x v="27"/>
    <n v="33311118"/>
    <n v="1041800"/>
    <n v="8656100"/>
    <n v="23613218"/>
    <n v="21000000"/>
    <n v="1.1244389523809524"/>
    <x v="0"/>
    <n v="24"/>
    <s v="IPS Pto De Vista Olaya"/>
    <s v="Centro"/>
    <s v="No Aplica"/>
    <m/>
    <m/>
    <m/>
    <m/>
    <m/>
    <m/>
    <n v="33311118"/>
    <m/>
  </r>
  <r>
    <n v="7"/>
    <x v="6"/>
    <x v="0"/>
    <s v="Julio"/>
    <s v="ROCIFASA"/>
    <x v="31"/>
    <x v="28"/>
    <n v="24169341"/>
    <n v="545400"/>
    <n v="0"/>
    <n v="23623941"/>
    <n v="21000000"/>
    <n v="1.1249495714285713"/>
    <x v="1"/>
    <n v="24"/>
    <s v="Optica Salud Sura Chipichape"/>
    <s v="Occidente"/>
    <s v="Cumple"/>
    <m/>
    <m/>
    <m/>
    <m/>
    <m/>
    <m/>
    <n v="24169341"/>
    <m/>
  </r>
  <r>
    <n v="7"/>
    <x v="6"/>
    <x v="0"/>
    <s v="Julio"/>
    <s v="RUBYHIGA"/>
    <x v="42"/>
    <x v="42"/>
    <n v="50578288"/>
    <n v="0"/>
    <n v="15772600"/>
    <n v="34805688"/>
    <n v="40000000"/>
    <n v="0.87014219999999998"/>
    <x v="0"/>
    <n v="24"/>
    <s v=""/>
    <s v=""/>
    <s v="No Aplica"/>
    <m/>
    <m/>
    <m/>
    <m/>
    <m/>
    <m/>
    <n v="50578288"/>
    <m/>
  </r>
  <r>
    <n v="7"/>
    <x v="6"/>
    <x v="0"/>
    <s v="Julio"/>
    <s v="VIVIVAZA"/>
    <x v="33"/>
    <x v="30"/>
    <n v="72042331"/>
    <n v="2078390"/>
    <n v="16477300"/>
    <n v="53486641"/>
    <n v="26733333.333333332"/>
    <n v="2.0007471695760599"/>
    <x v="1"/>
    <n v="24"/>
    <s v="IPS Pto De Vista Unicentro"/>
    <s v="Antioquia"/>
    <s v="Cumple"/>
    <m/>
    <m/>
    <m/>
    <m/>
    <m/>
    <m/>
    <n v="72042331"/>
    <m/>
  </r>
  <r>
    <n v="7"/>
    <x v="6"/>
    <x v="0"/>
    <s v="Julio"/>
    <s v="ZULYARGA"/>
    <x v="34"/>
    <x v="31"/>
    <n v="69908750"/>
    <n v="3080800"/>
    <n v="18234000"/>
    <n v="48593950"/>
    <n v="40100000"/>
    <n v="1.2118192019950125"/>
    <x v="1"/>
    <n v="24"/>
    <s v="IPS Pto De Vista Molinos"/>
    <s v="Antioquia"/>
    <n v="0"/>
    <m/>
    <m/>
    <m/>
    <m/>
    <m/>
    <m/>
    <n v="69908750"/>
    <m/>
  </r>
  <r>
    <n v="8"/>
    <x v="7"/>
    <x v="0"/>
    <s v="Agosto"/>
    <s v="ADRIMOLU"/>
    <x v="1"/>
    <x v="1"/>
    <n v="38278436"/>
    <n v="285400"/>
    <n v="11349500"/>
    <n v="26643536"/>
    <n v="26000000"/>
    <n v="1.0247513846153846"/>
    <x v="1"/>
    <n v="26"/>
    <s v="IPS Pto De Vista Molinos"/>
    <s v="Antioquia"/>
    <s v="Cumple"/>
    <m/>
    <m/>
    <m/>
    <m/>
    <m/>
    <m/>
    <n v="38278436"/>
    <m/>
  </r>
  <r>
    <n v="8"/>
    <x v="7"/>
    <x v="0"/>
    <s v="Agosto"/>
    <s v="ALEXLOGR"/>
    <x v="2"/>
    <x v="2"/>
    <n v="26745073"/>
    <n v="825600"/>
    <n v="8310900"/>
    <n v="17608573"/>
    <n v="40000000"/>
    <n v="0.44021432500000002"/>
    <x v="1"/>
    <n v="26"/>
    <s v="IPS Punto de Vista Bello"/>
    <s v="Antioquia"/>
    <s v="Fluctúa"/>
    <m/>
    <m/>
    <m/>
    <m/>
    <m/>
    <m/>
    <n v="26745073"/>
    <m/>
  </r>
  <r>
    <n v="8"/>
    <x v="7"/>
    <x v="0"/>
    <s v="Agosto"/>
    <s v="ALVAOSOS"/>
    <x v="36"/>
    <x v="37"/>
    <n v="27744271"/>
    <n v="1321400"/>
    <n v="6864300"/>
    <n v="19558571"/>
    <n v="30100000"/>
    <n v="0.64978641196013287"/>
    <x v="1"/>
    <n v="26"/>
    <s v="IPS Pto De Vista Punto Clave"/>
    <s v="Antioquia"/>
    <s v="Siempre Cumple"/>
    <m/>
    <m/>
    <m/>
    <m/>
    <m/>
    <m/>
    <n v="27744271"/>
    <m/>
  </r>
  <r>
    <n v="8"/>
    <x v="7"/>
    <x v="0"/>
    <s v="Agosto"/>
    <s v="ANAMLOBE"/>
    <x v="3"/>
    <x v="3"/>
    <n v="87753923"/>
    <n v="1029560"/>
    <n v="16494400"/>
    <n v="70229963"/>
    <n v="40100000"/>
    <n v="1.7513706483790523"/>
    <x v="1"/>
    <n v="26"/>
    <s v="IPS Pto De Vista Unicentro"/>
    <s v="Antioquia"/>
    <s v="Siempre Cumple"/>
    <m/>
    <m/>
    <m/>
    <m/>
    <m/>
    <m/>
    <n v="87753923"/>
    <m/>
  </r>
  <r>
    <n v="8"/>
    <x v="7"/>
    <x v="0"/>
    <s v="Agosto"/>
    <s v="ANGEGAAR"/>
    <x v="4"/>
    <x v="4"/>
    <n v="73510581"/>
    <n v="1200800"/>
    <n v="16942478"/>
    <n v="55367303"/>
    <n v="40000000"/>
    <n v="1.3841825750000001"/>
    <x v="1"/>
    <n v="26"/>
    <s v="IPS Pto De Vista San Diego"/>
    <s v="Antioquia"/>
    <s v="Fluctúa"/>
    <m/>
    <m/>
    <m/>
    <m/>
    <m/>
    <m/>
    <n v="73510581"/>
    <m/>
  </r>
  <r>
    <n v="8"/>
    <x v="7"/>
    <x v="0"/>
    <s v="Agosto"/>
    <s v="BIBIBECA"/>
    <x v="6"/>
    <x v="6"/>
    <n v="59617335"/>
    <n v="1696200"/>
    <n v="14032453"/>
    <n v="43888682"/>
    <n v="40100000"/>
    <n v="1.0944808478802992"/>
    <x v="1"/>
    <n v="26"/>
    <s v="IPS Pto De Vista Centro"/>
    <s v="Antioquia"/>
    <s v="Fluctúa"/>
    <m/>
    <m/>
    <m/>
    <m/>
    <m/>
    <m/>
    <n v="59617335"/>
    <m/>
  </r>
  <r>
    <n v="8"/>
    <x v="7"/>
    <x v="0"/>
    <s v="Agosto"/>
    <s v="CAROVABE"/>
    <x v="8"/>
    <x v="32"/>
    <n v="58880589"/>
    <n v="1311400"/>
    <n v="16494000"/>
    <n v="41075189"/>
    <n v="40000000"/>
    <n v="1.0268797249999999"/>
    <x v="0"/>
    <n v="26"/>
    <s v=""/>
    <s v=""/>
    <s v="No Aplica"/>
    <m/>
    <m/>
    <m/>
    <m/>
    <m/>
    <m/>
    <n v="58880589"/>
    <m/>
  </r>
  <r>
    <n v="8"/>
    <x v="7"/>
    <x v="0"/>
    <s v="Agosto"/>
    <s v="CLAUBLAR"/>
    <x v="9"/>
    <x v="8"/>
    <n v="52382059"/>
    <n v="142700"/>
    <n v="14882666"/>
    <n v="37356693"/>
    <n v="26153846.153846156"/>
    <n v="1.428344144117647"/>
    <x v="1"/>
    <n v="26"/>
    <s v="IPS Pto De Vista Centro"/>
    <s v="Antioquia"/>
    <s v="Fluctúa"/>
    <m/>
    <m/>
    <m/>
    <m/>
    <m/>
    <m/>
    <n v="52382059"/>
    <m/>
  </r>
  <r>
    <n v="8"/>
    <x v="7"/>
    <x v="0"/>
    <s v="Agosto"/>
    <s v="CLAUPACO"/>
    <x v="10"/>
    <x v="9"/>
    <n v="13828550"/>
    <n v="376000"/>
    <n v="2483700"/>
    <n v="10968850"/>
    <n v="26000000"/>
    <n v="0.42187884615384613"/>
    <x v="0"/>
    <n v="26"/>
    <s v=""/>
    <s v=""/>
    <s v="No Aplica"/>
    <m/>
    <m/>
    <m/>
    <m/>
    <m/>
    <m/>
    <n v="13828550"/>
    <m/>
  </r>
  <r>
    <n v="8"/>
    <x v="7"/>
    <x v="0"/>
    <s v="Agosto"/>
    <s v="DERLARMO"/>
    <x v="11"/>
    <x v="10"/>
    <n v="29406125"/>
    <n v="181600"/>
    <n v="7468700"/>
    <n v="21755825"/>
    <n v="21000000"/>
    <n v="1.0359916666666666"/>
    <x v="1"/>
    <n v="26"/>
    <s v="IPS Pto De Vista Olaya"/>
    <s v="Centro"/>
    <s v="Cumple"/>
    <m/>
    <m/>
    <m/>
    <m/>
    <m/>
    <m/>
    <n v="29406125"/>
    <m/>
  </r>
  <r>
    <n v="8"/>
    <x v="7"/>
    <x v="0"/>
    <s v="Agosto"/>
    <s v="DIANPAAL"/>
    <x v="12"/>
    <x v="11"/>
    <n v="44334949"/>
    <n v="2536200"/>
    <n v="8367128"/>
    <n v="33431621"/>
    <n v="30100000"/>
    <n v="1.1106850830564785"/>
    <x v="1"/>
    <n v="26"/>
    <s v="IPS Pto De Vista Rionegro"/>
    <s v="Antioquia"/>
    <s v="Cumple"/>
    <m/>
    <m/>
    <m/>
    <m/>
    <m/>
    <m/>
    <n v="44334949"/>
    <m/>
  </r>
  <r>
    <n v="8"/>
    <x v="7"/>
    <x v="0"/>
    <s v="Agosto"/>
    <s v="DIANPOPA"/>
    <x v="13"/>
    <x v="33"/>
    <n v="4886005"/>
    <n v="0"/>
    <n v="0"/>
    <n v="4886005"/>
    <n v="30100000"/>
    <n v="0.16232574750830564"/>
    <x v="0"/>
    <n v="26"/>
    <s v=""/>
    <s v=""/>
    <s v="No Aplica"/>
    <m/>
    <m/>
    <m/>
    <m/>
    <m/>
    <m/>
    <n v="4886005"/>
    <m/>
  </r>
  <r>
    <n v="8"/>
    <x v="7"/>
    <x v="0"/>
    <s v="Agosto"/>
    <s v="DIANQUME"/>
    <x v="14"/>
    <x v="12"/>
    <n v="57274556"/>
    <n v="1517500"/>
    <n v="13370000"/>
    <n v="42387056"/>
    <n v="36000000"/>
    <n v="1.1774182222222223"/>
    <x v="1"/>
    <n v="26"/>
    <s v="IPS Pto De Vista Molinos"/>
    <s v="Antioquia"/>
    <s v="Cumple"/>
    <m/>
    <m/>
    <m/>
    <m/>
    <m/>
    <m/>
    <n v="57274556"/>
    <m/>
  </r>
  <r>
    <n v="8"/>
    <x v="7"/>
    <x v="0"/>
    <s v="Agosto"/>
    <s v="ELIZVESU"/>
    <x v="15"/>
    <x v="13"/>
    <n v="71505277"/>
    <n v="925400"/>
    <n v="17678678"/>
    <n v="52901199"/>
    <n v="40000000"/>
    <n v="1.3225299749999999"/>
    <x v="1"/>
    <n v="26"/>
    <s v="IPS Pto De Vista Unicentro"/>
    <s v="Antioquia"/>
    <s v="Fluctúa"/>
    <m/>
    <m/>
    <m/>
    <m/>
    <m/>
    <m/>
    <n v="71505277"/>
    <m/>
  </r>
  <r>
    <n v="8"/>
    <x v="7"/>
    <x v="0"/>
    <s v="Agosto"/>
    <s v="GENNHEPO"/>
    <x v="16"/>
    <x v="14"/>
    <n v="54558107"/>
    <n v="396000"/>
    <n v="12808500"/>
    <n v="41353607"/>
    <n v="36000000"/>
    <n v="1.1487113055555556"/>
    <x v="1"/>
    <n v="26"/>
    <s v="IPS Pto De Vista Punto Clave"/>
    <s v="Antioquia"/>
    <s v="Fluctúa"/>
    <m/>
    <m/>
    <m/>
    <m/>
    <m/>
    <m/>
    <n v="54558107"/>
    <m/>
  </r>
  <r>
    <n v="8"/>
    <x v="7"/>
    <x v="0"/>
    <s v="Agosto"/>
    <s v="ISABMOGO"/>
    <x v="17"/>
    <x v="15"/>
    <n v="34471262"/>
    <n v="1224000"/>
    <n v="6235200"/>
    <n v="27012062"/>
    <n v="26000000"/>
    <n v="1.0389254615384615"/>
    <x v="1"/>
    <n v="26"/>
    <s v="IPS Pto De Vista Santa Bárbara"/>
    <s v="Centro"/>
    <s v="No Cumple"/>
    <m/>
    <m/>
    <m/>
    <m/>
    <m/>
    <m/>
    <n v="34471262"/>
    <m/>
  </r>
  <r>
    <n v="8"/>
    <x v="7"/>
    <x v="0"/>
    <s v="Agosto"/>
    <s v="JAQUVEGU"/>
    <x v="18"/>
    <x v="16"/>
    <n v="14168114"/>
    <n v="420000"/>
    <n v="2159415"/>
    <n v="11588699"/>
    <n v="10419230.76923077"/>
    <n v="1.1122413215208564"/>
    <x v="0"/>
    <n v="26"/>
    <s v="IPS Pto De Vista Rionegro"/>
    <s v="Antioquia"/>
    <s v="No Aplica"/>
    <m/>
    <m/>
    <m/>
    <m/>
    <m/>
    <m/>
    <n v="14168114"/>
    <m/>
  </r>
  <r>
    <n v="8"/>
    <x v="7"/>
    <x v="0"/>
    <s v="Agosto"/>
    <s v="KATHVABE"/>
    <x v="43"/>
    <x v="43"/>
    <n v="13259866"/>
    <n v="923400"/>
    <n v="2376900"/>
    <n v="9959566"/>
    <n v="20800000"/>
    <n v="0.47882528846153843"/>
    <x v="0"/>
    <n v="26"/>
    <s v=""/>
    <s v=""/>
    <s v="No Aplica"/>
    <m/>
    <m/>
    <m/>
    <m/>
    <m/>
    <m/>
    <n v="13259866"/>
    <m/>
  </r>
  <r>
    <n v="8"/>
    <x v="7"/>
    <x v="0"/>
    <s v="Agosto"/>
    <s v="LEIDGOVI"/>
    <x v="39"/>
    <x v="39"/>
    <n v="63454938"/>
    <n v="550700"/>
    <n v="11055000"/>
    <n v="51849238"/>
    <n v="40000000"/>
    <n v="1.29623095"/>
    <x v="1"/>
    <n v="26"/>
    <s v="IPS Pto De Vista Punto Clave"/>
    <s v="Antioquia"/>
    <s v="Fluctúa"/>
    <m/>
    <m/>
    <m/>
    <m/>
    <m/>
    <m/>
    <n v="63454938"/>
    <m/>
  </r>
  <r>
    <n v="8"/>
    <x v="7"/>
    <x v="0"/>
    <s v="Agosto"/>
    <s v="LILACARA"/>
    <x v="19"/>
    <x v="17"/>
    <n v="68895653"/>
    <n v="1854000"/>
    <n v="17259400"/>
    <n v="49782253"/>
    <n v="36000000"/>
    <n v="1.3828403611111111"/>
    <x v="1"/>
    <n v="26"/>
    <s v="IPS Pto De Vista Molinos"/>
    <s v="Antioquia"/>
    <s v="Cumple"/>
    <m/>
    <m/>
    <m/>
    <m/>
    <m/>
    <m/>
    <n v="68895653"/>
    <m/>
  </r>
  <r>
    <n v="8"/>
    <x v="7"/>
    <x v="0"/>
    <s v="Agosto"/>
    <s v="LINAGUDI"/>
    <x v="40"/>
    <x v="40"/>
    <n v="38702624"/>
    <n v="142700"/>
    <n v="7748000"/>
    <n v="30811924"/>
    <n v="30100000"/>
    <n v="1.0236519601328904"/>
    <x v="0"/>
    <n v="26"/>
    <s v=""/>
    <s v=""/>
    <s v="No Aplica"/>
    <m/>
    <m/>
    <m/>
    <m/>
    <m/>
    <m/>
    <n v="38702624"/>
    <m/>
  </r>
  <r>
    <n v="8"/>
    <x v="7"/>
    <x v="0"/>
    <s v="Agosto"/>
    <s v="LUZNHEGO"/>
    <x v="21"/>
    <x v="19"/>
    <n v="28551847"/>
    <n v="0"/>
    <n v="0"/>
    <n v="28551847"/>
    <n v="21000000"/>
    <n v="1.3596117619047619"/>
    <x v="1"/>
    <n v="26"/>
    <s v="IPS Punto de Vista Mayorca"/>
    <s v="Antioquia"/>
    <s v="Siempre Cumple"/>
    <m/>
    <m/>
    <m/>
    <m/>
    <m/>
    <m/>
    <n v="28551847"/>
    <m/>
  </r>
  <r>
    <n v="8"/>
    <x v="7"/>
    <x v="0"/>
    <s v="Agosto"/>
    <s v="MARGGAPA"/>
    <x v="22"/>
    <x v="20"/>
    <n v="57916567"/>
    <n v="1824260"/>
    <n v="14553700"/>
    <n v="41538607"/>
    <n v="40000000"/>
    <n v="1.038465175"/>
    <x v="1"/>
    <n v="26"/>
    <s v="IPS Pto De Vista Centro"/>
    <s v="Antioquia"/>
    <s v="Fluctúa"/>
    <m/>
    <m/>
    <m/>
    <m/>
    <m/>
    <m/>
    <n v="57916567"/>
    <m/>
  </r>
  <r>
    <n v="8"/>
    <x v="7"/>
    <x v="0"/>
    <s v="Agosto"/>
    <s v="MARIMASA"/>
    <x v="23"/>
    <x v="34"/>
    <n v="37893733"/>
    <n v="285400"/>
    <n v="6795300"/>
    <n v="30813033"/>
    <n v="30100000"/>
    <n v="1.0236888039867109"/>
    <x v="1"/>
    <n v="26"/>
    <s v="IPS Pto De Vista San Diego"/>
    <s v="Antioquia"/>
    <s v="Siempre Cumple"/>
    <m/>
    <m/>
    <m/>
    <m/>
    <m/>
    <m/>
    <n v="37893733"/>
    <m/>
  </r>
  <r>
    <n v="8"/>
    <x v="7"/>
    <x v="0"/>
    <s v="Agosto"/>
    <s v="MARIOCOC"/>
    <x v="24"/>
    <x v="21"/>
    <n v="44236778"/>
    <n v="1178700"/>
    <n v="7151364"/>
    <n v="35906714"/>
    <n v="30100000"/>
    <n v="1.1929140863787375"/>
    <x v="1"/>
    <n v="26"/>
    <s v="IPS Pto De Vista Rionegro"/>
    <s v="Antioquia"/>
    <s v="Cumple"/>
    <m/>
    <m/>
    <m/>
    <m/>
    <m/>
    <m/>
    <n v="44236778"/>
    <m/>
  </r>
  <r>
    <n v="8"/>
    <x v="7"/>
    <x v="0"/>
    <s v="Agosto"/>
    <s v="MARISEAR"/>
    <x v="25"/>
    <x v="22"/>
    <n v="57483458"/>
    <n v="1564700"/>
    <n v="12645400"/>
    <n v="43273358"/>
    <n v="40000000"/>
    <n v="1.08183395"/>
    <x v="0"/>
    <n v="26"/>
    <s v=""/>
    <s v=""/>
    <s v="No Aplica"/>
    <m/>
    <m/>
    <m/>
    <m/>
    <m/>
    <m/>
    <n v="57483458"/>
    <m/>
  </r>
  <r>
    <n v="8"/>
    <x v="7"/>
    <x v="0"/>
    <s v="Agosto"/>
    <s v="MARISOCA"/>
    <x v="26"/>
    <x v="23"/>
    <n v="24718545"/>
    <n v="396000"/>
    <n v="6570900"/>
    <n v="17751645"/>
    <n v="20792307.692307692"/>
    <n v="0.85376021087680354"/>
    <x v="0"/>
    <n v="26"/>
    <s v=""/>
    <s v=""/>
    <s v="No Aplica"/>
    <m/>
    <m/>
    <m/>
    <m/>
    <m/>
    <m/>
    <n v="24718545"/>
    <m/>
  </r>
  <r>
    <n v="8"/>
    <x v="7"/>
    <x v="0"/>
    <s v="Agosto"/>
    <s v="MONIMEME"/>
    <x v="27"/>
    <x v="24"/>
    <n v="71004799"/>
    <n v="1984700"/>
    <n v="15220300"/>
    <n v="53799799"/>
    <n v="40000000"/>
    <n v="1.3449949750000001"/>
    <x v="0"/>
    <n v="26"/>
    <s v=""/>
    <s v=""/>
    <s v="No Aplica"/>
    <m/>
    <m/>
    <m/>
    <m/>
    <m/>
    <m/>
    <n v="71004799"/>
    <m/>
  </r>
  <r>
    <n v="8"/>
    <x v="7"/>
    <x v="0"/>
    <s v="Agosto"/>
    <s v="NATAPIDU"/>
    <x v="28"/>
    <x v="25"/>
    <n v="44308115"/>
    <n v="128430"/>
    <n v="5473700"/>
    <n v="38705985"/>
    <n v="36000000"/>
    <n v="1.0751662500000001"/>
    <x v="1"/>
    <n v="26"/>
    <s v="IPS Pto De Vista Industriales"/>
    <s v="Antioquia"/>
    <s v="Cumple"/>
    <m/>
    <m/>
    <m/>
    <m/>
    <m/>
    <m/>
    <n v="44308115"/>
    <m/>
  </r>
  <r>
    <n v="8"/>
    <x v="7"/>
    <x v="0"/>
    <s v="Agosto"/>
    <s v="OSCADESU"/>
    <x v="29"/>
    <x v="26"/>
    <n v="40739394"/>
    <n v="2040130"/>
    <n v="12795600"/>
    <n v="25903664"/>
    <n v="26000000"/>
    <n v="0.99629476923076921"/>
    <x v="0"/>
    <n v="26"/>
    <s v=""/>
    <s v=""/>
    <s v="No Aplica"/>
    <m/>
    <m/>
    <m/>
    <m/>
    <m/>
    <m/>
    <n v="40739394"/>
    <m/>
  </r>
  <r>
    <n v="8"/>
    <x v="7"/>
    <x v="0"/>
    <s v="Agosto"/>
    <s v="PAULGOBA"/>
    <x v="35"/>
    <x v="36"/>
    <n v="19225723"/>
    <n v="0"/>
    <n v="5967900"/>
    <n v="13257823"/>
    <n v="40100000"/>
    <n v="0.33061902743142146"/>
    <x v="1"/>
    <n v="26"/>
    <s v="Ferias Empresariales Antioquia"/>
    <s v="Antioquia"/>
    <s v="Fluctúa"/>
    <m/>
    <m/>
    <m/>
    <m/>
    <m/>
    <m/>
    <n v="19225723"/>
    <m/>
  </r>
  <r>
    <n v="8"/>
    <x v="7"/>
    <x v="0"/>
    <s v="Agosto"/>
    <s v="RAULMOGA"/>
    <x v="30"/>
    <x v="27"/>
    <n v="31696878"/>
    <n v="420000"/>
    <n v="7280300"/>
    <n v="23996578"/>
    <n v="21000000"/>
    <n v="1.1426941904761905"/>
    <x v="0"/>
    <n v="26"/>
    <s v="IPS Pto De Vista Olaya"/>
    <s v="Centro"/>
    <s v="No Aplica"/>
    <m/>
    <m/>
    <m/>
    <m/>
    <m/>
    <m/>
    <n v="31696878"/>
    <m/>
  </r>
  <r>
    <n v="8"/>
    <x v="7"/>
    <x v="0"/>
    <s v="Agosto"/>
    <s v="ROCIFASA"/>
    <x v="31"/>
    <x v="28"/>
    <n v="31543160"/>
    <n v="734400"/>
    <n v="0"/>
    <n v="30808760"/>
    <n v="21000000"/>
    <n v="1.4670838095238095"/>
    <x v="1"/>
    <n v="26"/>
    <s v="Optica Salud Sura Chipichape"/>
    <s v="Occidente"/>
    <s v="Cumple"/>
    <m/>
    <m/>
    <m/>
    <m/>
    <m/>
    <m/>
    <n v="31543160"/>
    <m/>
  </r>
  <r>
    <n v="8"/>
    <x v="7"/>
    <x v="0"/>
    <s v="Agosto"/>
    <s v="RUBYHIGA"/>
    <x v="42"/>
    <x v="42"/>
    <n v="32923694"/>
    <n v="1284100"/>
    <n v="10098400"/>
    <n v="21541194"/>
    <n v="40000000"/>
    <n v="0.53852984999999998"/>
    <x v="0"/>
    <n v="26"/>
    <s v=""/>
    <s v=""/>
    <s v="No Aplica"/>
    <m/>
    <m/>
    <m/>
    <m/>
    <m/>
    <m/>
    <n v="32923694"/>
    <m/>
  </r>
  <r>
    <n v="8"/>
    <x v="7"/>
    <x v="0"/>
    <s v="Agosto"/>
    <s v="VIVIVAZA"/>
    <x v="33"/>
    <x v="30"/>
    <n v="69576638"/>
    <n v="760700"/>
    <n v="12568500"/>
    <n v="56247438"/>
    <n v="40100000"/>
    <n v="1.4026792518703242"/>
    <x v="1"/>
    <n v="26"/>
    <s v="IPS Pto De Vista Unicentro"/>
    <s v="Antioquia"/>
    <s v="Cumple"/>
    <m/>
    <m/>
    <m/>
    <m/>
    <m/>
    <m/>
    <n v="69576638"/>
    <m/>
  </r>
  <r>
    <n v="8"/>
    <x v="7"/>
    <x v="0"/>
    <s v="Agosto"/>
    <s v="ZULYARGA"/>
    <x v="34"/>
    <x v="31"/>
    <n v="45688559"/>
    <n v="1923900"/>
    <n v="13247300"/>
    <n v="30517359"/>
    <n v="40000000"/>
    <n v="0.76293397500000004"/>
    <x v="1"/>
    <n v="26"/>
    <s v="IPS Pto De Vista Molinos"/>
    <s v="Antioquia"/>
    <n v="0"/>
    <m/>
    <m/>
    <m/>
    <m/>
    <m/>
    <m/>
    <n v="45688559"/>
    <m/>
  </r>
  <r>
    <n v="9"/>
    <x v="8"/>
    <x v="0"/>
    <s v="Septiembre"/>
    <s v="ADRIMOLU"/>
    <x v="1"/>
    <x v="1"/>
    <n v="36814792"/>
    <n v="1133400"/>
    <n v="9057800"/>
    <n v="26623592"/>
    <n v="26000000"/>
    <n v="1.0239843076923076"/>
    <x v="1"/>
    <n v="26"/>
    <s v="IPS Pto De Vista Molinos"/>
    <s v="Antioquia"/>
    <s v="Cumple"/>
    <m/>
    <m/>
    <m/>
    <m/>
    <m/>
    <m/>
    <n v="36814792"/>
    <m/>
  </r>
  <r>
    <n v="9"/>
    <x v="8"/>
    <x v="0"/>
    <s v="Septiembre"/>
    <s v="ALEXLOGR"/>
    <x v="2"/>
    <x v="2"/>
    <n v="50653408"/>
    <n v="396000"/>
    <n v="9107500"/>
    <n v="41149908"/>
    <n v="40000000"/>
    <n v="1.0287477"/>
    <x v="1"/>
    <n v="26"/>
    <s v="IPS Punto de Vista Bello"/>
    <s v="Antioquia"/>
    <s v="Fluctúa"/>
    <m/>
    <m/>
    <m/>
    <m/>
    <m/>
    <m/>
    <n v="50653408"/>
    <m/>
  </r>
  <r>
    <n v="9"/>
    <x v="8"/>
    <x v="0"/>
    <s v="Septiembre"/>
    <s v="ALVAOSOS"/>
    <x v="36"/>
    <x v="37"/>
    <n v="37311624"/>
    <n v="816000"/>
    <n v="6235000"/>
    <n v="30260624"/>
    <n v="30100000"/>
    <n v="1.0053363455149502"/>
    <x v="1"/>
    <n v="26"/>
    <s v="IPS Pto De Vista Punto Clave"/>
    <s v="Antioquia"/>
    <s v="Siempre Cumple"/>
    <m/>
    <m/>
    <m/>
    <m/>
    <m/>
    <m/>
    <n v="37311624"/>
    <m/>
  </r>
  <r>
    <n v="9"/>
    <x v="8"/>
    <x v="0"/>
    <s v="Septiembre"/>
    <s v="ANAMLOBE"/>
    <x v="3"/>
    <x v="3"/>
    <n v="75326919"/>
    <n v="1478100"/>
    <n v="11865400"/>
    <n v="61983419"/>
    <n v="40100000"/>
    <n v="1.5457211720698254"/>
    <x v="1"/>
    <n v="26"/>
    <s v="IPS Pto De Vista Unicentro"/>
    <s v="Antioquia"/>
    <s v="Siempre Cumple"/>
    <m/>
    <m/>
    <m/>
    <m/>
    <m/>
    <m/>
    <n v="75326919"/>
    <m/>
  </r>
  <r>
    <n v="9"/>
    <x v="8"/>
    <x v="0"/>
    <s v="Septiembre"/>
    <s v="ANGEGAAR"/>
    <x v="4"/>
    <x v="4"/>
    <n v="61511276"/>
    <n v="705400"/>
    <n v="13166400"/>
    <n v="47639476"/>
    <n v="40000000"/>
    <n v="1.1909869"/>
    <x v="1"/>
    <n v="26"/>
    <s v="IPS Pto De Vista San Diego"/>
    <s v="Antioquia"/>
    <s v="Fluctúa"/>
    <m/>
    <m/>
    <m/>
    <m/>
    <m/>
    <m/>
    <n v="61511276"/>
    <m/>
  </r>
  <r>
    <n v="9"/>
    <x v="8"/>
    <x v="0"/>
    <s v="Septiembre"/>
    <s v="BIBIBECA"/>
    <x v="6"/>
    <x v="6"/>
    <n v="62637226"/>
    <n v="2426700"/>
    <n v="11342500"/>
    <n v="48868026"/>
    <n v="40100000"/>
    <n v="1.2186540149625935"/>
    <x v="1"/>
    <n v="26"/>
    <s v="IPS Pto De Vista Centro"/>
    <s v="Antioquia"/>
    <s v="Fluctúa"/>
    <m/>
    <m/>
    <m/>
    <m/>
    <m/>
    <m/>
    <n v="62637226"/>
    <m/>
  </r>
  <r>
    <n v="9"/>
    <x v="8"/>
    <x v="0"/>
    <s v="Septiembre"/>
    <s v="CAROVABE"/>
    <x v="8"/>
    <x v="32"/>
    <n v="53933698"/>
    <n v="729700"/>
    <n v="11860600"/>
    <n v="41343398"/>
    <n v="40000000"/>
    <n v="1.0335849500000001"/>
    <x v="0"/>
    <n v="26"/>
    <s v=""/>
    <s v=""/>
    <s v="No Aplica"/>
    <m/>
    <m/>
    <m/>
    <m/>
    <m/>
    <m/>
    <n v="53933698"/>
    <m/>
  </r>
  <r>
    <n v="9"/>
    <x v="8"/>
    <x v="0"/>
    <s v="Septiembre"/>
    <s v="CLAUBLAR"/>
    <x v="9"/>
    <x v="8"/>
    <n v="33642102"/>
    <n v="396000"/>
    <n v="3405000"/>
    <n v="29841102"/>
    <n v="27692307.692307692"/>
    <n v="1.07759535"/>
    <x v="1"/>
    <n v="26"/>
    <s v="IPS Pto De Vista Centro"/>
    <s v="Antioquia"/>
    <s v="Fluctúa"/>
    <m/>
    <m/>
    <m/>
    <m/>
    <m/>
    <m/>
    <n v="33642102"/>
    <m/>
  </r>
  <r>
    <n v="9"/>
    <x v="8"/>
    <x v="0"/>
    <s v="Septiembre"/>
    <s v="CLAUPACO"/>
    <x v="10"/>
    <x v="9"/>
    <n v="35507137"/>
    <n v="544000"/>
    <n v="4637200"/>
    <n v="30325937"/>
    <n v="26000000"/>
    <n v="1.1663821923076922"/>
    <x v="0"/>
    <n v="26"/>
    <s v=""/>
    <s v=""/>
    <s v="No Aplica"/>
    <m/>
    <m/>
    <m/>
    <m/>
    <m/>
    <m/>
    <n v="35507137"/>
    <m/>
  </r>
  <r>
    <n v="9"/>
    <x v="8"/>
    <x v="0"/>
    <s v="Septiembre"/>
    <s v="DERLARMO"/>
    <x v="11"/>
    <x v="10"/>
    <n v="27986188"/>
    <n v="828000"/>
    <n v="5108200"/>
    <n v="22049988"/>
    <n v="21000000"/>
    <n v="1.0499994285714285"/>
    <x v="1"/>
    <n v="26"/>
    <s v="IPS Pto De Vista Olaya"/>
    <s v="Centro"/>
    <s v="Cumple"/>
    <m/>
    <m/>
    <m/>
    <m/>
    <m/>
    <m/>
    <n v="27986188"/>
    <m/>
  </r>
  <r>
    <n v="9"/>
    <x v="8"/>
    <x v="0"/>
    <s v="Septiembre"/>
    <s v="DIANPAAL"/>
    <x v="12"/>
    <x v="11"/>
    <n v="41815651"/>
    <n v="2404700"/>
    <n v="6238081"/>
    <n v="33172870"/>
    <n v="30100000"/>
    <n v="1.1020887043189369"/>
    <x v="1"/>
    <n v="26"/>
    <s v="IPS Pto De Vista Rionegro"/>
    <s v="Antioquia"/>
    <s v="Cumple"/>
    <m/>
    <m/>
    <m/>
    <m/>
    <m/>
    <m/>
    <n v="41815651"/>
    <m/>
  </r>
  <r>
    <n v="9"/>
    <x v="8"/>
    <x v="0"/>
    <s v="Septiembre"/>
    <s v="DIANPOPA"/>
    <x v="13"/>
    <x v="33"/>
    <n v="12798834"/>
    <n v="0"/>
    <n v="0"/>
    <n v="12798834"/>
    <n v="30100000"/>
    <n v="0.42521043189368773"/>
    <x v="0"/>
    <n v="26"/>
    <s v=""/>
    <s v=""/>
    <s v="No Aplica"/>
    <m/>
    <m/>
    <m/>
    <m/>
    <m/>
    <m/>
    <n v="12798834"/>
    <m/>
  </r>
  <r>
    <n v="9"/>
    <x v="8"/>
    <x v="0"/>
    <s v="Septiembre"/>
    <s v="DIANQUME"/>
    <x v="14"/>
    <x v="12"/>
    <n v="54406845"/>
    <n v="1584260"/>
    <n v="10689500"/>
    <n v="42133085"/>
    <n v="36000000"/>
    <n v="1.1703634722222223"/>
    <x v="1"/>
    <n v="26"/>
    <s v="IPS Pto De Vista Molinos"/>
    <s v="Antioquia"/>
    <s v="Cumple"/>
    <m/>
    <m/>
    <m/>
    <m/>
    <m/>
    <m/>
    <n v="54406845"/>
    <m/>
  </r>
  <r>
    <n v="9"/>
    <x v="8"/>
    <x v="0"/>
    <s v="Septiembre"/>
    <s v="ELIZVESU"/>
    <x v="15"/>
    <x v="13"/>
    <n v="65088423"/>
    <n v="1125400"/>
    <n v="8998578"/>
    <n v="54964445"/>
    <n v="40000000"/>
    <n v="1.374111125"/>
    <x v="1"/>
    <n v="26"/>
    <s v="IPS Pto De Vista Unicentro"/>
    <s v="Antioquia"/>
    <s v="Fluctúa"/>
    <m/>
    <m/>
    <m/>
    <m/>
    <m/>
    <m/>
    <n v="65088423"/>
    <m/>
  </r>
  <r>
    <n v="9"/>
    <x v="8"/>
    <x v="0"/>
    <s v="Septiembre"/>
    <s v="ERIKSAVA"/>
    <x v="44"/>
    <x v="44"/>
    <n v="43132236"/>
    <n v="1212000"/>
    <n v="7402100"/>
    <n v="34518136"/>
    <n v="32000000"/>
    <n v="1.0786917499999999"/>
    <x v="1"/>
    <n v="26"/>
    <s v="IPS Pto De Vista San Diego"/>
    <s v="Antioquia"/>
    <s v="No Cumple"/>
    <m/>
    <m/>
    <m/>
    <m/>
    <m/>
    <m/>
    <n v="43132236"/>
    <m/>
  </r>
  <r>
    <n v="9"/>
    <x v="8"/>
    <x v="0"/>
    <s v="Septiembre"/>
    <s v="GENNHEPO"/>
    <x v="16"/>
    <x v="14"/>
    <n v="46362948"/>
    <n v="0"/>
    <n v="8247800"/>
    <n v="38115148"/>
    <n v="36000000"/>
    <n v="1.0587541111111112"/>
    <x v="1"/>
    <n v="26"/>
    <s v="IPS Pto De Vista Punto Clave"/>
    <s v="Antioquia"/>
    <s v="Fluctúa"/>
    <m/>
    <m/>
    <m/>
    <m/>
    <m/>
    <m/>
    <n v="46362948"/>
    <m/>
  </r>
  <r>
    <n v="9"/>
    <x v="8"/>
    <x v="0"/>
    <s v="Septiembre"/>
    <s v="ISABMOGO"/>
    <x v="17"/>
    <x v="15"/>
    <n v="21670651"/>
    <n v="420000"/>
    <n v="3873200"/>
    <n v="17377451"/>
    <n v="26000000"/>
    <n v="0.6683635"/>
    <x v="1"/>
    <n v="26"/>
    <s v="IPS Pto De Vista Santa Bárbara"/>
    <s v="Centro"/>
    <s v="No Cumple"/>
    <m/>
    <m/>
    <m/>
    <m/>
    <m/>
    <m/>
    <n v="21670651"/>
    <m/>
  </r>
  <r>
    <n v="9"/>
    <x v="8"/>
    <x v="0"/>
    <s v="Septiembre"/>
    <s v="JAQUVEGU"/>
    <x v="18"/>
    <x v="16"/>
    <n v="39892485"/>
    <n v="1352700"/>
    <n v="6230725"/>
    <n v="32309060"/>
    <n v="30100000"/>
    <n v="1.0733906976744185"/>
    <x v="0"/>
    <n v="26"/>
    <s v="IPS Pto De Vista Rionegro"/>
    <s v="Antioquia"/>
    <s v="No Aplica"/>
    <m/>
    <m/>
    <m/>
    <m/>
    <m/>
    <m/>
    <n v="39892485"/>
    <m/>
  </r>
  <r>
    <n v="9"/>
    <x v="8"/>
    <x v="0"/>
    <s v="Septiembre"/>
    <s v="KATHVABE"/>
    <x v="43"/>
    <x v="43"/>
    <n v="21114491"/>
    <n v="606000"/>
    <n v="2809500"/>
    <n v="17698991"/>
    <n v="20800000"/>
    <n v="0.85091302884615383"/>
    <x v="0"/>
    <n v="26"/>
    <s v=""/>
    <s v=""/>
    <s v="No Aplica"/>
    <m/>
    <m/>
    <m/>
    <m/>
    <m/>
    <m/>
    <n v="21114491"/>
    <m/>
  </r>
  <r>
    <n v="9"/>
    <x v="8"/>
    <x v="0"/>
    <s v="Septiembre"/>
    <s v="LEIDGOVI"/>
    <x v="39"/>
    <x v="39"/>
    <n v="45901215"/>
    <n v="1121500"/>
    <n v="9635200"/>
    <n v="35144515"/>
    <n v="34288461.538461536"/>
    <n v="1.0249662254627034"/>
    <x v="1"/>
    <n v="26"/>
    <s v="IPS Pto De Vista Punto Clave"/>
    <s v="Antioquia"/>
    <s v="Fluctúa"/>
    <m/>
    <m/>
    <m/>
    <m/>
    <m/>
    <m/>
    <n v="45901215"/>
    <m/>
  </r>
  <r>
    <n v="9"/>
    <x v="8"/>
    <x v="0"/>
    <s v="Septiembre"/>
    <s v="LILACARA"/>
    <x v="19"/>
    <x v="17"/>
    <n v="63921680"/>
    <n v="550700"/>
    <n v="12033100"/>
    <n v="51337880"/>
    <n v="36000000"/>
    <n v="1.4260522222222223"/>
    <x v="1"/>
    <n v="26"/>
    <s v="IPS Pto De Vista Molinos"/>
    <s v="Antioquia"/>
    <s v="Cumple"/>
    <m/>
    <m/>
    <m/>
    <m/>
    <m/>
    <m/>
    <n v="63921680"/>
    <m/>
  </r>
  <r>
    <n v="9"/>
    <x v="8"/>
    <x v="0"/>
    <s v="Septiembre"/>
    <s v="LINAGUDI"/>
    <x v="40"/>
    <x v="40"/>
    <n v="19491788"/>
    <n v="1036700"/>
    <n v="4760300"/>
    <n v="13694788"/>
    <n v="30100000"/>
    <n v="0.45497634551495014"/>
    <x v="0"/>
    <n v="26"/>
    <s v=""/>
    <s v=""/>
    <s v="No Aplica"/>
    <m/>
    <m/>
    <m/>
    <m/>
    <m/>
    <m/>
    <n v="19491788"/>
    <m/>
  </r>
  <r>
    <n v="9"/>
    <x v="8"/>
    <x v="0"/>
    <s v="Septiembre"/>
    <s v="LUZNHEGO"/>
    <x v="21"/>
    <x v="19"/>
    <n v="31067967"/>
    <n v="0"/>
    <n v="0"/>
    <n v="31067967"/>
    <n v="21000000"/>
    <n v="1.479427"/>
    <x v="1"/>
    <n v="26"/>
    <s v="IPS Punto de Vista Mayorca"/>
    <s v="Antioquia"/>
    <s v="Siempre Cumple"/>
    <m/>
    <m/>
    <m/>
    <m/>
    <m/>
    <m/>
    <n v="31067967"/>
    <m/>
  </r>
  <r>
    <n v="9"/>
    <x v="8"/>
    <x v="0"/>
    <s v="Septiembre"/>
    <s v="MARGGAPA"/>
    <x v="22"/>
    <x v="20"/>
    <n v="31699519"/>
    <n v="1166200"/>
    <n v="9676400"/>
    <n v="20856919"/>
    <n v="12307692.307692308"/>
    <n v="1.69462466875"/>
    <x v="1"/>
    <n v="26"/>
    <s v="IPS Pto De Vista Centro"/>
    <s v="Antioquia"/>
    <s v="Fluctúa"/>
    <m/>
    <m/>
    <m/>
    <m/>
    <m/>
    <m/>
    <n v="31699519"/>
    <m/>
  </r>
  <r>
    <n v="9"/>
    <x v="8"/>
    <x v="0"/>
    <s v="Septiembre"/>
    <s v="MARIMASA"/>
    <x v="23"/>
    <x v="34"/>
    <n v="36140412"/>
    <n v="990000"/>
    <n v="4794900"/>
    <n v="30355512"/>
    <n v="30100000"/>
    <n v="1.0084887707641197"/>
    <x v="1"/>
    <n v="26"/>
    <s v="IPS Pto De Vista San Diego"/>
    <s v="Antioquia"/>
    <s v="Siempre Cumple"/>
    <m/>
    <m/>
    <m/>
    <m/>
    <m/>
    <m/>
    <n v="36140412"/>
    <m/>
  </r>
  <r>
    <n v="9"/>
    <x v="8"/>
    <x v="0"/>
    <s v="Septiembre"/>
    <s v="MARIOCOC"/>
    <x v="24"/>
    <x v="21"/>
    <n v="42090862"/>
    <n v="919400"/>
    <n v="5924786"/>
    <n v="35246676"/>
    <n v="30100000"/>
    <n v="1.1709859136212624"/>
    <x v="1"/>
    <n v="26"/>
    <s v="IPS Pto De Vista Rionegro"/>
    <s v="Antioquia"/>
    <s v="Cumple"/>
    <m/>
    <m/>
    <m/>
    <m/>
    <m/>
    <m/>
    <n v="42090862"/>
    <m/>
  </r>
  <r>
    <n v="9"/>
    <x v="8"/>
    <x v="0"/>
    <s v="Septiembre"/>
    <s v="MARISEAR"/>
    <x v="25"/>
    <x v="22"/>
    <n v="52998693"/>
    <n v="1444200"/>
    <n v="9224534"/>
    <n v="42329959"/>
    <n v="40000000"/>
    <n v="1.0582489749999999"/>
    <x v="0"/>
    <n v="26"/>
    <s v=""/>
    <s v=""/>
    <s v="No Aplica"/>
    <m/>
    <m/>
    <m/>
    <m/>
    <m/>
    <m/>
    <n v="52998693"/>
    <m/>
  </r>
  <r>
    <n v="9"/>
    <x v="8"/>
    <x v="0"/>
    <s v="Septiembre"/>
    <s v="MARISOCA"/>
    <x v="26"/>
    <x v="23"/>
    <n v="18097328"/>
    <n v="792000"/>
    <n v="3042800"/>
    <n v="14262528"/>
    <n v="40000000"/>
    <n v="0.35656320000000002"/>
    <x v="0"/>
    <n v="26"/>
    <s v=""/>
    <s v=""/>
    <s v="No Aplica"/>
    <m/>
    <m/>
    <m/>
    <m/>
    <m/>
    <m/>
    <n v="18097328"/>
    <m/>
  </r>
  <r>
    <n v="9"/>
    <x v="8"/>
    <x v="0"/>
    <s v="Septiembre"/>
    <s v="MONIMEME"/>
    <x v="27"/>
    <x v="24"/>
    <n v="61374021"/>
    <n v="1260000"/>
    <n v="11467700"/>
    <n v="48646321"/>
    <n v="40000000"/>
    <n v="1.2161580249999999"/>
    <x v="0"/>
    <n v="26"/>
    <s v=""/>
    <s v=""/>
    <s v="No Aplica"/>
    <m/>
    <m/>
    <m/>
    <m/>
    <m/>
    <m/>
    <n v="61374021"/>
    <m/>
  </r>
  <r>
    <n v="9"/>
    <x v="8"/>
    <x v="0"/>
    <s v="Septiembre"/>
    <s v="NATAPIDU"/>
    <x v="28"/>
    <x v="25"/>
    <n v="45335771"/>
    <n v="756000"/>
    <n v="4446600"/>
    <n v="40133171"/>
    <n v="36000000"/>
    <n v="1.1148103055555556"/>
    <x v="1"/>
    <n v="26"/>
    <s v="IPS Pto De Vista Industriales"/>
    <s v="Antioquia"/>
    <s v="Cumple"/>
    <m/>
    <m/>
    <m/>
    <m/>
    <m/>
    <m/>
    <n v="45335771"/>
    <m/>
  </r>
  <r>
    <n v="9"/>
    <x v="8"/>
    <x v="0"/>
    <s v="Septiembre"/>
    <s v="OSCADESU"/>
    <x v="29"/>
    <x v="26"/>
    <n v="32318309"/>
    <n v="1101400"/>
    <n v="10171200"/>
    <n v="21045709"/>
    <n v="26000000"/>
    <n v="0.80945034615384615"/>
    <x v="0"/>
    <n v="26"/>
    <s v=""/>
    <s v=""/>
    <s v="No Aplica"/>
    <m/>
    <m/>
    <m/>
    <m/>
    <m/>
    <m/>
    <n v="32318309"/>
    <m/>
  </r>
  <r>
    <n v="9"/>
    <x v="8"/>
    <x v="0"/>
    <s v="Septiembre"/>
    <s v="PAULGOBA"/>
    <x v="35"/>
    <x v="36"/>
    <n v="20256550"/>
    <n v="0"/>
    <n v="3023000"/>
    <n v="17233550"/>
    <n v="40100000"/>
    <n v="0.4297643391521197"/>
    <x v="1"/>
    <n v="26"/>
    <s v="Ferias Empresariales Antioquia"/>
    <s v="Antioquia"/>
    <s v="Fluctúa"/>
    <m/>
    <m/>
    <m/>
    <m/>
    <m/>
    <m/>
    <n v="20256550"/>
    <m/>
  </r>
  <r>
    <n v="9"/>
    <x v="8"/>
    <x v="0"/>
    <s v="Septiembre"/>
    <s v="RAULMOGA"/>
    <x v="30"/>
    <x v="27"/>
    <n v="28291623"/>
    <n v="300000"/>
    <n v="6397100"/>
    <n v="21594523"/>
    <n v="21000000"/>
    <n v="1.028310619047619"/>
    <x v="0"/>
    <n v="26"/>
    <s v="IPS Pto De Vista Olaya"/>
    <s v="Centro"/>
    <s v="No Aplica"/>
    <m/>
    <m/>
    <m/>
    <m/>
    <m/>
    <m/>
    <n v="28291623"/>
    <m/>
  </r>
  <r>
    <n v="9"/>
    <x v="8"/>
    <x v="0"/>
    <s v="Septiembre"/>
    <s v="ROCIFASA"/>
    <x v="31"/>
    <x v="28"/>
    <n v="22571622"/>
    <n v="538830"/>
    <n v="0"/>
    <n v="22032792"/>
    <n v="21000000"/>
    <n v="1.0491805714285714"/>
    <x v="1"/>
    <n v="26"/>
    <s v="Optica Salud Sura Chipichape"/>
    <s v="Occidente"/>
    <s v="Cumple"/>
    <m/>
    <m/>
    <m/>
    <m/>
    <m/>
    <m/>
    <n v="22571622"/>
    <m/>
  </r>
  <r>
    <n v="9"/>
    <x v="8"/>
    <x v="0"/>
    <s v="Septiembre"/>
    <s v="RUBYHIGA"/>
    <x v="42"/>
    <x v="42"/>
    <n v="55090147"/>
    <n v="3208200"/>
    <n v="10929600"/>
    <n v="40952347"/>
    <n v="40000000"/>
    <n v="1.0238086749999999"/>
    <x v="0"/>
    <n v="26"/>
    <s v=""/>
    <s v=""/>
    <s v="No Aplica"/>
    <m/>
    <m/>
    <m/>
    <m/>
    <m/>
    <m/>
    <n v="55090147"/>
    <m/>
  </r>
  <r>
    <n v="9"/>
    <x v="8"/>
    <x v="0"/>
    <s v="Septiembre"/>
    <s v="VIVIVAZA"/>
    <x v="33"/>
    <x v="30"/>
    <n v="76045001"/>
    <n v="1066200"/>
    <n v="14223000"/>
    <n v="60755801"/>
    <n v="40100000"/>
    <n v="1.5151072568578554"/>
    <x v="1"/>
    <n v="26"/>
    <s v="IPS Pto De Vista Unicentro"/>
    <s v="Antioquia"/>
    <s v="Cumple"/>
    <m/>
    <m/>
    <m/>
    <m/>
    <m/>
    <m/>
    <n v="76045001"/>
    <m/>
  </r>
  <r>
    <n v="9"/>
    <x v="8"/>
    <x v="0"/>
    <s v="Septiembre"/>
    <s v="ZULYARGA"/>
    <x v="34"/>
    <x v="31"/>
    <n v="52134248"/>
    <n v="0"/>
    <n v="11404400"/>
    <n v="40729848"/>
    <n v="40000000"/>
    <n v="1.0182462000000001"/>
    <x v="1"/>
    <n v="26"/>
    <s v="IPS Pto De Vista Molinos"/>
    <s v="Antioquia"/>
    <n v="0"/>
    <m/>
    <m/>
    <m/>
    <m/>
    <m/>
    <m/>
    <n v="52134248"/>
    <m/>
  </r>
  <r>
    <n v="10"/>
    <x v="9"/>
    <x v="0"/>
    <s v="Octubre"/>
    <s v="ADRIMOLU"/>
    <x v="1"/>
    <x v="1"/>
    <n v="41402930"/>
    <n v="285400"/>
    <n v="10922300"/>
    <n v="30195230"/>
    <n v="26000000"/>
    <n v="1.1613549999999999"/>
    <x v="1"/>
    <n v="25"/>
    <s v="IPS Pto De Vista Molinos"/>
    <s v="Antioquia"/>
    <s v="Cumple"/>
    <m/>
    <m/>
    <m/>
    <m/>
    <m/>
    <m/>
    <n v="41402930"/>
    <m/>
  </r>
  <r>
    <n v="10"/>
    <x v="9"/>
    <x v="0"/>
    <s v="Octubre"/>
    <s v="ALEXLOGR"/>
    <x v="2"/>
    <x v="2"/>
    <n v="50481696"/>
    <n v="2384900"/>
    <n v="10837600"/>
    <n v="37259196"/>
    <n v="36960000"/>
    <n v="1.0080951298701299"/>
    <x v="1"/>
    <n v="25"/>
    <s v="IPS Punto de Vista Bello"/>
    <s v="Antioquia"/>
    <s v="Fluctúa"/>
    <m/>
    <m/>
    <m/>
    <m/>
    <m/>
    <m/>
    <n v="50481696"/>
    <m/>
  </r>
  <r>
    <n v="10"/>
    <x v="9"/>
    <x v="0"/>
    <s v="Octubre"/>
    <s v="ALVAOSOS"/>
    <x v="36"/>
    <x v="37"/>
    <n v="36799990"/>
    <n v="0"/>
    <n v="6560100"/>
    <n v="30239890"/>
    <n v="30100000"/>
    <n v="1.0046475083056479"/>
    <x v="1"/>
    <n v="25"/>
    <s v="IPS Pto De Vista Punto Clave"/>
    <s v="Antioquia"/>
    <s v="Siempre Cumple"/>
    <m/>
    <m/>
    <m/>
    <m/>
    <m/>
    <m/>
    <n v="36799990"/>
    <m/>
  </r>
  <r>
    <n v="10"/>
    <x v="9"/>
    <x v="0"/>
    <s v="Octubre"/>
    <s v="ANAMLOBE"/>
    <x v="3"/>
    <x v="3"/>
    <n v="76683289"/>
    <n v="210000"/>
    <n v="12560000"/>
    <n v="63913289"/>
    <n v="40100000"/>
    <n v="1.5938476059850375"/>
    <x v="1"/>
    <n v="25"/>
    <s v="IPS Pto De Vista Unicentro"/>
    <s v="Antioquia"/>
    <s v="Siempre Cumple"/>
    <m/>
    <m/>
    <m/>
    <m/>
    <m/>
    <m/>
    <n v="76683289"/>
    <m/>
  </r>
  <r>
    <n v="10"/>
    <x v="9"/>
    <x v="0"/>
    <s v="Octubre"/>
    <s v="ANGEGAAR"/>
    <x v="4"/>
    <x v="4"/>
    <n v="59021184"/>
    <n v="538700"/>
    <n v="12024400"/>
    <n v="46458084"/>
    <n v="40000000"/>
    <n v="1.1614521"/>
    <x v="1"/>
    <n v="25"/>
    <s v="IPS Pto De Vista San Diego"/>
    <s v="Antioquia"/>
    <s v="Fluctúa"/>
    <m/>
    <m/>
    <m/>
    <m/>
    <m/>
    <m/>
    <n v="59021184"/>
    <m/>
  </r>
  <r>
    <n v="10"/>
    <x v="9"/>
    <x v="0"/>
    <s v="Octubre"/>
    <s v="BIBIBECA"/>
    <x v="6"/>
    <x v="6"/>
    <n v="60511087"/>
    <n v="0"/>
    <n v="16069000"/>
    <n v="44442087"/>
    <n v="40000000"/>
    <n v="1.111052175"/>
    <x v="1"/>
    <n v="25"/>
    <s v="IPS Pto De Vista Centro"/>
    <s v="Antioquia"/>
    <s v="Fluctúa"/>
    <m/>
    <m/>
    <m/>
    <m/>
    <m/>
    <m/>
    <n v="60511087"/>
    <m/>
  </r>
  <r>
    <n v="10"/>
    <x v="9"/>
    <x v="0"/>
    <s v="Octubre"/>
    <s v="CAROVABE"/>
    <x v="8"/>
    <x v="32"/>
    <n v="52364260"/>
    <n v="705400"/>
    <n v="11312900"/>
    <n v="40345960"/>
    <n v="40000000"/>
    <n v="1.0086489999999999"/>
    <x v="0"/>
    <n v="25"/>
    <s v=""/>
    <s v=""/>
    <s v="No Aplica"/>
    <m/>
    <m/>
    <m/>
    <m/>
    <m/>
    <m/>
    <n v="52364260"/>
    <m/>
  </r>
  <r>
    <n v="10"/>
    <x v="9"/>
    <x v="0"/>
    <s v="Octubre"/>
    <s v="CLAUBLAR"/>
    <x v="9"/>
    <x v="8"/>
    <n v="55559653"/>
    <n v="1101400"/>
    <n v="13217933"/>
    <n v="41240320"/>
    <n v="40000000"/>
    <n v="1.0310079999999999"/>
    <x v="1"/>
    <n v="25"/>
    <s v="IPS Pto De Vista Centro"/>
    <s v="Antioquia"/>
    <s v="Fluctúa"/>
    <m/>
    <m/>
    <m/>
    <m/>
    <m/>
    <m/>
    <n v="55559653"/>
    <m/>
  </r>
  <r>
    <n v="10"/>
    <x v="9"/>
    <x v="0"/>
    <s v="Octubre"/>
    <s v="CLAUPACO"/>
    <x v="10"/>
    <x v="9"/>
    <n v="34088561"/>
    <n v="716000"/>
    <n v="6554100"/>
    <n v="26818461"/>
    <n v="26000000"/>
    <n v="1.0314792692307693"/>
    <x v="0"/>
    <n v="25"/>
    <s v=""/>
    <s v=""/>
    <s v="No Aplica"/>
    <m/>
    <m/>
    <m/>
    <m/>
    <m/>
    <m/>
    <n v="34088561"/>
    <m/>
  </r>
  <r>
    <n v="10"/>
    <x v="9"/>
    <x v="0"/>
    <s v="Octubre"/>
    <s v="DERLARMO"/>
    <x v="11"/>
    <x v="10"/>
    <n v="30875201"/>
    <n v="420000"/>
    <n v="6320900"/>
    <n v="24134301"/>
    <n v="21840000"/>
    <n v="1.1050504120879121"/>
    <x v="1"/>
    <n v="25"/>
    <s v="IPS Pto De Vista Olaya"/>
    <s v="Centro"/>
    <s v="Cumple"/>
    <m/>
    <m/>
    <m/>
    <m/>
    <m/>
    <m/>
    <n v="30875201"/>
    <m/>
  </r>
  <r>
    <n v="10"/>
    <x v="9"/>
    <x v="0"/>
    <s v="Octubre"/>
    <s v="DIANPAAL"/>
    <x v="12"/>
    <x v="11"/>
    <n v="41164018"/>
    <n v="1479400"/>
    <n v="7316643"/>
    <n v="32367975"/>
    <n v="30100000"/>
    <n v="1.0753480066445182"/>
    <x v="1"/>
    <n v="25"/>
    <s v="IPS Pto De Vista Rionegro"/>
    <s v="Antioquia"/>
    <s v="Cumple"/>
    <m/>
    <m/>
    <m/>
    <m/>
    <m/>
    <m/>
    <n v="41164018"/>
    <m/>
  </r>
  <r>
    <n v="10"/>
    <x v="9"/>
    <x v="0"/>
    <s v="Octubre"/>
    <s v="DIANPOPA"/>
    <x v="13"/>
    <x v="33"/>
    <n v="29222312"/>
    <n v="0"/>
    <n v="0"/>
    <n v="29222312"/>
    <n v="30100000"/>
    <n v="0.97084093023255813"/>
    <x v="0"/>
    <n v="25"/>
    <s v=""/>
    <s v=""/>
    <s v="No Aplica"/>
    <m/>
    <m/>
    <m/>
    <m/>
    <m/>
    <m/>
    <n v="29222312"/>
    <m/>
  </r>
  <r>
    <n v="10"/>
    <x v="9"/>
    <x v="0"/>
    <s v="Octubre"/>
    <s v="DIANQUME"/>
    <x v="14"/>
    <x v="12"/>
    <n v="52088390"/>
    <n v="1812400"/>
    <n v="11279200"/>
    <n v="38996790"/>
    <n v="27360000"/>
    <n v="1.4253212719298245"/>
    <x v="1"/>
    <n v="25"/>
    <s v="IPS Pto De Vista Molinos"/>
    <s v="Antioquia"/>
    <s v="Cumple"/>
    <m/>
    <m/>
    <m/>
    <m/>
    <m/>
    <m/>
    <n v="52088390"/>
    <m/>
  </r>
  <r>
    <n v="10"/>
    <x v="9"/>
    <x v="0"/>
    <s v="Octubre"/>
    <s v="ELIZVESU"/>
    <x v="15"/>
    <x v="13"/>
    <n v="57799245"/>
    <n v="1478100"/>
    <n v="12023400"/>
    <n v="44297745"/>
    <n v="38400000"/>
    <n v="1.1535871093750001"/>
    <x v="1"/>
    <n v="25"/>
    <s v="IPS Pto De Vista Unicentro"/>
    <s v="Antioquia"/>
    <s v="Fluctúa"/>
    <m/>
    <m/>
    <m/>
    <m/>
    <m/>
    <m/>
    <n v="57799245"/>
    <m/>
  </r>
  <r>
    <n v="10"/>
    <x v="9"/>
    <x v="0"/>
    <s v="Octubre"/>
    <s v="ERIKSAVA"/>
    <x v="44"/>
    <x v="44"/>
    <n v="51184149"/>
    <n v="495400"/>
    <n v="10706700"/>
    <n v="39982049"/>
    <n v="34272000"/>
    <n v="1.166609739729225"/>
    <x v="1"/>
    <n v="25"/>
    <s v="IPS Pto De Vista San Diego"/>
    <s v="Antioquia"/>
    <s v="No Cumple"/>
    <m/>
    <m/>
    <m/>
    <m/>
    <m/>
    <m/>
    <n v="51184149"/>
    <m/>
  </r>
  <r>
    <n v="10"/>
    <x v="9"/>
    <x v="0"/>
    <s v="Octubre"/>
    <s v="GENNHEPO"/>
    <x v="16"/>
    <x v="14"/>
    <n v="48563976"/>
    <n v="1628900"/>
    <n v="10241400"/>
    <n v="36693676"/>
    <n v="36000000"/>
    <n v="1.0192687777777778"/>
    <x v="1"/>
    <n v="25"/>
    <s v="IPS Pto De Vista Punto Clave"/>
    <s v="Antioquia"/>
    <s v="Fluctúa"/>
    <m/>
    <m/>
    <m/>
    <m/>
    <m/>
    <m/>
    <n v="48563976"/>
    <m/>
  </r>
  <r>
    <n v="10"/>
    <x v="9"/>
    <x v="0"/>
    <s v="Octubre"/>
    <s v="ISABMOGO"/>
    <x v="17"/>
    <x v="15"/>
    <n v="34362795"/>
    <n v="420000"/>
    <n v="5146300"/>
    <n v="28796495"/>
    <n v="26000000"/>
    <n v="1.1075575"/>
    <x v="1"/>
    <n v="25"/>
    <s v="IPS Pto De Vista Santa Bárbara"/>
    <s v="Centro"/>
    <s v="No Cumple"/>
    <m/>
    <m/>
    <m/>
    <m/>
    <m/>
    <m/>
    <n v="34362795"/>
    <m/>
  </r>
  <r>
    <n v="10"/>
    <x v="9"/>
    <x v="0"/>
    <s v="Octubre"/>
    <s v="JAQUVEGU"/>
    <x v="18"/>
    <x v="16"/>
    <n v="31495590"/>
    <n v="1830800"/>
    <n v="5438350"/>
    <n v="24226440"/>
    <n v="30100000"/>
    <n v="0.80486511627906976"/>
    <x v="0"/>
    <n v="25"/>
    <s v="IPS Pto De Vista Rionegro"/>
    <s v="Antioquia"/>
    <s v="No Aplica"/>
    <m/>
    <m/>
    <m/>
    <m/>
    <m/>
    <m/>
    <n v="31495590"/>
    <m/>
  </r>
  <r>
    <n v="10"/>
    <x v="9"/>
    <x v="0"/>
    <s v="Octubre"/>
    <s v="LEIDGOVI"/>
    <x v="39"/>
    <x v="39"/>
    <n v="37828525"/>
    <n v="792000"/>
    <n v="6201500"/>
    <n v="30835025"/>
    <n v="30100000"/>
    <n v="1.0244194352159468"/>
    <x v="1"/>
    <n v="25"/>
    <s v="IPS Pto De Vista Punto Clave"/>
    <s v="Antioquia"/>
    <s v="Fluctúa"/>
    <m/>
    <m/>
    <m/>
    <m/>
    <m/>
    <m/>
    <n v="37828525"/>
    <m/>
  </r>
  <r>
    <n v="10"/>
    <x v="9"/>
    <x v="0"/>
    <s v="Octubre"/>
    <s v="LILACARA"/>
    <x v="19"/>
    <x v="17"/>
    <n v="25891974"/>
    <n v="1323200"/>
    <n v="8078000"/>
    <n v="16490774"/>
    <n v="11520000"/>
    <n v="1.4314907986111112"/>
    <x v="1"/>
    <n v="25"/>
    <s v="IPS Pto De Vista Molinos"/>
    <s v="Antioquia"/>
    <s v="Cumple"/>
    <m/>
    <m/>
    <m/>
    <m/>
    <m/>
    <m/>
    <n v="25891974"/>
    <m/>
  </r>
  <r>
    <n v="10"/>
    <x v="9"/>
    <x v="0"/>
    <s v="Octubre"/>
    <s v="LUZNHEGO"/>
    <x v="21"/>
    <x v="19"/>
    <n v="26213809"/>
    <n v="178200"/>
    <n v="0"/>
    <n v="26035609"/>
    <n v="21000000"/>
    <n v="1.2397909047619047"/>
    <x v="1"/>
    <n v="25"/>
    <s v="IPS Punto de Vista Mayorca"/>
    <s v="Antioquia"/>
    <s v="Siempre Cumple"/>
    <m/>
    <m/>
    <m/>
    <m/>
    <m/>
    <m/>
    <n v="26213809"/>
    <m/>
  </r>
  <r>
    <n v="10"/>
    <x v="9"/>
    <x v="0"/>
    <s v="Octubre"/>
    <s v="MARGGAPA"/>
    <x v="22"/>
    <x v="20"/>
    <n v="50785314"/>
    <n v="420000"/>
    <n v="9285500"/>
    <n v="41079814"/>
    <n v="40000000"/>
    <n v="1.02699535"/>
    <x v="1"/>
    <n v="25"/>
    <s v="IPS Pto De Vista Centro"/>
    <s v="Antioquia"/>
    <s v="Fluctúa"/>
    <m/>
    <m/>
    <m/>
    <m/>
    <m/>
    <m/>
    <n v="50785314"/>
    <m/>
  </r>
  <r>
    <n v="10"/>
    <x v="9"/>
    <x v="0"/>
    <s v="Octubre"/>
    <s v="MARIMASA"/>
    <x v="23"/>
    <x v="34"/>
    <n v="22405984"/>
    <n v="538700"/>
    <n v="5944700"/>
    <n v="15922584"/>
    <n v="30100000"/>
    <n v="0.52898950166112957"/>
    <x v="1"/>
    <n v="25"/>
    <s v="IPS Pto De Vista San Diego"/>
    <s v="Antioquia"/>
    <s v="Siempre Cumple"/>
    <m/>
    <m/>
    <m/>
    <m/>
    <m/>
    <m/>
    <n v="22405984"/>
    <m/>
  </r>
  <r>
    <n v="10"/>
    <x v="9"/>
    <x v="0"/>
    <s v="Octubre"/>
    <s v="MARIOCOC"/>
    <x v="24"/>
    <x v="21"/>
    <n v="35852219"/>
    <n v="0"/>
    <n v="5179012"/>
    <n v="30673207"/>
    <n v="30100000"/>
    <n v="1.0190434219269102"/>
    <x v="1"/>
    <n v="25"/>
    <s v="IPS Pto De Vista Rionegro"/>
    <s v="Antioquia"/>
    <s v="Cumple"/>
    <m/>
    <m/>
    <m/>
    <m/>
    <m/>
    <m/>
    <n v="35852219"/>
    <m/>
  </r>
  <r>
    <n v="10"/>
    <x v="9"/>
    <x v="0"/>
    <s v="Octubre"/>
    <s v="MARISEAR"/>
    <x v="25"/>
    <x v="22"/>
    <n v="52574423"/>
    <n v="408000"/>
    <n v="11352056"/>
    <n v="40814367"/>
    <n v="40000000"/>
    <n v="1.0203591750000001"/>
    <x v="0"/>
    <n v="25"/>
    <s v=""/>
    <s v=""/>
    <s v="No Aplica"/>
    <m/>
    <m/>
    <m/>
    <m/>
    <m/>
    <m/>
    <n v="52574423"/>
    <m/>
  </r>
  <r>
    <n v="10"/>
    <x v="9"/>
    <x v="0"/>
    <s v="Octubre"/>
    <s v="MONIMEME"/>
    <x v="27"/>
    <x v="24"/>
    <n v="58751420"/>
    <n v="796800"/>
    <n v="11915478"/>
    <n v="46039142"/>
    <n v="40000000"/>
    <n v="1.15097855"/>
    <x v="0"/>
    <n v="25"/>
    <s v=""/>
    <s v=""/>
    <s v="No Aplica"/>
    <m/>
    <m/>
    <m/>
    <m/>
    <m/>
    <m/>
    <n v="58751420"/>
    <m/>
  </r>
  <r>
    <n v="10"/>
    <x v="9"/>
    <x v="0"/>
    <s v="Octubre"/>
    <s v="NATAPIDU"/>
    <x v="28"/>
    <x v="25"/>
    <n v="33798382"/>
    <n v="256860"/>
    <n v="5179300"/>
    <n v="28362222"/>
    <n v="27360000"/>
    <n v="1.0366309210526317"/>
    <x v="1"/>
    <n v="25"/>
    <s v="IPS Pto De Vista Industriales"/>
    <s v="Antioquia"/>
    <s v="Cumple"/>
    <m/>
    <m/>
    <m/>
    <m/>
    <m/>
    <m/>
    <n v="33798382"/>
    <m/>
  </r>
  <r>
    <n v="10"/>
    <x v="9"/>
    <x v="0"/>
    <s v="Octubre"/>
    <s v="OSCADESU"/>
    <x v="29"/>
    <x v="26"/>
    <n v="37832428"/>
    <n v="974000"/>
    <n v="10552500"/>
    <n v="26305928"/>
    <n v="26000000"/>
    <n v="1.0117664615384616"/>
    <x v="0"/>
    <n v="25"/>
    <s v=""/>
    <s v=""/>
    <s v="No Aplica"/>
    <m/>
    <m/>
    <m/>
    <m/>
    <m/>
    <m/>
    <n v="37832428"/>
    <m/>
  </r>
  <r>
    <n v="10"/>
    <x v="9"/>
    <x v="0"/>
    <s v="Octubre"/>
    <s v="PAULGOBA"/>
    <x v="35"/>
    <x v="36"/>
    <n v="30089200"/>
    <n v="0"/>
    <n v="3013000"/>
    <n v="27076200"/>
    <n v="40100000"/>
    <n v="0.67521695760598499"/>
    <x v="1"/>
    <n v="25"/>
    <s v="Ferias Empresariales Antioquia"/>
    <s v="Antioquia"/>
    <s v="Fluctúa"/>
    <m/>
    <m/>
    <m/>
    <m/>
    <m/>
    <m/>
    <n v="30089200"/>
    <m/>
  </r>
  <r>
    <n v="10"/>
    <x v="9"/>
    <x v="0"/>
    <s v="Octubre"/>
    <s v="RAULMOGA"/>
    <x v="30"/>
    <x v="27"/>
    <n v="26159388"/>
    <n v="544000"/>
    <n v="6251900"/>
    <n v="19363488"/>
    <n v="15960000"/>
    <n v="1.2132511278195488"/>
    <x v="0"/>
    <n v="25"/>
    <s v="IPS Pto De Vista Olaya"/>
    <s v="Centro"/>
    <s v="No Aplica"/>
    <m/>
    <m/>
    <m/>
    <m/>
    <m/>
    <m/>
    <n v="26159388"/>
    <m/>
  </r>
  <r>
    <n v="10"/>
    <x v="9"/>
    <x v="0"/>
    <s v="Octubre"/>
    <s v="ROCIFASA"/>
    <x v="31"/>
    <x v="28"/>
    <n v="25366379"/>
    <n v="1374030"/>
    <n v="0"/>
    <n v="23992349"/>
    <n v="21000000"/>
    <n v="1.1424928095238096"/>
    <x v="1"/>
    <n v="25"/>
    <s v="Optica Salud Sura Chipichape"/>
    <s v="Occidente"/>
    <s v="Cumple"/>
    <m/>
    <m/>
    <m/>
    <m/>
    <m/>
    <m/>
    <n v="25366379"/>
    <m/>
  </r>
  <r>
    <n v="10"/>
    <x v="9"/>
    <x v="0"/>
    <s v="Octubre"/>
    <s v="RUBYHIGA"/>
    <x v="42"/>
    <x v="42"/>
    <n v="50117791"/>
    <n v="891400"/>
    <n v="11062900"/>
    <n v="38163491"/>
    <n v="40000000"/>
    <n v="0.95408727500000001"/>
    <x v="0"/>
    <n v="25"/>
    <s v=""/>
    <s v=""/>
    <s v="No Aplica"/>
    <m/>
    <m/>
    <m/>
    <m/>
    <m/>
    <m/>
    <n v="50117791"/>
    <m/>
  </r>
  <r>
    <n v="10"/>
    <x v="9"/>
    <x v="0"/>
    <s v="Octubre"/>
    <s v="VIVIVAZA"/>
    <x v="33"/>
    <x v="30"/>
    <n v="78430164"/>
    <n v="2553800"/>
    <n v="15969200"/>
    <n v="59907164"/>
    <n v="40100000"/>
    <n v="1.4939442394014963"/>
    <x v="1"/>
    <n v="25"/>
    <s v="IPS Pto De Vista Unicentro"/>
    <s v="Antioquia"/>
    <s v="Cumple"/>
    <m/>
    <m/>
    <m/>
    <m/>
    <m/>
    <m/>
    <n v="78430164"/>
    <m/>
  </r>
  <r>
    <n v="10"/>
    <x v="9"/>
    <x v="0"/>
    <s v="Octubre"/>
    <s v="ZULYARGA"/>
    <x v="34"/>
    <x v="31"/>
    <n v="60974849"/>
    <n v="840000"/>
    <n v="13786600"/>
    <n v="46348249"/>
    <n v="40100000"/>
    <n v="1.1558166832917707"/>
    <x v="1"/>
    <n v="25"/>
    <s v="IPS Pto De Vista Molinos"/>
    <s v="Antioquia"/>
    <n v="0"/>
    <m/>
    <m/>
    <m/>
    <m/>
    <m/>
    <m/>
    <n v="60974849"/>
    <m/>
  </r>
  <r>
    <n v="11"/>
    <x v="10"/>
    <x v="0"/>
    <s v="Noviembre"/>
    <s v="ADRIMOLU"/>
    <x v="1"/>
    <x v="1"/>
    <n v="42497642"/>
    <n v="572700"/>
    <n v="12638300"/>
    <n v="29286642"/>
    <n v="26000000"/>
    <n v="1.1264093076923076"/>
    <x v="1"/>
    <n v="24"/>
    <s v="IPS Pto De Vista Molinos"/>
    <s v="Antioquia"/>
    <s v="Cumple"/>
    <m/>
    <m/>
    <m/>
    <m/>
    <m/>
    <m/>
    <n v="42497642"/>
    <m/>
  </r>
  <r>
    <n v="11"/>
    <x v="10"/>
    <x v="0"/>
    <s v="Noviembre"/>
    <s v="ALEXLOGR"/>
    <x v="2"/>
    <x v="2"/>
    <n v="56703174"/>
    <n v="2301400"/>
    <n v="11595100"/>
    <n v="42806674"/>
    <n v="40000000"/>
    <n v="1.0701668499999999"/>
    <x v="1"/>
    <n v="24"/>
    <s v="IPS Punto de Vista Bello"/>
    <s v="Antioquia"/>
    <s v="Fluctúa"/>
    <m/>
    <m/>
    <m/>
    <m/>
    <m/>
    <m/>
    <n v="56703174"/>
    <m/>
  </r>
  <r>
    <n v="11"/>
    <x v="10"/>
    <x v="0"/>
    <s v="Noviembre"/>
    <s v="ALVAOSOS"/>
    <x v="36"/>
    <x v="37"/>
    <n v="26278460"/>
    <n v="352700"/>
    <n v="5671300"/>
    <n v="20254460"/>
    <n v="30100000"/>
    <n v="0.67290564784053153"/>
    <x v="1"/>
    <n v="24"/>
    <s v="IPS Pto De Vista Punto Clave"/>
    <s v="Antioquia"/>
    <s v="Siempre Cumple"/>
    <m/>
    <m/>
    <m/>
    <m/>
    <m/>
    <m/>
    <n v="26278460"/>
    <m/>
  </r>
  <r>
    <n v="11"/>
    <x v="10"/>
    <x v="0"/>
    <s v="Noviembre"/>
    <s v="ANAMLOBE"/>
    <x v="3"/>
    <x v="3"/>
    <n v="76750189"/>
    <n v="1892560"/>
    <n v="12045700"/>
    <n v="62811929"/>
    <n v="40100000"/>
    <n v="1.5663822693266833"/>
    <x v="1"/>
    <n v="24"/>
    <s v="IPS Pto De Vista Unicentro"/>
    <s v="Antioquia"/>
    <s v="Siempre Cumple"/>
    <m/>
    <m/>
    <m/>
    <m/>
    <m/>
    <m/>
    <n v="76750189"/>
    <m/>
  </r>
  <r>
    <n v="11"/>
    <x v="10"/>
    <x v="0"/>
    <s v="Noviembre"/>
    <s v="ANDRSAZA"/>
    <x v="45"/>
    <x v="45"/>
    <n v="23327303"/>
    <n v="438800"/>
    <n v="2933500"/>
    <n v="19955003"/>
    <n v="16466666.666666666"/>
    <n v="1.2118422874493928"/>
    <x v="1"/>
    <n v="24"/>
    <s v="IPS Pto De Vista Santa Bárbara"/>
    <s v="Centro"/>
    <s v="Cumple"/>
    <m/>
    <m/>
    <m/>
    <m/>
    <m/>
    <m/>
    <n v="23327303"/>
    <m/>
  </r>
  <r>
    <n v="11"/>
    <x v="10"/>
    <x v="0"/>
    <s v="Noviembre"/>
    <s v="ANGEGAAR"/>
    <x v="4"/>
    <x v="4"/>
    <n v="57625472"/>
    <n v="2076000"/>
    <n v="10682000"/>
    <n v="44867472"/>
    <n v="40000000"/>
    <n v="1.1216868"/>
    <x v="1"/>
    <n v="24"/>
    <s v="IPS Pto De Vista San Diego"/>
    <s v="Antioquia"/>
    <s v="Fluctúa"/>
    <m/>
    <m/>
    <m/>
    <m/>
    <m/>
    <m/>
    <n v="57625472"/>
    <m/>
  </r>
  <r>
    <n v="11"/>
    <x v="10"/>
    <x v="0"/>
    <s v="Noviembre"/>
    <s v="ANLLLIZO"/>
    <x v="5"/>
    <x v="5"/>
    <n v="3312797"/>
    <n v="0"/>
    <n v="1936100"/>
    <n v="1376697"/>
    <n v="7000000"/>
    <n v="0.19667100000000001"/>
    <x v="0"/>
    <n v="24"/>
    <s v=""/>
    <s v=""/>
    <s v="No Aplica"/>
    <m/>
    <m/>
    <m/>
    <m/>
    <m/>
    <m/>
    <n v="3312797"/>
    <m/>
  </r>
  <r>
    <n v="11"/>
    <x v="10"/>
    <x v="0"/>
    <s v="Noviembre"/>
    <s v="BIBIBECA"/>
    <x v="6"/>
    <x v="6"/>
    <n v="37393853"/>
    <n v="495400"/>
    <n v="8406900"/>
    <n v="28491553"/>
    <n v="21666666.666666668"/>
    <n v="1.3149947538461537"/>
    <x v="1"/>
    <n v="24"/>
    <s v="IPS Pto De Vista Centro"/>
    <s v="Antioquia"/>
    <s v="Fluctúa"/>
    <m/>
    <m/>
    <m/>
    <m/>
    <m/>
    <m/>
    <n v="37393853"/>
    <m/>
  </r>
  <r>
    <n v="11"/>
    <x v="10"/>
    <x v="0"/>
    <s v="Noviembre"/>
    <s v="CAROVABE"/>
    <x v="8"/>
    <x v="32"/>
    <n v="39968371"/>
    <n v="396000"/>
    <n v="12029900"/>
    <n v="27542471"/>
    <n v="40000000"/>
    <n v="0.68856177500000004"/>
    <x v="0"/>
    <n v="24"/>
    <s v=""/>
    <s v=""/>
    <s v="No Aplica"/>
    <m/>
    <m/>
    <m/>
    <m/>
    <m/>
    <m/>
    <n v="39968371"/>
    <m/>
  </r>
  <r>
    <n v="11"/>
    <x v="10"/>
    <x v="0"/>
    <s v="Noviembre"/>
    <s v="CLAUBLAR"/>
    <x v="9"/>
    <x v="8"/>
    <n v="53841424"/>
    <n v="681400"/>
    <n v="10777700"/>
    <n v="42382324"/>
    <n v="40000000"/>
    <n v="1.0595581000000001"/>
    <x v="1"/>
    <n v="24"/>
    <s v="IPS Pto De Vista Centro"/>
    <s v="Antioquia"/>
    <s v="Fluctúa"/>
    <m/>
    <m/>
    <m/>
    <m/>
    <m/>
    <m/>
    <n v="53841424"/>
    <m/>
  </r>
  <r>
    <n v="11"/>
    <x v="10"/>
    <x v="0"/>
    <s v="Noviembre"/>
    <s v="CLAUPACO"/>
    <x v="10"/>
    <x v="9"/>
    <n v="31463916"/>
    <n v="940000"/>
    <n v="4953400"/>
    <n v="25570516"/>
    <n v="26000000"/>
    <n v="0.98348138461538459"/>
    <x v="0"/>
    <n v="24"/>
    <s v=""/>
    <s v=""/>
    <s v="No Aplica"/>
    <m/>
    <m/>
    <m/>
    <m/>
    <m/>
    <m/>
    <n v="31463916"/>
    <m/>
  </r>
  <r>
    <n v="11"/>
    <x v="10"/>
    <x v="0"/>
    <s v="Noviembre"/>
    <s v="DERLARMO"/>
    <x v="11"/>
    <x v="10"/>
    <n v="19547492"/>
    <n v="1384000"/>
    <n v="3585000"/>
    <n v="14578492"/>
    <n v="14000000"/>
    <n v="1.0413208571428572"/>
    <x v="1"/>
    <n v="24"/>
    <s v="IPS Pto De Vista Olaya"/>
    <s v="Centro"/>
    <s v="Cumple"/>
    <m/>
    <m/>
    <m/>
    <m/>
    <m/>
    <m/>
    <n v="19547492"/>
    <m/>
  </r>
  <r>
    <n v="11"/>
    <x v="10"/>
    <x v="0"/>
    <s v="Noviembre"/>
    <s v="DIANPAAL"/>
    <x v="12"/>
    <x v="11"/>
    <n v="37934035"/>
    <n v="911500"/>
    <n v="6804462"/>
    <n v="30218073"/>
    <n v="30100000"/>
    <n v="1.0039226910299004"/>
    <x v="1"/>
    <n v="24"/>
    <s v="IPS Pto De Vista Rionegro"/>
    <s v="Antioquia"/>
    <s v="Cumple"/>
    <m/>
    <m/>
    <m/>
    <m/>
    <m/>
    <m/>
    <n v="37934035"/>
    <m/>
  </r>
  <r>
    <n v="11"/>
    <x v="10"/>
    <x v="0"/>
    <s v="Noviembre"/>
    <s v="DIANPOPA"/>
    <x v="13"/>
    <x v="33"/>
    <n v="46803161"/>
    <n v="0"/>
    <n v="0"/>
    <n v="46803161"/>
    <n v="30100000"/>
    <n v="1.554922292358804"/>
    <x v="0"/>
    <n v="24"/>
    <s v=""/>
    <s v=""/>
    <s v="No Aplica"/>
    <m/>
    <m/>
    <m/>
    <m/>
    <m/>
    <m/>
    <n v="46803161"/>
    <m/>
  </r>
  <r>
    <n v="11"/>
    <x v="10"/>
    <x v="0"/>
    <s v="Noviembre"/>
    <s v="DIANQUME"/>
    <x v="14"/>
    <x v="12"/>
    <n v="45317853"/>
    <n v="1661400"/>
    <n v="6107000"/>
    <n v="37549453"/>
    <n v="36000000"/>
    <n v="1.0430403611111112"/>
    <x v="1"/>
    <n v="24"/>
    <s v="IPS Pto De Vista Molinos"/>
    <s v="Antioquia"/>
    <s v="Cumple"/>
    <m/>
    <m/>
    <m/>
    <m/>
    <m/>
    <m/>
    <n v="45317853"/>
    <m/>
  </r>
  <r>
    <n v="11"/>
    <x v="10"/>
    <x v="0"/>
    <s v="Noviembre"/>
    <s v="ELIZVESU"/>
    <x v="15"/>
    <x v="13"/>
    <n v="55860464"/>
    <n v="1770000"/>
    <n v="11204300"/>
    <n v="42886164"/>
    <n v="40000000"/>
    <n v="1.0721541000000001"/>
    <x v="1"/>
    <n v="24"/>
    <s v="IPS Pto De Vista Unicentro"/>
    <s v="Antioquia"/>
    <s v="Fluctúa"/>
    <m/>
    <m/>
    <m/>
    <m/>
    <m/>
    <m/>
    <n v="55860464"/>
    <m/>
  </r>
  <r>
    <n v="11"/>
    <x v="10"/>
    <x v="0"/>
    <s v="Noviembre"/>
    <s v="ERIKSAVA"/>
    <x v="44"/>
    <x v="44"/>
    <n v="44456076"/>
    <n v="1065200"/>
    <n v="4084000"/>
    <n v="39306876"/>
    <n v="38000000"/>
    <n v="1.0343914736842106"/>
    <x v="1"/>
    <n v="24"/>
    <s v="IPS Pto De Vista San Diego"/>
    <s v="Antioquia"/>
    <s v="No Cumple"/>
    <m/>
    <m/>
    <m/>
    <m/>
    <m/>
    <m/>
    <n v="44456076"/>
    <m/>
  </r>
  <r>
    <n v="11"/>
    <x v="10"/>
    <x v="0"/>
    <s v="Noviembre"/>
    <s v="GENNHEPO"/>
    <x v="16"/>
    <x v="14"/>
    <n v="47804613"/>
    <n v="1553500"/>
    <n v="10113400"/>
    <n v="36137713"/>
    <n v="36000000"/>
    <n v="1.0038253611111112"/>
    <x v="1"/>
    <n v="24"/>
    <s v="IPS Pto De Vista Punto Clave"/>
    <s v="Antioquia"/>
    <s v="Fluctúa"/>
    <m/>
    <m/>
    <m/>
    <m/>
    <m/>
    <m/>
    <n v="47804613"/>
    <m/>
  </r>
  <r>
    <n v="11"/>
    <x v="10"/>
    <x v="0"/>
    <s v="Noviembre"/>
    <s v="ISABMOGO"/>
    <x v="17"/>
    <x v="15"/>
    <n v="34150255"/>
    <n v="786200"/>
    <n v="6085100"/>
    <n v="27278955"/>
    <n v="26000000"/>
    <n v="1.0491905769230769"/>
    <x v="1"/>
    <n v="24"/>
    <s v="IPS Pto De Vista Santa Bárbara"/>
    <s v="Centro"/>
    <s v="No Cumple"/>
    <m/>
    <m/>
    <m/>
    <m/>
    <m/>
    <m/>
    <n v="34150255"/>
    <m/>
  </r>
  <r>
    <n v="11"/>
    <x v="10"/>
    <x v="0"/>
    <s v="Noviembre"/>
    <s v="JAQUVEGU"/>
    <x v="18"/>
    <x v="16"/>
    <n v="38154294"/>
    <n v="1535500"/>
    <n v="5875538"/>
    <n v="30743256"/>
    <n v="30100000"/>
    <n v="1.0213706312292359"/>
    <x v="0"/>
    <n v="24"/>
    <s v="IPS Pto De Vista Rionegro"/>
    <s v="Antioquia"/>
    <s v="No Aplica"/>
    <m/>
    <m/>
    <m/>
    <m/>
    <m/>
    <m/>
    <n v="38154294"/>
    <m/>
  </r>
  <r>
    <n v="11"/>
    <x v="10"/>
    <x v="0"/>
    <s v="Noviembre"/>
    <s v="LEIDGOVI"/>
    <x v="39"/>
    <x v="39"/>
    <n v="21259680"/>
    <n v="420000"/>
    <n v="3883300"/>
    <n v="16956380"/>
    <n v="30100000"/>
    <n v="0.56333488372093021"/>
    <x v="1"/>
    <n v="24"/>
    <s v="IPS Pto De Vista Punto Clave"/>
    <s v="Antioquia"/>
    <s v="Fluctúa"/>
    <m/>
    <m/>
    <m/>
    <m/>
    <m/>
    <m/>
    <n v="21259680"/>
    <m/>
  </r>
  <r>
    <n v="11"/>
    <x v="10"/>
    <x v="0"/>
    <s v="Noviembre"/>
    <s v="LILACARA"/>
    <x v="19"/>
    <x v="17"/>
    <n v="56248486"/>
    <n v="1957600"/>
    <n v="11859000"/>
    <n v="42431886"/>
    <n v="36000000"/>
    <n v="1.1786635000000001"/>
    <x v="1"/>
    <n v="24"/>
    <s v="IPS Pto De Vista Molinos"/>
    <s v="Antioquia"/>
    <s v="Cumple"/>
    <m/>
    <m/>
    <m/>
    <m/>
    <m/>
    <m/>
    <n v="56248486"/>
    <m/>
  </r>
  <r>
    <n v="11"/>
    <x v="10"/>
    <x v="0"/>
    <s v="Noviembre"/>
    <s v="LUZNHEGO"/>
    <x v="21"/>
    <x v="19"/>
    <n v="15435591"/>
    <n v="160200"/>
    <n v="0"/>
    <n v="15275391"/>
    <n v="21000000"/>
    <n v="0.72739957142857148"/>
    <x v="1"/>
    <n v="24"/>
    <s v="IPS Punto de Vista Mayorca"/>
    <s v="Antioquia"/>
    <s v="Siempre Cumple"/>
    <m/>
    <m/>
    <m/>
    <m/>
    <m/>
    <m/>
    <n v="15435591"/>
    <m/>
  </r>
  <r>
    <n v="11"/>
    <x v="10"/>
    <x v="0"/>
    <s v="Noviembre"/>
    <s v="MARGGAPA"/>
    <x v="22"/>
    <x v="20"/>
    <n v="42231606"/>
    <n v="606000"/>
    <n v="10548013"/>
    <n v="31077593"/>
    <n v="40000000"/>
    <n v="0.77693982500000003"/>
    <x v="1"/>
    <n v="24"/>
    <s v="IPS Pto De Vista Centro"/>
    <s v="Antioquia"/>
    <s v="Fluctúa"/>
    <m/>
    <m/>
    <m/>
    <m/>
    <m/>
    <m/>
    <n v="42231606"/>
    <m/>
  </r>
  <r>
    <n v="11"/>
    <x v="10"/>
    <x v="0"/>
    <s v="Noviembre"/>
    <s v="MARIMASA"/>
    <x v="23"/>
    <x v="34"/>
    <n v="37342552"/>
    <n v="915400"/>
    <n v="5396300"/>
    <n v="31030852"/>
    <n v="30100000"/>
    <n v="1.0309253156146179"/>
    <x v="1"/>
    <n v="24"/>
    <s v="IPS Pto De Vista San Diego"/>
    <s v="Antioquia"/>
    <s v="Siempre Cumple"/>
    <m/>
    <m/>
    <m/>
    <m/>
    <m/>
    <m/>
    <n v="37342552"/>
    <m/>
  </r>
  <r>
    <n v="11"/>
    <x v="10"/>
    <x v="0"/>
    <s v="Noviembre"/>
    <s v="MARIOCOC"/>
    <x v="24"/>
    <x v="21"/>
    <n v="38596912"/>
    <n v="990800"/>
    <n v="5490405"/>
    <n v="32115707"/>
    <n v="30100000"/>
    <n v="1.0669670099667774"/>
    <x v="1"/>
    <n v="24"/>
    <s v="IPS Pto De Vista Rionegro"/>
    <s v="Antioquia"/>
    <s v="Cumple"/>
    <m/>
    <m/>
    <m/>
    <m/>
    <m/>
    <m/>
    <n v="38596912"/>
    <m/>
  </r>
  <r>
    <n v="11"/>
    <x v="10"/>
    <x v="0"/>
    <s v="Noviembre"/>
    <s v="MARISEAR"/>
    <x v="25"/>
    <x v="22"/>
    <n v="52177473"/>
    <n v="1265400"/>
    <n v="10677046"/>
    <n v="40235027"/>
    <n v="40000000"/>
    <n v="1.005875675"/>
    <x v="0"/>
    <n v="24"/>
    <s v=""/>
    <s v=""/>
    <s v="No Aplica"/>
    <m/>
    <m/>
    <m/>
    <m/>
    <m/>
    <m/>
    <n v="52177473"/>
    <m/>
  </r>
  <r>
    <n v="11"/>
    <x v="10"/>
    <x v="0"/>
    <s v="Noviembre"/>
    <s v="MONIMEME"/>
    <x v="27"/>
    <x v="24"/>
    <n v="61473433"/>
    <n v="1390700"/>
    <n v="11399700"/>
    <n v="48683033"/>
    <n v="40000000"/>
    <n v="1.217075825"/>
    <x v="0"/>
    <n v="24"/>
    <s v=""/>
    <s v=""/>
    <s v="No Aplica"/>
    <m/>
    <m/>
    <m/>
    <m/>
    <m/>
    <m/>
    <n v="61473433"/>
    <m/>
  </r>
  <r>
    <n v="11"/>
    <x v="10"/>
    <x v="0"/>
    <s v="Noviembre"/>
    <s v="NATAPIDU"/>
    <x v="28"/>
    <x v="25"/>
    <n v="8983388"/>
    <n v="0"/>
    <n v="1204000"/>
    <n v="7779388"/>
    <n v="18000000"/>
    <n v="0.4321882222222222"/>
    <x v="1"/>
    <n v="24"/>
    <s v="IPS Pto De Vista Industriales"/>
    <s v="Antioquia"/>
    <s v="Cumple"/>
    <m/>
    <m/>
    <m/>
    <m/>
    <m/>
    <m/>
    <n v="8983388"/>
    <m/>
  </r>
  <r>
    <n v="11"/>
    <x v="10"/>
    <x v="0"/>
    <s v="Noviembre"/>
    <s v="OSCADESU"/>
    <x v="29"/>
    <x v="26"/>
    <n v="36734397"/>
    <n v="420000"/>
    <n v="10206400"/>
    <n v="26107997"/>
    <n v="26000000"/>
    <n v="1.0041537307692308"/>
    <x v="0"/>
    <n v="24"/>
    <s v=""/>
    <s v=""/>
    <s v="No Aplica"/>
    <m/>
    <m/>
    <m/>
    <m/>
    <m/>
    <m/>
    <n v="36734397"/>
    <m/>
  </r>
  <r>
    <n v="11"/>
    <x v="10"/>
    <x v="0"/>
    <s v="Noviembre"/>
    <s v="PAULGOBA"/>
    <x v="35"/>
    <x v="36"/>
    <n v="20540722"/>
    <n v="0"/>
    <n v="1524500"/>
    <n v="19016222"/>
    <n v="40100000"/>
    <n v="0.47421999999999997"/>
    <x v="1"/>
    <n v="24"/>
    <s v="Ferias Empresariales Antioquia"/>
    <s v="Antioquia"/>
    <s v="Fluctúa"/>
    <m/>
    <m/>
    <m/>
    <m/>
    <m/>
    <m/>
    <n v="20540722"/>
    <m/>
  </r>
  <r>
    <n v="11"/>
    <x v="10"/>
    <x v="0"/>
    <s v="Noviembre"/>
    <s v="RAULMOGA"/>
    <x v="30"/>
    <x v="27"/>
    <n v="31746999"/>
    <n v="420000"/>
    <n v="5215800"/>
    <n v="26111199"/>
    <n v="21000000"/>
    <n v="1.2433904285714286"/>
    <x v="0"/>
    <n v="24"/>
    <s v="IPS Pto De Vista Olaya"/>
    <s v="Centro"/>
    <s v="No Aplica"/>
    <m/>
    <m/>
    <m/>
    <m/>
    <m/>
    <m/>
    <n v="31746999"/>
    <m/>
  </r>
  <r>
    <n v="11"/>
    <x v="10"/>
    <x v="0"/>
    <s v="Noviembre"/>
    <s v="ROCIFASA"/>
    <x v="31"/>
    <x v="28"/>
    <n v="25974657"/>
    <n v="531000"/>
    <n v="0"/>
    <n v="25443657"/>
    <n v="21000000"/>
    <n v="1.2116027142857142"/>
    <x v="1"/>
    <n v="24"/>
    <s v="Optica Salud Sura Chipichape"/>
    <s v="Occidente"/>
    <s v="Cumple"/>
    <m/>
    <m/>
    <m/>
    <m/>
    <m/>
    <m/>
    <n v="25974657"/>
    <m/>
  </r>
  <r>
    <n v="11"/>
    <x v="10"/>
    <x v="0"/>
    <s v="Noviembre"/>
    <s v="RUBYHIGA"/>
    <x v="42"/>
    <x v="42"/>
    <n v="29792300"/>
    <n v="1398000"/>
    <n v="9952800"/>
    <n v="18441500"/>
    <n v="40000000"/>
    <n v="0.46103749999999999"/>
    <x v="0"/>
    <n v="24"/>
    <s v=""/>
    <s v=""/>
    <s v="No Aplica"/>
    <m/>
    <m/>
    <m/>
    <m/>
    <m/>
    <m/>
    <n v="29792300"/>
    <m/>
  </r>
  <r>
    <n v="11"/>
    <x v="10"/>
    <x v="0"/>
    <s v="Noviembre"/>
    <s v="VIVIVAZA"/>
    <x v="33"/>
    <x v="30"/>
    <n v="68703047"/>
    <n v="285400"/>
    <n v="13484900"/>
    <n v="54932747"/>
    <n v="40100000"/>
    <n v="1.369893940149626"/>
    <x v="1"/>
    <n v="24"/>
    <s v="IPS Pto De Vista Unicentro"/>
    <s v="Antioquia"/>
    <s v="Cumple"/>
    <m/>
    <m/>
    <m/>
    <m/>
    <m/>
    <m/>
    <n v="68703047"/>
    <m/>
  </r>
  <r>
    <n v="11"/>
    <x v="10"/>
    <x v="0"/>
    <s v="Noviembre"/>
    <s v="ZULYARGA"/>
    <x v="34"/>
    <x v="31"/>
    <n v="54581443"/>
    <n v="2494700"/>
    <n v="15360400"/>
    <n v="36726343"/>
    <n v="40100000"/>
    <n v="0.91586890274314214"/>
    <x v="1"/>
    <n v="24"/>
    <s v="IPS Pto De Vista Molinos"/>
    <s v="Antioquia"/>
    <n v="0"/>
    <m/>
    <m/>
    <m/>
    <m/>
    <m/>
    <m/>
    <n v="54581443"/>
    <m/>
  </r>
  <r>
    <n v="12"/>
    <x v="11"/>
    <x v="0"/>
    <s v="Diciembre"/>
    <s v="ADRIMOLU"/>
    <x v="1"/>
    <x v="1"/>
    <n v="62495645"/>
    <n v="1309400"/>
    <n v="13511100"/>
    <n v="47675145"/>
    <n v="26000000"/>
    <n v="1.833659423076923"/>
    <x v="1"/>
    <n v="26"/>
    <s v="IPS Pto De Vista Molinos"/>
    <s v="Antioquia"/>
    <s v="Cumple"/>
    <m/>
    <m/>
    <m/>
    <m/>
    <m/>
    <m/>
    <n v="62495645"/>
    <m/>
  </r>
  <r>
    <n v="12"/>
    <x v="11"/>
    <x v="0"/>
    <s v="Diciembre"/>
    <s v="ALEXLOGR"/>
    <x v="2"/>
    <x v="2"/>
    <n v="52543880"/>
    <n v="1669400"/>
    <n v="8131156"/>
    <n v="42743324"/>
    <n v="33146153.846153848"/>
    <n v="1.2895409886284519"/>
    <x v="1"/>
    <n v="26"/>
    <s v="IPS Punto de Vista Bello"/>
    <s v="Antioquia"/>
    <s v="Fluctúa"/>
    <m/>
    <m/>
    <m/>
    <m/>
    <m/>
    <m/>
    <n v="52543880"/>
    <m/>
  </r>
  <r>
    <n v="12"/>
    <x v="11"/>
    <x v="0"/>
    <s v="Diciembre"/>
    <s v="ALVAOSOS"/>
    <x v="36"/>
    <x v="37"/>
    <n v="57262608"/>
    <n v="166800"/>
    <n v="8627900"/>
    <n v="48467908"/>
    <n v="30100000"/>
    <n v="1.6102295016611297"/>
    <x v="1"/>
    <n v="26"/>
    <s v="IPS Pto De Vista Punto Clave"/>
    <s v="Antioquia"/>
    <s v="Siempre Cumple"/>
    <m/>
    <m/>
    <m/>
    <m/>
    <m/>
    <m/>
    <n v="57262608"/>
    <m/>
  </r>
  <r>
    <n v="12"/>
    <x v="11"/>
    <x v="0"/>
    <s v="Diciembre"/>
    <s v="ANAMLOBE"/>
    <x v="3"/>
    <x v="3"/>
    <n v="85664518"/>
    <n v="1366700"/>
    <n v="11584300"/>
    <n v="72713518"/>
    <n v="40100000"/>
    <n v="1.8133046882793018"/>
    <x v="1"/>
    <n v="26"/>
    <s v="IPS Pto De Vista Unicentro"/>
    <s v="Antioquia"/>
    <s v="Siempre Cumple"/>
    <m/>
    <m/>
    <m/>
    <m/>
    <m/>
    <m/>
    <n v="85664518"/>
    <m/>
  </r>
  <r>
    <n v="12"/>
    <x v="11"/>
    <x v="0"/>
    <s v="Diciembre"/>
    <s v="ANDRSAZA"/>
    <x v="45"/>
    <x v="45"/>
    <n v="29948898"/>
    <n v="1305400"/>
    <n v="3611000"/>
    <n v="25032498"/>
    <n v="20800000"/>
    <n v="1.2034854807692308"/>
    <x v="1"/>
    <n v="26"/>
    <s v="IPS Pto De Vista Santa Bárbara"/>
    <s v="Centro"/>
    <s v="Cumple"/>
    <m/>
    <m/>
    <m/>
    <m/>
    <m/>
    <m/>
    <n v="29948898"/>
    <m/>
  </r>
  <r>
    <n v="12"/>
    <x v="11"/>
    <x v="0"/>
    <s v="Diciembre"/>
    <s v="ANGEGAAR"/>
    <x v="4"/>
    <x v="4"/>
    <n v="67672254"/>
    <n v="256860"/>
    <n v="9852100"/>
    <n v="57563294"/>
    <n v="40000000"/>
    <n v="1.4390823500000001"/>
    <x v="1"/>
    <n v="26"/>
    <s v="IPS Pto De Vista San Diego"/>
    <s v="Antioquia"/>
    <s v="Fluctúa"/>
    <m/>
    <m/>
    <m/>
    <m/>
    <m/>
    <m/>
    <n v="67672254"/>
    <m/>
  </r>
  <r>
    <n v="12"/>
    <x v="11"/>
    <x v="0"/>
    <s v="Diciembre"/>
    <s v="ANGEROPI"/>
    <x v="46"/>
    <x v="46"/>
    <n v="41848489"/>
    <n v="1666600"/>
    <n v="7731700"/>
    <n v="32450189"/>
    <n v="32000000"/>
    <n v="1.0140684062500001"/>
    <x v="0"/>
    <n v="26"/>
    <s v=""/>
    <s v=""/>
    <s v="No Aplica"/>
    <m/>
    <m/>
    <m/>
    <m/>
    <m/>
    <m/>
    <n v="41848489"/>
    <m/>
  </r>
  <r>
    <n v="12"/>
    <x v="11"/>
    <x v="0"/>
    <s v="Diciembre"/>
    <s v="ANLLLIZO"/>
    <x v="5"/>
    <x v="5"/>
    <n v="6859925"/>
    <n v="0"/>
    <n v="983100"/>
    <n v="5876825"/>
    <n v="9692307.692307692"/>
    <n v="0.60633908730158736"/>
    <x v="0"/>
    <n v="26"/>
    <s v=""/>
    <s v=""/>
    <s v="No Aplica"/>
    <m/>
    <m/>
    <m/>
    <m/>
    <m/>
    <m/>
    <n v="6859925"/>
    <m/>
  </r>
  <r>
    <n v="12"/>
    <x v="11"/>
    <x v="0"/>
    <s v="Diciembre"/>
    <s v="BIBIBECA"/>
    <x v="6"/>
    <x v="6"/>
    <n v="38817954"/>
    <n v="293400"/>
    <n v="5940100"/>
    <n v="32584454"/>
    <n v="27692307.692307692"/>
    <n v="1.1766608388888888"/>
    <x v="1"/>
    <n v="26"/>
    <s v="IPS Pto De Vista Centro"/>
    <s v="Antioquia"/>
    <s v="Fluctúa"/>
    <m/>
    <m/>
    <m/>
    <m/>
    <m/>
    <m/>
    <n v="38817954"/>
    <m/>
  </r>
  <r>
    <n v="12"/>
    <x v="11"/>
    <x v="0"/>
    <s v="Diciembre"/>
    <s v="CAROVABE"/>
    <x v="8"/>
    <x v="32"/>
    <n v="54142522"/>
    <n v="1422000"/>
    <n v="10247900"/>
    <n v="42472622"/>
    <n v="40000000"/>
    <n v="1.0618155499999999"/>
    <x v="0"/>
    <n v="26"/>
    <s v=""/>
    <s v=""/>
    <s v="No Aplica"/>
    <m/>
    <m/>
    <m/>
    <m/>
    <m/>
    <m/>
    <n v="54142522"/>
    <m/>
  </r>
  <r>
    <n v="12"/>
    <x v="11"/>
    <x v="0"/>
    <s v="Diciembre"/>
    <s v="CLAUBLAR"/>
    <x v="9"/>
    <x v="8"/>
    <n v="63982759"/>
    <n v="3165400"/>
    <n v="13362400"/>
    <n v="47454959"/>
    <n v="40000000"/>
    <n v="1.186373975"/>
    <x v="1"/>
    <n v="26"/>
    <s v="IPS Pto De Vista Centro"/>
    <s v="Antioquia"/>
    <s v="Fluctúa"/>
    <m/>
    <m/>
    <m/>
    <m/>
    <m/>
    <m/>
    <n v="63982759"/>
    <m/>
  </r>
  <r>
    <n v="12"/>
    <x v="11"/>
    <x v="0"/>
    <s v="Diciembre"/>
    <s v="CLAUPACO"/>
    <x v="10"/>
    <x v="9"/>
    <n v="28563107"/>
    <n v="420000"/>
    <n v="5978600"/>
    <n v="22164507"/>
    <n v="21000000"/>
    <n v="1.0554527142857142"/>
    <x v="0"/>
    <n v="26"/>
    <s v=""/>
    <s v=""/>
    <s v="No Aplica"/>
    <m/>
    <m/>
    <m/>
    <m/>
    <m/>
    <m/>
    <n v="28563107"/>
    <m/>
  </r>
  <r>
    <n v="12"/>
    <x v="11"/>
    <x v="0"/>
    <s v="Diciembre"/>
    <s v="DERLARMO"/>
    <x v="11"/>
    <x v="10"/>
    <n v="32310394"/>
    <n v="1036000"/>
    <n v="7237000"/>
    <n v="24037394"/>
    <n v="21000000"/>
    <n v="1.1446378095238094"/>
    <x v="1"/>
    <n v="26"/>
    <s v="IPS Pto De Vista Olaya"/>
    <s v="Centro"/>
    <s v="Cumple"/>
    <m/>
    <m/>
    <m/>
    <m/>
    <m/>
    <m/>
    <n v="32310394"/>
    <m/>
  </r>
  <r>
    <n v="12"/>
    <x v="11"/>
    <x v="0"/>
    <s v="Diciembre"/>
    <s v="DIANPAAL"/>
    <x v="12"/>
    <x v="11"/>
    <n v="50353471"/>
    <n v="1664100"/>
    <n v="7242591"/>
    <n v="41446780"/>
    <n v="30100000"/>
    <n v="1.3769694352159469"/>
    <x v="1"/>
    <n v="26"/>
    <s v="IPS Pto De Vista Rionegro"/>
    <s v="Antioquia"/>
    <s v="Cumple"/>
    <m/>
    <m/>
    <m/>
    <m/>
    <m/>
    <m/>
    <n v="50353471"/>
    <m/>
  </r>
  <r>
    <n v="12"/>
    <x v="11"/>
    <x v="0"/>
    <s v="Diciembre"/>
    <s v="DIANPOPA"/>
    <x v="13"/>
    <x v="33"/>
    <n v="22389696"/>
    <n v="378000"/>
    <n v="2281278"/>
    <n v="19730418"/>
    <n v="13892308"/>
    <n v="1.4202404668828246"/>
    <x v="0"/>
    <n v="26"/>
    <s v=""/>
    <s v=""/>
    <s v="No Aplica"/>
    <m/>
    <m/>
    <m/>
    <m/>
    <m/>
    <m/>
    <n v="22389696"/>
    <m/>
  </r>
  <r>
    <n v="12"/>
    <x v="11"/>
    <x v="0"/>
    <s v="Diciembre"/>
    <s v="DIANQUME"/>
    <x v="14"/>
    <x v="12"/>
    <n v="55081590"/>
    <n v="1494300"/>
    <n v="9700500"/>
    <n v="43886790"/>
    <n v="36000000"/>
    <n v="1.2190775"/>
    <x v="1"/>
    <n v="26"/>
    <s v="IPS Pto De Vista Molinos"/>
    <s v="Antioquia"/>
    <s v="Cumple"/>
    <m/>
    <m/>
    <m/>
    <m/>
    <m/>
    <m/>
    <n v="55081590"/>
    <m/>
  </r>
  <r>
    <n v="12"/>
    <x v="11"/>
    <x v="0"/>
    <s v="Diciembre"/>
    <s v="ELIZVESU"/>
    <x v="15"/>
    <x v="13"/>
    <n v="71152687"/>
    <n v="1993300"/>
    <n v="13182600"/>
    <n v="55976787"/>
    <n v="36000000"/>
    <n v="1.5549107499999999"/>
    <x v="1"/>
    <n v="26"/>
    <s v="IPS Pto De Vista Unicentro"/>
    <s v="Antioquia"/>
    <s v="Fluctúa"/>
    <m/>
    <m/>
    <m/>
    <m/>
    <m/>
    <m/>
    <n v="71152687"/>
    <m/>
  </r>
  <r>
    <n v="12"/>
    <x v="11"/>
    <x v="0"/>
    <s v="Diciembre"/>
    <s v="ERIKSAVA"/>
    <x v="44"/>
    <x v="44"/>
    <n v="54161475"/>
    <n v="1592400"/>
    <n v="9215700"/>
    <n v="43353375"/>
    <n v="40000000"/>
    <n v="1.0838343749999999"/>
    <x v="1"/>
    <n v="26"/>
    <s v="IPS Pto De Vista San Diego"/>
    <s v="Antioquia"/>
    <s v="No Cumple"/>
    <m/>
    <m/>
    <m/>
    <m/>
    <m/>
    <m/>
    <n v="54161475"/>
    <m/>
  </r>
  <r>
    <n v="12"/>
    <x v="11"/>
    <x v="0"/>
    <s v="Diciembre"/>
    <s v="GENNHEPO"/>
    <x v="16"/>
    <x v="14"/>
    <n v="54638181"/>
    <n v="1565600"/>
    <n v="10395600"/>
    <n v="42676981"/>
    <n v="40000000"/>
    <n v="1.0669245249999999"/>
    <x v="1"/>
    <n v="26"/>
    <s v="IPS Pto De Vista Punto Clave"/>
    <s v="Antioquia"/>
    <s v="Fluctúa"/>
    <m/>
    <m/>
    <m/>
    <m/>
    <m/>
    <m/>
    <n v="54638181"/>
    <m/>
  </r>
  <r>
    <n v="12"/>
    <x v="11"/>
    <x v="0"/>
    <s v="Diciembre"/>
    <s v="ISABMOGO"/>
    <x v="17"/>
    <x v="15"/>
    <n v="35212342"/>
    <n v="0"/>
    <n v="5698100"/>
    <n v="29514242"/>
    <n v="26000000"/>
    <n v="1.1351631538461537"/>
    <x v="1"/>
    <n v="26"/>
    <s v="IPS Pto De Vista Santa Bárbara"/>
    <s v="Centro"/>
    <s v="No Cumple"/>
    <m/>
    <m/>
    <m/>
    <m/>
    <m/>
    <m/>
    <n v="35212342"/>
    <m/>
  </r>
  <r>
    <n v="12"/>
    <x v="11"/>
    <x v="0"/>
    <s v="Diciembre"/>
    <s v="JAQUVEGU"/>
    <x v="18"/>
    <x v="16"/>
    <n v="50027265"/>
    <n v="1961500"/>
    <n v="7483027"/>
    <n v="40582738"/>
    <n v="30100000"/>
    <n v="1.3482637209302326"/>
    <x v="0"/>
    <n v="26"/>
    <s v="IPS Pto De Vista Rionegro"/>
    <s v="Antioquia"/>
    <s v="No Aplica"/>
    <m/>
    <m/>
    <m/>
    <m/>
    <m/>
    <m/>
    <n v="50027265"/>
    <m/>
  </r>
  <r>
    <n v="12"/>
    <x v="11"/>
    <x v="0"/>
    <s v="Diciembre"/>
    <s v="LEIDGOVI"/>
    <x v="39"/>
    <x v="39"/>
    <n v="62248119"/>
    <n v="1323400"/>
    <n v="9935800"/>
    <n v="50988919"/>
    <n v="30100000"/>
    <n v="1.6939840199335547"/>
    <x v="1"/>
    <n v="26"/>
    <s v="IPS Pto De Vista Punto Clave"/>
    <s v="Antioquia"/>
    <s v="Fluctúa"/>
    <m/>
    <m/>
    <m/>
    <m/>
    <m/>
    <m/>
    <n v="62248119"/>
    <m/>
  </r>
  <r>
    <n v="12"/>
    <x v="11"/>
    <x v="0"/>
    <s v="Diciembre"/>
    <s v="LILACARA"/>
    <x v="19"/>
    <x v="17"/>
    <n v="65100908"/>
    <n v="840000"/>
    <n v="11533600"/>
    <n v="52727308"/>
    <n v="36000000"/>
    <n v="1.4646474444444444"/>
    <x v="1"/>
    <n v="26"/>
    <s v="IPS Pto De Vista Molinos"/>
    <s v="Antioquia"/>
    <s v="Cumple"/>
    <m/>
    <m/>
    <m/>
    <m/>
    <m/>
    <m/>
    <n v="65100908"/>
    <m/>
  </r>
  <r>
    <n v="12"/>
    <x v="11"/>
    <x v="0"/>
    <s v="Diciembre"/>
    <s v="LUZNHEGO"/>
    <x v="21"/>
    <x v="19"/>
    <n v="18989393"/>
    <n v="495630"/>
    <n v="125500"/>
    <n v="18368263"/>
    <n v="11307692.307692308"/>
    <n v="1.6244042108843537"/>
    <x v="1"/>
    <n v="26"/>
    <s v="IPS Punto de Vista Mayorca"/>
    <s v="Antioquia"/>
    <s v="Siempre Cumple"/>
    <m/>
    <m/>
    <m/>
    <m/>
    <m/>
    <m/>
    <n v="18989393"/>
    <m/>
  </r>
  <r>
    <n v="12"/>
    <x v="11"/>
    <x v="0"/>
    <s v="Diciembre"/>
    <s v="MARGGAPA"/>
    <x v="22"/>
    <x v="20"/>
    <n v="68292897"/>
    <n v="681400"/>
    <n v="15684400"/>
    <n v="51927097"/>
    <n v="40000000"/>
    <n v="1.298177425"/>
    <x v="1"/>
    <n v="26"/>
    <s v="IPS Pto De Vista Centro"/>
    <s v="Antioquia"/>
    <s v="Fluctúa"/>
    <m/>
    <m/>
    <m/>
    <m/>
    <m/>
    <m/>
    <n v="68292897"/>
    <m/>
  </r>
  <r>
    <n v="12"/>
    <x v="11"/>
    <x v="0"/>
    <s v="Diciembre"/>
    <s v="MARIMASA"/>
    <x v="23"/>
    <x v="34"/>
    <n v="56235057"/>
    <n v="1459030"/>
    <n v="7236600"/>
    <n v="47539427"/>
    <n v="30100000"/>
    <n v="1.5793829568106312"/>
    <x v="1"/>
    <n v="26"/>
    <s v="IPS Pto De Vista San Diego"/>
    <s v="Antioquia"/>
    <s v="Siempre Cumple"/>
    <m/>
    <m/>
    <m/>
    <m/>
    <m/>
    <m/>
    <n v="56235057"/>
    <m/>
  </r>
  <r>
    <n v="12"/>
    <x v="11"/>
    <x v="0"/>
    <s v="Diciembre"/>
    <s v="MARIOCOC"/>
    <x v="24"/>
    <x v="21"/>
    <n v="21192491"/>
    <n v="1260000"/>
    <n v="2533113"/>
    <n v="17399378"/>
    <n v="9261538.461538462"/>
    <n v="1.8786703820598005"/>
    <x v="1"/>
    <n v="26"/>
    <s v="IPS Pto De Vista Rionegro"/>
    <s v="Antioquia"/>
    <s v="Cumple"/>
    <m/>
    <m/>
    <m/>
    <m/>
    <m/>
    <m/>
    <n v="21192491"/>
    <m/>
  </r>
  <r>
    <n v="12"/>
    <x v="11"/>
    <x v="0"/>
    <s v="Diciembre"/>
    <s v="MARISEAR"/>
    <x v="25"/>
    <x v="22"/>
    <n v="54431896"/>
    <n v="958700"/>
    <n v="10299112"/>
    <n v="43174084"/>
    <n v="40000000"/>
    <n v="1.0793520999999999"/>
    <x v="0"/>
    <n v="26"/>
    <s v=""/>
    <s v=""/>
    <s v="No Aplica"/>
    <m/>
    <m/>
    <m/>
    <m/>
    <m/>
    <m/>
    <n v="54431896"/>
    <m/>
  </r>
  <r>
    <n v="12"/>
    <x v="11"/>
    <x v="0"/>
    <s v="Diciembre"/>
    <s v="MONIMEME"/>
    <x v="27"/>
    <x v="24"/>
    <n v="73254937"/>
    <n v="1838100"/>
    <n v="12418000"/>
    <n v="58998837"/>
    <n v="40000000"/>
    <n v="1.474970925"/>
    <x v="0"/>
    <n v="26"/>
    <s v=""/>
    <s v=""/>
    <s v="No Aplica"/>
    <m/>
    <m/>
    <m/>
    <m/>
    <m/>
    <m/>
    <n v="73254937"/>
    <m/>
  </r>
  <r>
    <n v="12"/>
    <x v="11"/>
    <x v="0"/>
    <s v="Diciembre"/>
    <s v="NATAPIDU"/>
    <x v="28"/>
    <x v="25"/>
    <n v="53029054"/>
    <n v="791460"/>
    <n v="4929700"/>
    <n v="47307894"/>
    <n v="36000000"/>
    <n v="1.3141081666666667"/>
    <x v="1"/>
    <n v="26"/>
    <s v="IPS Pto De Vista Industriales"/>
    <s v="Antioquia"/>
    <s v="Cumple"/>
    <m/>
    <m/>
    <m/>
    <m/>
    <m/>
    <m/>
    <n v="53029054"/>
    <m/>
  </r>
  <r>
    <n v="12"/>
    <x v="11"/>
    <x v="0"/>
    <s v="Diciembre"/>
    <s v="OSCADESU"/>
    <x v="29"/>
    <x v="26"/>
    <n v="30193487"/>
    <n v="0"/>
    <n v="7090400"/>
    <n v="23103087"/>
    <n v="19000000"/>
    <n v="1.215951947368421"/>
    <x v="0"/>
    <n v="26"/>
    <s v=""/>
    <s v=""/>
    <s v="No Aplica"/>
    <m/>
    <m/>
    <m/>
    <m/>
    <m/>
    <m/>
    <n v="30193487"/>
    <m/>
  </r>
  <r>
    <n v="12"/>
    <x v="11"/>
    <x v="0"/>
    <s v="Diciembre"/>
    <s v="PAULGOBA"/>
    <x v="35"/>
    <x v="36"/>
    <n v="37837791"/>
    <n v="1905400"/>
    <n v="4908000"/>
    <n v="31024391"/>
    <n v="23423076.92307692"/>
    <n v="1.3245224400656816"/>
    <x v="1"/>
    <n v="26"/>
    <s v="Ferias Empresariales Antioquia"/>
    <s v="Antioquia"/>
    <s v="Fluctúa"/>
    <m/>
    <m/>
    <m/>
    <m/>
    <m/>
    <m/>
    <n v="37837791"/>
    <m/>
  </r>
  <r>
    <n v="12"/>
    <x v="11"/>
    <x v="0"/>
    <s v="Diciembre"/>
    <s v="RAULMOGA"/>
    <x v="30"/>
    <x v="27"/>
    <n v="31680871"/>
    <n v="372000"/>
    <n v="3179600"/>
    <n v="28129271"/>
    <n v="26000000"/>
    <n v="1.0818950384615384"/>
    <x v="0"/>
    <n v="26"/>
    <s v="IPS Pto De Vista Olaya"/>
    <s v="Centro"/>
    <s v="No Aplica"/>
    <m/>
    <m/>
    <m/>
    <m/>
    <m/>
    <m/>
    <n v="31680871"/>
    <m/>
  </r>
  <r>
    <n v="12"/>
    <x v="11"/>
    <x v="0"/>
    <s v="Diciembre"/>
    <s v="ROCIFASA"/>
    <x v="31"/>
    <x v="28"/>
    <n v="31420086"/>
    <n v="932400"/>
    <n v="0"/>
    <n v="30487686"/>
    <n v="21000000"/>
    <n v="1.4517945714285714"/>
    <x v="1"/>
    <n v="26"/>
    <s v="Optica Salud Sura Chipichape"/>
    <s v="Occidente"/>
    <s v="Cumple"/>
    <m/>
    <m/>
    <m/>
    <m/>
    <m/>
    <m/>
    <n v="31420086"/>
    <m/>
  </r>
  <r>
    <n v="12"/>
    <x v="11"/>
    <x v="0"/>
    <s v="Diciembre"/>
    <s v="RUBYHIGA"/>
    <x v="42"/>
    <x v="42"/>
    <n v="55991788"/>
    <n v="2042200"/>
    <n v="9551300"/>
    <n v="44398288"/>
    <n v="40000000"/>
    <n v="1.1099572"/>
    <x v="0"/>
    <n v="26"/>
    <s v=""/>
    <s v=""/>
    <s v="No Aplica"/>
    <m/>
    <m/>
    <m/>
    <m/>
    <m/>
    <m/>
    <n v="55991788"/>
    <m/>
  </r>
  <r>
    <n v="12"/>
    <x v="11"/>
    <x v="0"/>
    <s v="Diciembre"/>
    <s v="VIVIVAZA"/>
    <x v="33"/>
    <x v="30"/>
    <n v="90756427"/>
    <n v="3458830"/>
    <n v="14499300"/>
    <n v="72798297"/>
    <n v="40100000"/>
    <n v="1.8154188778054863"/>
    <x v="1"/>
    <n v="26"/>
    <s v="IPS Pto De Vista Unicentro"/>
    <s v="Antioquia"/>
    <s v="Cumple"/>
    <m/>
    <m/>
    <m/>
    <m/>
    <m/>
    <m/>
    <n v="90756427"/>
    <m/>
  </r>
  <r>
    <n v="12"/>
    <x v="11"/>
    <x v="0"/>
    <s v="Diciembre"/>
    <s v="ZULYARGA"/>
    <x v="34"/>
    <x v="31"/>
    <n v="48054614"/>
    <n v="1874100"/>
    <n v="11492700"/>
    <n v="34687814"/>
    <n v="24676923.076923076"/>
    <n v="1.4056782481296759"/>
    <x v="1"/>
    <n v="26"/>
    <s v="IPS Pto De Vista Molinos"/>
    <s v="Antioquia"/>
    <n v="0"/>
    <m/>
    <m/>
    <m/>
    <m/>
    <m/>
    <m/>
    <n v="48054614"/>
    <m/>
  </r>
  <r>
    <n v="1"/>
    <x v="12"/>
    <x v="1"/>
    <s v="Enero"/>
    <s v="ADRIMOLU"/>
    <x v="1"/>
    <x v="1"/>
    <n v="54961827"/>
    <n v="1188800"/>
    <n v="12570500"/>
    <n v="41202527"/>
    <n v="41000000"/>
    <n v="1.0049396829268293"/>
    <x v="1"/>
    <n v="25"/>
    <s v="IPS Pto De Vista Molinos"/>
    <s v="Antioquia"/>
    <s v="Cumple"/>
    <n v="113"/>
    <n v="8570400"/>
    <n v="300"/>
    <n v="28246405"/>
    <n v="145"/>
    <n v="12570500"/>
    <n v="5574522"/>
    <m/>
  </r>
  <r>
    <n v="1"/>
    <x v="12"/>
    <x v="1"/>
    <s v="Enero"/>
    <s v="ALEXLOGR"/>
    <x v="2"/>
    <x v="2"/>
    <n v="45800632"/>
    <n v="640000"/>
    <n v="13883491"/>
    <n v="31277141"/>
    <n v="29000000"/>
    <n v="1.0785221034482759"/>
    <x v="1"/>
    <n v="25"/>
    <s v="IPS Punto de Vista Bello"/>
    <s v="Antioquia"/>
    <s v="Fluctúa"/>
    <n v="92"/>
    <n v="7144055"/>
    <n v="186"/>
    <n v="18346050"/>
    <n v="170"/>
    <n v="13883491"/>
    <n v="6427036"/>
    <m/>
  </r>
  <r>
    <n v="1"/>
    <x v="12"/>
    <x v="1"/>
    <s v="Enero"/>
    <s v="ALVAOSOS"/>
    <x v="36"/>
    <x v="37"/>
    <n v="45666555"/>
    <n v="1101400"/>
    <n v="10140200"/>
    <n v="34424955"/>
    <n v="30100000"/>
    <n v="1.1436862126245848"/>
    <x v="1"/>
    <n v="25"/>
    <s v="IPS Pto De Vista Punto Clave"/>
    <s v="Antioquia"/>
    <s v="Siempre Cumple"/>
    <n v="64"/>
    <n v="6599241"/>
    <n v="152"/>
    <n v="22070500"/>
    <n v="119"/>
    <n v="10140200"/>
    <n v="6856614"/>
    <m/>
  </r>
  <r>
    <n v="1"/>
    <x v="12"/>
    <x v="1"/>
    <s v="Enero"/>
    <s v="ANAMLOBE"/>
    <x v="3"/>
    <x v="3"/>
    <n v="74789056"/>
    <n v="2837000"/>
    <n v="13471100"/>
    <n v="58480956"/>
    <n v="43000000"/>
    <n v="1.3600222325581395"/>
    <x v="1"/>
    <n v="25"/>
    <s v="IPS Pto De Vista Unicentro"/>
    <s v="Antioquia"/>
    <s v="Siempre Cumple"/>
    <n v="114"/>
    <n v="13482799"/>
    <n v="289"/>
    <n v="36571460"/>
    <n v="160"/>
    <n v="13471100"/>
    <n v="11263697"/>
    <m/>
  </r>
  <r>
    <n v="1"/>
    <x v="12"/>
    <x v="1"/>
    <s v="Enero"/>
    <s v="ANGEGAAR"/>
    <x v="4"/>
    <x v="4"/>
    <n v="58773753"/>
    <n v="1333400"/>
    <n v="14052700"/>
    <n v="43387653"/>
    <n v="41280000"/>
    <n v="1.0510574854651162"/>
    <x v="1"/>
    <n v="25"/>
    <s v="IPS Pto De Vista San Diego"/>
    <s v="Antioquia"/>
    <s v="Fluctúa"/>
    <n v="101"/>
    <n v="9675500"/>
    <n v="244"/>
    <n v="24947400"/>
    <n v="162"/>
    <n v="14052700"/>
    <n v="10098153"/>
    <m/>
  </r>
  <r>
    <n v="1"/>
    <x v="12"/>
    <x v="1"/>
    <s v="Enero"/>
    <s v="ANLLLIZO"/>
    <x v="5"/>
    <x v="5"/>
    <n v="2449527"/>
    <n v="0"/>
    <n v="125500"/>
    <n v="2324027"/>
    <n v="6000000"/>
    <n v="0.38733783333333333"/>
    <x v="0"/>
    <n v="25"/>
    <s v=""/>
    <s v=""/>
    <s v="No Aplica"/>
    <n v="1"/>
    <n v="70345"/>
    <n v="10"/>
    <n v="2121380"/>
    <n v="1"/>
    <n v="125500"/>
    <n v="132302"/>
    <m/>
  </r>
  <r>
    <n v="1"/>
    <x v="12"/>
    <x v="1"/>
    <s v="Enero"/>
    <s v="BIBIBECA"/>
    <x v="6"/>
    <x v="6"/>
    <n v="60278941"/>
    <n v="816000"/>
    <n v="15004200"/>
    <n v="44458741"/>
    <n v="41000000"/>
    <n v="1.0843595365853658"/>
    <x v="1"/>
    <n v="25"/>
    <s v="IPS Pto De Vista Centro"/>
    <s v="Antioquia"/>
    <s v="Fluctúa"/>
    <n v="116"/>
    <n v="9223873"/>
    <n v="272"/>
    <n v="29208380"/>
    <n v="178"/>
    <n v="15004200"/>
    <n v="6842488"/>
    <m/>
  </r>
  <r>
    <n v="1"/>
    <x v="12"/>
    <x v="1"/>
    <s v="Enero"/>
    <s v="CAROVABE"/>
    <x v="8"/>
    <x v="32"/>
    <n v="55637912"/>
    <n v="285400"/>
    <n v="14783400"/>
    <n v="40569112"/>
    <n v="41000000"/>
    <n v="0.9894905365853659"/>
    <x v="0"/>
    <n v="25"/>
    <s v=""/>
    <s v=""/>
    <s v="No Aplica"/>
    <n v="96"/>
    <n v="7522641"/>
    <n v="244"/>
    <n v="27465790"/>
    <n v="168"/>
    <n v="14783400"/>
    <n v="5866081"/>
    <m/>
  </r>
  <r>
    <n v="1"/>
    <x v="12"/>
    <x v="1"/>
    <s v="Enero"/>
    <s v="CLAUPACO"/>
    <x v="10"/>
    <x v="9"/>
    <n v="18208820"/>
    <n v="0"/>
    <n v="5025200"/>
    <n v="13183620"/>
    <n v="8800000"/>
    <n v="1.4981386363636364"/>
    <x v="0"/>
    <n v="25"/>
    <s v=""/>
    <s v=""/>
    <s v="No Aplica"/>
    <n v="34"/>
    <n v="2072994"/>
    <n v="90"/>
    <n v="9578520"/>
    <n v="81"/>
    <n v="5025200"/>
    <n v="1532106"/>
    <m/>
  </r>
  <r>
    <n v="1"/>
    <x v="12"/>
    <x v="1"/>
    <s v="Enero"/>
    <s v="CLAUBLAR"/>
    <x v="9"/>
    <x v="8"/>
    <n v="55244605"/>
    <n v="1210800"/>
    <n v="10929000"/>
    <n v="43104805"/>
    <n v="41000000"/>
    <n v="1.0513367073170732"/>
    <x v="1"/>
    <n v="25"/>
    <s v="IPS Pto De Vista Centro"/>
    <s v="Antioquia"/>
    <s v="Fluctúa"/>
    <n v="99"/>
    <n v="8770746"/>
    <n v="218"/>
    <n v="26501220"/>
    <n v="130"/>
    <n v="10929000"/>
    <n v="9043639"/>
    <m/>
  </r>
  <r>
    <n v="1"/>
    <x v="12"/>
    <x v="1"/>
    <s v="Enero"/>
    <s v="DERLARMO"/>
    <x v="11"/>
    <x v="10"/>
    <n v="28302999"/>
    <n v="1468800"/>
    <n v="5746400"/>
    <n v="21087799"/>
    <n v="20000000"/>
    <n v="1.05438995"/>
    <x v="1"/>
    <n v="25"/>
    <s v="IPS Pto De Vista Olaya"/>
    <s v="Centro"/>
    <s v="Cumple"/>
    <n v="61"/>
    <n v="3814234"/>
    <n v="160"/>
    <n v="15096880"/>
    <n v="91"/>
    <n v="5746400"/>
    <n v="3645485"/>
    <m/>
  </r>
  <r>
    <n v="1"/>
    <x v="12"/>
    <x v="1"/>
    <s v="Enero"/>
    <s v="DIANQUME"/>
    <x v="14"/>
    <x v="12"/>
    <n v="33170804"/>
    <n v="1224100"/>
    <n v="10697000"/>
    <n v="21249704"/>
    <n v="43000000"/>
    <n v="0.49417916279069768"/>
    <x v="1"/>
    <n v="25"/>
    <s v="IPS Pto De Vista Molinos"/>
    <s v="Antioquia"/>
    <s v="Cumple"/>
    <n v="58"/>
    <n v="4602281"/>
    <n v="138"/>
    <n v="12891200"/>
    <n v="129"/>
    <n v="10697000"/>
    <n v="4980323"/>
    <m/>
  </r>
  <r>
    <n v="1"/>
    <x v="12"/>
    <x v="1"/>
    <s v="Enero"/>
    <s v="DIANPAAL"/>
    <x v="12"/>
    <x v="11"/>
    <n v="30905776"/>
    <n v="1914300"/>
    <n v="8487761"/>
    <n v="20503715"/>
    <n v="33000000"/>
    <n v="0.62132469696969694"/>
    <x v="1"/>
    <n v="25"/>
    <s v="IPS Pto De Vista Rionegro"/>
    <s v="Antioquia"/>
    <s v="Cumple"/>
    <n v="51"/>
    <n v="5106234"/>
    <n v="146"/>
    <n v="13870754"/>
    <n v="130"/>
    <n v="8487761"/>
    <n v="3441027"/>
    <m/>
  </r>
  <r>
    <n v="1"/>
    <x v="12"/>
    <x v="1"/>
    <s v="Enero"/>
    <s v="DIANPOPA"/>
    <x v="13"/>
    <x v="33"/>
    <n v="22191237"/>
    <n v="0"/>
    <n v="9437100"/>
    <n v="12754137"/>
    <n v="30000000"/>
    <n v="0.42513790000000001"/>
    <x v="0"/>
    <n v="25"/>
    <s v=""/>
    <s v=""/>
    <s v="No Aplica"/>
    <n v="65"/>
    <n v="5202607"/>
    <n v="146"/>
    <n v="6787242"/>
    <n v="112"/>
    <n v="9437100"/>
    <n v="764288"/>
    <m/>
  </r>
  <r>
    <n v="1"/>
    <x v="12"/>
    <x v="1"/>
    <s v="Enero"/>
    <s v="ELIZVESU"/>
    <x v="15"/>
    <x v="13"/>
    <n v="61778110"/>
    <n v="0"/>
    <n v="15552100"/>
    <n v="46226010"/>
    <n v="43000000"/>
    <n v="1.0750234883720931"/>
    <x v="1"/>
    <n v="25"/>
    <s v="IPS Pto De Vista Unicentro"/>
    <s v="Antioquia"/>
    <s v="Fluctúa"/>
    <n v="97"/>
    <n v="10698695"/>
    <n v="243"/>
    <n v="27288070"/>
    <n v="183"/>
    <n v="15552100"/>
    <n v="8239245"/>
    <m/>
  </r>
  <r>
    <n v="1"/>
    <x v="12"/>
    <x v="1"/>
    <s v="Enero"/>
    <s v="LILACARA"/>
    <x v="19"/>
    <x v="17"/>
    <n v="66153612"/>
    <n v="1690800"/>
    <n v="12441500"/>
    <n v="52021312"/>
    <n v="43000000"/>
    <n v="1.209797953488372"/>
    <x v="1"/>
    <n v="25"/>
    <s v="IPS Pto De Vista Molinos"/>
    <s v="Antioquia"/>
    <s v="Cumple"/>
    <n v="126"/>
    <n v="11386511"/>
    <n v="334"/>
    <n v="30947100"/>
    <n v="146"/>
    <n v="12441500"/>
    <n v="11378501"/>
    <m/>
  </r>
  <r>
    <n v="1"/>
    <x v="12"/>
    <x v="1"/>
    <s v="Enero"/>
    <s v="ISABMOGO"/>
    <x v="17"/>
    <x v="15"/>
    <n v="32836689"/>
    <n v="840000"/>
    <n v="7310800"/>
    <n v="24685889"/>
    <n v="22000000"/>
    <n v="1.1220858636363635"/>
    <x v="1"/>
    <n v="25"/>
    <s v="IPS Pto De Vista Santa Bárbara"/>
    <s v="Centro"/>
    <s v="No Cumple"/>
    <n v="68"/>
    <n v="6847867"/>
    <n v="176"/>
    <n v="14966680"/>
    <n v="110"/>
    <n v="7310800"/>
    <n v="3711342"/>
    <m/>
  </r>
  <r>
    <n v="1"/>
    <x v="12"/>
    <x v="1"/>
    <s v="Enero"/>
    <s v="JAQUVEGU"/>
    <x v="18"/>
    <x v="16"/>
    <n v="30534573"/>
    <n v="1742100"/>
    <n v="6640843"/>
    <n v="22151630"/>
    <n v="33000000"/>
    <n v="0.67126151515151511"/>
    <x v="0"/>
    <n v="25"/>
    <s v="IPS Pto De Vista Rionegro"/>
    <s v="Antioquia"/>
    <s v="No Aplica"/>
    <n v="59"/>
    <n v="5656136"/>
    <n v="150"/>
    <n v="13267004"/>
    <n v="96"/>
    <n v="6640843"/>
    <n v="4970590"/>
    <m/>
  </r>
  <r>
    <n v="1"/>
    <x v="12"/>
    <x v="1"/>
    <s v="Enero"/>
    <s v="LEIDGOVI"/>
    <x v="39"/>
    <x v="39"/>
    <n v="45642084"/>
    <n v="352700"/>
    <n v="12238600"/>
    <n v="33050784"/>
    <n v="30100000"/>
    <n v="1.0980326910299003"/>
    <x v="1"/>
    <n v="25"/>
    <s v="IPS Pto De Vista Punto Clave"/>
    <s v="Antioquia"/>
    <s v="Fluctúa"/>
    <n v="75"/>
    <n v="8343106"/>
    <n v="162"/>
    <n v="19582660"/>
    <n v="139"/>
    <n v="12238600"/>
    <n v="5477718"/>
    <m/>
  </r>
  <r>
    <n v="1"/>
    <x v="12"/>
    <x v="1"/>
    <s v="Enero"/>
    <s v="LUZNHEGO"/>
    <x v="21"/>
    <x v="19"/>
    <n v="15643626"/>
    <n v="0"/>
    <n v="0"/>
    <n v="15643626"/>
    <n v="19000000"/>
    <n v="0.8233487368421053"/>
    <x v="1"/>
    <n v="25"/>
    <s v="IPS Punto de Vista Mayorca"/>
    <s v="Antioquia"/>
    <s v="Siempre Cumple"/>
    <n v="36"/>
    <n v="4365614"/>
    <n v="118"/>
    <n v="10404880"/>
    <n v="0"/>
    <n v="0"/>
    <n v="873132"/>
    <m/>
  </r>
  <r>
    <n v="1"/>
    <x v="12"/>
    <x v="1"/>
    <s v="Enero"/>
    <s v="MARGGAPA"/>
    <x v="22"/>
    <x v="20"/>
    <n v="59167759"/>
    <n v="2075400"/>
    <n v="13904400"/>
    <n v="43187959"/>
    <n v="41000000"/>
    <n v="1.0533648536585365"/>
    <x v="1"/>
    <n v="25"/>
    <s v="IPS Pto De Vista Centro"/>
    <s v="Antioquia"/>
    <s v="Fluctúa"/>
    <n v="117"/>
    <n v="10595338"/>
    <n v="268"/>
    <n v="26252480"/>
    <n v="162"/>
    <n v="13904400"/>
    <n v="8415541"/>
    <m/>
  </r>
  <r>
    <n v="1"/>
    <x v="12"/>
    <x v="1"/>
    <s v="Enero"/>
    <s v="MARIMASA"/>
    <x v="23"/>
    <x v="34"/>
    <n v="40445872"/>
    <n v="1048860"/>
    <n v="7724200"/>
    <n v="31672812"/>
    <n v="30100000"/>
    <n v="1.0522528903654484"/>
    <x v="1"/>
    <n v="25"/>
    <s v="IPS Pto De Vista San Diego"/>
    <s v="Antioquia"/>
    <s v="Siempre Cumple"/>
    <n v="81"/>
    <n v="8844225"/>
    <n v="152"/>
    <n v="18090050"/>
    <n v="88"/>
    <n v="7724200"/>
    <n v="5787397"/>
    <m/>
  </r>
  <r>
    <n v="1"/>
    <x v="12"/>
    <x v="1"/>
    <s v="Enero"/>
    <s v="MARIOCOC"/>
    <x v="24"/>
    <x v="21"/>
    <n v="28904390"/>
    <n v="756000"/>
    <n v="4116305"/>
    <n v="24032085"/>
    <n v="33000000"/>
    <n v="0.72824500000000003"/>
    <x v="1"/>
    <n v="25"/>
    <s v="IPS Pto De Vista Rionegro"/>
    <s v="Antioquia"/>
    <s v="Cumple"/>
    <n v="51"/>
    <n v="5453428"/>
    <n v="136"/>
    <n v="15633758"/>
    <n v="63"/>
    <n v="4116305"/>
    <n v="3700899"/>
    <m/>
  </r>
  <r>
    <n v="1"/>
    <x v="12"/>
    <x v="1"/>
    <s v="Enero"/>
    <s v="MARISEAR"/>
    <x v="25"/>
    <x v="22"/>
    <n v="31863196"/>
    <n v="2064000"/>
    <n v="8209200"/>
    <n v="21589996"/>
    <n v="30960000"/>
    <n v="0.69735129198966406"/>
    <x v="0"/>
    <n v="25"/>
    <s v=""/>
    <s v=""/>
    <s v="No Aplica"/>
    <n v="57"/>
    <n v="5391599"/>
    <n v="114"/>
    <n v="12442350"/>
    <n v="107"/>
    <n v="8209200"/>
    <n v="5820047"/>
    <m/>
  </r>
  <r>
    <n v="1"/>
    <x v="12"/>
    <x v="1"/>
    <s v="Enero"/>
    <s v="MONIMEME"/>
    <x v="27"/>
    <x v="24"/>
    <n v="17325601"/>
    <n v="420000"/>
    <n v="4167500"/>
    <n v="12738101"/>
    <n v="12040000"/>
    <n v="1.0579818106312293"/>
    <x v="0"/>
    <n v="25"/>
    <s v=""/>
    <s v=""/>
    <s v="No Aplica"/>
    <n v="30"/>
    <n v="2749326"/>
    <n v="76"/>
    <n v="7824662"/>
    <n v="46"/>
    <n v="4167500"/>
    <n v="2584113"/>
    <m/>
  </r>
  <r>
    <n v="1"/>
    <x v="12"/>
    <x v="1"/>
    <s v="Enero"/>
    <s v="NATAPIDU"/>
    <x v="28"/>
    <x v="25"/>
    <n v="31257255"/>
    <n v="649260"/>
    <n v="3200500"/>
    <n v="27407495"/>
    <n v="36000000"/>
    <n v="0.7613193055555556"/>
    <x v="1"/>
    <n v="25"/>
    <s v="IPS Pto De Vista Industriales"/>
    <s v="Antioquia"/>
    <s v="Cumple"/>
    <n v="33"/>
    <n v="5401402"/>
    <n v="120"/>
    <n v="17701020"/>
    <n v="41"/>
    <n v="3200500"/>
    <n v="4954333"/>
    <m/>
  </r>
  <r>
    <n v="1"/>
    <x v="12"/>
    <x v="1"/>
    <s v="Enero"/>
    <s v="OSCADESU"/>
    <x v="29"/>
    <x v="26"/>
    <n v="42050578"/>
    <n v="681400"/>
    <n v="12134200"/>
    <n v="29234978"/>
    <n v="29000000"/>
    <n v="1.0081026896551724"/>
    <x v="0"/>
    <n v="25"/>
    <s v=""/>
    <s v=""/>
    <s v="No Aplica"/>
    <n v="99"/>
    <n v="6917296"/>
    <n v="254"/>
    <n v="18955360"/>
    <n v="145"/>
    <n v="12134200"/>
    <n v="4043722"/>
    <m/>
  </r>
  <r>
    <n v="1"/>
    <x v="12"/>
    <x v="1"/>
    <s v="Enero"/>
    <s v="PAULGOBA"/>
    <x v="35"/>
    <x v="7"/>
    <n v="6839768"/>
    <n v="0"/>
    <n v="3665400"/>
    <n v="3174368"/>
    <m/>
    <m/>
    <x v="1"/>
    <n v="25"/>
    <s v="Ferias Empresariales Antioquia"/>
    <s v="Antioquia"/>
    <s v="Fluctúa"/>
    <n v="2"/>
    <n v="208616"/>
    <n v="18"/>
    <n v="2000460"/>
    <n v="47"/>
    <n v="3665400"/>
    <n v="965292"/>
    <m/>
  </r>
  <r>
    <n v="1"/>
    <x v="12"/>
    <x v="1"/>
    <s v="Enero"/>
    <s v="RAULMOGA"/>
    <x v="30"/>
    <x v="27"/>
    <n v="21099930"/>
    <n v="748800"/>
    <n v="4275100"/>
    <n v="16076030"/>
    <n v="20000000"/>
    <n v="0.80380149999999995"/>
    <x v="0"/>
    <n v="25"/>
    <s v="IPS Pto De Vista Olaya"/>
    <s v="Centro"/>
    <s v="No Aplica"/>
    <n v="39"/>
    <n v="3354966"/>
    <n v="118"/>
    <n v="10944450"/>
    <n v="74"/>
    <n v="4275100"/>
    <n v="2525414"/>
    <m/>
  </r>
  <r>
    <n v="1"/>
    <x v="12"/>
    <x v="1"/>
    <s v="Enero"/>
    <s v="ROCIFASA"/>
    <x v="31"/>
    <x v="28"/>
    <n v="17393581"/>
    <n v="198000"/>
    <n v="3228700"/>
    <n v="13966881"/>
    <n v="25000000"/>
    <n v="0.55867524000000002"/>
    <x v="1"/>
    <n v="25"/>
    <s v="Optica Salud Sura Chipichape"/>
    <s v="Occidente"/>
    <s v="Cumple"/>
    <n v="33"/>
    <n v="3769507"/>
    <n v="90"/>
    <n v="6654450"/>
    <n v="39"/>
    <n v="3228700"/>
    <n v="3740924"/>
    <m/>
  </r>
  <r>
    <n v="1"/>
    <x v="12"/>
    <x v="1"/>
    <s v="Enero"/>
    <s v="VIVIVAZA"/>
    <x v="33"/>
    <x v="30"/>
    <n v="79796185"/>
    <n v="3147200"/>
    <n v="15630100"/>
    <n v="61018885"/>
    <n v="43000000"/>
    <n v="1.4190438372093024"/>
    <x v="1"/>
    <n v="25"/>
    <s v="IPS Pto De Vista Unicentro"/>
    <s v="Antioquia"/>
    <s v="Cumple"/>
    <n v="139"/>
    <n v="13484738"/>
    <n v="316"/>
    <n v="36827380"/>
    <n v="187"/>
    <n v="15630100"/>
    <n v="13853967"/>
    <m/>
  </r>
  <r>
    <n v="1"/>
    <x v="12"/>
    <x v="1"/>
    <s v="Enero"/>
    <s v="ZULYARGA"/>
    <x v="34"/>
    <x v="31"/>
    <n v="50021159"/>
    <n v="2877000"/>
    <n v="10864000"/>
    <n v="36280159"/>
    <n v="43000000"/>
    <n v="0.84372462790697678"/>
    <x v="1"/>
    <n v="25"/>
    <s v="IPS Pto De Vista Molinos"/>
    <s v="Antioquia"/>
    <n v="0"/>
    <n v="89"/>
    <n v="7090276"/>
    <n v="230"/>
    <n v="22865460"/>
    <n v="126"/>
    <n v="10864000"/>
    <n v="9201423"/>
    <m/>
  </r>
  <r>
    <n v="1"/>
    <x v="12"/>
    <x v="1"/>
    <s v="Enero"/>
    <s v="KATHVABE"/>
    <x v="43"/>
    <x v="7"/>
    <n v="286183"/>
    <n v="0"/>
    <n v="159700"/>
    <n v="126483"/>
    <m/>
    <m/>
    <x v="0"/>
    <n v="25"/>
    <s v=""/>
    <s v=""/>
    <s v="No Aplica"/>
    <n v="1"/>
    <n v="46163"/>
    <n v="2"/>
    <n v="80320"/>
    <n v="1"/>
    <n v="159700"/>
    <n v="0"/>
    <m/>
  </r>
  <r>
    <n v="1"/>
    <x v="12"/>
    <x v="1"/>
    <s v="Enero"/>
    <s v="GENNHEPO"/>
    <x v="16"/>
    <x v="14"/>
    <n v="40738450"/>
    <n v="681400"/>
    <n v="12358500"/>
    <n v="27698550"/>
    <n v="43000000"/>
    <n v="0.64415232558139535"/>
    <x v="1"/>
    <n v="25"/>
    <s v="IPS Pto De Vista Punto Clave"/>
    <s v="Antioquia"/>
    <s v="Fluctúa"/>
    <n v="84"/>
    <n v="6420695"/>
    <n v="188"/>
    <n v="16003822"/>
    <n v="146"/>
    <n v="12358500"/>
    <n v="5955433"/>
    <m/>
  </r>
  <r>
    <n v="1"/>
    <x v="12"/>
    <x v="1"/>
    <s v="Enero"/>
    <s v="LUZMARMO"/>
    <x v="37"/>
    <x v="7"/>
    <n v="125500"/>
    <n v="0"/>
    <n v="125500"/>
    <n v="0"/>
    <m/>
    <m/>
    <x v="0"/>
    <n v="25"/>
    <s v=""/>
    <s v=""/>
    <s v="No Aplica"/>
    <n v="0"/>
    <n v="0"/>
    <n v="0"/>
    <n v="0"/>
    <n v="1"/>
    <n v="125500"/>
    <n v="0"/>
    <m/>
  </r>
  <r>
    <n v="1"/>
    <x v="12"/>
    <x v="1"/>
    <s v="Enero"/>
    <s v="ANDRSAZA"/>
    <x v="45"/>
    <x v="45"/>
    <n v="32721519"/>
    <n v="408000"/>
    <n v="6569600"/>
    <n v="25743919"/>
    <n v="20240000"/>
    <n v="1.271932756916996"/>
    <x v="1"/>
    <n v="25"/>
    <s v="IPS Pto De Vista Santa Bárbara"/>
    <s v="Centro"/>
    <s v="Cumple"/>
    <n v="56"/>
    <n v="5083138"/>
    <n v="188"/>
    <n v="18701980"/>
    <n v="109"/>
    <n v="6569600"/>
    <n v="2366801"/>
    <m/>
  </r>
  <r>
    <n v="1"/>
    <x v="12"/>
    <x v="1"/>
    <s v="Enero"/>
    <s v="ERIKSAVA"/>
    <x v="44"/>
    <x v="44"/>
    <n v="33276050"/>
    <n v="1850100"/>
    <n v="9665800"/>
    <n v="21760150"/>
    <n v="43000000"/>
    <n v="0.50605"/>
    <x v="1"/>
    <n v="25"/>
    <s v="IPS Pto De Vista San Diego"/>
    <s v="Antioquia"/>
    <s v="No Cumple"/>
    <n v="60"/>
    <n v="5118754"/>
    <n v="106"/>
    <n v="9468480"/>
    <n v="121"/>
    <n v="9665800"/>
    <n v="9023016"/>
    <m/>
  </r>
  <r>
    <n v="1"/>
    <x v="12"/>
    <x v="1"/>
    <s v="Enero"/>
    <s v="RUBYHIGA"/>
    <x v="42"/>
    <x v="42"/>
    <n v="54945610"/>
    <n v="1656000"/>
    <n v="12769500"/>
    <n v="40520110"/>
    <n v="41000000"/>
    <n v="0.98829536585365851"/>
    <x v="0"/>
    <n v="25"/>
    <s v=""/>
    <s v=""/>
    <s v="No Aplica"/>
    <n v="100"/>
    <n v="8442151"/>
    <n v="271"/>
    <n v="26190060"/>
    <n v="154"/>
    <n v="12769500"/>
    <n v="7543899"/>
    <m/>
  </r>
  <r>
    <n v="1"/>
    <x v="12"/>
    <x v="1"/>
    <s v="Enero"/>
    <s v="PAOLPACA"/>
    <x v="47"/>
    <x v="47"/>
    <n v="18191397"/>
    <n v="0"/>
    <n v="6955446"/>
    <n v="11235951"/>
    <n v="24000000"/>
    <n v="0.468164625"/>
    <x v="1"/>
    <n v="25"/>
    <s v="Punto de Vista Tequendama"/>
    <s v="Occidente"/>
    <s v="Siempre Cumple"/>
    <n v="47"/>
    <n v="3649208"/>
    <n v="130"/>
    <n v="6381922"/>
    <n v="111"/>
    <n v="6955446"/>
    <n v="1204821"/>
    <m/>
  </r>
  <r>
    <n v="1"/>
    <x v="12"/>
    <x v="1"/>
    <s v="Enero"/>
    <s v="GISECACA"/>
    <x v="48"/>
    <x v="48"/>
    <n v="16480910"/>
    <n v="0"/>
    <n v="6686000"/>
    <n v="9794910"/>
    <n v="24000000"/>
    <n v="0.40812124999999999"/>
    <x v="0"/>
    <n v="25"/>
    <s v=""/>
    <s v=""/>
    <s v="No Aplica"/>
    <n v="36"/>
    <n v="2764525"/>
    <n v="108"/>
    <n v="6088160"/>
    <n v="0"/>
    <n v="0"/>
    <n v="7628225"/>
    <m/>
  </r>
  <r>
    <n v="1"/>
    <x v="12"/>
    <x v="1"/>
    <s v="Enero"/>
    <s v="HISNOSPI"/>
    <x v="49"/>
    <x v="49"/>
    <n v="22183332"/>
    <n v="396000"/>
    <n v="3861200"/>
    <n v="17926132"/>
    <n v="15750400"/>
    <n v="1.1381382060138154"/>
    <x v="0"/>
    <n v="25"/>
    <s v="IPS Pto De Vista San Diego"/>
    <s v="Antioquia"/>
    <s v="No Aplica"/>
    <n v="46"/>
    <n v="4934981"/>
    <n v="100"/>
    <n v="9967180"/>
    <n v="40"/>
    <n v="3861200"/>
    <n v="3419971"/>
    <m/>
  </r>
  <r>
    <n v="1"/>
    <x v="12"/>
    <x v="1"/>
    <s v="Enero"/>
    <s v="DEISCACR"/>
    <x v="50"/>
    <x v="50"/>
    <n v="26532000"/>
    <n v="420000"/>
    <n v="5901100"/>
    <n v="20210900"/>
    <n v="34400000"/>
    <n v="0.58752616279069769"/>
    <x v="1"/>
    <n v="25"/>
    <s v="IPS Pto De Vista Punto Clave"/>
    <s v="Antioquia"/>
    <s v="Fluctúa"/>
    <n v="46"/>
    <n v="3878087"/>
    <n v="116"/>
    <n v="11164100"/>
    <n v="68"/>
    <n v="5901100"/>
    <n v="5588713"/>
    <m/>
  </r>
  <r>
    <n v="1"/>
    <x v="12"/>
    <x v="1"/>
    <s v="Enero"/>
    <s v="YENYSUPE"/>
    <x v="51"/>
    <x v="51"/>
    <n v="20309515"/>
    <n v="1798700"/>
    <n v="5144600"/>
    <n v="13366215"/>
    <n v="34400000"/>
    <n v="0.38855276162790697"/>
    <x v="1"/>
    <n v="25"/>
    <s v="IPS Pto De Vista Punto Clave"/>
    <s v="Antioquia"/>
    <s v="Cumple"/>
    <n v="42"/>
    <n v="3138286"/>
    <n v="92"/>
    <n v="7869710"/>
    <n v="66"/>
    <n v="5144600"/>
    <n v="4156919"/>
    <m/>
  </r>
  <r>
    <n v="1"/>
    <x v="12"/>
    <x v="1"/>
    <s v="Enero"/>
    <s v="ANGEROPI"/>
    <x v="46"/>
    <x v="46"/>
    <n v="30466493"/>
    <n v="804000"/>
    <n v="9652900"/>
    <n v="20009593"/>
    <n v="43000000"/>
    <n v="0.46533937209302323"/>
    <x v="0"/>
    <n v="25"/>
    <s v=""/>
    <s v=""/>
    <s v="No Aplica"/>
    <n v="48"/>
    <n v="4177415"/>
    <n v="135"/>
    <n v="12347860"/>
    <n v="115"/>
    <n v="9652900"/>
    <n v="4288318"/>
    <m/>
  </r>
  <r>
    <n v="1"/>
    <x v="12"/>
    <x v="1"/>
    <s v="Enero"/>
    <s v="(en blanco)"/>
    <x v="37"/>
    <x v="7"/>
    <n v="-795174"/>
    <n v="0"/>
    <n v="0"/>
    <n v="-795174"/>
    <m/>
    <m/>
    <x v="0"/>
    <n v="25"/>
    <s v=""/>
    <s v=""/>
    <s v="No Aplica"/>
    <n v="21"/>
    <n v="-127431"/>
    <n v="42"/>
    <n v="-201847"/>
    <n v="0"/>
    <n v="0"/>
    <n v="-465896"/>
    <m/>
  </r>
  <r>
    <n v="1"/>
    <x v="12"/>
    <x v="1"/>
    <s v="Enero"/>
    <s v="HERIRORO"/>
    <x v="37"/>
    <x v="7"/>
    <n v="925002"/>
    <n v="0"/>
    <n v="41000"/>
    <n v="884002"/>
    <m/>
    <m/>
    <x v="0"/>
    <n v="25"/>
    <s v=""/>
    <s v=""/>
    <s v="No Aplica"/>
    <n v="2"/>
    <n v="74741"/>
    <n v="8"/>
    <n v="809260"/>
    <n v="1"/>
    <n v="41000"/>
    <n v="1"/>
    <m/>
  </r>
  <r>
    <n v="1"/>
    <x v="12"/>
    <x v="1"/>
    <s v="Enero"/>
    <s v="MILEGIMA"/>
    <x v="37"/>
    <x v="7"/>
    <n v="231900"/>
    <n v="0"/>
    <n v="0"/>
    <n v="231900"/>
    <m/>
    <m/>
    <x v="0"/>
    <n v="25"/>
    <s v=""/>
    <s v=""/>
    <s v="No Aplica"/>
    <n v="0"/>
    <n v="0"/>
    <n v="0"/>
    <n v="0"/>
    <n v="0"/>
    <n v="0"/>
    <n v="231900"/>
    <m/>
  </r>
  <r>
    <n v="1"/>
    <x v="12"/>
    <x v="1"/>
    <s v="Enero"/>
    <s v="CAMIPUHE"/>
    <x v="37"/>
    <x v="7"/>
    <n v="600700"/>
    <n v="0"/>
    <n v="600700"/>
    <n v="0"/>
    <m/>
    <m/>
    <x v="0"/>
    <n v="25"/>
    <s v=""/>
    <s v=""/>
    <s v="No Aplica"/>
    <n v="0"/>
    <n v="0"/>
    <n v="0"/>
    <n v="0"/>
    <n v="12"/>
    <n v="600700"/>
    <n v="0"/>
    <m/>
  </r>
  <r>
    <n v="1"/>
    <x v="12"/>
    <x v="1"/>
    <s v="Enero"/>
    <s v="SUANHECO"/>
    <x v="37"/>
    <x v="7"/>
    <n v="166500"/>
    <n v="0"/>
    <n v="166500"/>
    <n v="0"/>
    <m/>
    <m/>
    <x v="0"/>
    <n v="25"/>
    <s v=""/>
    <s v=""/>
    <s v="No Aplica"/>
    <n v="0"/>
    <n v="0"/>
    <n v="0"/>
    <n v="0"/>
    <n v="2"/>
    <n v="166500"/>
    <n v="0"/>
    <m/>
  </r>
  <r>
    <n v="1"/>
    <x v="12"/>
    <x v="1"/>
    <s v="Enero"/>
    <s v="MARIREAR"/>
    <x v="37"/>
    <x v="7"/>
    <n v="162600"/>
    <n v="0"/>
    <n v="0"/>
    <n v="162600"/>
    <m/>
    <m/>
    <x v="0"/>
    <n v="25"/>
    <s v=""/>
    <s v=""/>
    <s v="No Aplica"/>
    <n v="0"/>
    <n v="0"/>
    <n v="0"/>
    <n v="0"/>
    <n v="0"/>
    <n v="0"/>
    <n v="162600"/>
    <m/>
  </r>
  <r>
    <n v="1"/>
    <x v="12"/>
    <x v="1"/>
    <s v="Enero"/>
    <s v="KATHCASG"/>
    <x v="37"/>
    <x v="7"/>
    <n v="72600"/>
    <n v="0"/>
    <n v="0"/>
    <n v="72600"/>
    <m/>
    <m/>
    <x v="0"/>
    <n v="25"/>
    <s v=""/>
    <s v=""/>
    <s v="No Aplica"/>
    <n v="0"/>
    <n v="0"/>
    <n v="0"/>
    <n v="0"/>
    <n v="0"/>
    <n v="0"/>
    <n v="72600"/>
    <m/>
  </r>
  <r>
    <n v="1"/>
    <x v="12"/>
    <x v="1"/>
    <s v="Enero"/>
    <s v="LILIFOVI"/>
    <x v="37"/>
    <x v="7"/>
    <n v="1334500"/>
    <n v="0"/>
    <n v="1334500"/>
    <n v="0"/>
    <m/>
    <m/>
    <x v="0"/>
    <n v="25"/>
    <s v=""/>
    <s v=""/>
    <s v="No Aplica"/>
    <n v="0"/>
    <n v="0"/>
    <n v="0"/>
    <n v="0"/>
    <n v="14"/>
    <n v="1334500"/>
    <n v="0"/>
    <m/>
  </r>
  <r>
    <n v="1"/>
    <x v="12"/>
    <x v="1"/>
    <s v="Enero"/>
    <s v="ANAMSAPV"/>
    <x v="37"/>
    <x v="7"/>
    <n v="44000"/>
    <n v="0"/>
    <n v="44000"/>
    <n v="0"/>
    <m/>
    <m/>
    <x v="0"/>
    <n v="25"/>
    <s v=""/>
    <s v=""/>
    <s v="No Aplica"/>
    <n v="0"/>
    <n v="0"/>
    <n v="0"/>
    <n v="0"/>
    <n v="1"/>
    <n v="44000"/>
    <n v="0"/>
    <m/>
  </r>
  <r>
    <n v="2"/>
    <x v="13"/>
    <x v="1"/>
    <s v="Febrero"/>
    <s v="ADRIMOLU"/>
    <x v="1"/>
    <x v="1"/>
    <n v="24478886"/>
    <n v="925900"/>
    <n v="10780400"/>
    <n v="12772586"/>
    <n v="41000000"/>
    <n v="0.31152648780487807"/>
    <x v="1"/>
    <n v="24"/>
    <s v="IPS Pto De Vista Molinos"/>
    <s v="Antioquia"/>
    <s v="Cumple"/>
    <n v="44"/>
    <n v="3138490"/>
    <n v="103"/>
    <n v="7336845"/>
    <n v="130"/>
    <n v="10780400"/>
    <n v="3223151"/>
    <m/>
  </r>
  <r>
    <n v="2"/>
    <x v="13"/>
    <x v="1"/>
    <s v="Febrero"/>
    <s v="ALEXLOGR"/>
    <x v="2"/>
    <x v="2"/>
    <n v="49735172"/>
    <n v="198000"/>
    <n v="13828100"/>
    <n v="35709072"/>
    <n v="29000000"/>
    <n v="1.2313473103448276"/>
    <x v="1"/>
    <n v="24"/>
    <s v="IPS Punto de Vista Bello"/>
    <s v="Antioquia"/>
    <s v="Fluctúa"/>
    <n v="93"/>
    <n v="6767366"/>
    <n v="215"/>
    <n v="24210767"/>
    <n v="147"/>
    <n v="13828100"/>
    <n v="4928939"/>
    <m/>
  </r>
  <r>
    <n v="2"/>
    <x v="13"/>
    <x v="1"/>
    <s v="Febrero"/>
    <s v="ALVAOSOS"/>
    <x v="36"/>
    <x v="37"/>
    <n v="42643165"/>
    <n v="850860"/>
    <n v="8363000"/>
    <n v="33429305"/>
    <n v="30100000"/>
    <n v="1.1106081395348837"/>
    <x v="1"/>
    <n v="24"/>
    <s v="IPS Pto De Vista Punto Clave"/>
    <s v="Antioquia"/>
    <s v="Siempre Cumple"/>
    <n v="72"/>
    <n v="6702268"/>
    <n v="166"/>
    <n v="19630020"/>
    <n v="102"/>
    <n v="8363000"/>
    <n v="7947877"/>
    <m/>
  </r>
  <r>
    <n v="2"/>
    <x v="13"/>
    <x v="1"/>
    <s v="Febrero"/>
    <s v="ANAMLOBE"/>
    <x v="3"/>
    <x v="3"/>
    <n v="72224082"/>
    <n v="1343500"/>
    <n v="12324700"/>
    <n v="58555882"/>
    <n v="43000000"/>
    <n v="1.3617646976744187"/>
    <x v="1"/>
    <n v="24"/>
    <s v="IPS Pto De Vista Unicentro"/>
    <s v="Antioquia"/>
    <s v="Siempre Cumple"/>
    <n v="109"/>
    <n v="13203332"/>
    <n v="266"/>
    <n v="36848940"/>
    <n v="154"/>
    <n v="12324700"/>
    <n v="9847110"/>
    <m/>
  </r>
  <r>
    <n v="2"/>
    <x v="13"/>
    <x v="1"/>
    <s v="Febrero"/>
    <s v="ANGEGAAR"/>
    <x v="4"/>
    <x v="4"/>
    <n v="8040790"/>
    <n v="861400"/>
    <n v="2619000"/>
    <n v="4560390"/>
    <n v="12541666.666666668"/>
    <n v="0.36361913621262454"/>
    <x v="1"/>
    <n v="24"/>
    <s v="IPS Pto De Vista San Diego"/>
    <s v="Antioquia"/>
    <s v="Fluctúa"/>
    <n v="9"/>
    <n v="905650"/>
    <n v="26"/>
    <n v="2187580"/>
    <n v="33"/>
    <n v="2619000"/>
    <n v="2328560"/>
    <m/>
  </r>
  <r>
    <n v="2"/>
    <x v="13"/>
    <x v="1"/>
    <s v="Febrero"/>
    <s v="BIBIBECA"/>
    <x v="6"/>
    <x v="6"/>
    <n v="53776794"/>
    <n v="506000"/>
    <n v="11484400"/>
    <n v="41786394"/>
    <n v="41000000"/>
    <n v="1.0191803414634146"/>
    <x v="1"/>
    <n v="24"/>
    <s v="IPS Pto De Vista Centro"/>
    <s v="Antioquia"/>
    <s v="Fluctúa"/>
    <n v="106"/>
    <n v="8959463"/>
    <n v="256"/>
    <n v="25355509"/>
    <n v="139"/>
    <n v="11484400"/>
    <n v="7977422"/>
    <m/>
  </r>
  <r>
    <n v="2"/>
    <x v="13"/>
    <x v="1"/>
    <s v="Febrero"/>
    <s v="CAROVABE"/>
    <x v="8"/>
    <x v="32"/>
    <n v="38619632"/>
    <n v="0"/>
    <n v="10790300"/>
    <n v="27829332"/>
    <n v="41000000"/>
    <n v="0.67876419512195119"/>
    <x v="0"/>
    <n v="24"/>
    <s v=""/>
    <s v=""/>
    <s v="No Aplica"/>
    <n v="63"/>
    <n v="5227585"/>
    <n v="164"/>
    <n v="17855622"/>
    <n v="126"/>
    <n v="10790300"/>
    <n v="4746125"/>
    <m/>
  </r>
  <r>
    <n v="2"/>
    <x v="13"/>
    <x v="1"/>
    <s v="Febrero"/>
    <s v="CLAUBLAR"/>
    <x v="9"/>
    <x v="8"/>
    <n v="55979590"/>
    <n v="792000"/>
    <n v="13380100"/>
    <n v="41807490"/>
    <n v="41000000"/>
    <n v="1.0196948780487805"/>
    <x v="1"/>
    <n v="24"/>
    <s v="IPS Pto De Vista Centro"/>
    <s v="Antioquia"/>
    <s v="Fluctúa"/>
    <n v="96"/>
    <n v="9560047"/>
    <n v="210"/>
    <n v="24013112"/>
    <n v="157"/>
    <n v="13380100"/>
    <n v="9026331"/>
    <m/>
  </r>
  <r>
    <n v="2"/>
    <x v="13"/>
    <x v="1"/>
    <s v="Febrero"/>
    <s v="DERLARMO"/>
    <x v="11"/>
    <x v="10"/>
    <n v="32540485"/>
    <n v="692000"/>
    <n v="6361900"/>
    <n v="25486585"/>
    <n v="20000000"/>
    <n v="1.2743292500000001"/>
    <x v="1"/>
    <n v="24"/>
    <s v="IPS Pto De Vista Olaya"/>
    <s v="Centro"/>
    <s v="Cumple"/>
    <n v="77"/>
    <n v="4398506"/>
    <n v="188"/>
    <n v="18797680"/>
    <n v="101"/>
    <n v="6361900"/>
    <n v="2982399"/>
    <m/>
  </r>
  <r>
    <n v="2"/>
    <x v="13"/>
    <x v="1"/>
    <s v="Febrero"/>
    <s v="DIANQUME"/>
    <x v="14"/>
    <x v="12"/>
    <n v="56948213"/>
    <n v="705400"/>
    <n v="12157600"/>
    <n v="43763514"/>
    <n v="43000000"/>
    <n v="1.0177561395348838"/>
    <x v="1"/>
    <n v="24"/>
    <s v="IPS Pto De Vista Molinos"/>
    <s v="Antioquia"/>
    <s v="Cumple"/>
    <n v="95"/>
    <n v="9634080"/>
    <n v="236"/>
    <n v="26994145"/>
    <n v="135"/>
    <n v="12157600"/>
    <n v="8162388"/>
    <m/>
  </r>
  <r>
    <n v="2"/>
    <x v="13"/>
    <x v="1"/>
    <s v="Febrero"/>
    <s v="DIANPAAL"/>
    <x v="12"/>
    <x v="11"/>
    <n v="28598406"/>
    <n v="1322700"/>
    <n v="4537028"/>
    <n v="22738678"/>
    <n v="15125000"/>
    <n v="1.5033836694214877"/>
    <x v="1"/>
    <n v="24"/>
    <s v="IPS Pto De Vista Rionegro"/>
    <s v="Antioquia"/>
    <s v="Cumple"/>
    <n v="58"/>
    <n v="5860428"/>
    <n v="160"/>
    <n v="15162260"/>
    <n v="72"/>
    <n v="4537028"/>
    <n v="3038690"/>
    <m/>
  </r>
  <r>
    <n v="2"/>
    <x v="13"/>
    <x v="1"/>
    <s v="Febrero"/>
    <s v="DIANPOPA"/>
    <x v="13"/>
    <x v="33"/>
    <n v="30041156"/>
    <n v="0"/>
    <n v="9908800"/>
    <n v="20132356"/>
    <n v="30000000"/>
    <n v="0.67107853333333334"/>
    <x v="0"/>
    <n v="24"/>
    <s v=""/>
    <s v=""/>
    <s v="No Aplica"/>
    <n v="77"/>
    <n v="5630943"/>
    <n v="222"/>
    <n v="11533176"/>
    <n v="127"/>
    <n v="9908800"/>
    <n v="2968237"/>
    <m/>
  </r>
  <r>
    <n v="2"/>
    <x v="13"/>
    <x v="1"/>
    <s v="Febrero"/>
    <s v="ELIZVESU"/>
    <x v="15"/>
    <x v="13"/>
    <n v="18693280"/>
    <n v="748700"/>
    <n v="7019700"/>
    <n v="10924880"/>
    <n v="21500000"/>
    <n v="0.50813395348837209"/>
    <x v="1"/>
    <n v="24"/>
    <s v="IPS Pto De Vista Unicentro"/>
    <s v="Antioquia"/>
    <s v="Fluctúa"/>
    <n v="26"/>
    <n v="2240270"/>
    <n v="60"/>
    <n v="7055600"/>
    <n v="82"/>
    <n v="7019700"/>
    <n v="2377710"/>
    <m/>
  </r>
  <r>
    <n v="2"/>
    <x v="13"/>
    <x v="1"/>
    <s v="Febrero"/>
    <s v="LILACARA"/>
    <x v="19"/>
    <x v="17"/>
    <n v="58537514"/>
    <n v="0"/>
    <n v="14171300"/>
    <n v="44366214"/>
    <n v="43000000"/>
    <n v="1.0317724186046511"/>
    <x v="1"/>
    <n v="24"/>
    <s v="IPS Pto De Vista Molinos"/>
    <s v="Antioquia"/>
    <s v="Cumple"/>
    <n v="99"/>
    <n v="10247657"/>
    <n v="279"/>
    <n v="28342500"/>
    <n v="160"/>
    <n v="14171300"/>
    <n v="5776057"/>
    <m/>
  </r>
  <r>
    <n v="2"/>
    <x v="13"/>
    <x v="1"/>
    <s v="Febrero"/>
    <s v="ISABMOGO"/>
    <x v="17"/>
    <x v="15"/>
    <n v="34403177"/>
    <n v="1322000"/>
    <n v="6080500"/>
    <n v="27000677"/>
    <n v="22000000"/>
    <n v="1.2273035000000001"/>
    <x v="1"/>
    <n v="24"/>
    <s v="IPS Pto De Vista Santa Bárbara"/>
    <s v="Centro"/>
    <s v="No Cumple"/>
    <n v="66"/>
    <n v="5950640"/>
    <n v="181"/>
    <n v="17832837"/>
    <n v="95"/>
    <n v="6080500"/>
    <n v="4539200"/>
    <m/>
  </r>
  <r>
    <n v="2"/>
    <x v="13"/>
    <x v="1"/>
    <s v="Febrero"/>
    <s v="JAQUVEGU"/>
    <x v="18"/>
    <x v="16"/>
    <n v="40294571"/>
    <n v="2339830"/>
    <n v="7444397"/>
    <n v="30510344"/>
    <n v="33000000"/>
    <n v="0.92455587878787882"/>
    <x v="0"/>
    <n v="24"/>
    <s v="IPS Pto De Vista Rionegro"/>
    <s v="Antioquia"/>
    <s v="No Aplica"/>
    <n v="88"/>
    <n v="8338603"/>
    <n v="227"/>
    <n v="19153900"/>
    <n v="126"/>
    <n v="7444397"/>
    <n v="5357671"/>
    <m/>
  </r>
  <r>
    <n v="2"/>
    <x v="13"/>
    <x v="1"/>
    <s v="Febrero"/>
    <s v="LEIDGOVI"/>
    <x v="39"/>
    <x v="39"/>
    <n v="41686372"/>
    <n v="840000"/>
    <n v="8585900"/>
    <n v="32260472"/>
    <n v="30100000"/>
    <n v="1.0717764784053156"/>
    <x v="1"/>
    <n v="24"/>
    <s v="IPS Pto De Vista Punto Clave"/>
    <s v="Antioquia"/>
    <s v="Fluctúa"/>
    <n v="56"/>
    <n v="6179617"/>
    <n v="144"/>
    <n v="21098534"/>
    <n v="100"/>
    <n v="8585900"/>
    <n v="5822321"/>
    <m/>
  </r>
  <r>
    <n v="2"/>
    <x v="13"/>
    <x v="1"/>
    <s v="Febrero"/>
    <s v="LUZNHEGO"/>
    <x v="21"/>
    <x v="19"/>
    <n v="25133155"/>
    <n v="0"/>
    <n v="0"/>
    <n v="25133155"/>
    <n v="22916666.666666664"/>
    <n v="1.0967194909090909"/>
    <x v="1"/>
    <n v="24"/>
    <s v="IPS Punto de Vista Mayorca"/>
    <s v="Antioquia"/>
    <s v="Siempre Cumple"/>
    <n v="38"/>
    <n v="4709573"/>
    <n v="145"/>
    <n v="19261760"/>
    <n v="0"/>
    <n v="0"/>
    <n v="1161822"/>
    <m/>
  </r>
  <r>
    <n v="2"/>
    <x v="13"/>
    <x v="1"/>
    <s v="Febrero"/>
    <s v="MARGGAPA"/>
    <x v="22"/>
    <x v="20"/>
    <n v="59675003"/>
    <n v="1149600"/>
    <n v="16494300"/>
    <n v="42031103"/>
    <n v="41000000"/>
    <n v="1.0251488536585367"/>
    <x v="1"/>
    <n v="24"/>
    <s v="IPS Pto De Vista Centro"/>
    <s v="Antioquia"/>
    <s v="Fluctúa"/>
    <n v="118"/>
    <n v="10242970"/>
    <n v="254"/>
    <n v="24085330"/>
    <n v="192"/>
    <n v="16494300"/>
    <n v="8852403"/>
    <m/>
  </r>
  <r>
    <n v="2"/>
    <x v="13"/>
    <x v="1"/>
    <s v="Febrero"/>
    <s v="MARIMASA"/>
    <x v="23"/>
    <x v="34"/>
    <n v="40444878"/>
    <n v="804000"/>
    <n v="8178300"/>
    <n v="31462578"/>
    <n v="30100000"/>
    <n v="1.0452683720930231"/>
    <x v="1"/>
    <n v="24"/>
    <s v="IPS Pto De Vista San Diego"/>
    <s v="Antioquia"/>
    <s v="Siempre Cumple"/>
    <n v="69"/>
    <n v="7378285"/>
    <n v="158"/>
    <n v="18873815"/>
    <n v="94"/>
    <n v="8178300"/>
    <n v="6014478"/>
    <m/>
  </r>
  <r>
    <n v="2"/>
    <x v="13"/>
    <x v="1"/>
    <s v="Febrero"/>
    <s v="MARIOCOC"/>
    <x v="24"/>
    <x v="21"/>
    <n v="44055027"/>
    <n v="2346200"/>
    <n v="6594218"/>
    <n v="35114609"/>
    <n v="33000000"/>
    <n v="1.0640790606060606"/>
    <x v="1"/>
    <n v="24"/>
    <s v="IPS Pto De Vista Rionegro"/>
    <s v="Antioquia"/>
    <s v="Cumple"/>
    <n v="76"/>
    <n v="8961328"/>
    <n v="206"/>
    <n v="22799833"/>
    <n v="119"/>
    <n v="6594218"/>
    <n v="5699648"/>
    <m/>
  </r>
  <r>
    <n v="2"/>
    <x v="13"/>
    <x v="1"/>
    <s v="Febrero"/>
    <s v="MARISEAR"/>
    <x v="25"/>
    <x v="22"/>
    <n v="12340397"/>
    <n v="0"/>
    <n v="3533500"/>
    <n v="8806897"/>
    <n v="23291666.666666668"/>
    <n v="0.37811364579606438"/>
    <x v="0"/>
    <n v="24"/>
    <s v=""/>
    <s v=""/>
    <s v="No Aplica"/>
    <n v="25"/>
    <n v="2041772"/>
    <n v="50"/>
    <n v="4401300"/>
    <n v="45"/>
    <n v="3533500"/>
    <n v="2363825"/>
    <m/>
  </r>
  <r>
    <n v="2"/>
    <x v="13"/>
    <x v="1"/>
    <s v="Febrero"/>
    <s v="MONIMEME"/>
    <x v="27"/>
    <x v="24"/>
    <n v="35569171"/>
    <n v="1479400"/>
    <n v="10331400"/>
    <n v="23758371"/>
    <n v="43000000"/>
    <n v="0.55252025581395348"/>
    <x v="0"/>
    <n v="24"/>
    <s v=""/>
    <s v=""/>
    <s v="No Aplica"/>
    <n v="53"/>
    <n v="4971660"/>
    <n v="112"/>
    <n v="13473420"/>
    <n v="121"/>
    <n v="10331400"/>
    <n v="6792691"/>
    <m/>
  </r>
  <r>
    <n v="2"/>
    <x v="13"/>
    <x v="1"/>
    <s v="Febrero"/>
    <s v="NATAPIDU"/>
    <x v="28"/>
    <x v="25"/>
    <n v="46979824"/>
    <n v="1116090"/>
    <n v="5768200"/>
    <n v="40095534"/>
    <n v="36000000"/>
    <n v="1.1137648333333334"/>
    <x v="1"/>
    <n v="24"/>
    <s v="IPS Pto De Vista Industriales"/>
    <s v="Antioquia"/>
    <s v="Cumple"/>
    <n v="50"/>
    <n v="8827453"/>
    <n v="142"/>
    <n v="26701000"/>
    <n v="68"/>
    <n v="5768200"/>
    <n v="5683171"/>
    <m/>
  </r>
  <r>
    <n v="2"/>
    <x v="13"/>
    <x v="1"/>
    <s v="Febrero"/>
    <s v="OSCADESU"/>
    <x v="29"/>
    <x v="26"/>
    <n v="38308469"/>
    <n v="628000"/>
    <n v="10619900"/>
    <n v="27060569"/>
    <n v="22958333.333333332"/>
    <n v="1.1786817713248638"/>
    <x v="0"/>
    <n v="24"/>
    <s v=""/>
    <s v=""/>
    <s v="No Aplica"/>
    <n v="94"/>
    <n v="6957996"/>
    <n v="207"/>
    <n v="17344140"/>
    <n v="124"/>
    <n v="10619900"/>
    <n v="3386433"/>
    <m/>
  </r>
  <r>
    <n v="2"/>
    <x v="13"/>
    <x v="1"/>
    <s v="Febrero"/>
    <s v="PAULGOBA"/>
    <x v="35"/>
    <x v="36"/>
    <n v="16653931"/>
    <n v="0"/>
    <n v="3199400"/>
    <n v="13454531"/>
    <n v="30458333.333333336"/>
    <n v="0.44173562790697674"/>
    <x v="1"/>
    <n v="24"/>
    <s v="Ferias Empresariales Antioquia"/>
    <s v="Antioquia"/>
    <s v="Fluctúa"/>
    <n v="30"/>
    <n v="3351844"/>
    <n v="76"/>
    <n v="7802200"/>
    <n v="48"/>
    <n v="3199400"/>
    <n v="2300487"/>
    <m/>
  </r>
  <r>
    <n v="2"/>
    <x v="13"/>
    <x v="1"/>
    <s v="Febrero"/>
    <s v="RAULMOGA"/>
    <x v="30"/>
    <x v="27"/>
    <n v="31599381"/>
    <n v="420000"/>
    <n v="6160400"/>
    <n v="25018981"/>
    <n v="20000000"/>
    <n v="1.25094905"/>
    <x v="0"/>
    <n v="24"/>
    <s v="IPS Pto De Vista Olaya"/>
    <s v="Centro"/>
    <s v="No Aplica"/>
    <n v="84"/>
    <n v="5677307"/>
    <n v="188"/>
    <n v="15928510"/>
    <n v="101"/>
    <n v="6160400"/>
    <n v="3833164"/>
    <m/>
  </r>
  <r>
    <n v="2"/>
    <x v="13"/>
    <x v="1"/>
    <s v="Febrero"/>
    <s v="ROCIFASA"/>
    <x v="31"/>
    <x v="28"/>
    <n v="29945140"/>
    <n v="1080600"/>
    <n v="3788500"/>
    <n v="25076040"/>
    <n v="22916666.666666664"/>
    <n v="1.0942272000000002"/>
    <x v="1"/>
    <n v="24"/>
    <s v="Optica Salud Sura Chipichape"/>
    <s v="Occidente"/>
    <s v="Cumple"/>
    <n v="77"/>
    <n v="9072439"/>
    <n v="186"/>
    <n v="13613875"/>
    <n v="45"/>
    <n v="3788500"/>
    <n v="3470326"/>
    <m/>
  </r>
  <r>
    <n v="2"/>
    <x v="13"/>
    <x v="1"/>
    <s v="Febrero"/>
    <s v="VIVIVAZA"/>
    <x v="33"/>
    <x v="30"/>
    <n v="72939379"/>
    <n v="824100"/>
    <n v="16643800"/>
    <n v="57357876"/>
    <n v="43000000"/>
    <n v="1.3339040930232557"/>
    <x v="1"/>
    <n v="24"/>
    <s v="IPS Pto De Vista Unicentro"/>
    <s v="Antioquia"/>
    <s v="Cumple"/>
    <n v="131"/>
    <n v="11846122"/>
    <n v="301"/>
    <n v="34700815"/>
    <n v="203"/>
    <n v="16643800"/>
    <n v="9748642"/>
    <m/>
  </r>
  <r>
    <n v="2"/>
    <x v="13"/>
    <x v="1"/>
    <s v="Febrero"/>
    <s v="ZULYARGA"/>
    <x v="34"/>
    <x v="31"/>
    <n v="63025137"/>
    <n v="1386000"/>
    <n v="15148400"/>
    <n v="45082940"/>
    <n v="43000000"/>
    <n v="1.0484404651162791"/>
    <x v="1"/>
    <n v="24"/>
    <s v="IPS Pto De Vista Molinos"/>
    <s v="Antioquia"/>
    <n v="0"/>
    <n v="106"/>
    <n v="9580283"/>
    <n v="287"/>
    <n v="32278585"/>
    <n v="179"/>
    <n v="15148400"/>
    <n v="6017869"/>
    <m/>
  </r>
  <r>
    <n v="2"/>
    <x v="13"/>
    <x v="1"/>
    <s v="Febrero"/>
    <s v="GENNHEPO"/>
    <x v="16"/>
    <x v="14"/>
    <n v="56895592"/>
    <n v="1244100"/>
    <n v="10255900"/>
    <n v="45395592"/>
    <n v="43000000"/>
    <n v="1.0557114418604652"/>
    <x v="1"/>
    <n v="24"/>
    <s v="IPS Pto De Vista Punto Clave"/>
    <s v="Antioquia"/>
    <s v="Fluctúa"/>
    <n v="101"/>
    <n v="9220354"/>
    <n v="262"/>
    <n v="27566042"/>
    <n v="115"/>
    <n v="10255900"/>
    <n v="9853296"/>
    <m/>
  </r>
  <r>
    <n v="2"/>
    <x v="13"/>
    <x v="1"/>
    <s v="Febrero"/>
    <s v="ANDRSAZA"/>
    <x v="45"/>
    <x v="45"/>
    <n v="34777339"/>
    <n v="792000"/>
    <n v="5689700"/>
    <n v="28295639"/>
    <n v="22000000"/>
    <n v="1.2861654090909092"/>
    <x v="1"/>
    <n v="24"/>
    <s v="IPS Pto De Vista Santa Bárbara"/>
    <s v="Centro"/>
    <s v="Cumple"/>
    <n v="66"/>
    <n v="5609081"/>
    <n v="186"/>
    <n v="21302080"/>
    <n v="97"/>
    <n v="5689700"/>
    <n v="2176478"/>
    <m/>
  </r>
  <r>
    <n v="2"/>
    <x v="13"/>
    <x v="1"/>
    <s v="Febrero"/>
    <s v="ERIKSAVA"/>
    <x v="44"/>
    <x v="44"/>
    <n v="37910378"/>
    <n v="2283400"/>
    <n v="8744900"/>
    <n v="27203777"/>
    <n v="43000000"/>
    <n v="0.6326459767441861"/>
    <x v="1"/>
    <n v="24"/>
    <s v="IPS Pto De Vista San Diego"/>
    <s v="Antioquia"/>
    <s v="No Cumple"/>
    <n v="64"/>
    <n v="5903671"/>
    <n v="144"/>
    <n v="14652970"/>
    <n v="107"/>
    <n v="8744900"/>
    <n v="8608837"/>
    <m/>
  </r>
  <r>
    <n v="2"/>
    <x v="13"/>
    <x v="1"/>
    <s v="Febrero"/>
    <s v="RUBYHIGA"/>
    <x v="42"/>
    <x v="42"/>
    <n v="54093944"/>
    <n v="2627000"/>
    <n v="9531900"/>
    <n v="41935044"/>
    <n v="41000000"/>
    <n v="1.0228059512195122"/>
    <x v="0"/>
    <n v="24"/>
    <s v=""/>
    <s v=""/>
    <s v="No Aplica"/>
    <n v="119"/>
    <n v="9631072"/>
    <n v="298"/>
    <n v="27082440"/>
    <n v="115"/>
    <n v="9531900"/>
    <n v="7848532"/>
    <m/>
  </r>
  <r>
    <n v="2"/>
    <x v="13"/>
    <x v="1"/>
    <s v="Febrero"/>
    <s v="PAOLPACA"/>
    <x v="47"/>
    <x v="47"/>
    <n v="28558040"/>
    <n v="0"/>
    <n v="10418500"/>
    <n v="18139540"/>
    <n v="27000000"/>
    <n v="0.67183481481481477"/>
    <x v="1"/>
    <n v="24"/>
    <s v="Punto de Vista Tequendama"/>
    <s v="Occidente"/>
    <s v="Siempre Cumple"/>
    <n v="72"/>
    <n v="5358361"/>
    <n v="192"/>
    <n v="10208432"/>
    <n v="149"/>
    <n v="10418500"/>
    <n v="2572747"/>
    <m/>
  </r>
  <r>
    <n v="2"/>
    <x v="13"/>
    <x v="1"/>
    <s v="Febrero"/>
    <s v="GISECACA"/>
    <x v="48"/>
    <x v="48"/>
    <n v="27244642"/>
    <n v="0"/>
    <n v="10184900"/>
    <n v="17059742"/>
    <n v="27000000"/>
    <n v="0.63184229629629629"/>
    <x v="0"/>
    <n v="24"/>
    <s v=""/>
    <s v=""/>
    <s v="No Aplica"/>
    <n v="59"/>
    <n v="4231413"/>
    <n v="184"/>
    <n v="10087970"/>
    <n v="0"/>
    <n v="0"/>
    <n v="12925259"/>
    <m/>
  </r>
  <r>
    <n v="2"/>
    <x v="13"/>
    <x v="1"/>
    <s v="Febrero"/>
    <s v="HISNOSPI"/>
    <x v="49"/>
    <x v="49"/>
    <n v="17955208"/>
    <n v="0"/>
    <n v="1288500"/>
    <n v="16666708"/>
    <n v="16200000"/>
    <n v="1.0288091358024691"/>
    <x v="0"/>
    <n v="24"/>
    <s v="IPS Pto De Vista San Diego"/>
    <s v="Antioquia"/>
    <s v="No Aplica"/>
    <n v="33"/>
    <n v="4013111"/>
    <n v="82"/>
    <n v="9547040"/>
    <n v="17"/>
    <n v="1288500"/>
    <n v="3106557"/>
    <m/>
  </r>
  <r>
    <n v="2"/>
    <x v="13"/>
    <x v="1"/>
    <s v="Febrero"/>
    <s v="DEISCACR"/>
    <x v="50"/>
    <x v="50"/>
    <n v="49254760"/>
    <n v="538700"/>
    <n v="9229900"/>
    <n v="39486160"/>
    <n v="38700000"/>
    <n v="1.0203142118863049"/>
    <x v="1"/>
    <n v="24"/>
    <s v="IPS Pto De Vista Punto Clave"/>
    <s v="Antioquia"/>
    <s v="Fluctúa"/>
    <n v="88"/>
    <n v="8571702"/>
    <n v="194"/>
    <n v="21641518"/>
    <n v="121"/>
    <n v="9229900"/>
    <n v="9811640"/>
    <m/>
  </r>
  <r>
    <n v="2"/>
    <x v="13"/>
    <x v="1"/>
    <s v="Febrero"/>
    <s v="YENYSUPE"/>
    <x v="51"/>
    <x v="51"/>
    <n v="50447652"/>
    <n v="903400"/>
    <n v="10485200"/>
    <n v="39059052"/>
    <n v="38700000"/>
    <n v="1.0092778294573643"/>
    <x v="1"/>
    <n v="24"/>
    <s v="IPS Pto De Vista Punto Clave"/>
    <s v="Antioquia"/>
    <s v="Cumple"/>
    <n v="109"/>
    <n v="8554225"/>
    <n v="243"/>
    <n v="22276610"/>
    <n v="115"/>
    <n v="10485200"/>
    <n v="9131617"/>
    <m/>
  </r>
  <r>
    <n v="2"/>
    <x v="13"/>
    <x v="1"/>
    <s v="Febrero"/>
    <s v="ANGEROPI"/>
    <x v="46"/>
    <x v="46"/>
    <n v="27901206"/>
    <n v="840000"/>
    <n v="6045600"/>
    <n v="21015606"/>
    <n v="37583333.333333336"/>
    <n v="0.55917355210643016"/>
    <x v="0"/>
    <n v="24"/>
    <s v=""/>
    <s v=""/>
    <s v="No Aplica"/>
    <n v="48"/>
    <n v="4260947"/>
    <n v="132"/>
    <n v="13153480"/>
    <n v="83"/>
    <n v="6045600"/>
    <n v="4441179"/>
    <m/>
  </r>
  <r>
    <n v="2"/>
    <x v="13"/>
    <x v="1"/>
    <s v="Febrero"/>
    <s v="HERIRORO"/>
    <x v="52"/>
    <x v="52"/>
    <n v="32190930"/>
    <n v="705400"/>
    <n v="8896200"/>
    <n v="22589330"/>
    <n v="33600000"/>
    <n v="0.67230148809523804"/>
    <x v="1"/>
    <n v="24"/>
    <s v="IPS Pto De Vista Centro"/>
    <s v="Antioquia"/>
    <s v="Siempre Cumple"/>
    <n v="60"/>
    <n v="4820871"/>
    <n v="142"/>
    <n v="12581280"/>
    <n v="97"/>
    <n v="8896200"/>
    <n v="5892579"/>
    <m/>
  </r>
  <r>
    <n v="2"/>
    <x v="13"/>
    <x v="1"/>
    <s v="Febrero"/>
    <s v="CAMIPUHE"/>
    <x v="53"/>
    <x v="53"/>
    <n v="16043355"/>
    <n v="1398000"/>
    <n v="4523300"/>
    <n v="10122055"/>
    <n v="17600000"/>
    <n v="0.57511676136363632"/>
    <x v="1"/>
    <n v="24"/>
    <s v="IPS Pto De Vista SSura Clle100"/>
    <s v="Centro"/>
    <s v="Cumple"/>
    <n v="28"/>
    <n v="2533238"/>
    <n v="74"/>
    <n v="6235480"/>
    <n v="73"/>
    <n v="4523300"/>
    <n v="2751337"/>
    <m/>
  </r>
  <r>
    <n v="2"/>
    <x v="13"/>
    <x v="1"/>
    <s v="Febrero"/>
    <s v="LILIFOVI"/>
    <x v="54"/>
    <x v="54"/>
    <n v="1686976"/>
    <n v="0"/>
    <n v="584000"/>
    <n v="1102976"/>
    <n v="25376800"/>
    <n v="4.3463951325620254E-2"/>
    <x v="0"/>
    <n v="24"/>
    <s v=""/>
    <s v=""/>
    <s v="No Aplica"/>
    <n v="1"/>
    <n v="134276"/>
    <n v="6"/>
    <n v="705700"/>
    <n v="6"/>
    <n v="584000"/>
    <n v="263000"/>
    <m/>
  </r>
  <r>
    <n v="2"/>
    <x v="13"/>
    <x v="1"/>
    <s v="Febrero"/>
    <s v="CINDGACU"/>
    <x v="55"/>
    <x v="55"/>
    <n v="3649115"/>
    <n v="0"/>
    <n v="1914500"/>
    <n v="1734615"/>
    <n v="4833333.3333333302"/>
    <n v="0.35888586206896572"/>
    <x v="1"/>
    <n v="24"/>
    <s v="IPS Pto De Vista San Diego"/>
    <s v="Antioquia"/>
    <s v="Siempre Cumple"/>
    <n v="7"/>
    <n v="468012"/>
    <n v="14"/>
    <n v="1266600"/>
    <n v="22"/>
    <n v="1914500"/>
    <n v="3"/>
    <m/>
  </r>
  <r>
    <n v="2"/>
    <x v="13"/>
    <x v="1"/>
    <s v="Febrero"/>
    <s v="LUZMARMO"/>
    <x v="37"/>
    <x v="7"/>
    <n v="41000"/>
    <n v="0"/>
    <n v="41000"/>
    <n v="0"/>
    <m/>
    <m/>
    <x v="0"/>
    <n v="24"/>
    <s v=""/>
    <s v=""/>
    <s v="No Aplica"/>
    <n v="0"/>
    <n v="0"/>
    <n v="0"/>
    <n v="0"/>
    <n v="1"/>
    <n v="41000"/>
    <n v="0"/>
    <m/>
  </r>
  <r>
    <n v="2"/>
    <x v="13"/>
    <x v="1"/>
    <s v="Febrero"/>
    <s v="SUANHECO"/>
    <x v="37"/>
    <x v="7"/>
    <n v="125500"/>
    <n v="0"/>
    <n v="125500"/>
    <n v="0"/>
    <m/>
    <m/>
    <x v="0"/>
    <n v="24"/>
    <s v=""/>
    <s v=""/>
    <s v="No Aplica"/>
    <n v="0"/>
    <n v="0"/>
    <n v="0"/>
    <n v="0"/>
    <n v="1"/>
    <n v="125500"/>
    <n v="0"/>
    <m/>
  </r>
  <r>
    <n v="2"/>
    <x v="13"/>
    <x v="1"/>
    <s v="Febrero"/>
    <s v="(en blanco)"/>
    <x v="37"/>
    <x v="7"/>
    <n v="-147200"/>
    <n v="0"/>
    <n v="0"/>
    <n v="-147200"/>
    <m/>
    <m/>
    <x v="0"/>
    <n v="24"/>
    <s v=""/>
    <s v=""/>
    <s v="No Aplica"/>
    <n v="0"/>
    <n v="0"/>
    <n v="0"/>
    <n v="0"/>
    <n v="0"/>
    <n v="0"/>
    <n v="-147200"/>
    <m/>
  </r>
  <r>
    <n v="2"/>
    <x v="13"/>
    <x v="1"/>
    <s v="Febrero"/>
    <s v="ANAMSAPV"/>
    <x v="37"/>
    <x v="7"/>
    <n v="41000"/>
    <n v="0"/>
    <n v="41000"/>
    <n v="0"/>
    <m/>
    <m/>
    <x v="0"/>
    <n v="24"/>
    <s v=""/>
    <s v=""/>
    <s v="No Aplica"/>
    <n v="0"/>
    <n v="0"/>
    <n v="0"/>
    <n v="0"/>
    <n v="1"/>
    <n v="41000"/>
    <n v="0"/>
    <m/>
  </r>
  <r>
    <n v="2"/>
    <x v="13"/>
    <x v="1"/>
    <s v="Febrero"/>
    <s v="ANLLLIZO"/>
    <x v="37"/>
    <x v="7"/>
    <n v="222979"/>
    <n v="0"/>
    <n v="82000"/>
    <n v="140979"/>
    <m/>
    <m/>
    <x v="0"/>
    <n v="24"/>
    <s v=""/>
    <s v=""/>
    <s v="No Aplica"/>
    <n v="1"/>
    <n v="76939"/>
    <n v="2"/>
    <n v="64040"/>
    <n v="2"/>
    <n v="82000"/>
    <n v="0"/>
    <m/>
  </r>
  <r>
    <n v="2"/>
    <x v="13"/>
    <x v="1"/>
    <s v="Febrero"/>
    <s v="CLAUPACO"/>
    <x v="37"/>
    <x v="7"/>
    <n v="975024"/>
    <n v="0"/>
    <n v="82000"/>
    <n v="893024"/>
    <m/>
    <m/>
    <x v="0"/>
    <n v="24"/>
    <s v=""/>
    <s v=""/>
    <s v="No Aplica"/>
    <n v="2"/>
    <n v="114824"/>
    <n v="4"/>
    <n v="259100"/>
    <n v="2"/>
    <n v="82000"/>
    <n v="519100"/>
    <m/>
  </r>
  <r>
    <n v="3"/>
    <x v="14"/>
    <x v="1"/>
    <s v="Marzo"/>
    <s v="ADRIMOLU"/>
    <x v="1"/>
    <x v="1"/>
    <n v="48625505"/>
    <n v="2900200"/>
    <n v="10747080"/>
    <n v="34978225"/>
    <n v="36269230.769230768"/>
    <n v="0.96440493107104985"/>
    <x v="1"/>
    <n v="26"/>
    <s v="IPS Pto De Vista Molinos"/>
    <s v="Antioquia"/>
    <s v="Cumple"/>
    <n v="102"/>
    <n v="7417409"/>
    <n v="244"/>
    <n v="22590713"/>
    <n v="107"/>
    <n v="10747080"/>
    <n v="7870303"/>
    <m/>
  </r>
  <r>
    <n v="3"/>
    <x v="14"/>
    <x v="1"/>
    <s v="Marzo"/>
    <s v="ALEXLOGR"/>
    <x v="2"/>
    <x v="2"/>
    <n v="53388830"/>
    <n v="1486200"/>
    <n v="12155842"/>
    <n v="39746788"/>
    <n v="29000000.000000004"/>
    <n v="1.370578896551724"/>
    <x v="1"/>
    <n v="26"/>
    <s v="IPS Punto de Vista Bello"/>
    <s v="Antioquia"/>
    <s v="Fluctúa"/>
    <n v="98"/>
    <n v="7124597"/>
    <n v="251"/>
    <n v="26416714"/>
    <n v="127"/>
    <n v="12155842"/>
    <n v="7691677"/>
    <m/>
  </r>
  <r>
    <n v="3"/>
    <x v="14"/>
    <x v="1"/>
    <s v="Marzo"/>
    <s v="ALVAOSOS"/>
    <x v="36"/>
    <x v="37"/>
    <n v="44483086"/>
    <n v="1236000"/>
    <n v="7802604"/>
    <n v="35444482"/>
    <n v="30100000"/>
    <n v="1.1775575415282391"/>
    <x v="1"/>
    <n v="26"/>
    <s v="IPS Pto De Vista Punto Clave"/>
    <s v="Antioquia"/>
    <s v="Siempre Cumple"/>
    <n v="83"/>
    <n v="8299866"/>
    <n v="186"/>
    <n v="20821681"/>
    <n v="94"/>
    <n v="7802604"/>
    <n v="7558935"/>
    <m/>
  </r>
  <r>
    <n v="3"/>
    <x v="14"/>
    <x v="1"/>
    <s v="Marzo"/>
    <s v="ANAMLOBE"/>
    <x v="3"/>
    <x v="3"/>
    <n v="75111406"/>
    <n v="1194000"/>
    <n v="10989435"/>
    <n v="62927971"/>
    <n v="39692307.692307688"/>
    <n v="1.5853946182170544"/>
    <x v="1"/>
    <n v="26"/>
    <s v="IPS Pto De Vista Unicentro"/>
    <s v="Antioquia"/>
    <s v="Siempre Cumple"/>
    <n v="160"/>
    <n v="17048283"/>
    <n v="340"/>
    <n v="38114066"/>
    <n v="124"/>
    <n v="10989435"/>
    <n v="8959622"/>
    <m/>
  </r>
  <r>
    <n v="3"/>
    <x v="14"/>
    <x v="1"/>
    <s v="Marzo"/>
    <s v="ANGEGAAR"/>
    <x v="4"/>
    <x v="4"/>
    <n v="53303479"/>
    <n v="1088860"/>
    <n v="8550798"/>
    <n v="43663821"/>
    <n v="43000000"/>
    <n v="1.0154376976744186"/>
    <x v="1"/>
    <n v="26"/>
    <s v="IPS Pto De Vista San Diego"/>
    <s v="Antioquia"/>
    <s v="Fluctúa"/>
    <n v="95"/>
    <n v="10054271"/>
    <n v="224"/>
    <n v="24674136"/>
    <n v="99"/>
    <n v="8550798"/>
    <n v="10024274"/>
    <m/>
  </r>
  <r>
    <n v="3"/>
    <x v="14"/>
    <x v="1"/>
    <s v="Marzo"/>
    <s v="BIBIBECA"/>
    <x v="6"/>
    <x v="6"/>
    <n v="52851576"/>
    <n v="1505000"/>
    <n v="10789559"/>
    <n v="40557017"/>
    <n v="41000000"/>
    <n v="0.98919553658536585"/>
    <x v="1"/>
    <n v="26"/>
    <s v="IPS Pto De Vista Centro"/>
    <s v="Antioquia"/>
    <s v="Fluctúa"/>
    <n v="110"/>
    <n v="9010658"/>
    <n v="290"/>
    <n v="25785684"/>
    <n v="126"/>
    <n v="10789559"/>
    <n v="7265675"/>
    <m/>
  </r>
  <r>
    <n v="3"/>
    <x v="14"/>
    <x v="1"/>
    <s v="Marzo"/>
    <s v="CAROVABE"/>
    <x v="8"/>
    <x v="32"/>
    <n v="15760421"/>
    <n v="0"/>
    <n v="2543283"/>
    <n v="13217138"/>
    <n v="12615384.615384616"/>
    <n v="1.047699963414634"/>
    <x v="0"/>
    <n v="26"/>
    <s v=""/>
    <s v=""/>
    <s v="No Aplica"/>
    <n v="31"/>
    <n v="2694989"/>
    <n v="72"/>
    <n v="9149542"/>
    <n v="30"/>
    <n v="2543283"/>
    <n v="1372607"/>
    <m/>
  </r>
  <r>
    <n v="3"/>
    <x v="14"/>
    <x v="1"/>
    <s v="Marzo"/>
    <s v="CLAUBLAR"/>
    <x v="9"/>
    <x v="8"/>
    <n v="52894496"/>
    <n v="903400"/>
    <n v="9622296"/>
    <n v="42368800"/>
    <n v="41000000"/>
    <n v="1.0333853658536585"/>
    <x v="1"/>
    <n v="26"/>
    <s v="IPS Pto De Vista Centro"/>
    <s v="Antioquia"/>
    <s v="Fluctúa"/>
    <n v="94"/>
    <n v="9556214"/>
    <n v="212"/>
    <n v="25917899"/>
    <n v="114"/>
    <n v="9622296"/>
    <n v="7798087"/>
    <m/>
  </r>
  <r>
    <n v="3"/>
    <x v="14"/>
    <x v="1"/>
    <s v="Marzo"/>
    <s v="DERLARMO"/>
    <x v="11"/>
    <x v="10"/>
    <n v="36429241"/>
    <n v="2878200"/>
    <n v="6320001"/>
    <n v="27231040"/>
    <n v="20000000"/>
    <n v="1.3615520000000001"/>
    <x v="1"/>
    <n v="26"/>
    <s v="IPS Pto De Vista Olaya"/>
    <s v="Centro"/>
    <s v="Cumple"/>
    <n v="88"/>
    <n v="4998827"/>
    <n v="205"/>
    <n v="17480847"/>
    <n v="86"/>
    <n v="6320001"/>
    <n v="7629566"/>
    <m/>
  </r>
  <r>
    <n v="3"/>
    <x v="14"/>
    <x v="1"/>
    <s v="Marzo"/>
    <s v="DIANQUME"/>
    <x v="14"/>
    <x v="12"/>
    <n v="56598250"/>
    <n v="1386800"/>
    <n v="11185138"/>
    <n v="44026312"/>
    <n v="43000000"/>
    <n v="1.0238677209302325"/>
    <x v="1"/>
    <n v="26"/>
    <s v="IPS Pto De Vista Molinos"/>
    <s v="Antioquia"/>
    <s v="Cumple"/>
    <n v="105"/>
    <n v="10506374"/>
    <n v="271"/>
    <n v="28440690"/>
    <n v="126"/>
    <n v="11185138"/>
    <n v="6466048"/>
    <m/>
  </r>
  <r>
    <n v="3"/>
    <x v="14"/>
    <x v="1"/>
    <s v="Marzo"/>
    <s v="DIANPAAL"/>
    <x v="12"/>
    <x v="11"/>
    <n v="19073307"/>
    <n v="638100"/>
    <n v="3070673"/>
    <n v="15364534"/>
    <n v="26653846.153846156"/>
    <n v="0.57644716305916299"/>
    <x v="1"/>
    <n v="26"/>
    <s v="IPS Pto De Vista Rionegro"/>
    <s v="Antioquia"/>
    <s v="Cumple"/>
    <n v="47"/>
    <n v="4809864"/>
    <n v="110"/>
    <n v="8543087"/>
    <n v="44"/>
    <n v="3070673"/>
    <n v="2649683"/>
    <m/>
  </r>
  <r>
    <n v="3"/>
    <x v="14"/>
    <x v="1"/>
    <s v="Marzo"/>
    <s v="DIANPOPA"/>
    <x v="13"/>
    <x v="33"/>
    <n v="15186136"/>
    <n v="356400"/>
    <n v="7549530"/>
    <n v="7280206"/>
    <n v="29999999.999999996"/>
    <n v="0.24267353333333336"/>
    <x v="0"/>
    <n v="26"/>
    <s v=""/>
    <s v=""/>
    <s v="No Aplica"/>
    <n v="30"/>
    <n v="1996448"/>
    <n v="106"/>
    <n v="4387729"/>
    <n v="91"/>
    <n v="7549530"/>
    <n v="1252429"/>
    <m/>
  </r>
  <r>
    <n v="3"/>
    <x v="14"/>
    <x v="1"/>
    <s v="Marzo"/>
    <s v="ELIZVESU"/>
    <x v="15"/>
    <x v="13"/>
    <n v="63318193"/>
    <n v="285400"/>
    <n v="12047879"/>
    <n v="50984914"/>
    <n v="43000000"/>
    <n v="1.1856956744186047"/>
    <x v="1"/>
    <n v="26"/>
    <s v="IPS Pto De Vista Unicentro"/>
    <s v="Antioquia"/>
    <s v="Fluctúa"/>
    <n v="106"/>
    <n v="12512143"/>
    <n v="258"/>
    <n v="31017860"/>
    <n v="133"/>
    <n v="12047879"/>
    <n v="7740311"/>
    <m/>
  </r>
  <r>
    <n v="3"/>
    <x v="14"/>
    <x v="1"/>
    <s v="Marzo"/>
    <s v="LILACARA"/>
    <x v="19"/>
    <x v="17"/>
    <n v="55876203"/>
    <n v="576000"/>
    <n v="9427449"/>
    <n v="45872754"/>
    <n v="43000000"/>
    <n v="1.0668082325581396"/>
    <x v="1"/>
    <n v="26"/>
    <s v="IPS Pto De Vista Molinos"/>
    <s v="Antioquia"/>
    <s v="Cumple"/>
    <n v="106"/>
    <n v="9486677"/>
    <n v="268"/>
    <n v="27372883"/>
    <n v="100"/>
    <n v="9427449"/>
    <n v="9589194"/>
    <m/>
  </r>
  <r>
    <n v="3"/>
    <x v="14"/>
    <x v="1"/>
    <s v="Marzo"/>
    <s v="ISABMOGO"/>
    <x v="17"/>
    <x v="15"/>
    <n v="37190828"/>
    <n v="2469500"/>
    <n v="5028679"/>
    <n v="29692649"/>
    <n v="22000000"/>
    <n v="1.3496658636363636"/>
    <x v="1"/>
    <n v="26"/>
    <s v="IPS Pto De Vista Santa Bárbara"/>
    <s v="Centro"/>
    <s v="No Cumple"/>
    <n v="72"/>
    <n v="6350683"/>
    <n v="200"/>
    <n v="20249228"/>
    <n v="72"/>
    <n v="5028679"/>
    <n v="5562238"/>
    <m/>
  </r>
  <r>
    <n v="3"/>
    <x v="14"/>
    <x v="1"/>
    <s v="Marzo"/>
    <s v="JAQUVEGU"/>
    <x v="18"/>
    <x v="16"/>
    <n v="34876000"/>
    <n v="2516100"/>
    <n v="5859943"/>
    <n v="26499957"/>
    <n v="33000000"/>
    <n v="0.80302899999999999"/>
    <x v="0"/>
    <n v="26"/>
    <s v="IPS Pto De Vista Rionegro"/>
    <s v="Antioquia"/>
    <s v="No Aplica"/>
    <n v="77"/>
    <n v="6808184"/>
    <n v="195"/>
    <n v="16746610"/>
    <n v="91"/>
    <n v="5859943"/>
    <n v="5461263"/>
    <m/>
  </r>
  <r>
    <n v="3"/>
    <x v="14"/>
    <x v="1"/>
    <s v="Marzo"/>
    <s v="LEIDGOVI"/>
    <x v="39"/>
    <x v="39"/>
    <n v="46664885"/>
    <n v="3054460"/>
    <n v="8212285"/>
    <n v="35398140"/>
    <n v="30100000"/>
    <n v="1.1760179401993356"/>
    <x v="1"/>
    <n v="26"/>
    <s v="IPS Pto De Vista Punto Clave"/>
    <s v="Antioquia"/>
    <s v="Fluctúa"/>
    <n v="78"/>
    <n v="8492487"/>
    <n v="172"/>
    <n v="20777038"/>
    <n v="92"/>
    <n v="8212285"/>
    <n v="9183075"/>
    <m/>
  </r>
  <r>
    <n v="3"/>
    <x v="14"/>
    <x v="1"/>
    <s v="Marzo"/>
    <s v="LUZNHEGO"/>
    <x v="21"/>
    <x v="19"/>
    <n v="32657311"/>
    <n v="556200"/>
    <n v="69764"/>
    <n v="32031347"/>
    <n v="25000000"/>
    <n v="1.28125388"/>
    <x v="1"/>
    <n v="26"/>
    <s v="IPS Punto de Vista Mayorca"/>
    <s v="Antioquia"/>
    <s v="Siempre Cumple"/>
    <n v="54"/>
    <n v="6343339"/>
    <n v="174"/>
    <n v="24266136"/>
    <n v="1"/>
    <n v="69764"/>
    <n v="1978072"/>
    <m/>
  </r>
  <r>
    <n v="3"/>
    <x v="14"/>
    <x v="1"/>
    <s v="Marzo"/>
    <s v="MARGGAPA"/>
    <x v="22"/>
    <x v="20"/>
    <n v="55070854"/>
    <n v="1510000"/>
    <n v="11453601"/>
    <n v="42107253"/>
    <n v="41000000"/>
    <n v="1.0270061707317073"/>
    <x v="1"/>
    <n v="26"/>
    <s v="IPS Pto De Vista Centro"/>
    <s v="Antioquia"/>
    <s v="Fluctúa"/>
    <n v="109"/>
    <n v="10265824"/>
    <n v="252"/>
    <n v="27076665"/>
    <n v="128"/>
    <n v="11453601"/>
    <n v="6274764"/>
    <m/>
  </r>
  <r>
    <n v="3"/>
    <x v="14"/>
    <x v="1"/>
    <s v="Marzo"/>
    <s v="MARIMASA"/>
    <x v="23"/>
    <x v="34"/>
    <n v="45030668"/>
    <n v="1276130"/>
    <n v="8587502"/>
    <n v="35167036"/>
    <n v="30100000"/>
    <n v="1.1683400664451826"/>
    <x v="1"/>
    <n v="26"/>
    <s v="IPS Pto De Vista San Diego"/>
    <s v="Antioquia"/>
    <s v="Siempre Cumple"/>
    <n v="67"/>
    <n v="7479572"/>
    <n v="164"/>
    <n v="20456810"/>
    <n v="90"/>
    <n v="8587502"/>
    <n v="8506784"/>
    <m/>
  </r>
  <r>
    <n v="3"/>
    <x v="14"/>
    <x v="1"/>
    <s v="Marzo"/>
    <s v="MARIOCOC"/>
    <x v="24"/>
    <x v="21"/>
    <n v="43806622"/>
    <n v="3026900"/>
    <n v="4504916"/>
    <n v="36274806"/>
    <n v="33000000"/>
    <n v="1.0992365454545454"/>
    <x v="1"/>
    <n v="26"/>
    <s v="IPS Pto De Vista Rionegro"/>
    <s v="Antioquia"/>
    <s v="Cumple"/>
    <n v="83"/>
    <n v="8076944"/>
    <n v="216"/>
    <n v="24552147"/>
    <n v="70"/>
    <n v="4504916"/>
    <n v="6672615"/>
    <m/>
  </r>
  <r>
    <n v="3"/>
    <x v="14"/>
    <x v="1"/>
    <s v="Marzo"/>
    <s v="MARISEAR"/>
    <x v="25"/>
    <x v="22"/>
    <n v="48052706"/>
    <n v="2198800"/>
    <n v="7339558"/>
    <n v="38514348"/>
    <n v="43000000"/>
    <n v="0.89568251162790702"/>
    <x v="0"/>
    <n v="26"/>
    <s v=""/>
    <s v=""/>
    <s v="No Aplica"/>
    <n v="99"/>
    <n v="8678740"/>
    <n v="212"/>
    <n v="23496594"/>
    <n v="93"/>
    <n v="7339558"/>
    <n v="8537814"/>
    <m/>
  </r>
  <r>
    <n v="3"/>
    <x v="14"/>
    <x v="1"/>
    <s v="Marzo"/>
    <s v="MONIMEME"/>
    <x v="27"/>
    <x v="24"/>
    <n v="51733447"/>
    <n v="1276000"/>
    <n v="6921937"/>
    <n v="43535510"/>
    <n v="39692307.692307688"/>
    <n v="1.0968248643410854"/>
    <x v="0"/>
    <n v="26"/>
    <s v=""/>
    <s v=""/>
    <s v="No Aplica"/>
    <n v="98"/>
    <n v="9434651"/>
    <n v="238"/>
    <n v="25837178"/>
    <n v="88"/>
    <n v="6921937"/>
    <n v="9539681"/>
    <m/>
  </r>
  <r>
    <n v="3"/>
    <x v="14"/>
    <x v="1"/>
    <s v="Marzo"/>
    <s v="NATAPIDU"/>
    <x v="28"/>
    <x v="25"/>
    <n v="44595430"/>
    <n v="695430"/>
    <n v="3774230"/>
    <n v="40125770"/>
    <n v="36000000"/>
    <n v="1.1146047222222222"/>
    <x v="1"/>
    <n v="26"/>
    <s v="IPS Pto De Vista Industriales"/>
    <s v="Antioquia"/>
    <s v="Cumple"/>
    <n v="49"/>
    <n v="7789687"/>
    <n v="136"/>
    <n v="26948215"/>
    <n v="49"/>
    <n v="3774230"/>
    <n v="6083298"/>
    <m/>
  </r>
  <r>
    <n v="3"/>
    <x v="14"/>
    <x v="1"/>
    <s v="Marzo"/>
    <s v="OSCADESU"/>
    <x v="29"/>
    <x v="7"/>
    <n v="3638726"/>
    <n v="0"/>
    <n v="0"/>
    <n v="3638726"/>
    <m/>
    <m/>
    <x v="0"/>
    <n v="26"/>
    <s v=""/>
    <s v=""/>
    <s v="No Aplica"/>
    <n v="15"/>
    <n v="840681"/>
    <n v="25"/>
    <n v="1555810"/>
    <n v="0"/>
    <n v="0"/>
    <n v="1242235"/>
    <m/>
  </r>
  <r>
    <n v="3"/>
    <x v="14"/>
    <x v="1"/>
    <s v="Marzo"/>
    <s v="PAULGOBA"/>
    <x v="35"/>
    <x v="36"/>
    <n v="28926420"/>
    <n v="396000"/>
    <n v="3761799"/>
    <n v="24768621"/>
    <n v="42000000"/>
    <n v="0.58972907142857145"/>
    <x v="1"/>
    <n v="26"/>
    <s v="Ferias Empresariales Antioquia"/>
    <s v="Antioquia"/>
    <s v="Fluctúa"/>
    <n v="21"/>
    <n v="1834248"/>
    <n v="70"/>
    <n v="6320941"/>
    <n v="46"/>
    <n v="3761799"/>
    <n v="17009432"/>
    <m/>
  </r>
  <r>
    <n v="3"/>
    <x v="14"/>
    <x v="1"/>
    <s v="Marzo"/>
    <s v="RAULMOGA"/>
    <x v="30"/>
    <x v="27"/>
    <n v="33920765"/>
    <n v="1384000"/>
    <n v="5582511"/>
    <n v="26954254"/>
    <n v="20000000"/>
    <n v="1.3477127"/>
    <x v="0"/>
    <n v="26"/>
    <s v="IPS Pto De Vista Olaya"/>
    <s v="Centro"/>
    <s v="No Aplica"/>
    <n v="79"/>
    <n v="5038040"/>
    <n v="204"/>
    <n v="18709420"/>
    <n v="83"/>
    <n v="5582511"/>
    <n v="4590794"/>
    <m/>
  </r>
  <r>
    <n v="3"/>
    <x v="14"/>
    <x v="1"/>
    <s v="Marzo"/>
    <s v="ROCIFASA"/>
    <x v="31"/>
    <x v="28"/>
    <n v="34474696"/>
    <n v="558000"/>
    <n v="4782491"/>
    <n v="29134205"/>
    <n v="25000000"/>
    <n v="1.1653682000000001"/>
    <x v="1"/>
    <n v="26"/>
    <s v="Optica Salud Sura Chipichape"/>
    <s v="Occidente"/>
    <s v="Cumple"/>
    <n v="61"/>
    <n v="6774902"/>
    <n v="170"/>
    <n v="20242090"/>
    <n v="52"/>
    <n v="4782491"/>
    <n v="2675213"/>
    <m/>
  </r>
  <r>
    <n v="3"/>
    <x v="14"/>
    <x v="1"/>
    <s v="Marzo"/>
    <s v="VIVIVAZA"/>
    <x v="33"/>
    <x v="30"/>
    <n v="74244460"/>
    <n v="1102100"/>
    <n v="12520070"/>
    <n v="60622290"/>
    <n v="43000000"/>
    <n v="1.4098206976744185"/>
    <x v="1"/>
    <n v="26"/>
    <s v="IPS Pto De Vista Unicentro"/>
    <s v="Antioquia"/>
    <s v="Cumple"/>
    <n v="132"/>
    <n v="12177797"/>
    <n v="326"/>
    <n v="42689634"/>
    <n v="130"/>
    <n v="12520070"/>
    <n v="6856959"/>
    <m/>
  </r>
  <r>
    <n v="3"/>
    <x v="14"/>
    <x v="1"/>
    <s v="Marzo"/>
    <s v="ZULYARGA"/>
    <x v="34"/>
    <x v="31"/>
    <n v="57512734"/>
    <n v="2509800"/>
    <n v="10896345"/>
    <n v="44106589"/>
    <n v="43000000"/>
    <n v="1.0257346279069768"/>
    <x v="1"/>
    <n v="26"/>
    <s v="IPS Pto De Vista Molinos"/>
    <s v="Antioquia"/>
    <n v="0"/>
    <n v="124"/>
    <n v="10756632"/>
    <n v="284"/>
    <n v="30086403"/>
    <n v="125"/>
    <n v="10896345"/>
    <n v="5773354"/>
    <m/>
  </r>
  <r>
    <n v="3"/>
    <x v="14"/>
    <x v="1"/>
    <s v="Marzo"/>
    <s v="GENNHEPO"/>
    <x v="16"/>
    <x v="14"/>
    <n v="34424399"/>
    <n v="1672200"/>
    <n v="8412233"/>
    <n v="24339966"/>
    <n v="43000000"/>
    <n v="0.56604572093023253"/>
    <x v="1"/>
    <n v="26"/>
    <s v="IPS Pto De Vista Punto Clave"/>
    <s v="Antioquia"/>
    <s v="Fluctúa"/>
    <n v="66"/>
    <n v="5766353"/>
    <n v="172"/>
    <n v="14706212"/>
    <n v="99"/>
    <n v="8412233"/>
    <n v="5539601"/>
    <m/>
  </r>
  <r>
    <n v="3"/>
    <x v="14"/>
    <x v="1"/>
    <s v="Marzo"/>
    <s v="ANDRSAZA"/>
    <x v="45"/>
    <x v="45"/>
    <n v="43098002"/>
    <n v="894000"/>
    <n v="6526358"/>
    <n v="35677644"/>
    <n v="22000000"/>
    <n v="1.6217110909090908"/>
    <x v="1"/>
    <n v="26"/>
    <s v="IPS Pto De Vista Santa Bárbara"/>
    <s v="Centro"/>
    <s v="Cumple"/>
    <n v="77"/>
    <n v="6962784"/>
    <n v="234"/>
    <n v="27531342"/>
    <n v="94"/>
    <n v="6526358"/>
    <n v="2077518"/>
    <m/>
  </r>
  <r>
    <n v="3"/>
    <x v="14"/>
    <x v="1"/>
    <s v="Marzo"/>
    <s v="ERIKSAVA"/>
    <x v="44"/>
    <x v="44"/>
    <n v="52222104"/>
    <n v="1454100"/>
    <n v="7100199"/>
    <n v="43667805"/>
    <n v="43000000"/>
    <n v="1.0155303488372094"/>
    <x v="1"/>
    <n v="26"/>
    <s v="IPS Pto De Vista San Diego"/>
    <s v="Antioquia"/>
    <s v="No Cumple"/>
    <n v="97"/>
    <n v="9623967"/>
    <n v="202"/>
    <n v="24670436"/>
    <n v="85"/>
    <n v="7100199"/>
    <n v="10827502"/>
    <m/>
  </r>
  <r>
    <n v="3"/>
    <x v="14"/>
    <x v="1"/>
    <s v="Marzo"/>
    <s v="RUBYHIGA"/>
    <x v="42"/>
    <x v="42"/>
    <n v="49593086"/>
    <n v="1448200"/>
    <n v="8855320"/>
    <n v="39289566"/>
    <n v="41000000"/>
    <n v="0.9582820975609756"/>
    <x v="0"/>
    <n v="26"/>
    <s v=""/>
    <s v=""/>
    <s v="No Aplica"/>
    <n v="88"/>
    <n v="7551090"/>
    <n v="218"/>
    <n v="23596134"/>
    <n v="95"/>
    <n v="8855320"/>
    <n v="9590542"/>
    <m/>
  </r>
  <r>
    <n v="3"/>
    <x v="14"/>
    <x v="1"/>
    <s v="Marzo"/>
    <s v="PAOLPACA"/>
    <x v="47"/>
    <x v="47"/>
    <n v="41609228"/>
    <n v="0"/>
    <n v="9201580"/>
    <n v="32407648"/>
    <n v="29999999.999999996"/>
    <n v="1.0802549333333336"/>
    <x v="1"/>
    <n v="26"/>
    <s v="Punto de Vista Tequendama"/>
    <s v="Occidente"/>
    <s v="Siempre Cumple"/>
    <n v="115"/>
    <n v="8184695"/>
    <n v="338"/>
    <n v="20167198"/>
    <n v="107"/>
    <n v="9201580"/>
    <n v="4055755"/>
    <m/>
  </r>
  <r>
    <n v="3"/>
    <x v="14"/>
    <x v="1"/>
    <s v="Marzo"/>
    <s v="HISNOSPI"/>
    <x v="49"/>
    <x v="49"/>
    <n v="20841332"/>
    <n v="609660"/>
    <n v="1644590"/>
    <n v="18587082"/>
    <n v="18000000"/>
    <n v="1.0326156666666666"/>
    <x v="0"/>
    <n v="26"/>
    <s v="IPS Pto De Vista San Diego"/>
    <s v="Antioquia"/>
    <s v="No Aplica"/>
    <n v="29"/>
    <n v="4019463"/>
    <n v="90"/>
    <n v="13079080"/>
    <n v="21"/>
    <n v="1644590"/>
    <n v="2098199"/>
    <m/>
  </r>
  <r>
    <n v="3"/>
    <x v="14"/>
    <x v="1"/>
    <s v="Marzo"/>
    <s v="DEISCACR"/>
    <x v="50"/>
    <x v="50"/>
    <n v="53806511"/>
    <n v="550700"/>
    <n v="9793710"/>
    <n v="43462101"/>
    <n v="43000000"/>
    <n v="1.010746534883721"/>
    <x v="1"/>
    <n v="26"/>
    <s v="IPS Pto De Vista Punto Clave"/>
    <s v="Antioquia"/>
    <s v="Fluctúa"/>
    <n v="112"/>
    <n v="10653313"/>
    <n v="244"/>
    <n v="24832763"/>
    <n v="109"/>
    <n v="9793710"/>
    <n v="8526725"/>
    <m/>
  </r>
  <r>
    <n v="3"/>
    <x v="14"/>
    <x v="1"/>
    <s v="Marzo"/>
    <s v="YENYSUPE"/>
    <x v="51"/>
    <x v="51"/>
    <n v="40607946"/>
    <n v="780000"/>
    <n v="7722832"/>
    <n v="32105114"/>
    <n v="43000000"/>
    <n v="0.74663055813953494"/>
    <x v="1"/>
    <n v="26"/>
    <s v="IPS Pto De Vista Punto Clave"/>
    <s v="Antioquia"/>
    <s v="Cumple"/>
    <n v="72"/>
    <n v="5902884"/>
    <n v="168"/>
    <n v="20592263"/>
    <n v="93"/>
    <n v="7722832"/>
    <n v="6389967"/>
    <m/>
  </r>
  <r>
    <n v="3"/>
    <x v="14"/>
    <x v="1"/>
    <s v="Marzo"/>
    <s v="ANGEROPI"/>
    <x v="46"/>
    <x v="46"/>
    <n v="39903185"/>
    <n v="748700"/>
    <n v="7569501"/>
    <n v="31584984"/>
    <n v="39461538.461538464"/>
    <n v="0.80039920467836256"/>
    <x v="0"/>
    <n v="26"/>
    <s v=""/>
    <s v=""/>
    <s v="No Aplica"/>
    <n v="79"/>
    <n v="6650092"/>
    <n v="242"/>
    <n v="20492982"/>
    <n v="94"/>
    <n v="7569501"/>
    <n v="5190610"/>
    <m/>
  </r>
  <r>
    <n v="3"/>
    <x v="14"/>
    <x v="1"/>
    <s v="Marzo"/>
    <s v="HERIRORO"/>
    <x v="52"/>
    <x v="52"/>
    <n v="33434333"/>
    <n v="1660000"/>
    <n v="8405064"/>
    <n v="23369269"/>
    <n v="36900000"/>
    <n v="0.63331352303523036"/>
    <x v="1"/>
    <n v="26"/>
    <s v="IPS Pto De Vista Centro"/>
    <s v="Antioquia"/>
    <s v="Siempre Cumple"/>
    <n v="76"/>
    <n v="5514319"/>
    <n v="162"/>
    <n v="14175791"/>
    <n v="86"/>
    <n v="8405064"/>
    <n v="5339159"/>
    <m/>
  </r>
  <r>
    <n v="3"/>
    <x v="14"/>
    <x v="1"/>
    <s v="Marzo"/>
    <s v="CAMIPUHE"/>
    <x v="53"/>
    <x v="53"/>
    <n v="26572179"/>
    <n v="1236000"/>
    <n v="2613475"/>
    <n v="22722704"/>
    <n v="19800000"/>
    <n v="1.147611313131313"/>
    <x v="1"/>
    <n v="26"/>
    <s v="IPS Pto De Vista SSura Clle100"/>
    <s v="Centro"/>
    <s v="Cumple"/>
    <n v="59"/>
    <n v="6207544"/>
    <n v="132"/>
    <n v="13653822"/>
    <n v="39"/>
    <n v="2613475"/>
    <n v="4097338"/>
    <m/>
  </r>
  <r>
    <n v="3"/>
    <x v="14"/>
    <x v="1"/>
    <s v="Marzo"/>
    <s v="LILIFOVI"/>
    <x v="54"/>
    <x v="54"/>
    <n v="14263321"/>
    <n v="0"/>
    <n v="2059964"/>
    <n v="12203357"/>
    <n v="28548900"/>
    <n v="0.42745454290708224"/>
    <x v="0"/>
    <n v="26"/>
    <s v=""/>
    <s v=""/>
    <s v="No Aplica"/>
    <n v="41"/>
    <n v="3420686"/>
    <n v="96"/>
    <n v="8782671"/>
    <n v="34"/>
    <n v="2059964"/>
    <n v="0"/>
    <m/>
  </r>
  <r>
    <n v="3"/>
    <x v="14"/>
    <x v="1"/>
    <s v="Marzo"/>
    <s v="CINDGACU"/>
    <x v="55"/>
    <x v="55"/>
    <n v="37726319"/>
    <n v="0"/>
    <n v="11050318"/>
    <n v="26676001"/>
    <n v="23200000.000000004"/>
    <n v="1.1498276293103447"/>
    <x v="1"/>
    <n v="26"/>
    <s v="IPS Pto De Vista San Diego"/>
    <s v="Antioquia"/>
    <s v="Siempre Cumple"/>
    <n v="89"/>
    <n v="5818180"/>
    <n v="181"/>
    <n v="17935473"/>
    <n v="115"/>
    <n v="11050318"/>
    <n v="2922348"/>
    <m/>
  </r>
  <r>
    <n v="3"/>
    <x v="14"/>
    <x v="1"/>
    <s v="Marzo"/>
    <s v="GISECACM"/>
    <x v="48"/>
    <x v="48"/>
    <n v="16239928"/>
    <n v="0"/>
    <n v="8653614"/>
    <n v="7586314"/>
    <n v="29999999.999999996"/>
    <n v="0.25287713333333334"/>
    <x v="0"/>
    <n v="26"/>
    <s v=""/>
    <s v=""/>
    <s v="No Aplica"/>
    <n v="16"/>
    <n v="1426241"/>
    <n v="50"/>
    <n v="3256825"/>
    <n v="100"/>
    <n v="8653614"/>
    <n v="2903248"/>
    <m/>
  </r>
  <r>
    <n v="3"/>
    <x v="14"/>
    <x v="1"/>
    <s v="Marzo"/>
    <s v="KATHCASG"/>
    <x v="37"/>
    <x v="7"/>
    <n v="158400"/>
    <n v="0"/>
    <n v="0"/>
    <n v="158400"/>
    <m/>
    <m/>
    <x v="0"/>
    <n v="26"/>
    <s v=""/>
    <s v=""/>
    <s v="No Aplica"/>
    <n v="0"/>
    <n v="0"/>
    <n v="0"/>
    <n v="0"/>
    <n v="0"/>
    <n v="0"/>
    <n v="158400"/>
    <m/>
  </r>
  <r>
    <n v="3"/>
    <x v="14"/>
    <x v="1"/>
    <s v="Marzo"/>
    <s v="EMMAARMA"/>
    <x v="37"/>
    <x v="7"/>
    <n v="158400"/>
    <n v="0"/>
    <n v="0"/>
    <n v="158400"/>
    <m/>
    <m/>
    <x v="0"/>
    <n v="26"/>
    <s v=""/>
    <s v=""/>
    <s v="No Aplica"/>
    <n v="0"/>
    <n v="0"/>
    <n v="0"/>
    <n v="0"/>
    <n v="0"/>
    <n v="0"/>
    <n v="158400"/>
    <m/>
  </r>
  <r>
    <n v="3"/>
    <x v="14"/>
    <x v="1"/>
    <s v="Marzo"/>
    <s v="LUZMARMO"/>
    <x v="37"/>
    <x v="7"/>
    <n v="0"/>
    <n v="0"/>
    <n v="0"/>
    <n v="0"/>
    <m/>
    <m/>
    <x v="0"/>
    <n v="26"/>
    <s v=""/>
    <s v=""/>
    <s v="No Aplica"/>
    <n v="0"/>
    <n v="0"/>
    <n v="0"/>
    <n v="0"/>
    <n v="0"/>
    <n v="0"/>
    <n v="0"/>
    <m/>
  </r>
  <r>
    <n v="3"/>
    <x v="14"/>
    <x v="1"/>
    <s v="Marzo"/>
    <s v="SUANHECO"/>
    <x v="37"/>
    <x v="7"/>
    <n v="222025"/>
    <n v="0"/>
    <n v="222025"/>
    <n v="0"/>
    <m/>
    <m/>
    <x v="0"/>
    <n v="26"/>
    <s v=""/>
    <s v=""/>
    <s v="No Aplica"/>
    <n v="0"/>
    <n v="0"/>
    <n v="0"/>
    <n v="0"/>
    <n v="3"/>
    <n v="222025"/>
    <n v="0"/>
    <m/>
  </r>
  <r>
    <n v="3"/>
    <x v="14"/>
    <x v="1"/>
    <s v="Marzo"/>
    <s v="ANAMSAPV"/>
    <x v="37"/>
    <x v="7"/>
    <n v="113634"/>
    <n v="0"/>
    <n v="113634"/>
    <n v="0"/>
    <m/>
    <m/>
    <x v="0"/>
    <n v="26"/>
    <s v=""/>
    <s v=""/>
    <s v="No Aplica"/>
    <n v="0"/>
    <n v="0"/>
    <n v="0"/>
    <n v="0"/>
    <n v="2"/>
    <n v="113634"/>
    <n v="0"/>
    <m/>
  </r>
  <r>
    <n v="3"/>
    <x v="14"/>
    <x v="1"/>
    <s v="Marzo"/>
    <s v="CLAUPACO"/>
    <x v="37"/>
    <x v="7"/>
    <n v="786716"/>
    <n v="0"/>
    <n v="0"/>
    <n v="786716"/>
    <m/>
    <m/>
    <x v="0"/>
    <n v="26"/>
    <s v=""/>
    <s v=""/>
    <s v="No Aplica"/>
    <n v="3"/>
    <n v="235215"/>
    <n v="6"/>
    <n v="367700"/>
    <n v="0"/>
    <n v="0"/>
    <n v="183801"/>
    <m/>
  </r>
  <r>
    <n v="3"/>
    <x v="14"/>
    <x v="1"/>
    <s v="Marzo"/>
    <s v="ANLLLIZO"/>
    <x v="37"/>
    <x v="7"/>
    <n v="0"/>
    <n v="0"/>
    <n v="0"/>
    <n v="0"/>
    <m/>
    <m/>
    <x v="0"/>
    <n v="26"/>
    <s v=""/>
    <s v=""/>
    <s v="No Aplica"/>
    <n v="0"/>
    <n v="0"/>
    <n v="0"/>
    <n v="0"/>
    <n v="0"/>
    <n v="0"/>
    <n v="0"/>
    <m/>
  </r>
  <r>
    <n v="3"/>
    <x v="14"/>
    <x v="1"/>
    <s v="Marzo"/>
    <s v="LAURECFE"/>
    <x v="37"/>
    <x v="7"/>
    <n v="102046"/>
    <n v="0"/>
    <n v="0"/>
    <n v="102046"/>
    <m/>
    <m/>
    <x v="0"/>
    <n v="26"/>
    <s v=""/>
    <s v=""/>
    <s v="No Aplica"/>
    <n v="1"/>
    <n v="94526"/>
    <n v="2"/>
    <n v="7520"/>
    <n v="0"/>
    <n v="0"/>
    <n v="0"/>
    <m/>
  </r>
  <r>
    <n v="3"/>
    <x v="14"/>
    <x v="1"/>
    <s v="Marzo"/>
    <s v="KATHVABE"/>
    <x v="37"/>
    <x v="7"/>
    <n v="279497"/>
    <n v="0"/>
    <n v="0"/>
    <n v="279497"/>
    <m/>
    <m/>
    <x v="0"/>
    <n v="26"/>
    <s v=""/>
    <s v=""/>
    <s v="No Aplica"/>
    <n v="1"/>
    <n v="131677"/>
    <n v="2"/>
    <n v="147820"/>
    <n v="0"/>
    <n v="0"/>
    <n v="0"/>
    <m/>
  </r>
  <r>
    <n v="3"/>
    <x v="14"/>
    <x v="1"/>
    <s v="Marzo"/>
    <s v="(en blanco)"/>
    <x v="37"/>
    <x v="7"/>
    <n v="-166500"/>
    <n v="0"/>
    <n v="0"/>
    <n v="-166500"/>
    <m/>
    <m/>
    <x v="0"/>
    <n v="26"/>
    <s v=""/>
    <s v=""/>
    <s v="No Aplica"/>
    <n v="2"/>
    <n v="0"/>
    <n v="4"/>
    <n v="0"/>
    <n v="0"/>
    <n v="0"/>
    <n v="-166500"/>
    <m/>
  </r>
  <r>
    <n v="4"/>
    <x v="15"/>
    <x v="1"/>
    <s v="Abril"/>
    <s v="ADRIMOLU"/>
    <x v="1"/>
    <x v="1"/>
    <n v="7400690"/>
    <n v="0"/>
    <n v="2741822"/>
    <n v="4658868"/>
    <n v="14260869.565217391"/>
    <n v="0.32668891463414634"/>
    <x v="1"/>
    <n v="23"/>
    <s v="IPS Pto De Vista Molinos"/>
    <s v="Antioquia"/>
    <s v="Cumple"/>
    <n v="15"/>
    <n v="1065364"/>
    <n v="34"/>
    <n v="2841594"/>
    <n v="31"/>
    <n v="2741822"/>
    <n v="751910"/>
    <m/>
  </r>
  <r>
    <n v="4"/>
    <x v="15"/>
    <x v="1"/>
    <s v="Abril"/>
    <s v="ALEXLOGR"/>
    <x v="2"/>
    <x v="2"/>
    <n v="49627094"/>
    <n v="396000"/>
    <n v="12002936"/>
    <n v="37228158"/>
    <n v="29000000"/>
    <n v="1.2837295862068965"/>
    <x v="1"/>
    <n v="23"/>
    <s v="IPS Punto de Vista Bello"/>
    <s v="Antioquia"/>
    <s v="Fluctúa"/>
    <n v="99"/>
    <n v="7431908"/>
    <n v="252"/>
    <n v="25118996"/>
    <n v="144"/>
    <n v="12002936"/>
    <n v="5073254"/>
    <m/>
  </r>
  <r>
    <n v="4"/>
    <x v="15"/>
    <x v="1"/>
    <s v="Abril"/>
    <s v="ALVAOSOS"/>
    <x v="36"/>
    <x v="37"/>
    <n v="42725307"/>
    <n v="414000"/>
    <n v="7857117"/>
    <n v="34454190"/>
    <n v="30100000"/>
    <n v="1.1446574750830565"/>
    <x v="1"/>
    <n v="23"/>
    <s v="IPS Pto De Vista Punto Clave"/>
    <s v="Antioquia"/>
    <s v="Siempre Cumple"/>
    <n v="66"/>
    <n v="6143082"/>
    <n v="168"/>
    <n v="22501142"/>
    <n v="98"/>
    <n v="7857117"/>
    <n v="6223966"/>
    <m/>
  </r>
  <r>
    <n v="4"/>
    <x v="15"/>
    <x v="1"/>
    <s v="Abril"/>
    <s v="ANAMLOBE"/>
    <x v="3"/>
    <x v="3"/>
    <n v="70425234"/>
    <n v="936000"/>
    <n v="11927397"/>
    <n v="57561837"/>
    <n v="43000000"/>
    <n v="1.3386473720930232"/>
    <x v="1"/>
    <n v="23"/>
    <s v="IPS Pto De Vista Unicentro"/>
    <s v="Antioquia"/>
    <s v="Siempre Cumple"/>
    <n v="123"/>
    <n v="12070375"/>
    <n v="286"/>
    <n v="41386425"/>
    <n v="130"/>
    <n v="11927397"/>
    <n v="5041037"/>
    <m/>
  </r>
  <r>
    <n v="4"/>
    <x v="15"/>
    <x v="1"/>
    <s v="Abril"/>
    <s v="ANGEGAAR"/>
    <x v="4"/>
    <x v="4"/>
    <n v="57833459"/>
    <n v="872000"/>
    <n v="13017941"/>
    <n v="43943518"/>
    <n v="43000000"/>
    <n v="1.0219422790697674"/>
    <x v="1"/>
    <n v="23"/>
    <s v="IPS Pto De Vista San Diego"/>
    <s v="Antioquia"/>
    <s v="Fluctúa"/>
    <n v="119"/>
    <n v="11647486"/>
    <n v="266"/>
    <n v="25858332"/>
    <n v="144"/>
    <n v="13017941"/>
    <n v="7309700"/>
    <m/>
  </r>
  <r>
    <n v="4"/>
    <x v="15"/>
    <x v="1"/>
    <s v="Abril"/>
    <s v="BIBIBECA"/>
    <x v="6"/>
    <x v="6"/>
    <n v="57117995"/>
    <n v="640000"/>
    <n v="13179324"/>
    <n v="43298671"/>
    <n v="41000000"/>
    <n v="1.0560651463414634"/>
    <x v="1"/>
    <n v="23"/>
    <s v="IPS Pto De Vista Centro"/>
    <s v="Antioquia"/>
    <s v="Fluctúa"/>
    <n v="117"/>
    <n v="9619342"/>
    <n v="270"/>
    <n v="27256827"/>
    <n v="148"/>
    <n v="13179324"/>
    <n v="7062502"/>
    <m/>
  </r>
  <r>
    <n v="4"/>
    <x v="15"/>
    <x v="1"/>
    <s v="Abril"/>
    <s v="CAROVABE"/>
    <x v="8"/>
    <x v="32"/>
    <n v="42307224"/>
    <n v="304000"/>
    <n v="8082994"/>
    <n v="33920230"/>
    <n v="41000000"/>
    <n v="0.82732268292682931"/>
    <x v="0"/>
    <n v="23"/>
    <s v=""/>
    <s v=""/>
    <s v="No Aplica"/>
    <n v="84"/>
    <n v="6855557"/>
    <n v="209"/>
    <n v="22935210"/>
    <n v="88"/>
    <n v="8082994"/>
    <n v="4433463"/>
    <m/>
  </r>
  <r>
    <n v="4"/>
    <x v="15"/>
    <x v="1"/>
    <s v="Abril"/>
    <s v="CLAUBLAR"/>
    <x v="9"/>
    <x v="8"/>
    <n v="55727710"/>
    <n v="285400"/>
    <n v="13105003"/>
    <n v="42337307"/>
    <n v="41000000"/>
    <n v="1.032617243902439"/>
    <x v="1"/>
    <n v="23"/>
    <s v="IPS Pto De Vista Centro"/>
    <s v="Antioquia"/>
    <s v="Fluctúa"/>
    <n v="90"/>
    <n v="8486961"/>
    <n v="220"/>
    <n v="26312342"/>
    <n v="139"/>
    <n v="13105003"/>
    <n v="7823404"/>
    <m/>
  </r>
  <r>
    <n v="4"/>
    <x v="15"/>
    <x v="1"/>
    <s v="Abril"/>
    <s v="DERLARMO"/>
    <x v="11"/>
    <x v="10"/>
    <n v="28884239"/>
    <n v="1306000"/>
    <n v="6752059"/>
    <n v="20826180"/>
    <n v="20000000"/>
    <n v="1.041309"/>
    <x v="1"/>
    <n v="23"/>
    <s v="IPS Pto De Vista Olaya"/>
    <s v="Centro"/>
    <s v="Cumple"/>
    <n v="73"/>
    <n v="4167352"/>
    <n v="174"/>
    <n v="13634173"/>
    <n v="96"/>
    <n v="6752059"/>
    <n v="4330655"/>
    <m/>
  </r>
  <r>
    <n v="4"/>
    <x v="15"/>
    <x v="1"/>
    <s v="Abril"/>
    <s v="DIANQUME"/>
    <x v="14"/>
    <x v="12"/>
    <n v="33026870"/>
    <n v="2014800"/>
    <n v="10707704"/>
    <n v="20304366"/>
    <n v="43000000"/>
    <n v="0.47219455813953487"/>
    <x v="1"/>
    <n v="23"/>
    <s v="IPS Pto De Vista Molinos"/>
    <s v="Antioquia"/>
    <s v="Cumple"/>
    <n v="30"/>
    <n v="3824270"/>
    <n v="121"/>
    <n v="13605104"/>
    <n v="121"/>
    <n v="10707704"/>
    <n v="4889792"/>
    <m/>
  </r>
  <r>
    <n v="4"/>
    <x v="15"/>
    <x v="1"/>
    <s v="Abril"/>
    <s v="DIANPAAL"/>
    <x v="12"/>
    <x v="11"/>
    <n v="33856469"/>
    <n v="1524800"/>
    <n v="6931260"/>
    <n v="25400409"/>
    <n v="33000000"/>
    <n v="0.76970936363636366"/>
    <x v="1"/>
    <n v="23"/>
    <s v="IPS Pto De Vista Rionegro"/>
    <s v="Antioquia"/>
    <s v="Cumple"/>
    <n v="70"/>
    <n v="6945676"/>
    <n v="170"/>
    <n v="15792527"/>
    <n v="87"/>
    <n v="6931260"/>
    <n v="4187006"/>
    <m/>
  </r>
  <r>
    <n v="4"/>
    <x v="15"/>
    <x v="1"/>
    <s v="Abril"/>
    <s v="DIANPOPA"/>
    <x v="13"/>
    <x v="33"/>
    <n v="26814354"/>
    <n v="0"/>
    <n v="9292415"/>
    <n v="17521939"/>
    <n v="30000000"/>
    <n v="0.58406463333333336"/>
    <x v="0"/>
    <n v="23"/>
    <s v=""/>
    <s v=""/>
    <s v="No Aplica"/>
    <n v="55"/>
    <n v="4434557"/>
    <n v="214"/>
    <n v="11240456"/>
    <n v="114"/>
    <n v="9292415"/>
    <n v="1846926"/>
    <m/>
  </r>
  <r>
    <n v="4"/>
    <x v="15"/>
    <x v="1"/>
    <s v="Abril"/>
    <s v="ELIZVESU"/>
    <x v="15"/>
    <x v="13"/>
    <n v="53615146"/>
    <n v="762000"/>
    <n v="10549665"/>
    <n v="42303481"/>
    <n v="41130434.782608695"/>
    <n v="1.0285201511627906"/>
    <x v="1"/>
    <n v="23"/>
    <s v="IPS Pto De Vista Unicentro"/>
    <s v="Antioquia"/>
    <s v="Fluctúa"/>
    <n v="89"/>
    <n v="10195025"/>
    <n v="232"/>
    <n v="26413279"/>
    <n v="116"/>
    <n v="10549665"/>
    <n v="6457177"/>
    <m/>
  </r>
  <r>
    <n v="4"/>
    <x v="15"/>
    <x v="1"/>
    <s v="Abril"/>
    <s v="LILACARA"/>
    <x v="19"/>
    <x v="17"/>
    <n v="61551230"/>
    <n v="2867400"/>
    <n v="12617440"/>
    <n v="46066390"/>
    <n v="43000000"/>
    <n v="1.0713113953488371"/>
    <x v="1"/>
    <n v="23"/>
    <s v="IPS Pto De Vista Molinos"/>
    <s v="Antioquia"/>
    <s v="Cumple"/>
    <n v="101"/>
    <n v="10632433"/>
    <n v="269"/>
    <n v="27069090"/>
    <n v="126"/>
    <n v="12617440"/>
    <n v="11232267"/>
    <m/>
  </r>
  <r>
    <n v="4"/>
    <x v="15"/>
    <x v="1"/>
    <s v="Abril"/>
    <s v="ISABMOGO"/>
    <x v="17"/>
    <x v="15"/>
    <n v="34906218"/>
    <n v="2019000"/>
    <n v="6367677"/>
    <n v="26519541"/>
    <n v="22000000"/>
    <n v="1.2054336818181819"/>
    <x v="1"/>
    <n v="23"/>
    <s v="IPS Pto De Vista Santa Bárbara"/>
    <s v="Centro"/>
    <s v="No Cumple"/>
    <n v="75"/>
    <n v="7100177"/>
    <n v="186"/>
    <n v="15733420"/>
    <n v="91"/>
    <n v="6367677"/>
    <n v="5704944"/>
    <m/>
  </r>
  <r>
    <n v="4"/>
    <x v="15"/>
    <x v="1"/>
    <s v="Abril"/>
    <s v="JAQUVEGU"/>
    <x v="18"/>
    <x v="16"/>
    <n v="32886751"/>
    <n v="3274800"/>
    <n v="7308806"/>
    <n v="22303145"/>
    <n v="33000000"/>
    <n v="0.67585287878787881"/>
    <x v="0"/>
    <n v="23"/>
    <s v="IPS Pto De Vista Rionegro"/>
    <s v="Antioquia"/>
    <s v="No Aplica"/>
    <n v="64"/>
    <n v="6033032"/>
    <n v="159"/>
    <n v="13095835"/>
    <n v="92"/>
    <n v="7308806"/>
    <n v="6449078"/>
    <m/>
  </r>
  <r>
    <n v="4"/>
    <x v="15"/>
    <x v="1"/>
    <s v="Abril"/>
    <s v="LEIDGOVI"/>
    <x v="39"/>
    <x v="39"/>
    <n v="42438963"/>
    <n v="440000"/>
    <n v="7903876"/>
    <n v="34095087"/>
    <n v="30100000"/>
    <n v="1.1327271428571428"/>
    <x v="1"/>
    <n v="23"/>
    <s v="IPS Pto De Vista Punto Clave"/>
    <s v="Antioquia"/>
    <s v="Fluctúa"/>
    <n v="76"/>
    <n v="7622061"/>
    <n v="170"/>
    <n v="19482304"/>
    <n v="85"/>
    <n v="7903876"/>
    <n v="7430722"/>
    <m/>
  </r>
  <r>
    <n v="4"/>
    <x v="15"/>
    <x v="1"/>
    <s v="Abril"/>
    <s v="LUZNHEGO"/>
    <x v="21"/>
    <x v="19"/>
    <n v="31632703"/>
    <n v="198000"/>
    <n v="935715"/>
    <n v="30498988"/>
    <n v="25000000"/>
    <n v="1.21995952"/>
    <x v="1"/>
    <n v="23"/>
    <s v="IPS Punto de Vista Mayorca"/>
    <s v="Antioquia"/>
    <s v="Siempre Cumple"/>
    <n v="62"/>
    <n v="7830489"/>
    <n v="175"/>
    <n v="19814605"/>
    <n v="9"/>
    <n v="935715"/>
    <n v="3051894"/>
    <m/>
  </r>
  <r>
    <n v="4"/>
    <x v="15"/>
    <x v="1"/>
    <s v="Abril"/>
    <s v="MARGGAPA"/>
    <x v="22"/>
    <x v="20"/>
    <n v="56381404"/>
    <n v="860000"/>
    <n v="14280440"/>
    <n v="41240964"/>
    <n v="39217391.304347828"/>
    <n v="1.0515988603104212"/>
    <x v="1"/>
    <n v="23"/>
    <s v="IPS Pto De Vista Centro"/>
    <s v="Antioquia"/>
    <s v="Fluctúa"/>
    <n v="113"/>
    <n v="11289983"/>
    <n v="248"/>
    <n v="23488599"/>
    <n v="154"/>
    <n v="14280440"/>
    <n v="7322382"/>
    <m/>
  </r>
  <r>
    <n v="4"/>
    <x v="15"/>
    <x v="1"/>
    <s v="Abril"/>
    <s v="MARIMASA"/>
    <x v="23"/>
    <x v="34"/>
    <n v="39066990"/>
    <n v="1120000"/>
    <n v="6330655"/>
    <n v="31616335"/>
    <n v="30100000"/>
    <n v="1.0503765780730896"/>
    <x v="1"/>
    <n v="23"/>
    <s v="IPS Pto De Vista San Diego"/>
    <s v="Antioquia"/>
    <s v="Siempre Cumple"/>
    <n v="62"/>
    <n v="6246765"/>
    <n v="126"/>
    <n v="20822649"/>
    <n v="65"/>
    <n v="6330655"/>
    <n v="5666921"/>
    <m/>
  </r>
  <r>
    <n v="4"/>
    <x v="15"/>
    <x v="1"/>
    <s v="Abril"/>
    <s v="MARIOCOC"/>
    <x v="24"/>
    <x v="21"/>
    <n v="42511776"/>
    <n v="334800"/>
    <n v="7432502"/>
    <n v="34744474"/>
    <n v="33000000"/>
    <n v="1.0528628484848486"/>
    <x v="1"/>
    <n v="23"/>
    <s v="IPS Pto De Vista Rionegro"/>
    <s v="Antioquia"/>
    <s v="Cumple"/>
    <n v="87"/>
    <n v="8336647"/>
    <n v="206"/>
    <n v="23285268"/>
    <n v="93"/>
    <n v="7432502"/>
    <n v="3457359"/>
    <m/>
  </r>
  <r>
    <n v="4"/>
    <x v="15"/>
    <x v="1"/>
    <s v="Abril"/>
    <s v="MARISEAR"/>
    <x v="25"/>
    <x v="22"/>
    <n v="9371836"/>
    <n v="210000"/>
    <n v="3289180"/>
    <n v="5872656"/>
    <n v="9347826.0869565215"/>
    <n v="0.62823761860465122"/>
    <x v="0"/>
    <n v="23"/>
    <s v=""/>
    <s v=""/>
    <s v="No Aplica"/>
    <n v="15"/>
    <n v="974031"/>
    <n v="36"/>
    <n v="3558340"/>
    <n v="42"/>
    <n v="3289180"/>
    <n v="1550285"/>
    <m/>
  </r>
  <r>
    <n v="4"/>
    <x v="15"/>
    <x v="1"/>
    <s v="Abril"/>
    <s v="NATAPIDU"/>
    <x v="28"/>
    <x v="25"/>
    <n v="41097230"/>
    <n v="0"/>
    <n v="3493229"/>
    <n v="37604001"/>
    <n v="36000000"/>
    <n v="1.0445555833333333"/>
    <x v="1"/>
    <n v="23"/>
    <s v="IPS Pto De Vista Industriales"/>
    <s v="Antioquia"/>
    <s v="Cumple"/>
    <n v="50"/>
    <n v="9246306"/>
    <n v="124"/>
    <n v="21551706"/>
    <n v="44"/>
    <n v="3493229"/>
    <n v="6805989"/>
    <m/>
  </r>
  <r>
    <n v="4"/>
    <x v="15"/>
    <x v="1"/>
    <s v="Abril"/>
    <s v="PAULGOBA"/>
    <x v="35"/>
    <x v="36"/>
    <n v="62437572"/>
    <n v="725400"/>
    <n v="5009194"/>
    <n v="56702978"/>
    <n v="42086956.521739125"/>
    <n v="1.347281502066116"/>
    <x v="1"/>
    <n v="23"/>
    <s v="Ferias Empresariales Antioquia"/>
    <s v="Antioquia"/>
    <s v="Fluctúa"/>
    <n v="71"/>
    <n v="6872908"/>
    <n v="162"/>
    <n v="42684314"/>
    <n v="52"/>
    <n v="5009194"/>
    <n v="7871156"/>
    <m/>
  </r>
  <r>
    <n v="4"/>
    <x v="15"/>
    <x v="1"/>
    <s v="Abril"/>
    <s v="RAULMOGA"/>
    <x v="30"/>
    <x v="27"/>
    <n v="29106841"/>
    <n v="0"/>
    <n v="7317088"/>
    <n v="21789753"/>
    <n v="20000000"/>
    <n v="1.0894876499999999"/>
    <x v="0"/>
    <n v="23"/>
    <s v="IPS Pto De Vista Olaya"/>
    <s v="Centro"/>
    <s v="No Aplica"/>
    <n v="76"/>
    <n v="4372695"/>
    <n v="204"/>
    <n v="15429427"/>
    <n v="106"/>
    <n v="7317088"/>
    <n v="1987631"/>
    <m/>
  </r>
  <r>
    <n v="4"/>
    <x v="15"/>
    <x v="1"/>
    <s v="Abril"/>
    <s v="ROCIFASA"/>
    <x v="31"/>
    <x v="28"/>
    <n v="32766045"/>
    <n v="1081800"/>
    <n v="4718601"/>
    <n v="26965644"/>
    <n v="25000000"/>
    <n v="1.07862576"/>
    <x v="1"/>
    <n v="23"/>
    <s v="Optica Salud Sura Chipichape"/>
    <s v="Occidente"/>
    <s v="Cumple"/>
    <n v="57"/>
    <n v="6976150"/>
    <n v="160"/>
    <n v="17637782"/>
    <n v="56"/>
    <n v="4718601"/>
    <n v="3433512"/>
    <m/>
  </r>
  <r>
    <n v="4"/>
    <x v="15"/>
    <x v="1"/>
    <s v="Abril"/>
    <s v="VIVIVAZA"/>
    <x v="33"/>
    <x v="30"/>
    <n v="75260268"/>
    <n v="738000"/>
    <n v="15013598"/>
    <n v="59508670"/>
    <n v="43000000"/>
    <n v="1.3839225581395349"/>
    <x v="1"/>
    <n v="23"/>
    <s v="IPS Pto De Vista Unicentro"/>
    <s v="Antioquia"/>
    <s v="Cumple"/>
    <n v="139"/>
    <n v="12371150"/>
    <n v="299"/>
    <n v="41233731"/>
    <n v="168"/>
    <n v="15013598"/>
    <n v="6641789"/>
    <m/>
  </r>
  <r>
    <n v="4"/>
    <x v="15"/>
    <x v="1"/>
    <s v="Abril"/>
    <s v="ZULYARGA"/>
    <x v="34"/>
    <x v="31"/>
    <n v="56264329"/>
    <n v="3328800"/>
    <n v="10755212"/>
    <n v="42180317"/>
    <n v="43000000"/>
    <n v="0.98093760465116275"/>
    <x v="1"/>
    <n v="23"/>
    <s v="IPS Pto De Vista Molinos"/>
    <s v="Antioquia"/>
    <n v="0"/>
    <n v="93"/>
    <n v="8307873"/>
    <n v="244"/>
    <n v="28962120"/>
    <n v="123"/>
    <n v="10755212"/>
    <n v="8239124"/>
    <m/>
  </r>
  <r>
    <n v="4"/>
    <x v="15"/>
    <x v="1"/>
    <s v="Abril"/>
    <s v="GENNHEPO"/>
    <x v="16"/>
    <x v="14"/>
    <n v="44585588"/>
    <n v="1405400"/>
    <n v="10810959"/>
    <n v="32369229"/>
    <n v="28043478.260869566"/>
    <n v="1.1542515767441861"/>
    <x v="1"/>
    <n v="23"/>
    <s v="IPS Pto De Vista Punto Clave"/>
    <s v="Antioquia"/>
    <s v="Fluctúa"/>
    <n v="85"/>
    <n v="6445005"/>
    <n v="230"/>
    <n v="19839117"/>
    <n v="116"/>
    <n v="10810959"/>
    <n v="7490507"/>
    <m/>
  </r>
  <r>
    <n v="4"/>
    <x v="15"/>
    <x v="1"/>
    <s v="Abril"/>
    <s v="ANDRSAZA"/>
    <x v="45"/>
    <x v="45"/>
    <n v="39892994"/>
    <n v="2404000"/>
    <n v="7101911"/>
    <n v="30387083"/>
    <n v="22000000"/>
    <n v="1.3812310454545456"/>
    <x v="1"/>
    <n v="23"/>
    <s v="IPS Pto De Vista Santa Bárbara"/>
    <s v="Centro"/>
    <s v="Cumple"/>
    <n v="78"/>
    <n v="6734506"/>
    <n v="187"/>
    <n v="21858647"/>
    <n v="108"/>
    <n v="7101911"/>
    <n v="4197930"/>
    <m/>
  </r>
  <r>
    <n v="4"/>
    <x v="15"/>
    <x v="1"/>
    <s v="Abril"/>
    <s v="ERIKSAVA"/>
    <x v="44"/>
    <x v="44"/>
    <n v="35444630"/>
    <n v="832000"/>
    <n v="8119802"/>
    <n v="26492828"/>
    <n v="43000000"/>
    <n v="0.6161122790697674"/>
    <x v="1"/>
    <n v="23"/>
    <s v="IPS Pto De Vista San Diego"/>
    <s v="Antioquia"/>
    <s v="No Cumple"/>
    <n v="70"/>
    <n v="6462744"/>
    <n v="134"/>
    <n v="14252095"/>
    <n v="105"/>
    <n v="8119802"/>
    <n v="6609989"/>
    <m/>
  </r>
  <r>
    <n v="4"/>
    <x v="15"/>
    <x v="1"/>
    <s v="Abril"/>
    <s v="RUBYHIGA"/>
    <x v="42"/>
    <x v="42"/>
    <n v="22037792"/>
    <n v="958800"/>
    <n v="9549346"/>
    <n v="11529646"/>
    <n v="41000000"/>
    <n v="0.28121087804878048"/>
    <x v="0"/>
    <n v="23"/>
    <s v=""/>
    <s v=""/>
    <s v="No Aplica"/>
    <n v="28"/>
    <n v="2163074"/>
    <n v="80"/>
    <n v="7141563"/>
    <n v="111"/>
    <n v="9549346"/>
    <n v="3183809"/>
    <m/>
  </r>
  <r>
    <n v="4"/>
    <x v="15"/>
    <x v="1"/>
    <s v="Abril"/>
    <s v="PAOLPACA"/>
    <x v="47"/>
    <x v="47"/>
    <n v="22595457"/>
    <n v="0"/>
    <n v="7929449"/>
    <n v="14666008"/>
    <n v="30000000"/>
    <n v="0.48886693333333331"/>
    <x v="1"/>
    <n v="23"/>
    <s v="Punto de Vista Tequendama"/>
    <s v="Occidente"/>
    <s v="Siempre Cumple"/>
    <n v="48"/>
    <n v="3831327"/>
    <n v="158"/>
    <n v="8947661"/>
    <n v="107"/>
    <n v="7929449"/>
    <n v="1887020"/>
    <m/>
  </r>
  <r>
    <n v="4"/>
    <x v="15"/>
    <x v="1"/>
    <s v="Abril"/>
    <s v="HISNOSPI"/>
    <x v="49"/>
    <x v="49"/>
    <n v="21221451"/>
    <n v="0"/>
    <n v="3271204"/>
    <n v="17950247"/>
    <n v="18000000"/>
    <n v="0.99723594444444441"/>
    <x v="0"/>
    <n v="23"/>
    <s v="IPS Pto De Vista San Diego"/>
    <s v="Antioquia"/>
    <s v="No Aplica"/>
    <n v="40"/>
    <n v="4292681"/>
    <n v="105"/>
    <n v="10592030"/>
    <n v="41"/>
    <n v="3271204"/>
    <n v="3065536"/>
    <m/>
  </r>
  <r>
    <n v="4"/>
    <x v="15"/>
    <x v="1"/>
    <s v="Abril"/>
    <s v="DEISCACR"/>
    <x v="50"/>
    <x v="50"/>
    <n v="53784295"/>
    <n v="1652700"/>
    <n v="8609541"/>
    <n v="43522054"/>
    <n v="43000000"/>
    <n v="1.0121407906976745"/>
    <x v="1"/>
    <n v="23"/>
    <s v="IPS Pto De Vista Punto Clave"/>
    <s v="Antioquia"/>
    <s v="Fluctúa"/>
    <n v="103"/>
    <n v="10307485"/>
    <n v="219"/>
    <n v="24237376"/>
    <n v="95"/>
    <n v="8609541"/>
    <n v="10629893"/>
    <m/>
  </r>
  <r>
    <n v="4"/>
    <x v="15"/>
    <x v="1"/>
    <s v="Abril"/>
    <s v="YENYSUPE"/>
    <x v="51"/>
    <x v="51"/>
    <n v="56201028"/>
    <n v="1924000"/>
    <n v="10056930"/>
    <n v="44220098"/>
    <n v="43000000"/>
    <n v="1.0283743720930232"/>
    <x v="1"/>
    <n v="23"/>
    <s v="IPS Pto De Vista Punto Clave"/>
    <s v="Antioquia"/>
    <s v="Cumple"/>
    <n v="106"/>
    <n v="8698819"/>
    <n v="258"/>
    <n v="26761934"/>
    <n v="115"/>
    <n v="10056930"/>
    <n v="10683345"/>
    <m/>
  </r>
  <r>
    <n v="4"/>
    <x v="15"/>
    <x v="1"/>
    <s v="Abril"/>
    <s v="ANGEROPI"/>
    <x v="46"/>
    <x v="46"/>
    <n v="38076284"/>
    <n v="1323400"/>
    <n v="9892273"/>
    <n v="26860611"/>
    <n v="41695652.173913047"/>
    <n v="0.64420652033368087"/>
    <x v="0"/>
    <n v="23"/>
    <s v=""/>
    <s v=""/>
    <s v="No Aplica"/>
    <n v="68"/>
    <n v="5877577"/>
    <n v="193"/>
    <n v="17100132"/>
    <n v="112"/>
    <n v="9892273"/>
    <n v="5206302"/>
    <m/>
  </r>
  <r>
    <n v="4"/>
    <x v="15"/>
    <x v="1"/>
    <s v="Abril"/>
    <s v="HERIRORO"/>
    <x v="52"/>
    <x v="52"/>
    <n v="51412692"/>
    <n v="0"/>
    <n v="10279918"/>
    <n v="41132774"/>
    <n v="41000000"/>
    <n v="1.0032383902439024"/>
    <x v="1"/>
    <n v="23"/>
    <s v="IPS Pto De Vista Centro"/>
    <s v="Antioquia"/>
    <s v="Siempre Cumple"/>
    <n v="114"/>
    <n v="8783309"/>
    <n v="258"/>
    <n v="28709887"/>
    <n v="121"/>
    <n v="10279918"/>
    <n v="3639578"/>
    <m/>
  </r>
  <r>
    <n v="4"/>
    <x v="15"/>
    <x v="1"/>
    <s v="Abril"/>
    <s v="CAMIPUHE"/>
    <x v="53"/>
    <x v="53"/>
    <n v="28903344"/>
    <n v="352700"/>
    <n v="5631838"/>
    <n v="22918806"/>
    <n v="22000000"/>
    <n v="1.041763909090909"/>
    <x v="1"/>
    <n v="23"/>
    <s v="IPS Pto De Vista SSura Clle100"/>
    <s v="Centro"/>
    <s v="Cumple"/>
    <n v="46"/>
    <n v="4300774"/>
    <n v="138"/>
    <n v="16124093"/>
    <n v="82"/>
    <n v="5631838"/>
    <n v="2846639"/>
    <m/>
  </r>
  <r>
    <n v="4"/>
    <x v="15"/>
    <x v="1"/>
    <s v="Abril"/>
    <s v="LILIFOVI"/>
    <x v="54"/>
    <x v="54"/>
    <n v="14733510"/>
    <n v="0"/>
    <n v="487920"/>
    <n v="14245590"/>
    <n v="31721000"/>
    <n v="0.44909019261687838"/>
    <x v="0"/>
    <n v="23"/>
    <s v=""/>
    <s v=""/>
    <s v="No Aplica"/>
    <n v="17"/>
    <n v="1601411"/>
    <n v="40"/>
    <n v="4610115"/>
    <n v="7"/>
    <n v="487920"/>
    <n v="8034064"/>
    <m/>
  </r>
  <r>
    <n v="4"/>
    <x v="15"/>
    <x v="1"/>
    <s v="Abril"/>
    <s v="CINDGACU"/>
    <x v="55"/>
    <x v="55"/>
    <n v="36830246"/>
    <n v="744000"/>
    <n v="9886586"/>
    <n v="26199660"/>
    <n v="24965217.391304348"/>
    <n v="1.0494464994775339"/>
    <x v="1"/>
    <n v="23"/>
    <s v="IPS Pto De Vista San Diego"/>
    <s v="Antioquia"/>
    <s v="Siempre Cumple"/>
    <n v="83"/>
    <n v="5411199"/>
    <n v="192"/>
    <n v="19155476"/>
    <n v="117"/>
    <n v="9886586"/>
    <n v="2376985"/>
    <m/>
  </r>
  <r>
    <n v="4"/>
    <x v="15"/>
    <x v="1"/>
    <s v="Abril"/>
    <s v="GISECACM"/>
    <x v="48"/>
    <x v="48"/>
    <n v="23126266"/>
    <n v="0"/>
    <n v="8471618"/>
    <n v="14654648"/>
    <n v="30000000"/>
    <n v="0.48848826666666667"/>
    <x v="0"/>
    <n v="23"/>
    <s v=""/>
    <s v=""/>
    <s v="No Aplica"/>
    <n v="46"/>
    <n v="3555686"/>
    <n v="124"/>
    <n v="6599520"/>
    <n v="93"/>
    <n v="8471618"/>
    <n v="4499442"/>
    <m/>
  </r>
  <r>
    <n v="4"/>
    <x v="15"/>
    <x v="1"/>
    <s v="Abril"/>
    <s v="ANAMSAPV"/>
    <x v="37"/>
    <x v="7"/>
    <n v="0"/>
    <n v="0"/>
    <n v="0"/>
    <n v="0"/>
    <m/>
    <m/>
    <x v="0"/>
    <n v="23"/>
    <s v=""/>
    <s v=""/>
    <s v="No Aplica"/>
    <n v="0"/>
    <n v="0"/>
    <n v="0"/>
    <n v="0"/>
    <n v="0"/>
    <n v="0"/>
    <n v="0"/>
    <m/>
  </r>
  <r>
    <n v="4"/>
    <x v="15"/>
    <x v="1"/>
    <s v="Abril"/>
    <s v="CLAUPACO"/>
    <x v="37"/>
    <x v="7"/>
    <n v="828000"/>
    <n v="0"/>
    <n v="0"/>
    <n v="828000"/>
    <m/>
    <m/>
    <x v="0"/>
    <n v="23"/>
    <s v=""/>
    <s v=""/>
    <s v="No Aplica"/>
    <n v="0"/>
    <n v="0"/>
    <n v="0"/>
    <n v="0"/>
    <n v="0"/>
    <n v="0"/>
    <n v="828000"/>
    <m/>
  </r>
  <r>
    <n v="4"/>
    <x v="15"/>
    <x v="1"/>
    <s v="Abril"/>
    <s v="LUZMARMO"/>
    <x v="37"/>
    <x v="7"/>
    <n v="0"/>
    <n v="0"/>
    <n v="0"/>
    <n v="0"/>
    <m/>
    <m/>
    <x v="0"/>
    <n v="23"/>
    <s v=""/>
    <s v=""/>
    <s v="No Aplica"/>
    <n v="0"/>
    <n v="0"/>
    <n v="0"/>
    <n v="0"/>
    <n v="0"/>
    <n v="0"/>
    <n v="0"/>
    <m/>
  </r>
  <r>
    <n v="4"/>
    <x v="15"/>
    <x v="1"/>
    <s v="Abril"/>
    <s v="SUANHECO"/>
    <x v="37"/>
    <x v="7"/>
    <n v="69764"/>
    <n v="0"/>
    <n v="69764"/>
    <n v="0"/>
    <m/>
    <m/>
    <x v="0"/>
    <n v="23"/>
    <s v=""/>
    <s v=""/>
    <s v="No Aplica"/>
    <n v="0"/>
    <n v="0"/>
    <n v="0"/>
    <n v="0"/>
    <n v="1"/>
    <n v="69764"/>
    <n v="0"/>
    <m/>
  </r>
  <r>
    <n v="4"/>
    <x v="15"/>
    <x v="1"/>
    <s v="Abril"/>
    <s v="MONIMEME"/>
    <x v="37"/>
    <x v="7"/>
    <n v="4728272"/>
    <n v="0"/>
    <n v="2227740"/>
    <n v="2500532"/>
    <m/>
    <m/>
    <x v="0"/>
    <n v="23"/>
    <s v=""/>
    <s v=""/>
    <s v="No Aplica"/>
    <n v="4"/>
    <n v="379073"/>
    <n v="6"/>
    <n v="1063231"/>
    <n v="22"/>
    <n v="2227740"/>
    <n v="1058228"/>
    <m/>
  </r>
  <r>
    <n v="4"/>
    <x v="15"/>
    <x v="1"/>
    <s v="Abril"/>
    <s v="OSCADESU"/>
    <x v="37"/>
    <x v="7"/>
    <n v="0"/>
    <n v="0"/>
    <n v="0"/>
    <n v="0"/>
    <m/>
    <m/>
    <x v="0"/>
    <n v="23"/>
    <s v=""/>
    <s v=""/>
    <s v="No Aplica"/>
    <n v="0"/>
    <n v="0"/>
    <n v="0"/>
    <n v="0"/>
    <n v="0"/>
    <n v="0"/>
    <n v="0"/>
    <m/>
  </r>
  <r>
    <n v="4"/>
    <x v="15"/>
    <x v="1"/>
    <s v="Abril"/>
    <s v="KATHCASG"/>
    <x v="37"/>
    <x v="7"/>
    <n v="0"/>
    <n v="0"/>
    <n v="0"/>
    <n v="0"/>
    <m/>
    <m/>
    <x v="0"/>
    <n v="23"/>
    <s v=""/>
    <s v=""/>
    <s v="No Aplica"/>
    <n v="0"/>
    <n v="0"/>
    <n v="0"/>
    <n v="0"/>
    <n v="0"/>
    <n v="0"/>
    <n v="0"/>
    <m/>
  </r>
  <r>
    <n v="4"/>
    <x v="15"/>
    <x v="1"/>
    <s v="Abril"/>
    <s v="KATHVABE"/>
    <x v="37"/>
    <x v="7"/>
    <n v="276559"/>
    <n v="0"/>
    <n v="0"/>
    <n v="276559"/>
    <m/>
    <m/>
    <x v="0"/>
    <n v="23"/>
    <s v=""/>
    <s v=""/>
    <s v="No Aplica"/>
    <n v="1"/>
    <n v="103319"/>
    <n v="2"/>
    <n v="168440"/>
    <n v="0"/>
    <n v="0"/>
    <n v="4800"/>
    <m/>
  </r>
  <r>
    <n v="4"/>
    <x v="15"/>
    <x v="1"/>
    <s v="Abril"/>
    <s v="MARISOCA"/>
    <x v="37"/>
    <x v="7"/>
    <n v="417500"/>
    <n v="0"/>
    <n v="417500"/>
    <n v="0"/>
    <m/>
    <m/>
    <x v="0"/>
    <n v="23"/>
    <s v=""/>
    <s v=""/>
    <s v="No Aplica"/>
    <n v="0"/>
    <n v="0"/>
    <n v="0"/>
    <n v="0"/>
    <n v="4"/>
    <n v="417500"/>
    <n v="0"/>
    <m/>
  </r>
  <r>
    <n v="4"/>
    <x v="15"/>
    <x v="1"/>
    <s v="Abril"/>
    <s v="CA"/>
    <x v="37"/>
    <x v="7"/>
    <n v="125500"/>
    <n v="0"/>
    <n v="125500"/>
    <n v="0"/>
    <m/>
    <m/>
    <x v="0"/>
    <n v="23"/>
    <s v=""/>
    <s v=""/>
    <s v="No Aplica"/>
    <n v="0"/>
    <n v="0"/>
    <n v="0"/>
    <n v="0"/>
    <n v="1"/>
    <n v="125500"/>
    <n v="0"/>
    <m/>
  </r>
  <r>
    <n v="4"/>
    <x v="15"/>
    <x v="1"/>
    <s v="Abril"/>
    <s v="USERPI"/>
    <x v="37"/>
    <x v="7"/>
    <n v="850070"/>
    <n v="0"/>
    <n v="850070"/>
    <n v="0"/>
    <m/>
    <m/>
    <x v="0"/>
    <n v="23"/>
    <s v=""/>
    <s v=""/>
    <s v="No Aplica"/>
    <n v="0"/>
    <n v="0"/>
    <n v="0"/>
    <n v="0"/>
    <n v="10"/>
    <n v="850070"/>
    <n v="0"/>
    <m/>
  </r>
  <r>
    <n v="5"/>
    <x v="16"/>
    <x v="1"/>
    <s v="Mayo"/>
    <s v="LILIFOVI"/>
    <x v="54"/>
    <x v="54"/>
    <n v="3668017"/>
    <n v="0"/>
    <n v="1578571"/>
    <n v="2089446"/>
    <n v="13544200"/>
    <n v="0.15426869065725601"/>
    <x v="0"/>
    <n v="25"/>
    <s v=""/>
    <s v=""/>
    <s v="No Aplica"/>
    <n v="3"/>
    <n v="107588"/>
    <n v="16"/>
    <n v="1831199"/>
    <n v="16"/>
    <n v="1578571"/>
    <n v="150659"/>
    <m/>
  </r>
  <r>
    <n v="5"/>
    <x v="16"/>
    <x v="1"/>
    <s v="Mayo"/>
    <s v="PAULGOBA"/>
    <x v="35"/>
    <x v="36"/>
    <n v="88570101"/>
    <n v="408000"/>
    <n v="12298794"/>
    <n v="75863307"/>
    <n v="42000000"/>
    <n v="1.8062692142857142"/>
    <x v="1"/>
    <n v="25"/>
    <s v="Ferias Empresariales Antioquia"/>
    <s v="Antioquia"/>
    <s v="Fluctúa"/>
    <n v="81"/>
    <n v="8153370"/>
    <n v="184"/>
    <n v="44202470"/>
    <n v="119"/>
    <n v="12298794"/>
    <n v="23915467"/>
    <m/>
  </r>
  <r>
    <n v="5"/>
    <x v="16"/>
    <x v="1"/>
    <s v="Mayo"/>
    <s v="ANGEROPI"/>
    <x v="46"/>
    <x v="46"/>
    <n v="27243766"/>
    <n v="412000"/>
    <n v="8236753"/>
    <n v="18595013"/>
    <n v="41000000"/>
    <n v="0.45353690243902439"/>
    <x v="0"/>
    <n v="25"/>
    <s v=""/>
    <s v=""/>
    <s v="No Aplica"/>
    <n v="51"/>
    <n v="3998390"/>
    <n v="143"/>
    <n v="12127181"/>
    <n v="95"/>
    <n v="8236753"/>
    <n v="2881442"/>
    <m/>
  </r>
  <r>
    <n v="5"/>
    <x v="16"/>
    <x v="1"/>
    <s v="Mayo"/>
    <s v="BIBIBECA"/>
    <x v="6"/>
    <x v="6"/>
    <n v="58971433"/>
    <n v="1674000"/>
    <n v="13479237"/>
    <n v="43818196"/>
    <n v="41000000"/>
    <n v="1.068736487804878"/>
    <x v="1"/>
    <n v="25"/>
    <s v="IPS Pto De Vista Centro"/>
    <s v="Antioquia"/>
    <s v="Fluctúa"/>
    <n v="93"/>
    <n v="7946456"/>
    <n v="263"/>
    <n v="31100642"/>
    <n v="147"/>
    <n v="13479237"/>
    <n v="6445098"/>
    <m/>
  </r>
  <r>
    <n v="5"/>
    <x v="16"/>
    <x v="1"/>
    <s v="Mayo"/>
    <s v="CAROVABE"/>
    <x v="8"/>
    <x v="32"/>
    <n v="51155402"/>
    <n v="1891000"/>
    <n v="12708497"/>
    <n v="36555905"/>
    <n v="41000000"/>
    <n v="0.89160743902439021"/>
    <x v="0"/>
    <n v="25"/>
    <s v=""/>
    <s v=""/>
    <s v="No Aplica"/>
    <n v="95"/>
    <n v="7967378"/>
    <n v="224"/>
    <n v="22611711"/>
    <n v="144"/>
    <n v="12708497"/>
    <n v="7867816"/>
    <m/>
  </r>
  <r>
    <n v="5"/>
    <x v="16"/>
    <x v="1"/>
    <s v="Mayo"/>
    <s v="CLAUBLAR"/>
    <x v="9"/>
    <x v="8"/>
    <n v="62717121"/>
    <n v="304000"/>
    <n v="13755920"/>
    <n v="48657201"/>
    <n v="41000000"/>
    <n v="1.186761"/>
    <x v="1"/>
    <n v="25"/>
    <s v="IPS Pto De Vista Centro"/>
    <s v="Antioquia"/>
    <s v="Fluctúa"/>
    <n v="98"/>
    <n v="9925064"/>
    <n v="248"/>
    <n v="32063930"/>
    <n v="157"/>
    <n v="13755920"/>
    <n v="6972207"/>
    <m/>
  </r>
  <r>
    <n v="5"/>
    <x v="16"/>
    <x v="1"/>
    <s v="Mayo"/>
    <s v="HERIRORO"/>
    <x v="52"/>
    <x v="52"/>
    <n v="55976916"/>
    <n v="992800"/>
    <n v="11480244"/>
    <n v="43503872"/>
    <n v="41000000"/>
    <n v="1.0610700487804878"/>
    <x v="1"/>
    <n v="25"/>
    <s v="IPS Pto De Vista Centro"/>
    <s v="Antioquia"/>
    <s v="Siempre Cumple"/>
    <n v="122"/>
    <n v="10209768"/>
    <n v="280"/>
    <n v="28029322"/>
    <n v="118"/>
    <n v="11480244"/>
    <n v="6257582"/>
    <m/>
  </r>
  <r>
    <n v="5"/>
    <x v="16"/>
    <x v="1"/>
    <s v="Mayo"/>
    <s v="MARGGAPA"/>
    <x v="22"/>
    <x v="20"/>
    <n v="62552566"/>
    <n v="824000"/>
    <n v="14888622"/>
    <n v="46839944"/>
    <n v="41000000"/>
    <n v="1.1424376585365854"/>
    <x v="1"/>
    <n v="25"/>
    <s v="IPS Pto De Vista Centro"/>
    <s v="Antioquia"/>
    <s v="Fluctúa"/>
    <n v="112"/>
    <n v="11752298"/>
    <n v="260"/>
    <n v="29104686"/>
    <n v="176"/>
    <n v="14888622"/>
    <n v="6806960"/>
    <m/>
  </r>
  <r>
    <n v="5"/>
    <x v="16"/>
    <x v="1"/>
    <s v="Mayo"/>
    <s v="RUBYHIGA"/>
    <x v="42"/>
    <x v="42"/>
    <n v="6697457"/>
    <n v="412000"/>
    <n v="864774"/>
    <n v="5420683"/>
    <n v="8200000"/>
    <n v="0.66105890243902443"/>
    <x v="0"/>
    <n v="25"/>
    <s v=""/>
    <s v=""/>
    <s v="No Aplica"/>
    <n v="17"/>
    <n v="1200035"/>
    <n v="40"/>
    <n v="3126616"/>
    <n v="15"/>
    <n v="864774"/>
    <n v="1506032"/>
    <m/>
  </r>
  <r>
    <n v="5"/>
    <x v="16"/>
    <x v="1"/>
    <s v="Mayo"/>
    <s v="ANGEGAAR"/>
    <x v="4"/>
    <x v="4"/>
    <n v="34228064"/>
    <n v="1136400"/>
    <n v="6610781"/>
    <n v="26480883"/>
    <n v="18000000"/>
    <n v="1.4711601666666667"/>
    <x v="1"/>
    <n v="25"/>
    <s v="IPS Pto De Vista San Diego"/>
    <s v="Antioquia"/>
    <s v="Fluctúa"/>
    <n v="47"/>
    <n v="6345610"/>
    <n v="122"/>
    <n v="18372791"/>
    <n v="73"/>
    <n v="6610781"/>
    <n v="2898882"/>
    <m/>
  </r>
  <r>
    <n v="5"/>
    <x v="16"/>
    <x v="1"/>
    <s v="Mayo"/>
    <s v="NATAPIDU"/>
    <x v="28"/>
    <x v="25"/>
    <n v="43819408"/>
    <n v="0"/>
    <n v="5034885"/>
    <n v="38784523"/>
    <n v="36000000"/>
    <n v="1.0773478611111111"/>
    <x v="1"/>
    <n v="25"/>
    <s v="IPS Pto De Vista Industriales"/>
    <s v="Antioquia"/>
    <s v="Cumple"/>
    <n v="45"/>
    <n v="8088460"/>
    <n v="133"/>
    <n v="26584580"/>
    <n v="55"/>
    <n v="5034885"/>
    <n v="4111483"/>
    <m/>
  </r>
  <r>
    <n v="5"/>
    <x v="16"/>
    <x v="1"/>
    <s v="Mayo"/>
    <s v="ELIZVESU"/>
    <x v="15"/>
    <x v="13"/>
    <n v="58857561"/>
    <n v="285400"/>
    <n v="14286319"/>
    <n v="44285842"/>
    <n v="43000000"/>
    <n v="1.0299033023255815"/>
    <x v="1"/>
    <n v="25"/>
    <s v="IPS Pto De Vista Unicentro"/>
    <s v="Antioquia"/>
    <s v="Fluctúa"/>
    <n v="87"/>
    <n v="10969268"/>
    <n v="238"/>
    <n v="27709698"/>
    <n v="147"/>
    <n v="14286319"/>
    <n v="5892276"/>
    <m/>
  </r>
  <r>
    <n v="5"/>
    <x v="16"/>
    <x v="1"/>
    <s v="Mayo"/>
    <s v="LILACARA"/>
    <x v="19"/>
    <x v="17"/>
    <n v="66887701"/>
    <n v="602000"/>
    <n v="16752241"/>
    <n v="49533460"/>
    <n v="43000000"/>
    <n v="1.1519409302325581"/>
    <x v="1"/>
    <n v="25"/>
    <s v="IPS Pto De Vista Molinos"/>
    <s v="Antioquia"/>
    <s v="Cumple"/>
    <n v="113"/>
    <n v="14259106"/>
    <n v="299"/>
    <n v="30461378"/>
    <n v="190"/>
    <n v="16752241"/>
    <n v="5414976"/>
    <m/>
  </r>
  <r>
    <n v="5"/>
    <x v="16"/>
    <x v="1"/>
    <s v="Mayo"/>
    <s v="ZULYARGA"/>
    <x v="34"/>
    <x v="31"/>
    <n v="64708305"/>
    <n v="744000"/>
    <n v="18233228"/>
    <n v="45731077"/>
    <n v="43000000"/>
    <n v="1.0635134186046511"/>
    <x v="1"/>
    <n v="25"/>
    <s v="IPS Pto De Vista Molinos"/>
    <s v="Antioquia"/>
    <n v="0"/>
    <n v="103"/>
    <n v="10498946"/>
    <n v="294"/>
    <n v="30801716"/>
    <n v="191"/>
    <n v="18233228"/>
    <n v="5174415"/>
    <m/>
  </r>
  <r>
    <n v="5"/>
    <x v="16"/>
    <x v="1"/>
    <s v="Mayo"/>
    <s v="DERLARMO"/>
    <x v="11"/>
    <x v="10"/>
    <n v="28256476"/>
    <n v="0"/>
    <n v="6694600"/>
    <n v="21561876"/>
    <n v="20000000"/>
    <n v="1.0780938"/>
    <x v="1"/>
    <n v="25"/>
    <s v="IPS Pto De Vista Olaya"/>
    <s v="Centro"/>
    <s v="Cumple"/>
    <n v="80"/>
    <n v="4438288"/>
    <n v="196"/>
    <n v="15764555"/>
    <n v="95"/>
    <n v="6694600"/>
    <n v="1359033"/>
    <m/>
  </r>
  <r>
    <n v="5"/>
    <x v="16"/>
    <x v="1"/>
    <s v="Mayo"/>
    <s v="RAULMOGA"/>
    <x v="30"/>
    <x v="27"/>
    <n v="31033644"/>
    <n v="440000"/>
    <n v="7906872"/>
    <n v="22686772"/>
    <n v="20000000"/>
    <n v="1.1343386"/>
    <x v="0"/>
    <n v="25"/>
    <s v="IPS Pto De Vista Olaya"/>
    <s v="Centro"/>
    <s v="No Aplica"/>
    <n v="95"/>
    <n v="5895803"/>
    <n v="218"/>
    <n v="14741613"/>
    <n v="118"/>
    <n v="7906872"/>
    <n v="2489356"/>
    <m/>
  </r>
  <r>
    <n v="5"/>
    <x v="16"/>
    <x v="1"/>
    <s v="Mayo"/>
    <s v="ADRIMOLU"/>
    <x v="1"/>
    <x v="1"/>
    <n v="55127749"/>
    <n v="2036000"/>
    <n v="13855537"/>
    <n v="39236212"/>
    <n v="35776000"/>
    <n v="1.096718805903399"/>
    <x v="1"/>
    <n v="25"/>
    <s v="IPS Pto De Vista Molinos"/>
    <s v="Antioquia"/>
    <s v="Cumple"/>
    <n v="109"/>
    <n v="9291250"/>
    <n v="248"/>
    <n v="26724587"/>
    <n v="143"/>
    <n v="13855537"/>
    <n v="5256375"/>
    <m/>
  </r>
  <r>
    <n v="5"/>
    <x v="16"/>
    <x v="1"/>
    <s v="Mayo"/>
    <s v="ALVAOSOS"/>
    <x v="36"/>
    <x v="37"/>
    <n v="55683083"/>
    <n v="304000"/>
    <n v="13037094"/>
    <n v="42341989"/>
    <n v="34400000"/>
    <n v="1.2308717732558139"/>
    <x v="1"/>
    <n v="25"/>
    <s v="IPS Pto De Vista Punto Clave"/>
    <s v="Antioquia"/>
    <s v="Siempre Cumple"/>
    <n v="79"/>
    <n v="8781658"/>
    <n v="210"/>
    <n v="27043320"/>
    <n v="140"/>
    <n v="13037094"/>
    <n v="6821011"/>
    <m/>
  </r>
  <r>
    <n v="5"/>
    <x v="16"/>
    <x v="1"/>
    <s v="Mayo"/>
    <s v="DEISCACR"/>
    <x v="50"/>
    <x v="50"/>
    <n v="60634453"/>
    <n v="1766860"/>
    <n v="13129542"/>
    <n v="45738051"/>
    <n v="43000000"/>
    <n v="1.0636756046511628"/>
    <x v="1"/>
    <n v="25"/>
    <s v="IPS Pto De Vista Punto Clave"/>
    <s v="Antioquia"/>
    <s v="Fluctúa"/>
    <n v="99"/>
    <n v="10577757"/>
    <n v="235"/>
    <n v="27490946"/>
    <n v="146"/>
    <n v="13129542"/>
    <n v="9436208"/>
    <m/>
  </r>
  <r>
    <n v="5"/>
    <x v="16"/>
    <x v="1"/>
    <s v="Mayo"/>
    <s v="GENNHEPO"/>
    <x v="16"/>
    <x v="14"/>
    <n v="31318331"/>
    <n v="223000"/>
    <n v="4255069"/>
    <n v="26840262"/>
    <n v="25800000"/>
    <n v="1.0403202325581395"/>
    <x v="1"/>
    <n v="25"/>
    <s v="IPS Pto De Vista Punto Clave"/>
    <s v="Antioquia"/>
    <s v="Fluctúa"/>
    <n v="58"/>
    <n v="5133158"/>
    <n v="168"/>
    <n v="18376677"/>
    <n v="49"/>
    <n v="4255069"/>
    <n v="3553427"/>
    <m/>
  </r>
  <r>
    <n v="5"/>
    <x v="16"/>
    <x v="1"/>
    <s v="Mayo"/>
    <s v="LEIDGOVI"/>
    <x v="39"/>
    <x v="39"/>
    <n v="60533661"/>
    <n v="412000"/>
    <n v="12480373"/>
    <n v="47641288"/>
    <n v="34400000"/>
    <n v="1.3849211627906977"/>
    <x v="1"/>
    <n v="25"/>
    <s v="IPS Pto De Vista Punto Clave"/>
    <s v="Antioquia"/>
    <s v="Fluctúa"/>
    <n v="92"/>
    <n v="11309875"/>
    <n v="250"/>
    <n v="32832422"/>
    <n v="136"/>
    <n v="12480373"/>
    <n v="3910991"/>
    <m/>
  </r>
  <r>
    <n v="5"/>
    <x v="16"/>
    <x v="1"/>
    <s v="Mayo"/>
    <s v="YENYSUPE"/>
    <x v="51"/>
    <x v="51"/>
    <n v="57429441"/>
    <n v="1692400"/>
    <n v="13334661"/>
    <n v="42402380"/>
    <n v="43000000"/>
    <n v="0.98610186046511628"/>
    <x v="1"/>
    <n v="25"/>
    <s v="IPS Pto De Vista Punto Clave"/>
    <s v="Antioquia"/>
    <s v="Cumple"/>
    <n v="88"/>
    <n v="9110324"/>
    <n v="248"/>
    <n v="27791133"/>
    <n v="145"/>
    <n v="13334661"/>
    <n v="7193323"/>
    <m/>
  </r>
  <r>
    <n v="5"/>
    <x v="16"/>
    <x v="1"/>
    <s v="Mayo"/>
    <s v="YURAUSVE"/>
    <x v="56"/>
    <x v="56"/>
    <n v="30432461"/>
    <n v="412000"/>
    <n v="7332282"/>
    <n v="22688179"/>
    <n v="34400000"/>
    <n v="0.65954008720930235"/>
    <x v="1"/>
    <n v="25"/>
    <s v="IPS Pto De Vista Punto Clave"/>
    <s v="Antioquia"/>
    <n v="0"/>
    <n v="50"/>
    <n v="5438243"/>
    <n v="118"/>
    <n v="13605903"/>
    <n v="75"/>
    <n v="7332282"/>
    <n v="4056033"/>
    <m/>
  </r>
  <r>
    <n v="5"/>
    <x v="16"/>
    <x v="1"/>
    <s v="Mayo"/>
    <s v="DIANPAAL"/>
    <x v="12"/>
    <x v="11"/>
    <n v="43677122"/>
    <n v="2709400"/>
    <n v="7004676"/>
    <n v="33963046"/>
    <n v="33000000"/>
    <n v="1.0291832121212121"/>
    <x v="1"/>
    <n v="25"/>
    <s v="IPS Pto De Vista Rionegro"/>
    <s v="Antioquia"/>
    <s v="Cumple"/>
    <n v="74"/>
    <n v="7707622"/>
    <n v="188"/>
    <n v="23983600"/>
    <n v="86"/>
    <n v="7004676"/>
    <n v="4981224"/>
    <m/>
  </r>
  <r>
    <n v="5"/>
    <x v="16"/>
    <x v="1"/>
    <s v="Mayo"/>
    <s v="JAQUVEGU"/>
    <x v="18"/>
    <x v="16"/>
    <n v="44291879"/>
    <n v="3894800"/>
    <n v="7159910"/>
    <n v="33237169"/>
    <n v="33000000"/>
    <n v="1.0071869393939394"/>
    <x v="0"/>
    <n v="25"/>
    <s v="IPS Pto De Vista Rionegro"/>
    <s v="Antioquia"/>
    <s v="No Aplica"/>
    <n v="84"/>
    <n v="8388176"/>
    <n v="200"/>
    <n v="20882641"/>
    <n v="94"/>
    <n v="7159910"/>
    <n v="7861152"/>
    <m/>
  </r>
  <r>
    <n v="5"/>
    <x v="16"/>
    <x v="1"/>
    <s v="Mayo"/>
    <s v="MARIOCOC"/>
    <x v="24"/>
    <x v="21"/>
    <n v="44186637"/>
    <n v="1352000"/>
    <n v="8243795"/>
    <n v="34590842"/>
    <n v="33000000"/>
    <n v="1.0482073333333333"/>
    <x v="1"/>
    <n v="25"/>
    <s v="IPS Pto De Vista Rionegro"/>
    <s v="Antioquia"/>
    <s v="Cumple"/>
    <n v="95"/>
    <n v="8674908"/>
    <n v="209"/>
    <n v="22760329"/>
    <n v="95"/>
    <n v="8243795"/>
    <n v="4507605"/>
    <m/>
  </r>
  <r>
    <n v="5"/>
    <x v="16"/>
    <x v="1"/>
    <s v="Mayo"/>
    <s v="ERIKSAVA"/>
    <x v="44"/>
    <x v="44"/>
    <n v="42506238"/>
    <n v="1968400"/>
    <n v="9005976"/>
    <n v="31531862"/>
    <n v="30100000"/>
    <n v="1.0475701661129568"/>
    <x v="1"/>
    <n v="25"/>
    <s v="IPS Pto De Vista San Diego"/>
    <s v="Antioquia"/>
    <s v="No Cumple"/>
    <n v="75"/>
    <n v="7474900"/>
    <n v="156"/>
    <n v="17896405"/>
    <n v="104"/>
    <n v="9005976"/>
    <n v="8128957"/>
    <m/>
  </r>
  <r>
    <n v="5"/>
    <x v="16"/>
    <x v="1"/>
    <s v="Mayo"/>
    <s v="HISNOSPI"/>
    <x v="49"/>
    <x v="49"/>
    <n v="41599337"/>
    <n v="440000"/>
    <n v="10956907"/>
    <n v="30202430"/>
    <n v="24080000"/>
    <n v="1.2542537375415281"/>
    <x v="0"/>
    <n v="25"/>
    <s v="IPS Pto De Vista San Diego"/>
    <s v="Antioquia"/>
    <s v="No Aplica"/>
    <n v="74"/>
    <n v="6714226"/>
    <n v="200"/>
    <n v="20420512"/>
    <n v="114"/>
    <n v="10956907"/>
    <n v="3507692"/>
    <m/>
  </r>
  <r>
    <n v="5"/>
    <x v="16"/>
    <x v="1"/>
    <s v="Mayo"/>
    <s v="MARIMASA"/>
    <x v="23"/>
    <x v="34"/>
    <n v="29845018"/>
    <n v="1058000"/>
    <n v="6282505"/>
    <n v="22504513"/>
    <n v="13244000"/>
    <n v="1.6992232709151314"/>
    <x v="1"/>
    <n v="25"/>
    <s v="IPS Pto De Vista San Diego"/>
    <s v="Antioquia"/>
    <s v="Siempre Cumple"/>
    <n v="44"/>
    <n v="5030483"/>
    <n v="109"/>
    <n v="15054345"/>
    <n v="66"/>
    <n v="6282505"/>
    <n v="3477685"/>
    <m/>
  </r>
  <r>
    <n v="5"/>
    <x v="16"/>
    <x v="1"/>
    <s v="Mayo"/>
    <s v="ANDRSAZA"/>
    <x v="45"/>
    <x v="45"/>
    <n v="47467189"/>
    <n v="1139000"/>
    <n v="8125045"/>
    <n v="38203144"/>
    <n v="22000000"/>
    <n v="1.7365065454545454"/>
    <x v="1"/>
    <n v="25"/>
    <s v="IPS Pto De Vista Santa Bárbara"/>
    <s v="Centro"/>
    <s v="Cumple"/>
    <n v="73"/>
    <n v="7030028"/>
    <n v="228"/>
    <n v="29162055"/>
    <n v="106"/>
    <n v="8125045"/>
    <n v="3150061"/>
    <m/>
  </r>
  <r>
    <n v="5"/>
    <x v="16"/>
    <x v="1"/>
    <s v="Mayo"/>
    <s v="CAMIPUHE"/>
    <x v="53"/>
    <x v="53"/>
    <n v="29831406"/>
    <n v="865600"/>
    <n v="5409385"/>
    <n v="23556421"/>
    <n v="22000000"/>
    <n v="1.0707464090909091"/>
    <x v="1"/>
    <n v="25"/>
    <s v="IPS Pto De Vista SSura Clle100"/>
    <s v="Centro"/>
    <s v="Cumple"/>
    <n v="53"/>
    <n v="4488132"/>
    <n v="152"/>
    <n v="16947490"/>
    <n v="72"/>
    <n v="5409385"/>
    <n v="2986399"/>
    <m/>
  </r>
  <r>
    <n v="5"/>
    <x v="16"/>
    <x v="1"/>
    <s v="Mayo"/>
    <s v="ISABMOGO"/>
    <x v="17"/>
    <x v="15"/>
    <n v="40376699"/>
    <n v="880000"/>
    <n v="7925490"/>
    <n v="31571209"/>
    <n v="22000000"/>
    <n v="1.4350549545454545"/>
    <x v="1"/>
    <n v="25"/>
    <s v="IPS Pto De Vista Santa Bárbara"/>
    <s v="Centro"/>
    <s v="No Cumple"/>
    <n v="82"/>
    <n v="6636584"/>
    <n v="224"/>
    <n v="21745005"/>
    <n v="113"/>
    <n v="7925490"/>
    <n v="4069620"/>
    <m/>
  </r>
  <r>
    <n v="5"/>
    <x v="16"/>
    <x v="1"/>
    <s v="Mayo"/>
    <s v="LUZNHEGO"/>
    <x v="21"/>
    <x v="19"/>
    <n v="18332971"/>
    <n v="166680"/>
    <n v="733164"/>
    <n v="17433127"/>
    <n v="25000000"/>
    <n v="0.69732508000000004"/>
    <x v="1"/>
    <n v="25"/>
    <s v="IPS Punto de Vista Mayorca"/>
    <s v="Antioquia"/>
    <s v="Siempre Cumple"/>
    <n v="33"/>
    <n v="4362207"/>
    <n v="124"/>
    <n v="12370686"/>
    <n v="12"/>
    <n v="733164"/>
    <n v="866914"/>
    <m/>
  </r>
  <r>
    <n v="5"/>
    <x v="16"/>
    <x v="1"/>
    <s v="Mayo"/>
    <s v="ANAMLOBE"/>
    <x v="3"/>
    <x v="3"/>
    <n v="74655979"/>
    <n v="812000"/>
    <n v="14533604"/>
    <n v="59310375"/>
    <n v="43000000"/>
    <n v="1.3793110465116278"/>
    <x v="1"/>
    <n v="25"/>
    <s v="IPS Pto De Vista Unicentro"/>
    <s v="Antioquia"/>
    <s v="Siempre Cumple"/>
    <n v="130"/>
    <n v="15318400"/>
    <n v="288"/>
    <n v="37269358"/>
    <n v="155"/>
    <n v="14533604"/>
    <n v="7534617"/>
    <m/>
  </r>
  <r>
    <n v="5"/>
    <x v="16"/>
    <x v="1"/>
    <s v="Mayo"/>
    <s v="DIANQUME"/>
    <x v="14"/>
    <x v="12"/>
    <n v="59603135"/>
    <n v="2150000"/>
    <n v="11040581"/>
    <n v="46412554"/>
    <n v="43000000"/>
    <n v="1.0793617209302326"/>
    <x v="1"/>
    <n v="25"/>
    <s v="IPS Pto De Vista Molinos"/>
    <s v="Antioquia"/>
    <s v="Cumple"/>
    <n v="106"/>
    <n v="10665452"/>
    <n v="266"/>
    <n v="28437279"/>
    <n v="133"/>
    <n v="11040581"/>
    <n v="9459823"/>
    <m/>
  </r>
  <r>
    <n v="5"/>
    <x v="16"/>
    <x v="1"/>
    <s v="Mayo"/>
    <s v="VIVIVAZA"/>
    <x v="33"/>
    <x v="30"/>
    <n v="75506782"/>
    <n v="1204600"/>
    <n v="14331344"/>
    <n v="59970838"/>
    <n v="43000000"/>
    <n v="1.3946706511627907"/>
    <x v="1"/>
    <n v="25"/>
    <s v="IPS Pto De Vista Unicentro"/>
    <s v="Antioquia"/>
    <s v="Cumple"/>
    <n v="141"/>
    <n v="14134073"/>
    <n v="344"/>
    <n v="38045045"/>
    <n v="169"/>
    <n v="14331344"/>
    <n v="8996320"/>
    <m/>
  </r>
  <r>
    <n v="5"/>
    <x v="16"/>
    <x v="1"/>
    <s v="Mayo"/>
    <s v="ALEXLOGR"/>
    <x v="2"/>
    <x v="2"/>
    <n v="49088008"/>
    <n v="2003400"/>
    <n v="10837602"/>
    <n v="36247006"/>
    <n v="29000000"/>
    <n v="1.2498967586206897"/>
    <x v="1"/>
    <n v="25"/>
    <s v="IPS Punto de Vista Bello"/>
    <s v="Antioquia"/>
    <s v="Fluctúa"/>
    <n v="89"/>
    <n v="7276233"/>
    <n v="214"/>
    <n v="24297429"/>
    <n v="122"/>
    <n v="10837602"/>
    <n v="6676744"/>
    <m/>
  </r>
  <r>
    <n v="5"/>
    <x v="16"/>
    <x v="1"/>
    <s v="Mayo"/>
    <s v="CINDGACU"/>
    <x v="55"/>
    <x v="55"/>
    <n v="42764394"/>
    <n v="429000"/>
    <n v="12872956"/>
    <n v="29462438"/>
    <n v="29000000"/>
    <n v="1.0159461379310344"/>
    <x v="1"/>
    <n v="25"/>
    <s v="IPS Pto De Vista San Diego"/>
    <s v="Antioquia"/>
    <s v="Siempre Cumple"/>
    <n v="83"/>
    <n v="5695970"/>
    <n v="208"/>
    <n v="21112283"/>
    <n v="143"/>
    <n v="12872956"/>
    <n v="3083185"/>
    <m/>
  </r>
  <r>
    <n v="5"/>
    <x v="16"/>
    <x v="1"/>
    <s v="Mayo"/>
    <s v="DIANPOPA"/>
    <x v="13"/>
    <x v="33"/>
    <n v="32656426"/>
    <n v="0"/>
    <n v="4395667"/>
    <n v="28260759"/>
    <n v="31376800"/>
    <n v="0.90068964967746867"/>
    <x v="0"/>
    <n v="25"/>
    <s v=""/>
    <s v=""/>
    <s v="No Aplica"/>
    <n v="55"/>
    <n v="5305067"/>
    <n v="140"/>
    <n v="12055919"/>
    <n v="50"/>
    <n v="4395667"/>
    <n v="10899773"/>
    <m/>
  </r>
  <r>
    <n v="5"/>
    <x v="16"/>
    <x v="1"/>
    <s v="Mayo"/>
    <s v="GISECACM"/>
    <x v="48"/>
    <x v="48"/>
    <n v="29988473"/>
    <n v="0"/>
    <n v="10820268"/>
    <n v="19168205"/>
    <n v="30000000"/>
    <n v="0.63894016666666664"/>
    <x v="0"/>
    <n v="25"/>
    <s v=""/>
    <s v=""/>
    <s v="No Aplica"/>
    <n v="44"/>
    <n v="3608999"/>
    <n v="124"/>
    <n v="9413786"/>
    <n v="126"/>
    <n v="10820268"/>
    <n v="6145420"/>
    <m/>
  </r>
  <r>
    <n v="5"/>
    <x v="16"/>
    <x v="1"/>
    <s v="Mayo"/>
    <s v="PAOLPACA"/>
    <x v="47"/>
    <x v="47"/>
    <n v="28403809"/>
    <n v="0"/>
    <n v="9796053"/>
    <n v="18607756"/>
    <n v="30000000"/>
    <n v="0.62025853333333336"/>
    <x v="1"/>
    <n v="25"/>
    <s v="Punto de Vista Tequendama"/>
    <s v="Occidente"/>
    <s v="Siempre Cumple"/>
    <n v="63"/>
    <n v="4941376"/>
    <n v="192"/>
    <n v="10802139"/>
    <n v="110"/>
    <n v="9796053"/>
    <n v="2864241"/>
    <m/>
  </r>
  <r>
    <n v="5"/>
    <x v="16"/>
    <x v="1"/>
    <s v="Mayo"/>
    <s v="ROCIFASA"/>
    <x v="31"/>
    <x v="28"/>
    <n v="35211083"/>
    <n v="680400"/>
    <n v="4501490"/>
    <n v="30029193"/>
    <n v="25000000"/>
    <n v="1.2011677199999999"/>
    <x v="1"/>
    <n v="25"/>
    <s v="Optica Salud Sura Chipichape"/>
    <s v="Occidente"/>
    <s v="Cumple"/>
    <n v="57"/>
    <n v="7391018"/>
    <n v="159"/>
    <n v="20006920"/>
    <n v="47"/>
    <n v="4501490"/>
    <n v="3311655"/>
    <m/>
  </r>
  <r>
    <n v="5"/>
    <x v="16"/>
    <x v="1"/>
    <s v="Mayo"/>
    <s v="ANAMSAPV"/>
    <x v="37"/>
    <x v="7"/>
    <n v="0"/>
    <n v="0"/>
    <n v="0"/>
    <n v="0"/>
    <m/>
    <m/>
    <x v="0"/>
    <n v="25"/>
    <s v=""/>
    <s v=""/>
    <s v="No Aplica"/>
    <n v="0"/>
    <n v="0"/>
    <n v="0"/>
    <n v="0"/>
    <n v="0"/>
    <n v="0"/>
    <n v="0"/>
    <m/>
  </r>
  <r>
    <n v="5"/>
    <x v="16"/>
    <x v="1"/>
    <s v="Mayo"/>
    <s v="CLAUPACO"/>
    <x v="37"/>
    <x v="7"/>
    <n v="0"/>
    <n v="0"/>
    <n v="0"/>
    <n v="0"/>
    <m/>
    <m/>
    <x v="0"/>
    <n v="25"/>
    <s v=""/>
    <s v=""/>
    <s v="No Aplica"/>
    <n v="0"/>
    <n v="0"/>
    <n v="0"/>
    <n v="0"/>
    <n v="0"/>
    <n v="0"/>
    <n v="0"/>
    <m/>
  </r>
  <r>
    <n v="5"/>
    <x v="16"/>
    <x v="1"/>
    <s v="Mayo"/>
    <s v="DARWHERI"/>
    <x v="37"/>
    <x v="7"/>
    <n v="87740"/>
    <n v="0"/>
    <n v="87740"/>
    <n v="0"/>
    <m/>
    <m/>
    <x v="0"/>
    <n v="25"/>
    <s v=""/>
    <s v=""/>
    <s v="No Aplica"/>
    <n v="0"/>
    <n v="0"/>
    <n v="0"/>
    <n v="0"/>
    <n v="2"/>
    <n v="87740"/>
    <n v="0"/>
    <m/>
  </r>
  <r>
    <n v="5"/>
    <x v="16"/>
    <x v="1"/>
    <s v="Mayo"/>
    <s v="ESTESESE"/>
    <x v="37"/>
    <x v="7"/>
    <n v="113634"/>
    <n v="0"/>
    <n v="113634"/>
    <n v="0"/>
    <m/>
    <m/>
    <x v="0"/>
    <n v="25"/>
    <s v=""/>
    <s v=""/>
    <s v="No Aplica"/>
    <n v="0"/>
    <n v="0"/>
    <n v="0"/>
    <n v="0"/>
    <n v="2"/>
    <n v="113634"/>
    <n v="0"/>
    <m/>
  </r>
  <r>
    <n v="5"/>
    <x v="16"/>
    <x v="1"/>
    <s v="Mayo"/>
    <s v="KATHCASG"/>
    <x v="37"/>
    <x v="7"/>
    <n v="0"/>
    <n v="0"/>
    <n v="0"/>
    <n v="0"/>
    <m/>
    <m/>
    <x v="0"/>
    <n v="25"/>
    <s v=""/>
    <s v=""/>
    <s v="No Aplica"/>
    <n v="0"/>
    <n v="0"/>
    <n v="0"/>
    <n v="0"/>
    <n v="0"/>
    <n v="0"/>
    <n v="0"/>
    <m/>
  </r>
  <r>
    <n v="5"/>
    <x v="16"/>
    <x v="1"/>
    <s v="Mayo"/>
    <s v="KATHVABE"/>
    <x v="37"/>
    <x v="7"/>
    <n v="0"/>
    <n v="0"/>
    <n v="0"/>
    <n v="0"/>
    <m/>
    <m/>
    <x v="0"/>
    <n v="25"/>
    <s v=""/>
    <s v=""/>
    <s v="No Aplica"/>
    <n v="0"/>
    <n v="0"/>
    <n v="0"/>
    <n v="0"/>
    <n v="0"/>
    <n v="0"/>
    <n v="0"/>
    <m/>
  </r>
  <r>
    <n v="5"/>
    <x v="16"/>
    <x v="1"/>
    <s v="Mayo"/>
    <s v="LUZMARMO"/>
    <x v="37"/>
    <x v="7"/>
    <n v="0"/>
    <n v="0"/>
    <n v="0"/>
    <n v="0"/>
    <m/>
    <m/>
    <x v="0"/>
    <n v="25"/>
    <s v=""/>
    <s v=""/>
    <s v="No Aplica"/>
    <n v="0"/>
    <n v="0"/>
    <n v="0"/>
    <n v="0"/>
    <n v="0"/>
    <n v="0"/>
    <n v="0"/>
    <m/>
  </r>
  <r>
    <n v="5"/>
    <x v="16"/>
    <x v="1"/>
    <s v="Mayo"/>
    <s v="MARISOCA"/>
    <x v="37"/>
    <x v="7"/>
    <n v="0"/>
    <n v="0"/>
    <n v="0"/>
    <n v="0"/>
    <m/>
    <m/>
    <x v="0"/>
    <n v="25"/>
    <s v=""/>
    <s v=""/>
    <s v="No Aplica"/>
    <n v="0"/>
    <n v="0"/>
    <n v="0"/>
    <n v="0"/>
    <n v="0"/>
    <n v="0"/>
    <n v="0"/>
    <m/>
  </r>
  <r>
    <n v="5"/>
    <x v="16"/>
    <x v="1"/>
    <s v="Mayo"/>
    <s v="MARISEAR"/>
    <x v="37"/>
    <x v="7"/>
    <n v="461983"/>
    <n v="0"/>
    <n v="0"/>
    <n v="461983"/>
    <m/>
    <m/>
    <x v="0"/>
    <n v="25"/>
    <s v=""/>
    <s v=""/>
    <s v="No Aplica"/>
    <n v="1"/>
    <n v="85733"/>
    <n v="2"/>
    <n v="376250"/>
    <n v="0"/>
    <n v="0"/>
    <n v="0"/>
    <m/>
  </r>
  <r>
    <n v="5"/>
    <x v="16"/>
    <x v="1"/>
    <s v="Mayo"/>
    <s v="MONIMEME"/>
    <x v="37"/>
    <x v="7"/>
    <n v="0"/>
    <n v="0"/>
    <n v="0"/>
    <n v="0"/>
    <m/>
    <m/>
    <x v="0"/>
    <n v="25"/>
    <s v=""/>
    <s v=""/>
    <s v="No Aplica"/>
    <n v="0"/>
    <n v="0"/>
    <n v="0"/>
    <n v="0"/>
    <n v="0"/>
    <n v="0"/>
    <n v="0"/>
    <m/>
  </r>
  <r>
    <n v="5"/>
    <x v="16"/>
    <x v="1"/>
    <s v="Mayo"/>
    <s v="OSCADESU"/>
    <x v="37"/>
    <x v="7"/>
    <n v="90212"/>
    <n v="0"/>
    <n v="0"/>
    <n v="90212"/>
    <m/>
    <m/>
    <x v="0"/>
    <n v="25"/>
    <s v=""/>
    <s v=""/>
    <s v="No Aplica"/>
    <n v="1"/>
    <n v="35172"/>
    <n v="2"/>
    <n v="55040"/>
    <n v="0"/>
    <n v="0"/>
    <n v="0"/>
    <m/>
  </r>
  <r>
    <n v="5"/>
    <x v="16"/>
    <x v="1"/>
    <s v="Mayo"/>
    <s v="SUANHECO"/>
    <x v="37"/>
    <x v="7"/>
    <n v="419226"/>
    <n v="0"/>
    <n v="419226"/>
    <n v="0"/>
    <m/>
    <m/>
    <x v="0"/>
    <n v="25"/>
    <s v=""/>
    <s v=""/>
    <s v="No Aplica"/>
    <n v="0"/>
    <n v="0"/>
    <n v="0"/>
    <n v="0"/>
    <n v="4"/>
    <n v="419226"/>
    <n v="0"/>
    <m/>
  </r>
  <r>
    <n v="5"/>
    <x v="16"/>
    <x v="1"/>
    <s v="Mayo"/>
    <s v="YULIRIRE"/>
    <x v="37"/>
    <x v="7"/>
    <n v="7589362"/>
    <n v="0"/>
    <n v="3509172"/>
    <n v="4080190"/>
    <m/>
    <m/>
    <x v="0"/>
    <n v="25"/>
    <s v=""/>
    <s v=""/>
    <s v="No Aplica"/>
    <n v="8"/>
    <n v="734124"/>
    <n v="32"/>
    <n v="2391845"/>
    <n v="37"/>
    <n v="3509172"/>
    <n v="954221"/>
    <m/>
  </r>
  <r>
    <n v="5"/>
    <x v="16"/>
    <x v="1"/>
    <s v="Mayo"/>
    <s v="(en blanco)"/>
    <x v="37"/>
    <x v="7"/>
    <n v="-1868916"/>
    <n v="0"/>
    <n v="0"/>
    <n v="-1868916"/>
    <m/>
    <m/>
    <x v="0"/>
    <n v="25"/>
    <s v=""/>
    <s v=""/>
    <s v="No Aplica"/>
    <n v="2"/>
    <n v="-292988"/>
    <n v="4"/>
    <n v="-1036830"/>
    <n v="0"/>
    <n v="0"/>
    <n v="-539098"/>
    <m/>
  </r>
  <r>
    <n v="6"/>
    <x v="17"/>
    <x v="1"/>
    <s v="Junio"/>
    <s v="DIANPOPA"/>
    <x v="13"/>
    <x v="33"/>
    <n v="26864371"/>
    <n v="0"/>
    <n v="974235"/>
    <n v="25890136"/>
    <n v="31721000"/>
    <n v="0.8161828441726301"/>
    <x v="0"/>
    <n v="24"/>
    <s v=""/>
    <s v=""/>
    <s v="No Aplica"/>
    <n v="31"/>
    <n v="2249704"/>
    <n v="84"/>
    <n v="5351485"/>
    <n v="14"/>
    <n v="974235"/>
    <n v="18288947"/>
    <m/>
  </r>
  <r>
    <n v="6"/>
    <x v="17"/>
    <x v="1"/>
    <s v="Junio"/>
    <s v="PAULGOBA"/>
    <x v="35"/>
    <x v="36"/>
    <n v="99846027"/>
    <n v="0"/>
    <n v="5938500"/>
    <n v="93907527"/>
    <n v="42000000"/>
    <n v="2.2358935"/>
    <x v="1"/>
    <n v="24"/>
    <s v="Ferias Empresariales Antioquia"/>
    <s v="Antioquia"/>
    <s v="Fluctúa"/>
    <n v="143"/>
    <n v="20584005"/>
    <n v="254"/>
    <n v="37383406"/>
    <n v="88"/>
    <n v="5938500"/>
    <n v="35940116"/>
    <m/>
  </r>
  <r>
    <n v="6"/>
    <x v="17"/>
    <x v="1"/>
    <s v="Junio"/>
    <s v="ANGEROPI"/>
    <x v="46"/>
    <x v="46"/>
    <n v="32371984"/>
    <n v="69800"/>
    <n v="8405312"/>
    <n v="23896872"/>
    <n v="41000000"/>
    <n v="0.5828505365853659"/>
    <x v="0"/>
    <n v="24"/>
    <s v=""/>
    <s v=""/>
    <s v="No Aplica"/>
    <n v="58"/>
    <n v="5316570"/>
    <n v="160"/>
    <n v="15786991"/>
    <n v="95"/>
    <n v="8405312"/>
    <n v="2863111"/>
    <m/>
  </r>
  <r>
    <n v="6"/>
    <x v="17"/>
    <x v="1"/>
    <s v="Junio"/>
    <s v="BIBIBECA"/>
    <x v="6"/>
    <x v="6"/>
    <n v="63999634"/>
    <n v="101520"/>
    <n v="11791828"/>
    <n v="52106286"/>
    <n v="41583333.333333328"/>
    <n v="1.253056977955912"/>
    <x v="1"/>
    <n v="24"/>
    <s v="IPS Pto De Vista Centro"/>
    <s v="Antioquia"/>
    <s v="Fluctúa"/>
    <n v="125"/>
    <n v="18006727"/>
    <n v="260"/>
    <n v="29653906"/>
    <n v="142"/>
    <n v="11791828"/>
    <n v="4547173"/>
    <m/>
  </r>
  <r>
    <n v="6"/>
    <x v="17"/>
    <x v="1"/>
    <s v="Junio"/>
    <s v="CAROVABE"/>
    <x v="8"/>
    <x v="32"/>
    <n v="57430281"/>
    <n v="866000"/>
    <n v="14558527"/>
    <n v="42005754"/>
    <n v="41000000"/>
    <n v="1.0245305853658537"/>
    <x v="0"/>
    <n v="24"/>
    <s v=""/>
    <s v=""/>
    <s v="No Aplica"/>
    <n v="89"/>
    <n v="7833921"/>
    <n v="227"/>
    <n v="22837426"/>
    <n v="150"/>
    <n v="14558527"/>
    <n v="12200407"/>
    <m/>
  </r>
  <r>
    <n v="6"/>
    <x v="17"/>
    <x v="1"/>
    <s v="Junio"/>
    <s v="CLAUBLAR"/>
    <x v="9"/>
    <x v="8"/>
    <n v="57342626"/>
    <n v="1184000"/>
    <n v="12056225"/>
    <n v="44102401"/>
    <n v="41000000"/>
    <n v="1.0756683170731707"/>
    <x v="1"/>
    <n v="24"/>
    <s v="IPS Pto De Vista Centro"/>
    <s v="Antioquia"/>
    <s v="Fluctúa"/>
    <n v="101"/>
    <n v="10443186"/>
    <n v="248"/>
    <n v="26602077"/>
    <n v="141"/>
    <n v="12056225"/>
    <n v="8241138"/>
    <m/>
  </r>
  <r>
    <n v="6"/>
    <x v="17"/>
    <x v="1"/>
    <s v="Junio"/>
    <s v="HERIRORO"/>
    <x v="52"/>
    <x v="52"/>
    <n v="32198150"/>
    <n v="152000"/>
    <n v="8177047"/>
    <n v="23869103"/>
    <n v="41000000"/>
    <n v="0.58217324390243907"/>
    <x v="1"/>
    <n v="24"/>
    <s v="IPS Pto De Vista Centro"/>
    <s v="Antioquia"/>
    <s v="Siempre Cumple"/>
    <n v="65"/>
    <n v="4877995"/>
    <n v="160"/>
    <n v="15315518"/>
    <n v="96"/>
    <n v="8177047"/>
    <n v="3827590"/>
    <m/>
  </r>
  <r>
    <n v="6"/>
    <x v="17"/>
    <x v="1"/>
    <s v="Junio"/>
    <s v="MARGGAPA"/>
    <x v="22"/>
    <x v="20"/>
    <n v="56007009"/>
    <n v="412000"/>
    <n v="12484974"/>
    <n v="43110035"/>
    <n v="41000000"/>
    <n v="1.0514642682926829"/>
    <x v="1"/>
    <n v="24"/>
    <s v="IPS Pto De Vista Centro"/>
    <s v="Antioquia"/>
    <s v="Fluctúa"/>
    <n v="108"/>
    <n v="11433551"/>
    <n v="258"/>
    <n v="26449526"/>
    <n v="144"/>
    <n v="12484974"/>
    <n v="5638958"/>
    <m/>
  </r>
  <r>
    <n v="6"/>
    <x v="17"/>
    <x v="1"/>
    <s v="Junio"/>
    <s v="YULIRIRE"/>
    <x v="57"/>
    <x v="57"/>
    <n v="27953653"/>
    <n v="426000"/>
    <n v="6911986"/>
    <n v="20615667"/>
    <n v="32800000"/>
    <n v="0.6285264329268293"/>
    <x v="1"/>
    <n v="24"/>
    <s v="IPS Punto de Vista Bello"/>
    <s v="Antioquia"/>
    <s v="Fluctúa"/>
    <n v="56"/>
    <n v="4896699"/>
    <n v="158"/>
    <n v="14146964"/>
    <n v="81"/>
    <n v="6911986"/>
    <n v="1998004"/>
    <m/>
  </r>
  <r>
    <n v="6"/>
    <x v="17"/>
    <x v="1"/>
    <s v="Junio"/>
    <s v="ANGEGAAR"/>
    <x v="4"/>
    <x v="4"/>
    <n v="27139619"/>
    <n v="238680"/>
    <n v="2968149"/>
    <n v="23932790"/>
    <n v="18000000"/>
    <n v="1.3295994444444443"/>
    <x v="1"/>
    <n v="24"/>
    <s v="IPS Pto De Vista San Diego"/>
    <s v="Antioquia"/>
    <s v="Fluctúa"/>
    <n v="41"/>
    <n v="6717699"/>
    <n v="104"/>
    <n v="13509600"/>
    <n v="34"/>
    <n v="2968149"/>
    <n v="3944171"/>
    <m/>
  </r>
  <r>
    <n v="6"/>
    <x v="17"/>
    <x v="1"/>
    <s v="Junio"/>
    <s v="NATAPIDU"/>
    <x v="28"/>
    <x v="25"/>
    <n v="45985201"/>
    <n v="0"/>
    <n v="4583773"/>
    <n v="41401428"/>
    <n v="36000000"/>
    <n v="1.1500396666666666"/>
    <x v="1"/>
    <n v="24"/>
    <s v="IPS Pto De Vista Industriales"/>
    <s v="Antioquia"/>
    <s v="Cumple"/>
    <n v="41"/>
    <n v="8257624"/>
    <n v="132"/>
    <n v="28347145"/>
    <n v="58"/>
    <n v="4583773"/>
    <n v="4796659"/>
    <m/>
  </r>
  <r>
    <n v="6"/>
    <x v="17"/>
    <x v="1"/>
    <s v="Junio"/>
    <s v="ELIZVESU"/>
    <x v="15"/>
    <x v="13"/>
    <n v="71855061"/>
    <n v="852000"/>
    <n v="12646758"/>
    <n v="58356303"/>
    <n v="43000000"/>
    <n v="1.3571233255813953"/>
    <x v="1"/>
    <n v="24"/>
    <s v="IPS Pto De Vista Unicentro"/>
    <s v="Antioquia"/>
    <s v="Fluctúa"/>
    <n v="108"/>
    <n v="13635350"/>
    <n v="299"/>
    <n v="39214284"/>
    <n v="145"/>
    <n v="12646758"/>
    <n v="6358669"/>
    <m/>
  </r>
  <r>
    <n v="6"/>
    <x v="17"/>
    <x v="1"/>
    <s v="Junio"/>
    <s v="SUANHECO"/>
    <x v="58"/>
    <x v="58"/>
    <n v="39681098"/>
    <n v="2024200"/>
    <n v="9460084"/>
    <n v="28196814"/>
    <n v="24366666.666666672"/>
    <n v="1.1571879890560872"/>
    <x v="1"/>
    <n v="24"/>
    <s v="IPS Pto De Vista Molinos"/>
    <s v="Antioquia"/>
    <s v="Fluctúa"/>
    <n v="58"/>
    <n v="6902429"/>
    <n v="168"/>
    <n v="19203532"/>
    <n v="105"/>
    <n v="9460084"/>
    <n v="4115053"/>
    <m/>
  </r>
  <r>
    <n v="6"/>
    <x v="17"/>
    <x v="1"/>
    <s v="Junio"/>
    <s v="ZULYARGA"/>
    <x v="34"/>
    <x v="31"/>
    <n v="76089022"/>
    <n v="1194800"/>
    <n v="15124557"/>
    <n v="59769665"/>
    <n v="43000000"/>
    <n v="1.3899922093023256"/>
    <x v="1"/>
    <n v="24"/>
    <s v="IPS Pto De Vista Molinos"/>
    <s v="Antioquia"/>
    <n v="0"/>
    <n v="135"/>
    <n v="15812354"/>
    <n v="336"/>
    <n v="37704240"/>
    <n v="164"/>
    <n v="15124557"/>
    <n v="7447871"/>
    <m/>
  </r>
  <r>
    <n v="6"/>
    <x v="17"/>
    <x v="1"/>
    <s v="Junio"/>
    <s v="VIVIVAZA"/>
    <x v="33"/>
    <x v="30"/>
    <n v="83563443"/>
    <n v="1019000"/>
    <n v="18764055"/>
    <n v="63780388"/>
    <n v="43000000"/>
    <n v="1.4832648372093022"/>
    <x v="1"/>
    <n v="24"/>
    <s v="IPS Pto De Vista Unicentro"/>
    <s v="Antioquia"/>
    <s v="Cumple"/>
    <n v="141"/>
    <n v="15942182"/>
    <n v="358"/>
    <n v="40363522"/>
    <n v="196"/>
    <n v="18764055"/>
    <n v="8493684"/>
    <m/>
  </r>
  <r>
    <n v="6"/>
    <x v="17"/>
    <x v="1"/>
    <s v="Junio"/>
    <s v="DERLARMO"/>
    <x v="11"/>
    <x v="10"/>
    <n v="34315438"/>
    <n v="440000"/>
    <n v="7950697"/>
    <n v="25924741"/>
    <n v="20000000"/>
    <n v="1.29623705"/>
    <x v="1"/>
    <n v="24"/>
    <s v="IPS Pto De Vista Olaya"/>
    <s v="Centro"/>
    <s v="Cumple"/>
    <n v="98"/>
    <n v="5817492"/>
    <n v="242"/>
    <n v="18168107"/>
    <n v="119"/>
    <n v="7950697"/>
    <n v="2379142"/>
    <m/>
  </r>
  <r>
    <n v="6"/>
    <x v="17"/>
    <x v="1"/>
    <s v="Junio"/>
    <s v="RAULMOGA"/>
    <x v="30"/>
    <x v="27"/>
    <n v="31996252"/>
    <n v="440000"/>
    <n v="6328729"/>
    <n v="25227523"/>
    <n v="20000000"/>
    <n v="1.26137615"/>
    <x v="0"/>
    <n v="24"/>
    <s v="IPS Pto De Vista Olaya"/>
    <s v="Centro"/>
    <s v="No Aplica"/>
    <n v="93"/>
    <n v="5811931"/>
    <n v="227"/>
    <n v="17092578"/>
    <n v="101"/>
    <n v="6328729"/>
    <n v="2763014"/>
    <m/>
  </r>
  <r>
    <n v="6"/>
    <x v="17"/>
    <x v="1"/>
    <s v="Junio"/>
    <s v="ALVAOSOS"/>
    <x v="36"/>
    <x v="37"/>
    <n v="52468369"/>
    <n v="852000"/>
    <n v="10411314"/>
    <n v="41205055"/>
    <n v="38700000"/>
    <n v="1.0647301033591732"/>
    <x v="1"/>
    <n v="24"/>
    <s v="IPS Pto De Vista Punto Clave"/>
    <s v="Antioquia"/>
    <s v="Siempre Cumple"/>
    <n v="81"/>
    <n v="8990136"/>
    <n v="177"/>
    <n v="24454101"/>
    <n v="109"/>
    <n v="10411314"/>
    <n v="8612818"/>
    <m/>
  </r>
  <r>
    <n v="6"/>
    <x v="17"/>
    <x v="1"/>
    <s v="Junio"/>
    <s v="DEISCACR"/>
    <x v="50"/>
    <x v="50"/>
    <n v="53105446"/>
    <n v="1184000"/>
    <n v="8298706"/>
    <n v="43622740"/>
    <n v="43000000"/>
    <n v="1.0144823255813953"/>
    <x v="1"/>
    <n v="24"/>
    <s v="IPS Pto De Vista Punto Clave"/>
    <s v="Antioquia"/>
    <s v="Fluctúa"/>
    <n v="102"/>
    <n v="12220255"/>
    <n v="239"/>
    <n v="24845411"/>
    <n v="93"/>
    <n v="8298706"/>
    <n v="7741074"/>
    <m/>
  </r>
  <r>
    <n v="6"/>
    <x v="17"/>
    <x v="1"/>
    <s v="Junio"/>
    <s v="GENNHEPO"/>
    <x v="16"/>
    <x v="14"/>
    <n v="56107941"/>
    <n v="1047600"/>
    <n v="10799636"/>
    <n v="44260705"/>
    <n v="43000000"/>
    <n v="1.0293187209302326"/>
    <x v="1"/>
    <n v="24"/>
    <s v="IPS Pto De Vista Punto Clave"/>
    <s v="Antioquia"/>
    <s v="Fluctúa"/>
    <n v="96"/>
    <n v="9348763"/>
    <n v="252"/>
    <n v="27797967"/>
    <n v="115"/>
    <n v="10799636"/>
    <n v="8161575"/>
    <m/>
  </r>
  <r>
    <n v="6"/>
    <x v="17"/>
    <x v="1"/>
    <s v="Junio"/>
    <s v="LEIDGOVI"/>
    <x v="39"/>
    <x v="39"/>
    <n v="61450915"/>
    <n v="1086000"/>
    <n v="11791710"/>
    <n v="48573205"/>
    <n v="38700000"/>
    <n v="1.2551215762273902"/>
    <x v="1"/>
    <n v="24"/>
    <s v="IPS Pto De Vista Punto Clave"/>
    <s v="Antioquia"/>
    <s v="Fluctúa"/>
    <n v="82"/>
    <n v="10142140"/>
    <n v="212"/>
    <n v="30160325"/>
    <n v="121"/>
    <n v="11791710"/>
    <n v="9356740"/>
    <m/>
  </r>
  <r>
    <n v="6"/>
    <x v="17"/>
    <x v="1"/>
    <s v="Junio"/>
    <s v="YENYSUPE"/>
    <x v="51"/>
    <x v="51"/>
    <n v="56421701"/>
    <n v="705400"/>
    <n v="10686751"/>
    <n v="45029550"/>
    <n v="43000000"/>
    <n v="1.0471988372093024"/>
    <x v="1"/>
    <n v="24"/>
    <s v="IPS Pto De Vista Punto Clave"/>
    <s v="Antioquia"/>
    <s v="Cumple"/>
    <n v="92"/>
    <n v="9620397"/>
    <n v="240"/>
    <n v="24797288"/>
    <n v="126"/>
    <n v="10686751"/>
    <n v="11317265"/>
    <m/>
  </r>
  <r>
    <n v="6"/>
    <x v="17"/>
    <x v="1"/>
    <s v="Junio"/>
    <s v="YURAUSVE"/>
    <x v="56"/>
    <x v="56"/>
    <n v="50662810"/>
    <n v="0"/>
    <n v="9075633"/>
    <n v="41587177"/>
    <n v="38700000"/>
    <n v="1.0746040568475452"/>
    <x v="1"/>
    <n v="24"/>
    <s v="IPS Pto De Vista Punto Clave"/>
    <s v="Antioquia"/>
    <n v="0"/>
    <n v="89"/>
    <n v="8796109"/>
    <n v="216"/>
    <n v="24810274"/>
    <n v="111"/>
    <n v="9075633"/>
    <n v="7980794"/>
    <m/>
  </r>
  <r>
    <n v="6"/>
    <x v="17"/>
    <x v="1"/>
    <s v="Junio"/>
    <s v="DIANPAAL"/>
    <x v="12"/>
    <x v="11"/>
    <n v="43679817"/>
    <n v="3632000"/>
    <n v="6586706"/>
    <n v="33461111"/>
    <n v="33000000"/>
    <n v="1.0139730606060606"/>
    <x v="1"/>
    <n v="24"/>
    <s v="IPS Pto De Vista Rionegro"/>
    <s v="Antioquia"/>
    <s v="Cumple"/>
    <n v="77"/>
    <n v="8549122"/>
    <n v="203"/>
    <n v="21836786"/>
    <n v="84"/>
    <n v="6586706"/>
    <n v="6707203"/>
    <m/>
  </r>
  <r>
    <n v="6"/>
    <x v="17"/>
    <x v="1"/>
    <s v="Junio"/>
    <s v="JAQUVEGU"/>
    <x v="18"/>
    <x v="16"/>
    <n v="33249619"/>
    <n v="1316000"/>
    <n v="7211975"/>
    <n v="24721644"/>
    <n v="33000000"/>
    <n v="0.74914072727272729"/>
    <x v="0"/>
    <n v="24"/>
    <s v="IPS Pto De Vista Rionegro"/>
    <s v="Antioquia"/>
    <s v="No Aplica"/>
    <n v="61"/>
    <n v="5926027"/>
    <n v="156"/>
    <n v="15081132"/>
    <n v="95"/>
    <n v="7211975"/>
    <n v="5030485"/>
    <m/>
  </r>
  <r>
    <n v="6"/>
    <x v="17"/>
    <x v="1"/>
    <s v="Junio"/>
    <s v="MARIOCOC"/>
    <x v="24"/>
    <x v="21"/>
    <n v="42313791"/>
    <n v="1827400"/>
    <n v="5592581"/>
    <n v="34893810"/>
    <n v="33000000"/>
    <n v="1.0573881818181818"/>
    <x v="1"/>
    <n v="24"/>
    <s v="IPS Pto De Vista Rionegro"/>
    <s v="Antioquia"/>
    <s v="Cumple"/>
    <n v="87"/>
    <n v="8172866"/>
    <n v="201"/>
    <n v="22240101"/>
    <n v="77"/>
    <n v="5592581"/>
    <n v="6308243"/>
    <m/>
  </r>
  <r>
    <n v="6"/>
    <x v="17"/>
    <x v="1"/>
    <s v="Junio"/>
    <s v="ADRIMOLU"/>
    <x v="1"/>
    <x v="1"/>
    <n v="45966507"/>
    <n v="744000"/>
    <n v="10753714"/>
    <n v="34468793"/>
    <n v="30350000"/>
    <n v="1.1357098187808896"/>
    <x v="1"/>
    <n v="24"/>
    <s v="IPS Pto De Vista Molinos"/>
    <s v="Antioquia"/>
    <s v="Cumple"/>
    <n v="99"/>
    <n v="7933725"/>
    <n v="224"/>
    <n v="21786418"/>
    <n v="119"/>
    <n v="10753714"/>
    <n v="5492650"/>
    <m/>
  </r>
  <r>
    <n v="6"/>
    <x v="17"/>
    <x v="1"/>
    <s v="Junio"/>
    <s v="ERIKSAVA"/>
    <x v="44"/>
    <x v="44"/>
    <n v="39474197"/>
    <n v="1556000"/>
    <n v="6445680"/>
    <n v="31472517"/>
    <n v="30100000"/>
    <n v="1.0455985714285714"/>
    <x v="1"/>
    <n v="24"/>
    <s v="IPS Pto De Vista San Diego"/>
    <s v="Antioquia"/>
    <s v="No Cumple"/>
    <n v="78"/>
    <n v="7738946"/>
    <n v="172"/>
    <n v="18348482"/>
    <n v="76"/>
    <n v="6445680"/>
    <n v="6941089"/>
    <m/>
  </r>
  <r>
    <n v="6"/>
    <x v="17"/>
    <x v="1"/>
    <s v="Junio"/>
    <s v="HISNOSPI"/>
    <x v="49"/>
    <x v="49"/>
    <n v="44461114"/>
    <n v="1129760"/>
    <n v="11490623"/>
    <n v="31840731"/>
    <n v="27090000"/>
    <n v="1.1753684385382059"/>
    <x v="0"/>
    <n v="24"/>
    <s v="IPS Pto De Vista San Diego"/>
    <s v="Antioquia"/>
    <s v="No Aplica"/>
    <n v="84"/>
    <n v="7633919"/>
    <n v="222"/>
    <n v="19838965"/>
    <n v="133"/>
    <n v="11490623"/>
    <n v="5497607"/>
    <m/>
  </r>
  <r>
    <n v="6"/>
    <x v="17"/>
    <x v="1"/>
    <s v="Junio"/>
    <s v="MARIMASA"/>
    <x v="23"/>
    <x v="34"/>
    <n v="31196120"/>
    <n v="608000"/>
    <n v="5445123"/>
    <n v="25142997"/>
    <n v="25083333.333333336"/>
    <n v="1.0023786179401992"/>
    <x v="1"/>
    <n v="24"/>
    <s v="IPS Pto De Vista San Diego"/>
    <s v="Antioquia"/>
    <s v="Siempre Cumple"/>
    <n v="62"/>
    <n v="7621611"/>
    <n v="126"/>
    <n v="13548371"/>
    <n v="57"/>
    <n v="5445123"/>
    <n v="4581015"/>
    <m/>
  </r>
  <r>
    <n v="6"/>
    <x v="17"/>
    <x v="1"/>
    <s v="Junio"/>
    <s v="ANDRSAZA"/>
    <x v="45"/>
    <x v="45"/>
    <n v="53113087"/>
    <n v="1334000"/>
    <n v="8163565"/>
    <n v="43615522"/>
    <n v="22000000"/>
    <n v="1.9825237272727272"/>
    <x v="1"/>
    <n v="24"/>
    <s v="IPS Pto De Vista Santa Bárbara"/>
    <s v="Centro"/>
    <s v="Cumple"/>
    <n v="89"/>
    <n v="9055246"/>
    <n v="284"/>
    <n v="33225950"/>
    <n v="111"/>
    <n v="8163565"/>
    <n v="2668326"/>
    <m/>
  </r>
  <r>
    <n v="6"/>
    <x v="17"/>
    <x v="1"/>
    <s v="Junio"/>
    <s v="CAMIPUHE"/>
    <x v="53"/>
    <x v="53"/>
    <n v="22742035"/>
    <n v="412000"/>
    <n v="3957288"/>
    <n v="18372747"/>
    <n v="13750000"/>
    <n v="1.3361997818181819"/>
    <x v="1"/>
    <n v="24"/>
    <s v="IPS Pto De Vista SSura Clle100"/>
    <s v="Centro"/>
    <s v="Cumple"/>
    <n v="41"/>
    <n v="3303310"/>
    <n v="114"/>
    <n v="13387551"/>
    <n v="53"/>
    <n v="3957288"/>
    <n v="2093886"/>
    <m/>
  </r>
  <r>
    <n v="6"/>
    <x v="17"/>
    <x v="1"/>
    <s v="Junio"/>
    <s v="ISABMOGO"/>
    <x v="17"/>
    <x v="15"/>
    <n v="38407732"/>
    <n v="1787400"/>
    <n v="6726127"/>
    <n v="29894205"/>
    <n v="22000000"/>
    <n v="1.3588275000000001"/>
    <x v="1"/>
    <n v="24"/>
    <s v="IPS Pto De Vista Santa Bárbara"/>
    <s v="Centro"/>
    <s v="No Cumple"/>
    <n v="77"/>
    <n v="7056236"/>
    <n v="206"/>
    <n v="20300768"/>
    <n v="98"/>
    <n v="6726127"/>
    <n v="4324601"/>
    <m/>
  </r>
  <r>
    <n v="6"/>
    <x v="17"/>
    <x v="1"/>
    <s v="Junio"/>
    <s v="LUZNHEGO"/>
    <x v="21"/>
    <x v="19"/>
    <n v="30697130"/>
    <n v="669600"/>
    <n v="691969"/>
    <n v="29335561"/>
    <n v="25000000"/>
    <n v="1.17342244"/>
    <x v="1"/>
    <n v="24"/>
    <s v="IPS Punto de Vista Mayorca"/>
    <s v="Antioquia"/>
    <s v="Siempre Cumple"/>
    <n v="50"/>
    <n v="6518830"/>
    <n v="159"/>
    <n v="20796206"/>
    <n v="9"/>
    <n v="691969"/>
    <n v="2690125"/>
    <m/>
  </r>
  <r>
    <n v="6"/>
    <x v="17"/>
    <x v="1"/>
    <s v="Junio"/>
    <s v="ANAMLOBE"/>
    <x v="3"/>
    <x v="3"/>
    <n v="74256180"/>
    <n v="1196000"/>
    <n v="12454479"/>
    <n v="60605701"/>
    <n v="43000000"/>
    <n v="1.4094349069767442"/>
    <x v="1"/>
    <n v="24"/>
    <s v="IPS Pto De Vista Unicentro"/>
    <s v="Antioquia"/>
    <s v="Siempre Cumple"/>
    <n v="122"/>
    <n v="15262193"/>
    <n v="276"/>
    <n v="37908358"/>
    <n v="132"/>
    <n v="12454479"/>
    <n v="8631150"/>
    <m/>
  </r>
  <r>
    <n v="6"/>
    <x v="17"/>
    <x v="1"/>
    <s v="Junio"/>
    <s v="DIANQUME"/>
    <x v="14"/>
    <x v="12"/>
    <n v="53586384"/>
    <n v="412000"/>
    <n v="11555251"/>
    <n v="41619133"/>
    <n v="39416666.666666672"/>
    <n v="1.0558765243128962"/>
    <x v="1"/>
    <n v="24"/>
    <s v="IPS Pto De Vista Molinos"/>
    <s v="Antioquia"/>
    <s v="Cumple"/>
    <n v="84"/>
    <n v="8628881"/>
    <n v="232"/>
    <n v="28696773"/>
    <n v="120"/>
    <n v="11555251"/>
    <n v="4705479"/>
    <m/>
  </r>
  <r>
    <n v="6"/>
    <x v="17"/>
    <x v="1"/>
    <s v="Junio"/>
    <s v="LILACARA"/>
    <x v="19"/>
    <x v="17"/>
    <n v="56763919"/>
    <n v="2548000"/>
    <n v="9989208"/>
    <n v="44226711"/>
    <n v="43000000"/>
    <n v="1.0285281627906977"/>
    <x v="1"/>
    <n v="24"/>
    <s v="IPS Pto De Vista Molinos"/>
    <s v="Antioquia"/>
    <s v="Cumple"/>
    <n v="100"/>
    <n v="12334360"/>
    <n v="258"/>
    <n v="26937636"/>
    <n v="115"/>
    <n v="9989208"/>
    <n v="7502715"/>
    <m/>
  </r>
  <r>
    <n v="6"/>
    <x v="17"/>
    <x v="1"/>
    <s v="Junio"/>
    <s v="ALEXLOGR"/>
    <x v="2"/>
    <x v="2"/>
    <n v="19190423"/>
    <n v="304000"/>
    <n v="608945"/>
    <n v="18277478"/>
    <n v="7250000"/>
    <n v="2.521031448275862"/>
    <x v="1"/>
    <n v="24"/>
    <s v="IPS Punto de Vista Bello"/>
    <s v="Antioquia"/>
    <s v="Fluctúa"/>
    <n v="34"/>
    <n v="3089639"/>
    <n v="97"/>
    <n v="12952502"/>
    <n v="8"/>
    <n v="608945"/>
    <n v="2539337"/>
    <m/>
  </r>
  <r>
    <n v="6"/>
    <x v="17"/>
    <x v="1"/>
    <s v="Junio"/>
    <s v="CINDGACU"/>
    <x v="55"/>
    <x v="55"/>
    <n v="47046467"/>
    <n v="676000"/>
    <n v="14725768"/>
    <n v="31644699"/>
    <n v="30208333.333333332"/>
    <n v="1.0475486565517242"/>
    <x v="1"/>
    <n v="24"/>
    <s v="IPS Pto De Vista San Diego"/>
    <s v="Antioquia"/>
    <s v="Siempre Cumple"/>
    <n v="96"/>
    <n v="7589179"/>
    <n v="216"/>
    <n v="21200553"/>
    <n v="169"/>
    <n v="14725768"/>
    <n v="3530967"/>
    <m/>
  </r>
  <r>
    <n v="6"/>
    <x v="17"/>
    <x v="1"/>
    <s v="Junio"/>
    <s v="CARORICA"/>
    <x v="59"/>
    <x v="59"/>
    <n v="8792151"/>
    <n v="0"/>
    <n v="2747760"/>
    <n v="6044391"/>
    <n v="24000000"/>
    <n v="0.25184962500000002"/>
    <x v="0"/>
    <n v="24"/>
    <s v=""/>
    <s v=""/>
    <s v="No Aplica"/>
    <n v="16"/>
    <n v="1302390"/>
    <n v="52"/>
    <n v="4084395"/>
    <n v="40"/>
    <n v="2747760"/>
    <n v="657606"/>
    <m/>
  </r>
  <r>
    <n v="6"/>
    <x v="17"/>
    <x v="1"/>
    <s v="Junio"/>
    <s v="TATIRITR"/>
    <x v="60"/>
    <x v="60"/>
    <n v="18435092"/>
    <n v="0"/>
    <n v="7135081"/>
    <n v="11300011"/>
    <n v="24000000"/>
    <n v="0.47083379166666667"/>
    <x v="1"/>
    <n v="24"/>
    <s v="Punto de Vista Cali Norte"/>
    <s v="Occidente"/>
    <s v="No Cumple"/>
    <n v="28"/>
    <n v="2710399"/>
    <n v="86"/>
    <n v="6667642"/>
    <n v="82"/>
    <n v="7135081"/>
    <n v="1921970"/>
    <m/>
  </r>
  <r>
    <n v="6"/>
    <x v="17"/>
    <x v="1"/>
    <s v="Junio"/>
    <s v="PAOLPACA"/>
    <x v="47"/>
    <x v="47"/>
    <n v="43263275"/>
    <n v="0"/>
    <n v="8453428"/>
    <n v="34809847"/>
    <n v="30000000"/>
    <n v="1.1603282333333333"/>
    <x v="1"/>
    <n v="24"/>
    <s v="Punto de Vista Tequendama"/>
    <s v="Occidente"/>
    <s v="Siempre Cumple"/>
    <n v="96"/>
    <n v="8971814"/>
    <n v="292"/>
    <n v="21341093"/>
    <n v="104"/>
    <n v="8453428"/>
    <n v="4496940"/>
    <m/>
  </r>
  <r>
    <n v="6"/>
    <x v="17"/>
    <x v="1"/>
    <s v="Junio"/>
    <s v="ROCIFASA"/>
    <x v="31"/>
    <x v="28"/>
    <n v="29745580"/>
    <n v="166680"/>
    <n v="3801496"/>
    <n v="25777404"/>
    <n v="25000000"/>
    <n v="1.0310961599999999"/>
    <x v="1"/>
    <n v="24"/>
    <s v="Optica Salud Sura Chipichape"/>
    <s v="Occidente"/>
    <s v="Cumple"/>
    <n v="53"/>
    <n v="7155323"/>
    <n v="156"/>
    <n v="16270529"/>
    <n v="44"/>
    <n v="3801496"/>
    <n v="2518232"/>
    <m/>
  </r>
  <r>
    <n v="6"/>
    <x v="17"/>
    <x v="1"/>
    <s v="Junio"/>
    <s v="ANAMSAPV"/>
    <x v="37"/>
    <x v="7"/>
    <n v="0"/>
    <n v="0"/>
    <n v="0"/>
    <n v="0"/>
    <m/>
    <m/>
    <x v="0"/>
    <n v="24"/>
    <s v=""/>
    <s v=""/>
    <s v="No Aplica"/>
    <n v="0"/>
    <n v="0"/>
    <n v="0"/>
    <n v="0"/>
    <n v="0"/>
    <n v="0"/>
    <n v="0"/>
    <m/>
  </r>
  <r>
    <n v="6"/>
    <x v="17"/>
    <x v="1"/>
    <s v="Junio"/>
    <s v="ANAUROCA"/>
    <x v="37"/>
    <x v="7"/>
    <n v="88400"/>
    <n v="0"/>
    <n v="0"/>
    <n v="88400"/>
    <m/>
    <m/>
    <x v="0"/>
    <n v="24"/>
    <s v=""/>
    <s v=""/>
    <s v="No Aplica"/>
    <n v="0"/>
    <n v="0"/>
    <n v="0"/>
    <n v="0"/>
    <n v="0"/>
    <n v="0"/>
    <n v="88400"/>
    <m/>
  </r>
  <r>
    <n v="6"/>
    <x v="17"/>
    <x v="1"/>
    <s v="Junio"/>
    <s v="DARWHERI"/>
    <x v="37"/>
    <x v="7"/>
    <n v="1752706"/>
    <n v="0"/>
    <n v="539708"/>
    <n v="1212998"/>
    <m/>
    <m/>
    <x v="0"/>
    <n v="24"/>
    <s v=""/>
    <s v=""/>
    <s v="No Aplica"/>
    <n v="3"/>
    <n v="229854"/>
    <n v="4"/>
    <n v="646245"/>
    <n v="7"/>
    <n v="539708"/>
    <n v="336899"/>
    <m/>
  </r>
  <r>
    <n v="6"/>
    <x v="17"/>
    <x v="1"/>
    <s v="Junio"/>
    <s v="ESTESESE"/>
    <x v="37"/>
    <x v="7"/>
    <n v="0"/>
    <n v="0"/>
    <n v="0"/>
    <n v="0"/>
    <m/>
    <m/>
    <x v="0"/>
    <n v="24"/>
    <s v=""/>
    <s v=""/>
    <s v="No Aplica"/>
    <n v="0"/>
    <n v="0"/>
    <n v="0"/>
    <n v="0"/>
    <n v="0"/>
    <n v="0"/>
    <n v="0"/>
    <m/>
  </r>
  <r>
    <n v="6"/>
    <x v="17"/>
    <x v="1"/>
    <s v="Junio"/>
    <s v="GISECACM"/>
    <x v="37"/>
    <x v="7"/>
    <n v="3621897"/>
    <n v="0"/>
    <n v="2044770"/>
    <n v="1577127"/>
    <m/>
    <m/>
    <x v="0"/>
    <n v="24"/>
    <s v=""/>
    <s v=""/>
    <s v="No Aplica"/>
    <n v="8"/>
    <n v="668277"/>
    <n v="14"/>
    <n v="471965"/>
    <n v="26"/>
    <n v="2044770"/>
    <n v="436885"/>
    <m/>
  </r>
  <r>
    <n v="6"/>
    <x v="17"/>
    <x v="1"/>
    <s v="Junio"/>
    <s v="GISECAM"/>
    <x v="37"/>
    <x v="7"/>
    <n v="0"/>
    <n v="0"/>
    <n v="0"/>
    <n v="0"/>
    <m/>
    <m/>
    <x v="0"/>
    <n v="24"/>
    <s v=""/>
    <s v=""/>
    <s v="No Aplica"/>
    <n v="0"/>
    <n v="0"/>
    <n v="0"/>
    <n v="0"/>
    <n v="0"/>
    <n v="0"/>
    <n v="0"/>
    <m/>
  </r>
  <r>
    <n v="6"/>
    <x v="17"/>
    <x v="1"/>
    <s v="Junio"/>
    <s v="GISECACA"/>
    <x v="37"/>
    <x v="7"/>
    <n v="213897"/>
    <n v="0"/>
    <n v="0"/>
    <n v="213897"/>
    <m/>
    <m/>
    <x v="0"/>
    <n v="24"/>
    <s v=""/>
    <s v=""/>
    <s v="No Aplica"/>
    <n v="1"/>
    <n v="41767"/>
    <n v="2"/>
    <n v="172130"/>
    <n v="0"/>
    <n v="0"/>
    <n v="0"/>
    <m/>
  </r>
  <r>
    <n v="6"/>
    <x v="17"/>
    <x v="1"/>
    <s v="Junio"/>
    <s v="KATHCASG"/>
    <x v="37"/>
    <x v="7"/>
    <n v="183200"/>
    <n v="0"/>
    <n v="0"/>
    <n v="183200"/>
    <m/>
    <m/>
    <x v="0"/>
    <n v="24"/>
    <s v=""/>
    <s v=""/>
    <s v="No Aplica"/>
    <n v="0"/>
    <n v="0"/>
    <n v="0"/>
    <n v="0"/>
    <n v="0"/>
    <n v="0"/>
    <n v="183200"/>
    <m/>
  </r>
  <r>
    <n v="6"/>
    <x v="17"/>
    <x v="1"/>
    <s v="Junio"/>
    <s v="LILIFOVI"/>
    <x v="37"/>
    <x v="7"/>
    <n v="300440"/>
    <n v="0"/>
    <n v="0"/>
    <n v="300440"/>
    <m/>
    <m/>
    <x v="0"/>
    <n v="24"/>
    <s v=""/>
    <s v=""/>
    <s v="No Aplica"/>
    <n v="1"/>
    <n v="108440"/>
    <n v="2"/>
    <n v="192000"/>
    <n v="0"/>
    <n v="0"/>
    <n v="0"/>
    <m/>
  </r>
  <r>
    <n v="6"/>
    <x v="17"/>
    <x v="1"/>
    <s v="Junio"/>
    <s v="MARISEAR"/>
    <x v="37"/>
    <x v="7"/>
    <n v="351170"/>
    <n v="0"/>
    <n v="351170"/>
    <n v="0"/>
    <m/>
    <m/>
    <x v="0"/>
    <n v="24"/>
    <s v=""/>
    <s v=""/>
    <s v="No Aplica"/>
    <n v="0"/>
    <n v="0"/>
    <n v="0"/>
    <n v="0"/>
    <n v="5"/>
    <n v="351170"/>
    <n v="0"/>
    <m/>
  </r>
  <r>
    <n v="6"/>
    <x v="17"/>
    <x v="1"/>
    <s v="Junio"/>
    <s v="MONIMEME"/>
    <x v="37"/>
    <x v="7"/>
    <n v="374000"/>
    <n v="0"/>
    <n v="374000"/>
    <n v="0"/>
    <m/>
    <m/>
    <x v="0"/>
    <n v="24"/>
    <s v=""/>
    <s v=""/>
    <s v="No Aplica"/>
    <n v="0"/>
    <n v="0"/>
    <n v="0"/>
    <n v="0"/>
    <n v="5"/>
    <n v="374000"/>
    <n v="0"/>
    <m/>
  </r>
  <r>
    <n v="6"/>
    <x v="17"/>
    <x v="1"/>
    <s v="Junio"/>
    <s v="OSCADESU"/>
    <x v="37"/>
    <x v="7"/>
    <n v="272607"/>
    <n v="0"/>
    <n v="134285"/>
    <n v="138322"/>
    <m/>
    <m/>
    <x v="0"/>
    <n v="24"/>
    <s v=""/>
    <s v=""/>
    <s v="No Aplica"/>
    <n v="0"/>
    <n v="0"/>
    <n v="2"/>
    <n v="138322"/>
    <n v="1"/>
    <n v="134285"/>
    <n v="0"/>
    <m/>
  </r>
  <r>
    <n v="6"/>
    <x v="17"/>
    <x v="1"/>
    <s v="Junio"/>
    <s v="RUBYHIGA"/>
    <x v="37"/>
    <x v="7"/>
    <n v="191970"/>
    <n v="0"/>
    <n v="0"/>
    <n v="191970"/>
    <m/>
    <m/>
    <x v="0"/>
    <n v="24"/>
    <s v=""/>
    <s v=""/>
    <s v="No Aplica"/>
    <n v="0"/>
    <n v="0"/>
    <n v="4"/>
    <n v="191970"/>
    <n v="0"/>
    <n v="0"/>
    <n v="0"/>
    <m/>
  </r>
  <r>
    <n v="6"/>
    <x v="17"/>
    <x v="1"/>
    <s v="Junio"/>
    <s v="(en blanco)"/>
    <x v="37"/>
    <x v="7"/>
    <n v="-150656"/>
    <n v="0"/>
    <n v="0"/>
    <n v="-150656"/>
    <m/>
    <m/>
    <x v="0"/>
    <n v="24"/>
    <s v=""/>
    <s v=""/>
    <s v="No Aplica"/>
    <n v="0"/>
    <n v="0"/>
    <n v="0"/>
    <n v="0"/>
    <n v="0"/>
    <n v="0"/>
    <n v="-150656"/>
    <m/>
  </r>
  <r>
    <n v="7"/>
    <x v="18"/>
    <x v="1"/>
    <s v="Julio"/>
    <s v="DIANPOPA"/>
    <x v="13"/>
    <x v="33"/>
    <n v="27164816"/>
    <n v="370800"/>
    <n v="1388111"/>
    <n v="25405905"/>
    <n v="31721000"/>
    <n v="0.80091753097317231"/>
    <x v="0"/>
    <n v="24"/>
    <s v=""/>
    <s v=""/>
    <s v="No Aplica"/>
    <n v="59"/>
    <n v="6195217"/>
    <n v="128"/>
    <n v="11948999"/>
    <n v="22"/>
    <n v="1388111"/>
    <n v="7632489"/>
    <m/>
  </r>
  <r>
    <n v="7"/>
    <x v="18"/>
    <x v="1"/>
    <s v="Julio"/>
    <s v="PAULGOBA"/>
    <x v="35"/>
    <x v="36"/>
    <n v="54520375"/>
    <n v="0"/>
    <n v="7179914"/>
    <n v="47340461"/>
    <n v="42000000"/>
    <n v="1.1271538333333333"/>
    <x v="1"/>
    <n v="24"/>
    <s v="Ferias Empresariales Antioquia"/>
    <s v="Antioquia"/>
    <s v="Fluctúa"/>
    <n v="110"/>
    <n v="15020091"/>
    <n v="240"/>
    <n v="25658836"/>
    <n v="93"/>
    <n v="7179914"/>
    <n v="6661534"/>
    <m/>
  </r>
  <r>
    <n v="7"/>
    <x v="18"/>
    <x v="1"/>
    <s v="Julio"/>
    <s v="ANGEROPI"/>
    <x v="46"/>
    <x v="46"/>
    <n v="56889664"/>
    <n v="2116000"/>
    <n v="12307996"/>
    <n v="42465668"/>
    <n v="41000000"/>
    <n v="1.0357479999999999"/>
    <x v="0"/>
    <n v="24"/>
    <s v=""/>
    <s v=""/>
    <s v="No Aplica"/>
    <n v="113"/>
    <n v="11079221"/>
    <n v="280"/>
    <n v="24834467"/>
    <n v="134"/>
    <n v="12307996"/>
    <n v="8667980"/>
    <m/>
  </r>
  <r>
    <n v="7"/>
    <x v="18"/>
    <x v="1"/>
    <s v="Julio"/>
    <s v="BIBIBECA"/>
    <x v="6"/>
    <x v="6"/>
    <n v="69453091"/>
    <n v="773360"/>
    <n v="11522616"/>
    <n v="57157115"/>
    <n v="41166666.666666664"/>
    <n v="1.3884319433198382"/>
    <x v="1"/>
    <n v="24"/>
    <s v="IPS Pto De Vista Centro"/>
    <s v="Antioquia"/>
    <s v="Fluctúa"/>
    <n v="115"/>
    <n v="16582902"/>
    <n v="292"/>
    <n v="34083168"/>
    <n v="144"/>
    <n v="11522616"/>
    <n v="7264405"/>
    <m/>
  </r>
  <r>
    <n v="7"/>
    <x v="18"/>
    <x v="1"/>
    <s v="Julio"/>
    <s v="CAROVABE"/>
    <x v="8"/>
    <x v="32"/>
    <n v="63237777"/>
    <n v="440000"/>
    <n v="15243541"/>
    <n v="47554236"/>
    <n v="41000000"/>
    <n v="1.1598594146341463"/>
    <x v="0"/>
    <n v="24"/>
    <s v=""/>
    <s v=""/>
    <s v="No Aplica"/>
    <n v="120"/>
    <n v="10458616"/>
    <n v="293"/>
    <n v="30170205"/>
    <n v="170"/>
    <n v="15243541"/>
    <n v="7365415"/>
    <m/>
  </r>
  <r>
    <n v="7"/>
    <x v="18"/>
    <x v="1"/>
    <s v="Julio"/>
    <s v="CLAUBLAR"/>
    <x v="9"/>
    <x v="8"/>
    <n v="72673039"/>
    <n v="866000"/>
    <n v="15645326"/>
    <n v="56161713"/>
    <n v="41000000"/>
    <n v="1.3697978780487805"/>
    <x v="1"/>
    <n v="24"/>
    <s v="IPS Pto De Vista Centro"/>
    <s v="Antioquia"/>
    <s v="Fluctúa"/>
    <n v="125"/>
    <n v="12969891"/>
    <n v="312"/>
    <n v="34680844"/>
    <n v="175"/>
    <n v="15645326"/>
    <n v="9376978"/>
    <m/>
  </r>
  <r>
    <n v="7"/>
    <x v="18"/>
    <x v="1"/>
    <s v="Julio"/>
    <s v="HERIRORO"/>
    <x v="52"/>
    <x v="52"/>
    <n v="53457636"/>
    <n v="626000"/>
    <n v="10395799"/>
    <n v="42435837"/>
    <n v="41000000"/>
    <n v="1.0350204146341464"/>
    <x v="1"/>
    <n v="24"/>
    <s v="IPS Pto De Vista Centro"/>
    <s v="Antioquia"/>
    <s v="Siempre Cumple"/>
    <n v="111"/>
    <n v="10208242"/>
    <n v="270"/>
    <n v="23668730"/>
    <n v="121"/>
    <n v="10395799"/>
    <n v="9184865"/>
    <m/>
  </r>
  <r>
    <n v="7"/>
    <x v="18"/>
    <x v="1"/>
    <s v="Julio"/>
    <s v="MARGGAPA"/>
    <x v="22"/>
    <x v="20"/>
    <n v="49969193"/>
    <n v="744000"/>
    <n v="13270247"/>
    <n v="35954946"/>
    <n v="25625000"/>
    <n v="1.403119843902439"/>
    <x v="1"/>
    <n v="24"/>
    <s v="IPS Pto De Vista Centro"/>
    <s v="Antioquia"/>
    <s v="Fluctúa"/>
    <n v="89"/>
    <n v="9623992"/>
    <n v="228"/>
    <n v="21820271"/>
    <n v="161"/>
    <n v="13270247"/>
    <n v="5254683"/>
    <m/>
  </r>
  <r>
    <n v="7"/>
    <x v="18"/>
    <x v="1"/>
    <s v="Julio"/>
    <s v="YULIRIRE"/>
    <x v="57"/>
    <x v="57"/>
    <n v="42128113"/>
    <n v="304000"/>
    <n v="9143899"/>
    <n v="32680214"/>
    <n v="41000000"/>
    <n v="0.79707839024390248"/>
    <x v="1"/>
    <n v="24"/>
    <s v="IPS Punto de Vista Bello"/>
    <s v="Antioquia"/>
    <s v="Fluctúa"/>
    <n v="87"/>
    <n v="8036000"/>
    <n v="222"/>
    <n v="18580986"/>
    <n v="106"/>
    <n v="9143899"/>
    <n v="6367228"/>
    <m/>
  </r>
  <r>
    <n v="7"/>
    <x v="18"/>
    <x v="1"/>
    <s v="Julio"/>
    <s v="ADRIMOLU"/>
    <x v="1"/>
    <x v="1"/>
    <n v="60228056"/>
    <n v="1830000"/>
    <n v="10530726"/>
    <n v="47867330"/>
    <n v="42250000"/>
    <n v="1.1329545562130177"/>
    <x v="1"/>
    <n v="24"/>
    <s v="IPS Pto De Vista Molinos"/>
    <s v="Antioquia"/>
    <s v="Cumple"/>
    <n v="112"/>
    <n v="11623652"/>
    <n v="298"/>
    <n v="31702347"/>
    <n v="113"/>
    <n v="10530726"/>
    <n v="6371331"/>
    <m/>
  </r>
  <r>
    <n v="7"/>
    <x v="18"/>
    <x v="1"/>
    <s v="Julio"/>
    <s v="ANGEGAAR"/>
    <x v="4"/>
    <x v="4"/>
    <n v="21809258"/>
    <n v="644400"/>
    <n v="2540608"/>
    <n v="18624250"/>
    <n v="18000000"/>
    <n v="1.0346805555555556"/>
    <x v="1"/>
    <n v="24"/>
    <s v="IPS Pto De Vista San Diego"/>
    <s v="Antioquia"/>
    <s v="Fluctúa"/>
    <n v="30"/>
    <n v="4518658"/>
    <n v="78"/>
    <n v="11388854"/>
    <n v="32"/>
    <n v="2540608"/>
    <n v="3361138"/>
    <m/>
  </r>
  <r>
    <n v="7"/>
    <x v="18"/>
    <x v="1"/>
    <s v="Julio"/>
    <s v="NATAPIDU"/>
    <x v="28"/>
    <x v="25"/>
    <n v="40606049"/>
    <n v="318680"/>
    <n v="4079589"/>
    <n v="36207780"/>
    <n v="36000000"/>
    <n v="1.0057716666666667"/>
    <x v="1"/>
    <n v="24"/>
    <s v="IPS Pto De Vista Industriales"/>
    <s v="Antioquia"/>
    <s v="Cumple"/>
    <n v="51"/>
    <n v="10275644"/>
    <n v="108"/>
    <n v="21499300"/>
    <n v="45"/>
    <n v="4079589"/>
    <n v="4751516"/>
    <m/>
  </r>
  <r>
    <n v="7"/>
    <x v="18"/>
    <x v="1"/>
    <s v="Julio"/>
    <s v="ELIZVESU"/>
    <x v="15"/>
    <x v="13"/>
    <n v="57879690"/>
    <n v="1688800"/>
    <n v="11805310"/>
    <n v="44385580"/>
    <n v="34041666.666666672"/>
    <n v="1.3038603671970623"/>
    <x v="1"/>
    <n v="24"/>
    <s v="IPS Pto De Vista Unicentro"/>
    <s v="Antioquia"/>
    <s v="Fluctúa"/>
    <n v="94"/>
    <n v="10281587"/>
    <n v="240"/>
    <n v="29248537"/>
    <n v="126"/>
    <n v="11805310"/>
    <n v="6544256"/>
    <m/>
  </r>
  <r>
    <n v="7"/>
    <x v="18"/>
    <x v="1"/>
    <s v="Julio"/>
    <s v="SUANHECO"/>
    <x v="58"/>
    <x v="58"/>
    <n v="53143488"/>
    <n v="976000"/>
    <n v="9248652"/>
    <n v="42918836"/>
    <n v="34041666.666666672"/>
    <n v="1.2607736401468785"/>
    <x v="1"/>
    <n v="24"/>
    <s v="IPS Pto De Vista Molinos"/>
    <s v="Antioquia"/>
    <s v="Fluctúa"/>
    <n v="88"/>
    <n v="9700054"/>
    <n v="230"/>
    <n v="27088398"/>
    <n v="106"/>
    <n v="9248652"/>
    <n v="7106384"/>
    <m/>
  </r>
  <r>
    <n v="7"/>
    <x v="18"/>
    <x v="1"/>
    <s v="Julio"/>
    <s v="ZULYARGA"/>
    <x v="34"/>
    <x v="31"/>
    <n v="71842319"/>
    <n v="206000"/>
    <n v="15874199"/>
    <n v="55762120"/>
    <n v="43000000"/>
    <n v="1.2967934883720931"/>
    <x v="1"/>
    <n v="24"/>
    <s v="IPS Pto De Vista Molinos"/>
    <s v="Antioquia"/>
    <n v="0"/>
    <n v="128"/>
    <n v="12741239"/>
    <n v="328"/>
    <n v="36832241"/>
    <n v="179"/>
    <n v="15874199"/>
    <n v="6394640"/>
    <m/>
  </r>
  <r>
    <n v="7"/>
    <x v="18"/>
    <x v="1"/>
    <s v="Julio"/>
    <s v="VIVIVAZA"/>
    <x v="33"/>
    <x v="30"/>
    <n v="103867711"/>
    <n v="639000"/>
    <n v="23386455"/>
    <n v="79842256"/>
    <n v="43000000"/>
    <n v="1.8567966511627907"/>
    <x v="1"/>
    <n v="24"/>
    <s v="IPS Pto De Vista Unicentro"/>
    <s v="Antioquia"/>
    <s v="Cumple"/>
    <n v="174"/>
    <n v="17431781"/>
    <n v="445"/>
    <n v="51060091"/>
    <n v="246"/>
    <n v="23386455"/>
    <n v="11989384"/>
    <m/>
  </r>
  <r>
    <n v="7"/>
    <x v="18"/>
    <x v="1"/>
    <s v="Julio"/>
    <s v="DERLARMO"/>
    <x v="11"/>
    <x v="10"/>
    <n v="32211226"/>
    <n v="440000"/>
    <n v="6063688"/>
    <n v="25707538"/>
    <n v="20000000"/>
    <n v="1.2853768999999999"/>
    <x v="1"/>
    <n v="24"/>
    <s v="IPS Pto De Vista Olaya"/>
    <s v="Centro"/>
    <s v="Cumple"/>
    <n v="96"/>
    <n v="6197831"/>
    <n v="216"/>
    <n v="17315995"/>
    <n v="95"/>
    <n v="6063688"/>
    <n v="2633712"/>
    <m/>
  </r>
  <r>
    <n v="7"/>
    <x v="18"/>
    <x v="1"/>
    <s v="Julio"/>
    <s v="RAULMOGA"/>
    <x v="30"/>
    <x v="27"/>
    <n v="37181858"/>
    <n v="220000"/>
    <n v="8314449"/>
    <n v="28647409"/>
    <n v="20000000"/>
    <n v="1.4323704500000001"/>
    <x v="0"/>
    <n v="24"/>
    <s v="IPS Pto De Vista Olaya"/>
    <s v="Centro"/>
    <s v="No Aplica"/>
    <n v="99"/>
    <n v="6615393"/>
    <n v="237"/>
    <n v="19240675"/>
    <n v="117"/>
    <n v="8314449"/>
    <n v="3011341"/>
    <m/>
  </r>
  <r>
    <n v="7"/>
    <x v="18"/>
    <x v="1"/>
    <s v="Julio"/>
    <s v="ALVAOSOS"/>
    <x v="36"/>
    <x v="37"/>
    <n v="55256749"/>
    <n v="852000"/>
    <n v="10572991"/>
    <n v="43831758"/>
    <n v="43000000"/>
    <n v="1.0193432093023256"/>
    <x v="1"/>
    <n v="24"/>
    <s v="IPS Pto De Vista Punto Clave"/>
    <s v="Antioquia"/>
    <s v="Siempre Cumple"/>
    <n v="88"/>
    <n v="8778905"/>
    <n v="217"/>
    <n v="27246022"/>
    <n v="114"/>
    <n v="10572991"/>
    <n v="8658831"/>
    <m/>
  </r>
  <r>
    <n v="7"/>
    <x v="18"/>
    <x v="1"/>
    <s v="Julio"/>
    <s v="DEISCACR"/>
    <x v="50"/>
    <x v="50"/>
    <n v="56871129"/>
    <n v="1216000"/>
    <n v="11795466"/>
    <n v="43859663"/>
    <n v="43000000"/>
    <n v="1.0199921627906976"/>
    <x v="1"/>
    <n v="24"/>
    <s v="IPS Pto De Vista Punto Clave"/>
    <s v="Antioquia"/>
    <s v="Fluctúa"/>
    <n v="97"/>
    <n v="12483903"/>
    <n v="224"/>
    <n v="25092117"/>
    <n v="144"/>
    <n v="11795466"/>
    <n v="7499643"/>
    <m/>
  </r>
  <r>
    <n v="7"/>
    <x v="18"/>
    <x v="1"/>
    <s v="Julio"/>
    <s v="GENNHEPO"/>
    <x v="16"/>
    <x v="14"/>
    <n v="58721303"/>
    <n v="744000"/>
    <n v="13725318"/>
    <n v="44251985"/>
    <n v="43000000"/>
    <n v="1.0291159302325581"/>
    <x v="1"/>
    <n v="24"/>
    <s v="IPS Pto De Vista Punto Clave"/>
    <s v="Antioquia"/>
    <s v="Fluctúa"/>
    <n v="117"/>
    <n v="10415676"/>
    <n v="292"/>
    <n v="27383869"/>
    <n v="151"/>
    <n v="13725318"/>
    <n v="7196440"/>
    <m/>
  </r>
  <r>
    <n v="7"/>
    <x v="18"/>
    <x v="1"/>
    <s v="Julio"/>
    <s v="LEIDGOVI"/>
    <x v="39"/>
    <x v="39"/>
    <n v="34679994"/>
    <n v="808000"/>
    <n v="5519595"/>
    <n v="28352399"/>
    <n v="25083333.333333336"/>
    <n v="1.1303281993355481"/>
    <x v="1"/>
    <n v="24"/>
    <s v="IPS Pto De Vista Punto Clave"/>
    <s v="Antioquia"/>
    <s v="Fluctúa"/>
    <n v="51"/>
    <n v="5729702"/>
    <n v="136"/>
    <n v="17135235"/>
    <n v="63"/>
    <n v="5519595"/>
    <n v="6295462"/>
    <m/>
  </r>
  <r>
    <n v="7"/>
    <x v="18"/>
    <x v="1"/>
    <s v="Julio"/>
    <s v="YENYSUPE"/>
    <x v="51"/>
    <x v="51"/>
    <n v="56119944"/>
    <n v="611000"/>
    <n v="11079957"/>
    <n v="44428987"/>
    <n v="43000000"/>
    <n v="1.0332322558139535"/>
    <x v="1"/>
    <n v="24"/>
    <s v="IPS Pto De Vista Punto Clave"/>
    <s v="Antioquia"/>
    <s v="Cumple"/>
    <n v="86"/>
    <n v="8715998"/>
    <n v="226"/>
    <n v="26036876"/>
    <n v="119"/>
    <n v="11079957"/>
    <n v="10287113"/>
    <m/>
  </r>
  <r>
    <n v="7"/>
    <x v="18"/>
    <x v="1"/>
    <s v="Julio"/>
    <s v="YURAUSVE"/>
    <x v="56"/>
    <x v="56"/>
    <n v="55992143"/>
    <n v="880000"/>
    <n v="10313623"/>
    <n v="44798520"/>
    <n v="43000000"/>
    <n v="1.0418260465116278"/>
    <x v="1"/>
    <n v="24"/>
    <s v="IPS Pto De Vista Punto Clave"/>
    <s v="Antioquia"/>
    <n v="0"/>
    <n v="102"/>
    <n v="9069520"/>
    <n v="252"/>
    <n v="25797721"/>
    <n v="126"/>
    <n v="10313623"/>
    <n v="10811279"/>
    <m/>
  </r>
  <r>
    <n v="7"/>
    <x v="18"/>
    <x v="1"/>
    <s v="Julio"/>
    <s v="DIANPAAL"/>
    <x v="12"/>
    <x v="11"/>
    <n v="46635165"/>
    <n v="1634600"/>
    <n v="9246540"/>
    <n v="35754025"/>
    <n v="33000000"/>
    <n v="1.0834553030303031"/>
    <x v="1"/>
    <n v="24"/>
    <s v="IPS Pto De Vista Rionegro"/>
    <s v="Antioquia"/>
    <s v="Cumple"/>
    <n v="90"/>
    <n v="9991364"/>
    <n v="220"/>
    <n v="22865091"/>
    <n v="110"/>
    <n v="9246540"/>
    <n v="4532170"/>
    <m/>
  </r>
  <r>
    <n v="7"/>
    <x v="18"/>
    <x v="1"/>
    <s v="Julio"/>
    <s v="JAQUVEGU"/>
    <x v="18"/>
    <x v="16"/>
    <n v="46467443"/>
    <n v="2617800"/>
    <n v="8695601"/>
    <n v="35154042"/>
    <n v="33000000"/>
    <n v="1.0652740000000001"/>
    <x v="0"/>
    <n v="24"/>
    <s v="IPS Pto De Vista Rionegro"/>
    <s v="Antioquia"/>
    <s v="No Aplica"/>
    <n v="85"/>
    <n v="9781332"/>
    <n v="226"/>
    <n v="20413586"/>
    <n v="109"/>
    <n v="8695601"/>
    <n v="7576924"/>
    <m/>
  </r>
  <r>
    <n v="7"/>
    <x v="18"/>
    <x v="1"/>
    <s v="Julio"/>
    <s v="MARIOCOC"/>
    <x v="24"/>
    <x v="21"/>
    <n v="48487735"/>
    <n v="3600400"/>
    <n v="8235801"/>
    <n v="36651534"/>
    <n v="33000000"/>
    <n v="1.1106525454545455"/>
    <x v="1"/>
    <n v="24"/>
    <s v="IPS Pto De Vista Rionegro"/>
    <s v="Antioquia"/>
    <s v="Cumple"/>
    <n v="79"/>
    <n v="8274587"/>
    <n v="208"/>
    <n v="22405839"/>
    <n v="105"/>
    <n v="8235801"/>
    <n v="9571508"/>
    <m/>
  </r>
  <r>
    <n v="7"/>
    <x v="18"/>
    <x v="1"/>
    <s v="Julio"/>
    <s v="ERIKSAVA"/>
    <x v="44"/>
    <x v="44"/>
    <n v="41669649"/>
    <n v="1996000"/>
    <n v="9349018"/>
    <n v="30324631"/>
    <n v="30100000"/>
    <n v="1.0074628239202659"/>
    <x v="1"/>
    <n v="24"/>
    <s v="IPS Pto De Vista San Diego"/>
    <s v="Antioquia"/>
    <s v="No Cumple"/>
    <n v="87"/>
    <n v="8249468"/>
    <n v="182"/>
    <n v="16642441"/>
    <n v="113"/>
    <n v="9349018"/>
    <n v="7428722"/>
    <m/>
  </r>
  <r>
    <n v="7"/>
    <x v="18"/>
    <x v="1"/>
    <s v="Julio"/>
    <s v="HISNOSPI"/>
    <x v="49"/>
    <x v="49"/>
    <n v="49381950"/>
    <n v="1294000"/>
    <n v="12366204"/>
    <n v="35721746"/>
    <n v="30100000"/>
    <n v="1.1867689700996678"/>
    <x v="0"/>
    <n v="24"/>
    <s v="IPS Pto De Vista San Diego"/>
    <s v="Antioquia"/>
    <s v="No Aplica"/>
    <n v="104"/>
    <n v="8522215"/>
    <n v="256"/>
    <n v="23451712"/>
    <n v="135"/>
    <n v="12366204"/>
    <n v="5041819"/>
    <m/>
  </r>
  <r>
    <n v="7"/>
    <x v="18"/>
    <x v="1"/>
    <s v="Julio"/>
    <s v="MARIMASA"/>
    <x v="23"/>
    <x v="34"/>
    <n v="40278086"/>
    <n v="0"/>
    <n v="8294533"/>
    <n v="31983553"/>
    <n v="30100000"/>
    <n v="1.0625765116279069"/>
    <x v="1"/>
    <n v="24"/>
    <s v="IPS Pto De Vista San Diego"/>
    <s v="Antioquia"/>
    <s v="Siempre Cumple"/>
    <n v="73"/>
    <n v="7817310"/>
    <n v="190"/>
    <n v="18953671"/>
    <n v="89"/>
    <n v="8294533"/>
    <n v="5212572"/>
    <m/>
  </r>
  <r>
    <n v="7"/>
    <x v="18"/>
    <x v="1"/>
    <s v="Julio"/>
    <s v="ANDRSAZA"/>
    <x v="45"/>
    <x v="45"/>
    <n v="42195965"/>
    <n v="1246000"/>
    <n v="5285051"/>
    <n v="35664914"/>
    <n v="22000000"/>
    <n v="1.6211324545454546"/>
    <x v="1"/>
    <n v="24"/>
    <s v="IPS Pto De Vista Santa Bárbara"/>
    <s v="Centro"/>
    <s v="Cumple"/>
    <n v="81"/>
    <n v="8607276"/>
    <n v="237"/>
    <n v="25876038"/>
    <n v="84"/>
    <n v="5285051"/>
    <n v="2427600"/>
    <m/>
  </r>
  <r>
    <n v="7"/>
    <x v="18"/>
    <x v="1"/>
    <s v="Julio"/>
    <s v="ISABMOGO"/>
    <x v="17"/>
    <x v="15"/>
    <n v="33327832"/>
    <n v="812000"/>
    <n v="5145416"/>
    <n v="27370416"/>
    <n v="15583333.333333332"/>
    <n v="1.7563903315508023"/>
    <x v="1"/>
    <n v="24"/>
    <s v="IPS Pto De Vista Santa Bárbara"/>
    <s v="Centro"/>
    <s v="No Cumple"/>
    <n v="55"/>
    <n v="5800191"/>
    <n v="168"/>
    <n v="18099137"/>
    <n v="79"/>
    <n v="5145416"/>
    <n v="4283088"/>
    <m/>
  </r>
  <r>
    <n v="7"/>
    <x v="18"/>
    <x v="1"/>
    <s v="Julio"/>
    <s v="CAMIPUHE"/>
    <x v="53"/>
    <x v="53"/>
    <n v="26035110"/>
    <n v="1404000"/>
    <n v="4885513"/>
    <n v="19745597"/>
    <n v="22000000"/>
    <n v="0.89752713636363635"/>
    <x v="1"/>
    <n v="24"/>
    <s v="IPS Pto De Vista SSura Clle100"/>
    <s v="Centro"/>
    <s v="Cumple"/>
    <n v="43"/>
    <n v="4270661"/>
    <n v="94"/>
    <n v="13113006"/>
    <n v="63"/>
    <n v="4885513"/>
    <n v="3765930"/>
    <m/>
  </r>
  <r>
    <n v="7"/>
    <x v="18"/>
    <x v="1"/>
    <s v="Julio"/>
    <s v="LUZNHEGO"/>
    <x v="21"/>
    <x v="19"/>
    <n v="33688961"/>
    <n v="581400"/>
    <n v="867449"/>
    <n v="32240112"/>
    <n v="25000000"/>
    <n v="1.2896044799999999"/>
    <x v="1"/>
    <n v="24"/>
    <s v="IPS Punto de Vista Mayorca"/>
    <s v="Antioquia"/>
    <s v="Siempre Cumple"/>
    <n v="52"/>
    <n v="8405513"/>
    <n v="142"/>
    <n v="21438316"/>
    <n v="13"/>
    <n v="867449"/>
    <n v="2977683"/>
    <m/>
  </r>
  <r>
    <n v="7"/>
    <x v="18"/>
    <x v="1"/>
    <s v="Julio"/>
    <s v="ANAMLOBE"/>
    <x v="3"/>
    <x v="3"/>
    <n v="70340603"/>
    <n v="1706000"/>
    <n v="11639781"/>
    <n v="56994822"/>
    <n v="43000000"/>
    <n v="1.3254609767441861"/>
    <x v="1"/>
    <n v="24"/>
    <s v="IPS Pto De Vista Unicentro"/>
    <s v="Antioquia"/>
    <s v="Siempre Cumple"/>
    <n v="135"/>
    <n v="17719927"/>
    <n v="302"/>
    <n v="31732255"/>
    <n v="129"/>
    <n v="11639781"/>
    <n v="9248640"/>
    <m/>
  </r>
  <r>
    <n v="7"/>
    <x v="18"/>
    <x v="1"/>
    <s v="Julio"/>
    <s v="DIANQUME"/>
    <x v="14"/>
    <x v="12"/>
    <n v="36556530"/>
    <n v="1652000"/>
    <n v="6212099"/>
    <n v="28692431"/>
    <n v="28666666.666666668"/>
    <n v="1.0008987558139535"/>
    <x v="1"/>
    <n v="24"/>
    <s v="IPS Pto De Vista Molinos"/>
    <s v="Antioquia"/>
    <s v="Cumple"/>
    <n v="58"/>
    <n v="6353432"/>
    <n v="162"/>
    <n v="17833535"/>
    <n v="73"/>
    <n v="6212099"/>
    <n v="6157464"/>
    <m/>
  </r>
  <r>
    <n v="7"/>
    <x v="18"/>
    <x v="1"/>
    <s v="Julio"/>
    <s v="LILACARA"/>
    <x v="19"/>
    <x v="17"/>
    <n v="64273872"/>
    <n v="2081800"/>
    <n v="12711279"/>
    <n v="49480793"/>
    <n v="43000000"/>
    <n v="1.1507161162790698"/>
    <x v="1"/>
    <n v="24"/>
    <s v="IPS Pto De Vista Molinos"/>
    <s v="Antioquia"/>
    <s v="Cumple"/>
    <n v="93"/>
    <n v="10732248"/>
    <n v="282"/>
    <n v="31305852"/>
    <n v="144"/>
    <n v="12711279"/>
    <n v="9524493"/>
    <m/>
  </r>
  <r>
    <n v="7"/>
    <x v="18"/>
    <x v="1"/>
    <s v="Julio"/>
    <s v="ALEXLOGR"/>
    <x v="2"/>
    <x v="2"/>
    <n v="42436640"/>
    <n v="894000"/>
    <n v="10702354"/>
    <n v="30840286"/>
    <n v="29000000"/>
    <n v="1.0634581379310344"/>
    <x v="1"/>
    <n v="24"/>
    <s v="IPS Punto de Vista Bello"/>
    <s v="Antioquia"/>
    <s v="Fluctúa"/>
    <n v="56"/>
    <n v="5228596"/>
    <n v="190"/>
    <n v="21014098"/>
    <n v="118"/>
    <n v="10702354"/>
    <n v="5491592"/>
    <m/>
  </r>
  <r>
    <n v="7"/>
    <x v="18"/>
    <x v="1"/>
    <s v="Julio"/>
    <s v="CINDGACU"/>
    <x v="55"/>
    <x v="55"/>
    <n v="41941530"/>
    <n v="1266000"/>
    <n v="10283984"/>
    <n v="30391546"/>
    <n v="29000000"/>
    <n v="1.0479843448275863"/>
    <x v="1"/>
    <n v="24"/>
    <s v="IPS Pto De Vista San Diego"/>
    <s v="Antioquia"/>
    <s v="Siempre Cumple"/>
    <n v="87"/>
    <n v="6867947"/>
    <n v="224"/>
    <n v="19764240"/>
    <n v="129"/>
    <n v="10283984"/>
    <n v="5025359"/>
    <m/>
  </r>
  <r>
    <n v="7"/>
    <x v="18"/>
    <x v="1"/>
    <s v="Julio"/>
    <s v="CARORICA"/>
    <x v="59"/>
    <x v="59"/>
    <n v="16727419"/>
    <n v="0"/>
    <n v="4754010"/>
    <n v="11973409"/>
    <n v="30000000"/>
    <n v="0.39911363333333333"/>
    <x v="0"/>
    <n v="24"/>
    <s v=""/>
    <s v=""/>
    <s v="No Aplica"/>
    <n v="25"/>
    <n v="2751671"/>
    <n v="110"/>
    <n v="6758071"/>
    <n v="61"/>
    <n v="4754010"/>
    <n v="2463667"/>
    <m/>
  </r>
  <r>
    <n v="7"/>
    <x v="18"/>
    <x v="1"/>
    <s v="Julio"/>
    <s v="TATIRITR"/>
    <x v="60"/>
    <x v="60"/>
    <n v="17224041"/>
    <n v="0"/>
    <n v="5396117"/>
    <n v="11827924"/>
    <n v="30000000"/>
    <n v="0.39426413333333332"/>
    <x v="1"/>
    <n v="24"/>
    <s v="Punto de Vista Cali Norte"/>
    <s v="Occidente"/>
    <s v="No Cumple"/>
    <n v="26"/>
    <n v="2591075"/>
    <n v="96"/>
    <n v="7804113"/>
    <n v="76"/>
    <n v="5396117"/>
    <n v="1432736"/>
    <m/>
  </r>
  <r>
    <n v="7"/>
    <x v="18"/>
    <x v="1"/>
    <s v="Julio"/>
    <s v="PAOLPACA"/>
    <x v="47"/>
    <x v="47"/>
    <n v="27688360"/>
    <n v="0"/>
    <n v="8042120"/>
    <n v="19646240"/>
    <n v="30000000"/>
    <n v="0.65487466666666672"/>
    <x v="1"/>
    <n v="24"/>
    <s v="Punto de Vista Tequendama"/>
    <s v="Occidente"/>
    <s v="Siempre Cumple"/>
    <n v="42"/>
    <n v="3786076"/>
    <n v="156"/>
    <n v="13316300"/>
    <n v="98"/>
    <n v="8042120"/>
    <n v="2543864"/>
    <m/>
  </r>
  <r>
    <n v="7"/>
    <x v="18"/>
    <x v="1"/>
    <s v="Julio"/>
    <s v="ROCIFASA"/>
    <x v="31"/>
    <x v="28"/>
    <n v="37606262"/>
    <n v="203040"/>
    <n v="6494044"/>
    <n v="30909178"/>
    <n v="25000000"/>
    <n v="1.2363671199999999"/>
    <x v="1"/>
    <n v="24"/>
    <s v="Optica Salud Sura Chipichape"/>
    <s v="Occidente"/>
    <s v="Cumple"/>
    <n v="61"/>
    <n v="10083102"/>
    <n v="162"/>
    <n v="17147271"/>
    <n v="65"/>
    <n v="6494044"/>
    <n v="3881845"/>
    <m/>
  </r>
  <r>
    <n v="7"/>
    <x v="18"/>
    <x v="1"/>
    <s v="Julio"/>
    <s v="DARWHERI"/>
    <x v="37"/>
    <x v="7"/>
    <n v="1218800"/>
    <n v="0"/>
    <n v="219350"/>
    <n v="999450"/>
    <m/>
    <m/>
    <x v="0"/>
    <n v="24"/>
    <s v=""/>
    <s v=""/>
    <s v="No Aplica"/>
    <n v="3"/>
    <n v="274500"/>
    <n v="6"/>
    <n v="284950"/>
    <n v="5"/>
    <n v="219350"/>
    <n v="440000"/>
    <m/>
  </r>
  <r>
    <n v="7"/>
    <x v="18"/>
    <x v="1"/>
    <s v="Julio"/>
    <s v="GISECACM"/>
    <x v="37"/>
    <x v="7"/>
    <n v="151361"/>
    <n v="0"/>
    <n v="0"/>
    <n v="151361"/>
    <m/>
    <m/>
    <x v="0"/>
    <n v="24"/>
    <s v=""/>
    <s v=""/>
    <s v="No Aplica"/>
    <n v="1"/>
    <n v="109786"/>
    <n v="2"/>
    <n v="41575"/>
    <n v="0"/>
    <n v="0"/>
    <n v="0"/>
    <m/>
  </r>
  <r>
    <n v="7"/>
    <x v="18"/>
    <x v="1"/>
    <s v="Julio"/>
    <s v="OSCADESU"/>
    <x v="37"/>
    <x v="7"/>
    <n v="43871"/>
    <n v="0"/>
    <n v="43870"/>
    <n v="1"/>
    <m/>
    <m/>
    <x v="0"/>
    <n v="24"/>
    <s v=""/>
    <s v=""/>
    <s v="No Aplica"/>
    <n v="0"/>
    <n v="0"/>
    <n v="0"/>
    <n v="0"/>
    <n v="1"/>
    <n v="43870"/>
    <n v="1"/>
    <m/>
  </r>
  <r>
    <n v="7"/>
    <x v="18"/>
    <x v="1"/>
    <s v="Julio"/>
    <s v="RUBYHIGA"/>
    <x v="37"/>
    <x v="7"/>
    <n v="696875"/>
    <n v="0"/>
    <n v="0"/>
    <n v="696875"/>
    <m/>
    <m/>
    <x v="0"/>
    <n v="24"/>
    <s v=""/>
    <s v=""/>
    <s v="No Aplica"/>
    <n v="1"/>
    <n v="70345"/>
    <n v="2"/>
    <n v="186530"/>
    <n v="0"/>
    <n v="0"/>
    <n v="440000"/>
    <m/>
  </r>
  <r>
    <n v="7"/>
    <x v="18"/>
    <x v="1"/>
    <s v="Julio"/>
    <s v="USERPI"/>
    <x v="37"/>
    <x v="7"/>
    <n v="43870"/>
    <n v="0"/>
    <n v="43870"/>
    <n v="0"/>
    <m/>
    <m/>
    <x v="0"/>
    <n v="24"/>
    <s v=""/>
    <s v=""/>
    <s v="No Aplica"/>
    <n v="0"/>
    <n v="0"/>
    <n v="0"/>
    <n v="0"/>
    <n v="1"/>
    <n v="43870"/>
    <n v="0"/>
    <m/>
  </r>
  <r>
    <n v="7"/>
    <x v="18"/>
    <x v="1"/>
    <s v="Julio"/>
    <n v="4433311064"/>
    <x v="37"/>
    <x v="7"/>
    <n v="134285"/>
    <n v="0"/>
    <n v="134285"/>
    <n v="0"/>
    <m/>
    <m/>
    <x v="0"/>
    <n v="24"/>
    <s v=""/>
    <s v=""/>
    <s v="No Aplica"/>
    <n v="0"/>
    <n v="0"/>
    <n v="0"/>
    <n v="0"/>
    <n v="1"/>
    <n v="134285"/>
    <n v="0"/>
    <m/>
  </r>
  <r>
    <n v="7"/>
    <x v="18"/>
    <x v="1"/>
    <s v="Julio"/>
    <n v="4433285837"/>
    <x v="37"/>
    <x v="7"/>
    <n v="134285"/>
    <n v="0"/>
    <n v="134285"/>
    <n v="0"/>
    <m/>
    <m/>
    <x v="0"/>
    <n v="24"/>
    <s v=""/>
    <s v=""/>
    <s v="No Aplica"/>
    <n v="0"/>
    <n v="0"/>
    <n v="0"/>
    <n v="0"/>
    <n v="1"/>
    <n v="134285"/>
    <n v="0"/>
    <m/>
  </r>
  <r>
    <n v="7"/>
    <x v="18"/>
    <x v="1"/>
    <s v="Julio"/>
    <n v="4433628391"/>
    <x v="37"/>
    <x v="7"/>
    <n v="134285"/>
    <n v="0"/>
    <n v="134285"/>
    <n v="0"/>
    <m/>
    <m/>
    <x v="0"/>
    <n v="24"/>
    <s v=""/>
    <s v=""/>
    <s v="No Aplica"/>
    <n v="0"/>
    <n v="0"/>
    <n v="0"/>
    <n v="0"/>
    <n v="1"/>
    <n v="134285"/>
    <n v="0"/>
    <m/>
  </r>
  <r>
    <n v="7"/>
    <x v="18"/>
    <x v="1"/>
    <s v="Julio"/>
    <s v="(en blanco)"/>
    <x v="37"/>
    <x v="7"/>
    <n v="-328017"/>
    <n v="0"/>
    <n v="0"/>
    <n v="-328017"/>
    <m/>
    <m/>
    <x v="0"/>
    <n v="24"/>
    <s v=""/>
    <s v=""/>
    <s v="No Aplica"/>
    <n v="16"/>
    <n v="-67648"/>
    <n v="36"/>
    <n v="-138667"/>
    <n v="0"/>
    <n v="0"/>
    <n v="-121702"/>
    <m/>
  </r>
  <r>
    <n v="8"/>
    <x v="19"/>
    <x v="1"/>
    <s v="Agosto"/>
    <s v="DIANPOPA"/>
    <x v="13"/>
    <x v="33"/>
    <n v="27183606"/>
    <n v="273600"/>
    <n v="1933704"/>
    <n v="24976302"/>
    <n v="31721000"/>
    <n v="0.78737435768103148"/>
    <x v="0"/>
    <n v="25"/>
    <s v=""/>
    <s v=""/>
    <s v="No Aplica"/>
    <n v="52"/>
    <n v="4761564"/>
    <n v="114"/>
    <n v="11014495"/>
    <n v="27"/>
    <n v="1933704"/>
    <n v="9473843"/>
    <m/>
  </r>
  <r>
    <n v="8"/>
    <x v="19"/>
    <x v="1"/>
    <s v="Agosto"/>
    <s v="PAULGOBA"/>
    <x v="35"/>
    <x v="36"/>
    <n v="34517374"/>
    <n v="0"/>
    <n v="3786944"/>
    <n v="30730430"/>
    <n v="42000000"/>
    <n v="0.73167690476190472"/>
    <x v="1"/>
    <n v="25"/>
    <s v="Ferias Empresariales Antioquia"/>
    <s v="Antioquia"/>
    <s v="Fluctúa"/>
    <n v="38"/>
    <n v="3855032"/>
    <n v="96"/>
    <n v="10303755"/>
    <n v="61"/>
    <n v="3786944"/>
    <n v="16571643"/>
    <m/>
  </r>
  <r>
    <n v="8"/>
    <x v="19"/>
    <x v="1"/>
    <s v="Agosto"/>
    <s v="ANGEROPI"/>
    <x v="46"/>
    <x v="46"/>
    <n v="35923773"/>
    <n v="2062000"/>
    <n v="9349018"/>
    <n v="24512755"/>
    <n v="37720000"/>
    <n v="0.64986094909862147"/>
    <x v="0"/>
    <n v="25"/>
    <s v=""/>
    <s v=""/>
    <s v="No Aplica"/>
    <n v="55"/>
    <n v="5685069"/>
    <n v="150"/>
    <n v="14676705"/>
    <n v="106"/>
    <n v="9349018"/>
    <n v="6212981"/>
    <m/>
  </r>
  <r>
    <n v="8"/>
    <x v="19"/>
    <x v="1"/>
    <s v="Agosto"/>
    <s v="BIBIBECA"/>
    <x v="6"/>
    <x v="6"/>
    <n v="64312735"/>
    <n v="1512000"/>
    <n v="14043964"/>
    <n v="48756771"/>
    <n v="41000000"/>
    <n v="1.1891895365853657"/>
    <x v="1"/>
    <n v="25"/>
    <s v="IPS Pto De Vista Centro"/>
    <s v="Antioquia"/>
    <s v="Fluctúa"/>
    <n v="112"/>
    <n v="11945797"/>
    <n v="282"/>
    <n v="30559914"/>
    <n v="158"/>
    <n v="14043964"/>
    <n v="7763060"/>
    <m/>
  </r>
  <r>
    <n v="8"/>
    <x v="19"/>
    <x v="1"/>
    <s v="Agosto"/>
    <s v="CAROVABE"/>
    <x v="8"/>
    <x v="32"/>
    <n v="55141619"/>
    <n v="2078000"/>
    <n v="11555037"/>
    <n v="41508582"/>
    <n v="41000000"/>
    <n v="1.0124044390243903"/>
    <x v="0"/>
    <n v="25"/>
    <s v=""/>
    <s v=""/>
    <s v="No Aplica"/>
    <n v="107"/>
    <n v="10945310"/>
    <n v="262"/>
    <n v="25096309"/>
    <n v="131"/>
    <n v="11555037"/>
    <n v="7544963"/>
    <m/>
  </r>
  <r>
    <n v="8"/>
    <x v="19"/>
    <x v="1"/>
    <s v="Agosto"/>
    <s v="CLAUBLAR"/>
    <x v="9"/>
    <x v="8"/>
    <n v="64809010"/>
    <n v="744000"/>
    <n v="13688189"/>
    <n v="50376821"/>
    <n v="41000000"/>
    <n v="1.2287029512195122"/>
    <x v="1"/>
    <n v="25"/>
    <s v="IPS Pto De Vista Centro"/>
    <s v="Antioquia"/>
    <s v="Fluctúa"/>
    <n v="112"/>
    <n v="13373766"/>
    <n v="261"/>
    <n v="28670350"/>
    <n v="149"/>
    <n v="13688189"/>
    <n v="9076705"/>
    <m/>
  </r>
  <r>
    <n v="8"/>
    <x v="19"/>
    <x v="1"/>
    <s v="Agosto"/>
    <s v="HERIRORO"/>
    <x v="52"/>
    <x v="52"/>
    <n v="54199681"/>
    <n v="1130000"/>
    <n v="10780678"/>
    <n v="42289003"/>
    <n v="41000000"/>
    <n v="1.0314390975609755"/>
    <x v="1"/>
    <n v="25"/>
    <s v="IPS Pto De Vista Centro"/>
    <s v="Antioquia"/>
    <s v="Siempre Cumple"/>
    <n v="107"/>
    <n v="10852755"/>
    <n v="252"/>
    <n v="25378137"/>
    <n v="123"/>
    <n v="10780678"/>
    <n v="7188111"/>
    <m/>
  </r>
  <r>
    <n v="8"/>
    <x v="19"/>
    <x v="1"/>
    <s v="Agosto"/>
    <s v="MARGGAPA"/>
    <x v="22"/>
    <x v="20"/>
    <n v="66742440"/>
    <n v="295000"/>
    <n v="15719905"/>
    <n v="50727535"/>
    <n v="41000000"/>
    <n v="1.2372569512195122"/>
    <x v="1"/>
    <n v="25"/>
    <s v="IPS Pto De Vista Centro"/>
    <s v="Antioquia"/>
    <s v="Fluctúa"/>
    <n v="119"/>
    <n v="14667593"/>
    <n v="277"/>
    <n v="30667295"/>
    <n v="170"/>
    <n v="15719905"/>
    <n v="5687647"/>
    <m/>
  </r>
  <r>
    <n v="8"/>
    <x v="19"/>
    <x v="1"/>
    <s v="Agosto"/>
    <s v="YULIRIRE"/>
    <x v="57"/>
    <x v="57"/>
    <n v="29118923"/>
    <n v="426000"/>
    <n v="5385845"/>
    <n v="23307078"/>
    <n v="21320000"/>
    <n v="1.0932025328330206"/>
    <x v="1"/>
    <n v="25"/>
    <s v="IPS Punto de Vista Bello"/>
    <s v="Antioquia"/>
    <s v="Fluctúa"/>
    <n v="56"/>
    <n v="5792846"/>
    <n v="142"/>
    <n v="15022625"/>
    <n v="63"/>
    <n v="5385845"/>
    <n v="2917607"/>
    <m/>
  </r>
  <r>
    <n v="8"/>
    <x v="19"/>
    <x v="1"/>
    <s v="Agosto"/>
    <s v="ADRIMOLU"/>
    <x v="1"/>
    <x v="1"/>
    <n v="57315194"/>
    <n v="2428400"/>
    <n v="13161321"/>
    <n v="41725473"/>
    <n v="37400000"/>
    <n v="1.1156543582887701"/>
    <x v="1"/>
    <n v="25"/>
    <s v="IPS Pto De Vista Molinos"/>
    <s v="Antioquia"/>
    <s v="Cumple"/>
    <n v="111"/>
    <n v="10702655"/>
    <n v="270"/>
    <n v="27196745"/>
    <n v="137"/>
    <n v="13161321"/>
    <n v="6254473"/>
    <m/>
  </r>
  <r>
    <n v="8"/>
    <x v="19"/>
    <x v="1"/>
    <s v="Agosto"/>
    <s v="ANGEGAAR"/>
    <x v="4"/>
    <x v="4"/>
    <n v="20641788"/>
    <n v="0"/>
    <n v="2093883"/>
    <n v="18547905"/>
    <n v="18000000"/>
    <n v="1.0304391666666666"/>
    <x v="1"/>
    <n v="25"/>
    <s v="IPS Pto De Vista San Diego"/>
    <s v="Antioquia"/>
    <s v="Fluctúa"/>
    <n v="26"/>
    <n v="4096935"/>
    <n v="60"/>
    <n v="12034350"/>
    <n v="28"/>
    <n v="2093883"/>
    <n v="2416620"/>
    <m/>
  </r>
  <r>
    <n v="8"/>
    <x v="19"/>
    <x v="1"/>
    <s v="Agosto"/>
    <s v="NATAPIDU"/>
    <x v="28"/>
    <x v="25"/>
    <n v="44153444"/>
    <n v="0"/>
    <n v="4111154"/>
    <n v="40042290"/>
    <n v="34560000"/>
    <n v="1.158631076388889"/>
    <x v="1"/>
    <n v="25"/>
    <s v="IPS Pto De Vista Industriales"/>
    <s v="Antioquia"/>
    <s v="Cumple"/>
    <n v="46"/>
    <n v="8977774"/>
    <n v="148"/>
    <n v="23813836"/>
    <n v="54"/>
    <n v="4111154"/>
    <n v="7250680"/>
    <m/>
  </r>
  <r>
    <n v="8"/>
    <x v="19"/>
    <x v="1"/>
    <s v="Agosto"/>
    <s v="ELIZVESU"/>
    <x v="15"/>
    <x v="13"/>
    <n v="70469907"/>
    <n v="751000"/>
    <n v="14146577"/>
    <n v="55572330"/>
    <n v="39560000"/>
    <n v="1.4047606167846309"/>
    <x v="1"/>
    <n v="25"/>
    <s v="IPS Pto De Vista Unicentro"/>
    <s v="Antioquia"/>
    <s v="Fluctúa"/>
    <n v="129"/>
    <n v="13898625"/>
    <n v="296"/>
    <n v="34847503"/>
    <n v="156"/>
    <n v="14146577"/>
    <n v="7577202"/>
    <m/>
  </r>
  <r>
    <n v="8"/>
    <x v="19"/>
    <x v="1"/>
    <s v="Agosto"/>
    <s v="SUANHECO"/>
    <x v="58"/>
    <x v="58"/>
    <n v="74011946"/>
    <n v="440000"/>
    <n v="14617805"/>
    <n v="58954141"/>
    <n v="43000000"/>
    <n v="1.3710265348837209"/>
    <x v="1"/>
    <n v="25"/>
    <s v="IPS Pto De Vista Molinos"/>
    <s v="Antioquia"/>
    <s v="Fluctúa"/>
    <n v="132"/>
    <n v="15283951"/>
    <n v="294"/>
    <n v="35306238"/>
    <n v="176"/>
    <n v="14617805"/>
    <n v="8803952"/>
    <m/>
  </r>
  <r>
    <n v="8"/>
    <x v="19"/>
    <x v="1"/>
    <s v="Agosto"/>
    <s v="ZULYARGA"/>
    <x v="34"/>
    <x v="31"/>
    <n v="76183484"/>
    <n v="2186000"/>
    <n v="17359894"/>
    <n v="56637590"/>
    <n v="43000000"/>
    <n v="1.3171532558139536"/>
    <x v="1"/>
    <n v="25"/>
    <s v="IPS Pto De Vista Molinos"/>
    <s v="Antioquia"/>
    <n v="0"/>
    <n v="131"/>
    <n v="11876681"/>
    <n v="322"/>
    <n v="35323033"/>
    <n v="179"/>
    <n v="17359894"/>
    <n v="11623876"/>
    <m/>
  </r>
  <r>
    <n v="8"/>
    <x v="19"/>
    <x v="1"/>
    <s v="Agosto"/>
    <s v="VIVIVAZA"/>
    <x v="33"/>
    <x v="30"/>
    <n v="101286717"/>
    <n v="2641600"/>
    <n v="16300273"/>
    <n v="82344844"/>
    <n v="43000000"/>
    <n v="1.9149963720930232"/>
    <x v="1"/>
    <n v="25"/>
    <s v="IPS Pto De Vista Unicentro"/>
    <s v="Antioquia"/>
    <s v="Cumple"/>
    <n v="159"/>
    <n v="18820540"/>
    <n v="423"/>
    <n v="54244230"/>
    <n v="184"/>
    <n v="16300273"/>
    <n v="11921674"/>
    <m/>
  </r>
  <r>
    <n v="8"/>
    <x v="19"/>
    <x v="1"/>
    <s v="Agosto"/>
    <s v="DERLARMO"/>
    <x v="11"/>
    <x v="10"/>
    <n v="36279668"/>
    <n v="0"/>
    <n v="7082948"/>
    <n v="29196720"/>
    <n v="20000000"/>
    <n v="1.4598359999999999"/>
    <x v="1"/>
    <n v="25"/>
    <s v="IPS Pto De Vista Olaya"/>
    <s v="Centro"/>
    <s v="Cumple"/>
    <n v="79"/>
    <n v="5711054"/>
    <n v="194"/>
    <n v="20536983"/>
    <n v="105"/>
    <n v="7082948"/>
    <n v="2948683"/>
    <m/>
  </r>
  <r>
    <n v="8"/>
    <x v="19"/>
    <x v="1"/>
    <s v="Agosto"/>
    <s v="RAULMOGA"/>
    <x v="30"/>
    <x v="27"/>
    <n v="32086370"/>
    <n v="2200000"/>
    <n v="6295773"/>
    <n v="23590597"/>
    <n v="20000000"/>
    <n v="1.17952985"/>
    <x v="0"/>
    <n v="25"/>
    <s v="IPS Pto De Vista Olaya"/>
    <s v="Centro"/>
    <s v="No Aplica"/>
    <n v="68"/>
    <n v="4724499"/>
    <n v="172"/>
    <n v="15940969"/>
    <n v="90"/>
    <n v="6295773"/>
    <n v="5125129"/>
    <m/>
  </r>
  <r>
    <n v="8"/>
    <x v="19"/>
    <x v="1"/>
    <s v="Agosto"/>
    <s v="ALVAOSOS"/>
    <x v="36"/>
    <x v="37"/>
    <n v="53855064"/>
    <n v="1390000"/>
    <n v="11220020"/>
    <n v="41245044"/>
    <n v="37840000"/>
    <n v="1.0899853065539111"/>
    <x v="1"/>
    <n v="25"/>
    <s v="IPS Pto De Vista Punto Clave"/>
    <s v="Antioquia"/>
    <s v="Siempre Cumple"/>
    <n v="75"/>
    <n v="8764809"/>
    <n v="176"/>
    <n v="26094808"/>
    <n v="124"/>
    <n v="11220020"/>
    <n v="7775427"/>
    <m/>
  </r>
  <r>
    <n v="8"/>
    <x v="19"/>
    <x v="1"/>
    <s v="Agosto"/>
    <s v="DEISCACR"/>
    <x v="50"/>
    <x v="50"/>
    <n v="52619314"/>
    <n v="426000"/>
    <n v="10088709"/>
    <n v="42104605"/>
    <n v="41280000"/>
    <n v="1.0199758963178294"/>
    <x v="1"/>
    <n v="25"/>
    <s v="IPS Pto De Vista Punto Clave"/>
    <s v="Antioquia"/>
    <s v="Fluctúa"/>
    <n v="87"/>
    <n v="10225326"/>
    <n v="229"/>
    <n v="25716159"/>
    <n v="114"/>
    <n v="10088709"/>
    <n v="6589120"/>
    <m/>
  </r>
  <r>
    <n v="8"/>
    <x v="19"/>
    <x v="1"/>
    <s v="Agosto"/>
    <s v="GENNHEPO"/>
    <x v="16"/>
    <x v="14"/>
    <n v="54672702"/>
    <n v="880000"/>
    <n v="10906403"/>
    <n v="42886299"/>
    <n v="43000000"/>
    <n v="0.99735579069767444"/>
    <x v="1"/>
    <n v="25"/>
    <s v="IPS Pto De Vista Punto Clave"/>
    <s v="Antioquia"/>
    <s v="Fluctúa"/>
    <n v="101"/>
    <n v="9571402"/>
    <n v="252"/>
    <n v="26169343"/>
    <n v="127"/>
    <n v="10906403"/>
    <n v="8025554"/>
    <m/>
  </r>
  <r>
    <n v="8"/>
    <x v="19"/>
    <x v="1"/>
    <s v="Agosto"/>
    <s v="LEIDGOVI"/>
    <x v="39"/>
    <x v="39"/>
    <n v="28164960"/>
    <n v="426000"/>
    <n v="3633934"/>
    <n v="24105026"/>
    <n v="24080000"/>
    <n v="1.0010392857142858"/>
    <x v="1"/>
    <n v="25"/>
    <s v="IPS Pto De Vista Punto Clave"/>
    <s v="Antioquia"/>
    <s v="Fluctúa"/>
    <n v="36"/>
    <n v="4729303"/>
    <n v="116"/>
    <n v="16437056"/>
    <n v="40"/>
    <n v="3633934"/>
    <n v="3364667"/>
    <m/>
  </r>
  <r>
    <n v="8"/>
    <x v="19"/>
    <x v="1"/>
    <s v="Agosto"/>
    <s v="YENYSUPE"/>
    <x v="51"/>
    <x v="51"/>
    <n v="56121130"/>
    <n v="980000"/>
    <n v="11698952"/>
    <n v="43442178"/>
    <n v="43000000"/>
    <n v="1.0102832093023255"/>
    <x v="1"/>
    <n v="25"/>
    <s v="IPS Pto De Vista Punto Clave"/>
    <s v="Antioquia"/>
    <s v="Cumple"/>
    <n v="100"/>
    <n v="9450961"/>
    <n v="232"/>
    <n v="24277703"/>
    <n v="127"/>
    <n v="11698952"/>
    <n v="10693514"/>
    <m/>
  </r>
  <r>
    <n v="8"/>
    <x v="19"/>
    <x v="1"/>
    <s v="Agosto"/>
    <s v="YURAUSVE"/>
    <x v="56"/>
    <x v="56"/>
    <n v="56260542"/>
    <n v="0"/>
    <n v="12320194"/>
    <n v="43940348"/>
    <n v="43000000"/>
    <n v="1.0218685581395348"/>
    <x v="1"/>
    <n v="25"/>
    <s v="IPS Pto De Vista Punto Clave"/>
    <s v="Antioquia"/>
    <n v="0"/>
    <n v="87"/>
    <n v="8940664"/>
    <n v="188"/>
    <n v="25347673"/>
    <n v="132"/>
    <n v="12320194"/>
    <n v="9652011"/>
    <m/>
  </r>
  <r>
    <n v="8"/>
    <x v="19"/>
    <x v="1"/>
    <s v="Agosto"/>
    <s v="DIANPAAL"/>
    <x v="12"/>
    <x v="11"/>
    <n v="57028629"/>
    <n v="2064000"/>
    <n v="12323432"/>
    <n v="42641197"/>
    <n v="30360000"/>
    <n v="1.4045190052700922"/>
    <x v="1"/>
    <n v="25"/>
    <s v="IPS Pto De Vista Rionegro"/>
    <s v="Antioquia"/>
    <s v="Cumple"/>
    <n v="101"/>
    <n v="12035299"/>
    <n v="237"/>
    <n v="25771784"/>
    <n v="138"/>
    <n v="12323432"/>
    <n v="6898114"/>
    <m/>
  </r>
  <r>
    <n v="8"/>
    <x v="19"/>
    <x v="1"/>
    <s v="Agosto"/>
    <s v="JAQUVEGU"/>
    <x v="18"/>
    <x v="16"/>
    <n v="33881621"/>
    <n v="1102000"/>
    <n v="5530061"/>
    <n v="27249560"/>
    <n v="14520000"/>
    <n v="1.8766914600550963"/>
    <x v="0"/>
    <n v="25"/>
    <s v="IPS Pto De Vista Rionegro"/>
    <s v="Antioquia"/>
    <s v="No Aplica"/>
    <n v="69"/>
    <n v="7060411"/>
    <n v="178"/>
    <n v="17494330"/>
    <n v="72"/>
    <n v="5530061"/>
    <n v="3796819"/>
    <m/>
  </r>
  <r>
    <n v="8"/>
    <x v="19"/>
    <x v="1"/>
    <s v="Agosto"/>
    <s v="MARIOCOC"/>
    <x v="24"/>
    <x v="21"/>
    <n v="49505696"/>
    <n v="1908800"/>
    <n v="8155399"/>
    <n v="39441497"/>
    <n v="33000000"/>
    <n v="1.1951968787878788"/>
    <x v="1"/>
    <n v="25"/>
    <s v="IPS Pto De Vista Rionegro"/>
    <s v="Antioquia"/>
    <s v="Cumple"/>
    <n v="104"/>
    <n v="10599067"/>
    <n v="274"/>
    <n v="25738406"/>
    <n v="106"/>
    <n v="8155399"/>
    <n v="5012824"/>
    <m/>
  </r>
  <r>
    <n v="8"/>
    <x v="19"/>
    <x v="1"/>
    <s v="Agosto"/>
    <s v="ERIKSAVA"/>
    <x v="44"/>
    <x v="44"/>
    <n v="42851536"/>
    <n v="304000"/>
    <n v="7867603"/>
    <n v="34679933"/>
    <n v="30100000"/>
    <n v="1.1521572425249169"/>
    <x v="1"/>
    <n v="25"/>
    <s v="IPS Pto De Vista San Diego"/>
    <s v="Antioquia"/>
    <s v="No Cumple"/>
    <n v="76"/>
    <n v="8928541"/>
    <n v="188"/>
    <n v="18969782"/>
    <n v="104"/>
    <n v="7867603"/>
    <n v="7085610"/>
    <m/>
  </r>
  <r>
    <n v="8"/>
    <x v="19"/>
    <x v="1"/>
    <s v="Agosto"/>
    <s v="HISNOSPI"/>
    <x v="49"/>
    <x v="49"/>
    <n v="50398930"/>
    <n v="1568000"/>
    <n v="12157340"/>
    <n v="36673590"/>
    <n v="28896000"/>
    <n v="1.269158014950166"/>
    <x v="0"/>
    <n v="25"/>
    <s v="IPS Pto De Vista San Diego"/>
    <s v="Antioquia"/>
    <s v="No Aplica"/>
    <n v="89"/>
    <n v="7443888"/>
    <n v="272"/>
    <n v="23786013"/>
    <n v="132"/>
    <n v="12157340"/>
    <n v="7011689"/>
    <m/>
  </r>
  <r>
    <n v="8"/>
    <x v="19"/>
    <x v="1"/>
    <s v="Agosto"/>
    <s v="MARIMASA"/>
    <x v="23"/>
    <x v="34"/>
    <n v="45645860"/>
    <n v="744000"/>
    <n v="9743955"/>
    <n v="35157905"/>
    <n v="30100000"/>
    <n v="1.1680367109634551"/>
    <x v="1"/>
    <n v="25"/>
    <s v="IPS Pto De Vista San Diego"/>
    <s v="Antioquia"/>
    <s v="Siempre Cumple"/>
    <n v="84"/>
    <n v="9599248"/>
    <n v="197"/>
    <n v="20861014"/>
    <n v="112"/>
    <n v="9743955"/>
    <n v="5441643"/>
    <m/>
  </r>
  <r>
    <n v="8"/>
    <x v="19"/>
    <x v="1"/>
    <s v="Agosto"/>
    <s v="ANDRSAZA"/>
    <x v="45"/>
    <x v="45"/>
    <n v="51831668"/>
    <n v="2989000"/>
    <n v="7422376"/>
    <n v="41420292"/>
    <n v="22000000"/>
    <n v="1.8827405454545454"/>
    <x v="1"/>
    <n v="25"/>
    <s v="IPS Pto De Vista Santa Bárbara"/>
    <s v="Centro"/>
    <s v="Cumple"/>
    <n v="71"/>
    <n v="8318127"/>
    <n v="234"/>
    <n v="31441613"/>
    <n v="105"/>
    <n v="7422376"/>
    <n v="4649552"/>
    <m/>
  </r>
  <r>
    <n v="8"/>
    <x v="19"/>
    <x v="1"/>
    <s v="Agosto"/>
    <s v="ISABMOGO"/>
    <x v="17"/>
    <x v="15"/>
    <n v="19993691"/>
    <n v="612000"/>
    <n v="2517175"/>
    <n v="16864516"/>
    <n v="13200000"/>
    <n v="1.2776148484848484"/>
    <x v="1"/>
    <n v="25"/>
    <s v="IPS Pto De Vista Santa Bárbara"/>
    <s v="Centro"/>
    <s v="No Cumple"/>
    <n v="37"/>
    <n v="3657586"/>
    <n v="96"/>
    <n v="10497178"/>
    <n v="40"/>
    <n v="2517175"/>
    <n v="3321752"/>
    <m/>
  </r>
  <r>
    <n v="8"/>
    <x v="19"/>
    <x v="1"/>
    <s v="Agosto"/>
    <s v="CAMIPUHE"/>
    <x v="53"/>
    <x v="53"/>
    <n v="37676411"/>
    <n v="1684000"/>
    <n v="5915709"/>
    <n v="30076702"/>
    <n v="22000000"/>
    <n v="1.3671228181818182"/>
    <x v="1"/>
    <n v="25"/>
    <s v="IPS Pto De Vista SSura Clle100"/>
    <s v="Centro"/>
    <s v="Cumple"/>
    <n v="67"/>
    <n v="6287840"/>
    <n v="192"/>
    <n v="21777824"/>
    <n v="87"/>
    <n v="5915709"/>
    <n v="3695038"/>
    <m/>
  </r>
  <r>
    <n v="8"/>
    <x v="19"/>
    <x v="1"/>
    <s v="Agosto"/>
    <s v="LUZNHEGO"/>
    <x v="21"/>
    <x v="19"/>
    <n v="32621064"/>
    <n v="779400"/>
    <n v="2729249"/>
    <n v="29112415"/>
    <n v="25000000"/>
    <n v="1.1644966000000001"/>
    <x v="1"/>
    <n v="25"/>
    <s v="IPS Punto de Vista Mayorca"/>
    <s v="Antioquia"/>
    <s v="Siempre Cumple"/>
    <n v="58"/>
    <n v="6653807"/>
    <n v="166"/>
    <n v="19759005"/>
    <n v="36"/>
    <n v="2729249"/>
    <n v="3479003"/>
    <m/>
  </r>
  <r>
    <n v="8"/>
    <x v="19"/>
    <x v="1"/>
    <s v="Agosto"/>
    <s v="ANAMLOBE"/>
    <x v="3"/>
    <x v="3"/>
    <n v="88861905"/>
    <n v="440000"/>
    <n v="18967248"/>
    <n v="69454657"/>
    <n v="43000000"/>
    <n v="1.6152245813953487"/>
    <x v="1"/>
    <n v="25"/>
    <s v="IPS Pto De Vista Unicentro"/>
    <s v="Antioquia"/>
    <s v="Siempre Cumple"/>
    <n v="159"/>
    <n v="19187271"/>
    <n v="355"/>
    <n v="40017124"/>
    <n v="212"/>
    <n v="18967248"/>
    <n v="10690262"/>
    <m/>
  </r>
  <r>
    <n v="8"/>
    <x v="19"/>
    <x v="1"/>
    <s v="Agosto"/>
    <s v="DIANQUME"/>
    <x v="14"/>
    <x v="12"/>
    <n v="56498367"/>
    <n v="1491600"/>
    <n v="10431216"/>
    <n v="44575551"/>
    <n v="43000000"/>
    <n v="1.0366407209302326"/>
    <x v="1"/>
    <n v="25"/>
    <s v="IPS Pto De Vista Molinos"/>
    <s v="Antioquia"/>
    <s v="Cumple"/>
    <n v="91"/>
    <n v="9905509"/>
    <n v="234"/>
    <n v="29848492"/>
    <n v="120"/>
    <n v="10431216"/>
    <n v="6313150"/>
    <m/>
  </r>
  <r>
    <n v="8"/>
    <x v="19"/>
    <x v="1"/>
    <s v="Agosto"/>
    <s v="LILACARA"/>
    <x v="19"/>
    <x v="17"/>
    <n v="60589040"/>
    <n v="680000"/>
    <n v="11118370"/>
    <n v="48790670"/>
    <n v="39560000"/>
    <n v="1.2333334175935289"/>
    <x v="1"/>
    <n v="25"/>
    <s v="IPS Pto De Vista Molinos"/>
    <s v="Antioquia"/>
    <s v="Cumple"/>
    <n v="110"/>
    <n v="12712988"/>
    <n v="274"/>
    <n v="30659237"/>
    <n v="128"/>
    <n v="11118370"/>
    <n v="6098445"/>
    <m/>
  </r>
  <r>
    <n v="8"/>
    <x v="19"/>
    <x v="1"/>
    <s v="Agosto"/>
    <s v="ALEXLOGR"/>
    <x v="2"/>
    <x v="2"/>
    <n v="45652879"/>
    <n v="412000"/>
    <n v="11318567"/>
    <n v="33922312"/>
    <n v="26680000"/>
    <n v="1.2714509745127436"/>
    <x v="1"/>
    <n v="25"/>
    <s v="IPS Punto de Vista Bello"/>
    <s v="Antioquia"/>
    <s v="Fluctúa"/>
    <n v="87"/>
    <n v="7346884"/>
    <n v="218"/>
    <n v="21254415"/>
    <n v="140"/>
    <n v="11318567"/>
    <n v="5733013"/>
    <m/>
  </r>
  <r>
    <n v="8"/>
    <x v="19"/>
    <x v="1"/>
    <s v="Agosto"/>
    <s v="CINDGACU"/>
    <x v="55"/>
    <x v="55"/>
    <n v="41615616"/>
    <n v="1244400"/>
    <n v="11265923"/>
    <n v="29105293"/>
    <n v="29000000"/>
    <n v="1.0036307931034483"/>
    <x v="1"/>
    <n v="25"/>
    <s v="IPS Pto De Vista San Diego"/>
    <s v="Antioquia"/>
    <s v="Siempre Cumple"/>
    <n v="75"/>
    <n v="7104775"/>
    <n v="206"/>
    <n v="18782721"/>
    <n v="125"/>
    <n v="11265923"/>
    <n v="4462197"/>
    <m/>
  </r>
  <r>
    <n v="8"/>
    <x v="19"/>
    <x v="1"/>
    <s v="Agosto"/>
    <s v="CARORICA"/>
    <x v="59"/>
    <x v="59"/>
    <n v="18810560"/>
    <n v="0"/>
    <n v="4023414"/>
    <n v="14787146"/>
    <n v="30000000"/>
    <n v="0.49290486666666666"/>
    <x v="0"/>
    <n v="25"/>
    <s v=""/>
    <s v=""/>
    <s v="No Aplica"/>
    <n v="37"/>
    <n v="3080938"/>
    <n v="140"/>
    <n v="8809441"/>
    <n v="52"/>
    <n v="4023414"/>
    <n v="2896767"/>
    <m/>
  </r>
  <r>
    <n v="8"/>
    <x v="19"/>
    <x v="1"/>
    <s v="Agosto"/>
    <s v="TATIRITR"/>
    <x v="60"/>
    <x v="60"/>
    <n v="30199796"/>
    <n v="0"/>
    <n v="7718124"/>
    <n v="22481672"/>
    <n v="30000000"/>
    <n v="0.74938906666666671"/>
    <x v="1"/>
    <n v="25"/>
    <s v="Punto de Vista Cali Norte"/>
    <s v="Occidente"/>
    <s v="No Cumple"/>
    <n v="53"/>
    <n v="4119449"/>
    <n v="190"/>
    <n v="16461548"/>
    <n v="95"/>
    <n v="7718124"/>
    <n v="1900675"/>
    <m/>
  </r>
  <r>
    <n v="8"/>
    <x v="19"/>
    <x v="1"/>
    <s v="Agosto"/>
    <s v="PAOLPACA"/>
    <x v="47"/>
    <x v="47"/>
    <n v="42470232"/>
    <n v="0"/>
    <n v="10423191"/>
    <n v="32047041"/>
    <n v="30000000"/>
    <n v="1.0682347000000001"/>
    <x v="1"/>
    <n v="25"/>
    <s v="Punto de Vista Tequendama"/>
    <s v="Occidente"/>
    <s v="Siempre Cumple"/>
    <n v="87"/>
    <n v="6950521"/>
    <n v="276"/>
    <n v="20141824"/>
    <n v="128"/>
    <n v="10423191"/>
    <n v="4954696"/>
    <m/>
  </r>
  <r>
    <n v="8"/>
    <x v="19"/>
    <x v="1"/>
    <s v="Agosto"/>
    <s v="ROCIFASA"/>
    <x v="31"/>
    <x v="28"/>
    <n v="44522211"/>
    <n v="1464600"/>
    <n v="7393165"/>
    <n v="35664446"/>
    <n v="25000000"/>
    <n v="1.42657784"/>
    <x v="1"/>
    <n v="25"/>
    <s v="Optica Salud Sura Chipichape"/>
    <s v="Occidente"/>
    <s v="Cumple"/>
    <n v="82"/>
    <n v="11062312"/>
    <n v="228"/>
    <n v="20198838"/>
    <n v="82"/>
    <n v="7393165"/>
    <n v="5867896"/>
    <m/>
  </r>
  <r>
    <n v="8"/>
    <x v="19"/>
    <x v="1"/>
    <s v="Agosto"/>
    <s v="CLAUREME"/>
    <x v="37"/>
    <x v="7"/>
    <n v="94800"/>
    <n v="0"/>
    <n v="0"/>
    <n v="94800"/>
    <m/>
    <m/>
    <x v="0"/>
    <n v="25"/>
    <s v=""/>
    <s v=""/>
    <s v="No Aplica"/>
    <n v="0"/>
    <n v="0"/>
    <n v="0"/>
    <n v="0"/>
    <n v="0"/>
    <n v="0"/>
    <n v="94800"/>
    <m/>
  </r>
  <r>
    <n v="8"/>
    <x v="19"/>
    <x v="1"/>
    <s v="Agosto"/>
    <s v="DARWHERI"/>
    <x v="37"/>
    <x v="7"/>
    <n v="4946494"/>
    <n v="0"/>
    <n v="1667809"/>
    <n v="3278685"/>
    <m/>
    <m/>
    <x v="0"/>
    <n v="25"/>
    <s v=""/>
    <s v=""/>
    <s v="No Aplica"/>
    <n v="7"/>
    <n v="792405"/>
    <n v="18"/>
    <n v="2224280"/>
    <n v="23"/>
    <n v="1667809"/>
    <n v="262000"/>
    <m/>
  </r>
  <r>
    <n v="8"/>
    <x v="19"/>
    <x v="1"/>
    <s v="Agosto"/>
    <s v="DIANCARD"/>
    <x v="37"/>
    <x v="7"/>
    <n v="134285"/>
    <n v="0"/>
    <n v="134285"/>
    <n v="0"/>
    <m/>
    <m/>
    <x v="0"/>
    <n v="25"/>
    <s v=""/>
    <s v=""/>
    <s v="No Aplica"/>
    <n v="0"/>
    <n v="0"/>
    <n v="0"/>
    <n v="0"/>
    <n v="1"/>
    <n v="134285"/>
    <n v="0"/>
    <m/>
  </r>
  <r>
    <n v="8"/>
    <x v="19"/>
    <x v="1"/>
    <s v="Agosto"/>
    <s v="GISECACM"/>
    <x v="37"/>
    <x v="7"/>
    <n v="154088"/>
    <n v="0"/>
    <n v="0"/>
    <n v="154088"/>
    <m/>
    <m/>
    <x v="0"/>
    <n v="25"/>
    <s v=""/>
    <s v=""/>
    <s v="No Aplica"/>
    <n v="1"/>
    <n v="53418"/>
    <n v="2"/>
    <n v="100670"/>
    <n v="0"/>
    <n v="0"/>
    <n v="0"/>
    <m/>
  </r>
  <r>
    <n v="8"/>
    <x v="19"/>
    <x v="1"/>
    <s v="Agosto"/>
    <s v="KATHCASG"/>
    <x v="37"/>
    <x v="7"/>
    <n v="94800"/>
    <n v="0"/>
    <n v="0"/>
    <n v="94800"/>
    <m/>
    <m/>
    <x v="0"/>
    <n v="25"/>
    <s v=""/>
    <s v=""/>
    <s v="No Aplica"/>
    <n v="0"/>
    <n v="0"/>
    <n v="0"/>
    <n v="0"/>
    <n v="0"/>
    <n v="0"/>
    <n v="94800"/>
    <m/>
  </r>
  <r>
    <n v="8"/>
    <x v="19"/>
    <x v="1"/>
    <s v="Agosto"/>
    <s v="LUZMARMO"/>
    <x v="37"/>
    <x v="7"/>
    <n v="396000"/>
    <n v="0"/>
    <n v="0"/>
    <n v="396000"/>
    <m/>
    <m/>
    <x v="0"/>
    <n v="25"/>
    <s v=""/>
    <s v=""/>
    <s v="No Aplica"/>
    <n v="0"/>
    <n v="0"/>
    <n v="0"/>
    <n v="0"/>
    <n v="0"/>
    <n v="0"/>
    <n v="396000"/>
    <m/>
  </r>
  <r>
    <n v="8"/>
    <x v="19"/>
    <x v="1"/>
    <s v="Agosto"/>
    <s v="OSCADESU"/>
    <x v="37"/>
    <x v="7"/>
    <n v="131610"/>
    <n v="0"/>
    <n v="131610"/>
    <n v="0"/>
    <m/>
    <m/>
    <x v="0"/>
    <n v="25"/>
    <s v=""/>
    <s v=""/>
    <s v="No Aplica"/>
    <n v="0"/>
    <n v="0"/>
    <n v="0"/>
    <n v="0"/>
    <n v="3"/>
    <n v="131610"/>
    <n v="0"/>
    <m/>
  </r>
  <r>
    <n v="8"/>
    <x v="19"/>
    <x v="1"/>
    <s v="Agosto"/>
    <s v="RAMOGAMO"/>
    <x v="37"/>
    <x v="7"/>
    <n v="94800"/>
    <n v="0"/>
    <n v="0"/>
    <n v="94800"/>
    <m/>
    <m/>
    <x v="0"/>
    <n v="25"/>
    <s v=""/>
    <s v=""/>
    <s v="No Aplica"/>
    <n v="0"/>
    <n v="0"/>
    <n v="0"/>
    <n v="0"/>
    <n v="0"/>
    <n v="0"/>
    <n v="94800"/>
    <m/>
  </r>
  <r>
    <n v="8"/>
    <x v="19"/>
    <x v="1"/>
    <s v="Agosto"/>
    <s v="UCERQUI"/>
    <x v="37"/>
    <x v="7"/>
    <n v="134285"/>
    <n v="0"/>
    <n v="134285"/>
    <n v="0"/>
    <m/>
    <m/>
    <x v="0"/>
    <n v="25"/>
    <s v=""/>
    <s v=""/>
    <s v="No Aplica"/>
    <n v="0"/>
    <n v="0"/>
    <n v="0"/>
    <n v="0"/>
    <n v="1"/>
    <n v="134285"/>
    <n v="0"/>
    <m/>
  </r>
  <r>
    <n v="8"/>
    <x v="19"/>
    <x v="1"/>
    <s v="Agosto"/>
    <s v="4434143186"/>
    <x v="37"/>
    <x v="7"/>
    <n v="134285"/>
    <n v="0"/>
    <n v="134285"/>
    <n v="0"/>
    <m/>
    <m/>
    <x v="0"/>
    <n v="25"/>
    <s v=""/>
    <s v=""/>
    <s v="No Aplica"/>
    <n v="0"/>
    <n v="0"/>
    <n v="0"/>
    <n v="0"/>
    <n v="1"/>
    <n v="134285"/>
    <n v="0"/>
    <m/>
  </r>
  <r>
    <n v="8"/>
    <x v="19"/>
    <x v="1"/>
    <s v="Agosto"/>
    <s v="4434465455"/>
    <x v="37"/>
    <x v="7"/>
    <n v="43870"/>
    <n v="0"/>
    <n v="43870"/>
    <n v="0"/>
    <m/>
    <m/>
    <x v="0"/>
    <n v="25"/>
    <s v=""/>
    <s v=""/>
    <s v="No Aplica"/>
    <n v="0"/>
    <n v="0"/>
    <n v="0"/>
    <n v="0"/>
    <n v="1"/>
    <n v="43870"/>
    <n v="0"/>
    <m/>
  </r>
  <r>
    <n v="8"/>
    <x v="19"/>
    <x v="1"/>
    <s v="Agosto"/>
    <s v="USERPI"/>
    <x v="37"/>
    <x v="7"/>
    <n v="312440"/>
    <n v="0"/>
    <n v="312440"/>
    <n v="0"/>
    <m/>
    <m/>
    <x v="0"/>
    <n v="25"/>
    <s v=""/>
    <s v=""/>
    <s v="No Aplica"/>
    <n v="0"/>
    <n v="0"/>
    <n v="0"/>
    <n v="0"/>
    <n v="3"/>
    <n v="312440"/>
    <n v="0"/>
    <m/>
  </r>
  <r>
    <n v="8"/>
    <x v="19"/>
    <x v="1"/>
    <s v="Agosto"/>
    <s v="(en blanco)"/>
    <x v="37"/>
    <x v="7"/>
    <n v="-43870"/>
    <n v="0"/>
    <n v="0"/>
    <n v="-43870"/>
    <m/>
    <m/>
    <x v="0"/>
    <n v="25"/>
    <s v=""/>
    <s v=""/>
    <s v="No Aplica"/>
    <n v="0"/>
    <n v="0"/>
    <n v="0"/>
    <n v="0"/>
    <n v="0"/>
    <n v="0"/>
    <n v="-43870"/>
    <m/>
  </r>
  <r>
    <n v="9"/>
    <x v="20"/>
    <x v="1"/>
    <s v="Septiembre"/>
    <s v="DIANPOPA"/>
    <x v="13"/>
    <x v="33"/>
    <n v="37407020"/>
    <n v="0"/>
    <n v="1533417"/>
    <n v="35873603"/>
    <n v="31721000"/>
    <n v="1.1309102172062671"/>
    <x v="0"/>
    <n v="26"/>
    <s v=""/>
    <s v=""/>
    <s v="No Aplica"/>
    <n v="87"/>
    <n v="7748855"/>
    <n v="188"/>
    <n v="15421366"/>
    <n v="27"/>
    <n v="1533417"/>
    <n v="12703382"/>
    <m/>
  </r>
  <r>
    <n v="9"/>
    <x v="20"/>
    <x v="1"/>
    <s v="Septiembre"/>
    <s v="PAULGOBA"/>
    <x v="35"/>
    <x v="36"/>
    <n v="33041811"/>
    <n v="0"/>
    <n v="8065981"/>
    <n v="24975830"/>
    <n v="42000000"/>
    <n v="0.59466261904761908"/>
    <x v="1"/>
    <n v="26"/>
    <s v="Ferias Empresariales Antioquia"/>
    <s v="Antioquia"/>
    <s v="Fluctúa"/>
    <n v="2"/>
    <n v="346876"/>
    <n v="4"/>
    <n v="1569390"/>
    <n v="97"/>
    <n v="8065981"/>
    <n v="23059564"/>
    <m/>
  </r>
  <r>
    <n v="9"/>
    <x v="20"/>
    <x v="1"/>
    <s v="Septiembre"/>
    <s v="ANGEROPI"/>
    <x v="46"/>
    <x v="46"/>
    <n v="34835410"/>
    <n v="838000"/>
    <n v="8820973"/>
    <n v="25176437"/>
    <n v="41000000"/>
    <n v="0.6140594390243902"/>
    <x v="0"/>
    <n v="26"/>
    <s v=""/>
    <s v=""/>
    <s v="No Aplica"/>
    <n v="64"/>
    <n v="5883930"/>
    <n v="178"/>
    <n v="15331809"/>
    <n v="101"/>
    <n v="8820973"/>
    <n v="4798698"/>
    <m/>
  </r>
  <r>
    <n v="9"/>
    <x v="20"/>
    <x v="1"/>
    <s v="Septiembre"/>
    <s v="BIBIBECA"/>
    <x v="6"/>
    <x v="6"/>
    <n v="56176589"/>
    <n v="1236000"/>
    <n v="11855065"/>
    <n v="43085524"/>
    <n v="41000000"/>
    <n v="1.0508664390243903"/>
    <x v="1"/>
    <n v="26"/>
    <s v="IPS Pto De Vista Centro"/>
    <s v="Antioquia"/>
    <s v="Fluctúa"/>
    <n v="100"/>
    <n v="8632075"/>
    <n v="298"/>
    <n v="27393093"/>
    <n v="120"/>
    <n v="11855065"/>
    <n v="8296356"/>
    <m/>
  </r>
  <r>
    <n v="9"/>
    <x v="20"/>
    <x v="1"/>
    <s v="Septiembre"/>
    <s v="CAROVABE"/>
    <x v="8"/>
    <x v="32"/>
    <n v="44509583"/>
    <n v="426000"/>
    <n v="10138250"/>
    <n v="33945333"/>
    <n v="41000000"/>
    <n v="0.82793495121951222"/>
    <x v="0"/>
    <n v="26"/>
    <s v=""/>
    <s v=""/>
    <s v="No Aplica"/>
    <n v="91"/>
    <n v="8615495"/>
    <n v="214"/>
    <n v="19703600"/>
    <n v="117"/>
    <n v="10138250"/>
    <n v="6052238"/>
    <m/>
  </r>
  <r>
    <n v="9"/>
    <x v="20"/>
    <x v="1"/>
    <s v="Septiembre"/>
    <s v="CLAUBLAR"/>
    <x v="9"/>
    <x v="8"/>
    <n v="56886729"/>
    <n v="1156600"/>
    <n v="12478340"/>
    <n v="43251789"/>
    <n v="41000000"/>
    <n v="1.0549216829268293"/>
    <x v="1"/>
    <n v="26"/>
    <s v="IPS Pto De Vista Centro"/>
    <s v="Antioquia"/>
    <s v="Fluctúa"/>
    <n v="85"/>
    <n v="9258118"/>
    <n v="231"/>
    <n v="27202012"/>
    <n v="132"/>
    <n v="12478340"/>
    <n v="7948259"/>
    <m/>
  </r>
  <r>
    <n v="9"/>
    <x v="20"/>
    <x v="1"/>
    <s v="Septiembre"/>
    <s v="HERIRORO"/>
    <x v="52"/>
    <x v="52"/>
    <n v="47427043"/>
    <n v="1030000"/>
    <n v="9533058"/>
    <n v="36863985"/>
    <n v="41000000"/>
    <n v="0.89912158536585363"/>
    <x v="1"/>
    <n v="26"/>
    <s v="IPS Pto De Vista Centro"/>
    <s v="Antioquia"/>
    <s v="Siempre Cumple"/>
    <n v="98"/>
    <n v="9356741"/>
    <n v="206"/>
    <n v="20561613"/>
    <n v="106"/>
    <n v="9533058"/>
    <n v="7975631"/>
    <m/>
  </r>
  <r>
    <n v="9"/>
    <x v="20"/>
    <x v="1"/>
    <s v="Septiembre"/>
    <s v="MARGGAPA"/>
    <x v="22"/>
    <x v="20"/>
    <n v="58148032"/>
    <n v="426000"/>
    <n v="11625978"/>
    <n v="46096054"/>
    <n v="41000000"/>
    <n v="1.1242939999999999"/>
    <x v="1"/>
    <n v="26"/>
    <s v="IPS Pto De Vista Centro"/>
    <s v="Antioquia"/>
    <s v="Fluctúa"/>
    <n v="108"/>
    <n v="12518841"/>
    <n v="255"/>
    <n v="27965188"/>
    <n v="133"/>
    <n v="11625978"/>
    <n v="6038025"/>
    <m/>
  </r>
  <r>
    <n v="9"/>
    <x v="20"/>
    <x v="1"/>
    <s v="Septiembre"/>
    <s v="YULIRIRE"/>
    <x v="57"/>
    <x v="57"/>
    <n v="22947874"/>
    <n v="852000"/>
    <n v="6894117"/>
    <n v="15201757"/>
    <n v="41000000"/>
    <n v="0.37077456097560973"/>
    <x v="1"/>
    <n v="26"/>
    <s v="IPS Punto de Vista Bello"/>
    <s v="Antioquia"/>
    <s v="Fluctúa"/>
    <n v="32"/>
    <n v="3434839"/>
    <n v="98"/>
    <n v="7786286"/>
    <n v="75"/>
    <n v="6894117"/>
    <n v="4832632"/>
    <m/>
  </r>
  <r>
    <n v="9"/>
    <x v="20"/>
    <x v="1"/>
    <s v="Septiembre"/>
    <s v="ANGEGAAR"/>
    <x v="4"/>
    <x v="4"/>
    <n v="22929379"/>
    <n v="370800"/>
    <n v="2525307"/>
    <n v="20033272"/>
    <n v="18000000"/>
    <n v="1.1129595555555556"/>
    <x v="1"/>
    <n v="26"/>
    <s v="IPS Pto De Vista San Diego"/>
    <s v="Antioquia"/>
    <s v="Fluctúa"/>
    <n v="21"/>
    <n v="4040454"/>
    <n v="68"/>
    <n v="14674026"/>
    <n v="29"/>
    <n v="2525307"/>
    <n v="1689592"/>
    <m/>
  </r>
  <r>
    <n v="9"/>
    <x v="20"/>
    <x v="1"/>
    <s v="Septiembre"/>
    <s v="NATAPIDU"/>
    <x v="28"/>
    <x v="25"/>
    <n v="54437237"/>
    <n v="829800"/>
    <n v="5118345"/>
    <n v="48489092"/>
    <n v="36000000"/>
    <n v="1.3469192222222222"/>
    <x v="1"/>
    <n v="26"/>
    <s v="IPS Pto De Vista Industriales"/>
    <s v="Antioquia"/>
    <s v="Cumple"/>
    <n v="49"/>
    <n v="11071584"/>
    <n v="133"/>
    <n v="29469425"/>
    <n v="59"/>
    <n v="5118345"/>
    <n v="8777883"/>
    <m/>
  </r>
  <r>
    <n v="9"/>
    <x v="20"/>
    <x v="1"/>
    <s v="Septiembre"/>
    <s v="ELIZVESU"/>
    <x v="15"/>
    <x v="13"/>
    <n v="62567485"/>
    <n v="1210000"/>
    <n v="11962814"/>
    <n v="49394671"/>
    <n v="43000000"/>
    <n v="1.1487132790697674"/>
    <x v="1"/>
    <n v="26"/>
    <s v="IPS Pto De Vista Unicentro"/>
    <s v="Antioquia"/>
    <s v="Fluctúa"/>
    <n v="106"/>
    <n v="13483235"/>
    <n v="244"/>
    <n v="28740874"/>
    <n v="129"/>
    <n v="11962814"/>
    <n v="8380562"/>
    <m/>
  </r>
  <r>
    <n v="9"/>
    <x v="20"/>
    <x v="1"/>
    <s v="Septiembre"/>
    <s v="SUANHECO"/>
    <x v="58"/>
    <x v="58"/>
    <n v="68585081"/>
    <n v="2929400"/>
    <n v="15875162"/>
    <n v="49780519"/>
    <n v="43000000"/>
    <n v="1.157686488372093"/>
    <x v="1"/>
    <n v="26"/>
    <s v="IPS Pto De Vista Molinos"/>
    <s v="Antioquia"/>
    <s v="Fluctúa"/>
    <n v="111"/>
    <n v="14121396"/>
    <n v="272"/>
    <n v="29057060"/>
    <n v="182"/>
    <n v="15875162"/>
    <n v="9531463"/>
    <m/>
  </r>
  <r>
    <n v="9"/>
    <x v="20"/>
    <x v="1"/>
    <s v="Septiembre"/>
    <s v="ZULYARGA"/>
    <x v="34"/>
    <x v="31"/>
    <n v="76726342"/>
    <n v="1886000"/>
    <n v="15987298"/>
    <n v="58853044"/>
    <n v="43000000"/>
    <n v="1.3686754418604652"/>
    <x v="1"/>
    <n v="26"/>
    <s v="IPS Pto De Vista Molinos"/>
    <s v="Antioquia"/>
    <n v="0"/>
    <n v="126"/>
    <n v="15396336"/>
    <n v="281"/>
    <n v="33916689"/>
    <n v="171"/>
    <n v="15987298"/>
    <n v="11426019"/>
    <m/>
  </r>
  <r>
    <n v="9"/>
    <x v="20"/>
    <x v="1"/>
    <s v="Septiembre"/>
    <s v="DIANQUME"/>
    <x v="14"/>
    <x v="12"/>
    <n v="67345706"/>
    <n v="4758800"/>
    <n v="14479668"/>
    <n v="48107238"/>
    <n v="43000000"/>
    <n v="1.1187729767441861"/>
    <x v="1"/>
    <n v="26"/>
    <s v="IPS Pto De Vista Molinos"/>
    <s v="Antioquia"/>
    <s v="Cumple"/>
    <n v="119"/>
    <n v="12167525"/>
    <n v="272"/>
    <n v="28308013"/>
    <n v="157"/>
    <n v="14479668"/>
    <n v="12390500"/>
    <m/>
  </r>
  <r>
    <n v="9"/>
    <x v="20"/>
    <x v="1"/>
    <s v="Septiembre"/>
    <s v="DERLARMO"/>
    <x v="11"/>
    <x v="10"/>
    <n v="32411292"/>
    <n v="440000"/>
    <n v="6580607"/>
    <n v="25390685"/>
    <n v="20000000"/>
    <n v="1.26953425"/>
    <x v="1"/>
    <n v="26"/>
    <s v="IPS Pto De Vista Olaya"/>
    <s v="Centro"/>
    <s v="Cumple"/>
    <n v="91"/>
    <n v="5539263"/>
    <n v="214"/>
    <n v="17243595"/>
    <n v="95"/>
    <n v="6580607"/>
    <n v="3047827"/>
    <m/>
  </r>
  <r>
    <n v="9"/>
    <x v="20"/>
    <x v="1"/>
    <s v="Septiembre"/>
    <s v="RAULMOGA"/>
    <x v="30"/>
    <x v="27"/>
    <n v="34609982"/>
    <n v="524000"/>
    <n v="7331319"/>
    <n v="26754663"/>
    <n v="20000000"/>
    <n v="1.33773315"/>
    <x v="0"/>
    <n v="26"/>
    <s v="IPS Pto De Vista Olaya"/>
    <s v="Centro"/>
    <s v="No Aplica"/>
    <n v="80"/>
    <n v="5495349"/>
    <n v="203"/>
    <n v="17163688"/>
    <n v="103"/>
    <n v="7331319"/>
    <n v="4619626"/>
    <m/>
  </r>
  <r>
    <n v="9"/>
    <x v="20"/>
    <x v="1"/>
    <s v="Septiembre"/>
    <s v="ALVAOSOS"/>
    <x v="36"/>
    <x v="37"/>
    <n v="53311193"/>
    <n v="852000"/>
    <n v="7294190"/>
    <n v="45165003"/>
    <n v="43000000"/>
    <n v="1.0503489069767442"/>
    <x v="1"/>
    <n v="26"/>
    <s v="IPS Pto De Vista Punto Clave"/>
    <s v="Antioquia"/>
    <s v="Siempre Cumple"/>
    <n v="79"/>
    <n v="8323748"/>
    <n v="176"/>
    <n v="29083702"/>
    <n v="86"/>
    <n v="7294190"/>
    <n v="8609553"/>
    <m/>
  </r>
  <r>
    <n v="9"/>
    <x v="20"/>
    <x v="1"/>
    <s v="Septiembre"/>
    <s v="DEISCACR"/>
    <x v="50"/>
    <x v="50"/>
    <n v="57142964"/>
    <n v="812000"/>
    <n v="9906381"/>
    <n v="46424583"/>
    <n v="43000000"/>
    <n v="1.0796414651162791"/>
    <x v="1"/>
    <n v="26"/>
    <s v="IPS Pto De Vista Punto Clave"/>
    <s v="Antioquia"/>
    <s v="Fluctúa"/>
    <n v="104"/>
    <n v="10993635"/>
    <n v="216"/>
    <n v="25596538"/>
    <n v="109"/>
    <n v="9906381"/>
    <n v="10646410"/>
    <m/>
  </r>
  <r>
    <n v="9"/>
    <x v="20"/>
    <x v="1"/>
    <s v="Septiembre"/>
    <s v="GENNHEPO"/>
    <x v="16"/>
    <x v="14"/>
    <n v="55893206"/>
    <n v="1656400"/>
    <n v="9971865"/>
    <n v="44264941"/>
    <n v="43000000"/>
    <n v="1.0294172325581394"/>
    <x v="1"/>
    <n v="26"/>
    <s v="IPS Pto De Vista Punto Clave"/>
    <s v="Antioquia"/>
    <s v="Fluctúa"/>
    <n v="103"/>
    <n v="9804701"/>
    <n v="260"/>
    <n v="26410338"/>
    <n v="111"/>
    <n v="9971865"/>
    <n v="9706302"/>
    <m/>
  </r>
  <r>
    <n v="9"/>
    <x v="20"/>
    <x v="1"/>
    <s v="Septiembre"/>
    <s v="LEIDGOVI"/>
    <x v="39"/>
    <x v="39"/>
    <n v="52026066"/>
    <n v="1645400"/>
    <n v="10145847"/>
    <n v="40234819"/>
    <n v="43000000"/>
    <n v="0.93569346511627904"/>
    <x v="1"/>
    <n v="26"/>
    <s v="IPS Pto De Vista Punto Clave"/>
    <s v="Antioquia"/>
    <s v="Fluctúa"/>
    <n v="80"/>
    <n v="8931808"/>
    <n v="206"/>
    <n v="24479902"/>
    <n v="112"/>
    <n v="10145847"/>
    <n v="8468509"/>
    <m/>
  </r>
  <r>
    <n v="9"/>
    <x v="20"/>
    <x v="1"/>
    <s v="Septiembre"/>
    <s v="YENYSUPE"/>
    <x v="51"/>
    <x v="51"/>
    <n v="48657536"/>
    <n v="426000"/>
    <n v="9703402"/>
    <n v="38528134"/>
    <n v="43000000"/>
    <n v="0.89600311627906981"/>
    <x v="1"/>
    <n v="26"/>
    <s v="IPS Pto De Vista Punto Clave"/>
    <s v="Antioquia"/>
    <s v="Cumple"/>
    <n v="98"/>
    <n v="9644037"/>
    <n v="229"/>
    <n v="22302665"/>
    <n v="105"/>
    <n v="9703402"/>
    <n v="7007432"/>
    <m/>
  </r>
  <r>
    <n v="9"/>
    <x v="20"/>
    <x v="1"/>
    <s v="Septiembre"/>
    <s v="YURAUSVE"/>
    <x v="56"/>
    <x v="56"/>
    <n v="43172678"/>
    <n v="713600"/>
    <n v="8285010"/>
    <n v="34174068"/>
    <n v="43000000"/>
    <n v="0.79474576744186043"/>
    <x v="1"/>
    <n v="26"/>
    <s v="IPS Pto De Vista Punto Clave"/>
    <s v="Antioquia"/>
    <n v="0"/>
    <n v="73"/>
    <n v="6960347"/>
    <n v="196"/>
    <n v="20670281"/>
    <n v="90"/>
    <n v="8285010"/>
    <n v="7257040"/>
    <m/>
  </r>
  <r>
    <n v="9"/>
    <x v="20"/>
    <x v="1"/>
    <s v="Septiembre"/>
    <s v="CARORAMN"/>
    <x v="61"/>
    <x v="61"/>
    <n v="25557271"/>
    <n v="824000"/>
    <n v="5186611"/>
    <n v="19546660"/>
    <n v="43000000"/>
    <n v="0.45457348837209305"/>
    <x v="1"/>
    <n v="26"/>
    <s v="IPS Pto De Vista Punto Clave"/>
    <s v="Antioquia"/>
    <s v="No Cumple"/>
    <n v="43"/>
    <n v="4643197"/>
    <n v="97"/>
    <n v="13128445"/>
    <n v="55"/>
    <n v="5186611"/>
    <n v="2599018"/>
    <m/>
  </r>
  <r>
    <n v="9"/>
    <x v="20"/>
    <x v="1"/>
    <s v="Septiembre"/>
    <s v="DIANPAAL"/>
    <x v="12"/>
    <x v="11"/>
    <n v="53556606"/>
    <n v="1994200"/>
    <n v="10268362"/>
    <n v="41294044"/>
    <n v="33000000"/>
    <n v="1.2513346666666667"/>
    <x v="1"/>
    <n v="26"/>
    <s v="IPS Pto De Vista Rionegro"/>
    <s v="Antioquia"/>
    <s v="Cumple"/>
    <n v="93"/>
    <n v="10581093"/>
    <n v="244"/>
    <n v="27068065"/>
    <n v="115"/>
    <n v="10268362"/>
    <n v="5639086"/>
    <m/>
  </r>
  <r>
    <n v="9"/>
    <x v="20"/>
    <x v="1"/>
    <s v="Septiembre"/>
    <s v="JAQUVEGU"/>
    <x v="18"/>
    <x v="16"/>
    <n v="21697024"/>
    <n v="598400"/>
    <n v="5315443"/>
    <n v="15783181"/>
    <n v="27923076.923076924"/>
    <n v="0.56523788705234157"/>
    <x v="0"/>
    <n v="26"/>
    <s v="IPS Pto De Vista Rionegro"/>
    <s v="Antioquia"/>
    <s v="No Aplica"/>
    <n v="38"/>
    <n v="3875038"/>
    <n v="92"/>
    <n v="9818332"/>
    <n v="58"/>
    <n v="5315443"/>
    <n v="2688211"/>
    <m/>
  </r>
  <r>
    <n v="9"/>
    <x v="20"/>
    <x v="1"/>
    <s v="Septiembre"/>
    <s v="MARIOCOC"/>
    <x v="24"/>
    <x v="21"/>
    <n v="53581261"/>
    <n v="2172400"/>
    <n v="9094232"/>
    <n v="42314629"/>
    <n v="33000000"/>
    <n v="1.2822614848484848"/>
    <x v="1"/>
    <n v="26"/>
    <s v="IPS Pto De Vista Rionegro"/>
    <s v="Antioquia"/>
    <s v="Cumple"/>
    <n v="90"/>
    <n v="10834826"/>
    <n v="223"/>
    <n v="26909882"/>
    <n v="111"/>
    <n v="9094232"/>
    <n v="6742321"/>
    <m/>
  </r>
  <r>
    <n v="9"/>
    <x v="20"/>
    <x v="1"/>
    <s v="Septiembre"/>
    <s v="ADRIMOLU"/>
    <x v="1"/>
    <x v="1"/>
    <n v="56854408"/>
    <n v="2988000"/>
    <n v="10278527"/>
    <n v="43587881"/>
    <n v="41461538.461538464"/>
    <n v="1.0512846994434137"/>
    <x v="1"/>
    <n v="26"/>
    <s v="IPS Pto De Vista Molinos"/>
    <s v="Antioquia"/>
    <s v="Cumple"/>
    <n v="96"/>
    <n v="9999391"/>
    <n v="249"/>
    <n v="28425995"/>
    <n v="111"/>
    <n v="10278527"/>
    <n v="8150495"/>
    <m/>
  </r>
  <r>
    <n v="9"/>
    <x v="20"/>
    <x v="1"/>
    <s v="Septiembre"/>
    <s v="ERIKSAVA"/>
    <x v="44"/>
    <x v="44"/>
    <n v="46822213"/>
    <n v="1429600"/>
    <n v="10220747"/>
    <n v="35171866"/>
    <n v="30100000"/>
    <n v="1.1685005315614618"/>
    <x v="1"/>
    <n v="26"/>
    <s v="IPS Pto De Vista San Diego"/>
    <s v="Antioquia"/>
    <s v="No Cumple"/>
    <n v="71"/>
    <n v="8381286"/>
    <n v="168"/>
    <n v="19558892"/>
    <n v="117"/>
    <n v="10220747"/>
    <n v="8661288"/>
    <m/>
  </r>
  <r>
    <n v="9"/>
    <x v="20"/>
    <x v="1"/>
    <s v="Septiembre"/>
    <s v="HISNOSPI"/>
    <x v="49"/>
    <x v="49"/>
    <n v="46390157"/>
    <n v="1720000"/>
    <n v="10023653"/>
    <n v="34646504"/>
    <n v="30100000"/>
    <n v="1.1510466445182723"/>
    <x v="0"/>
    <n v="26"/>
    <s v="IPS Pto De Vista San Diego"/>
    <s v="Antioquia"/>
    <s v="No Aplica"/>
    <n v="86"/>
    <n v="8037824"/>
    <n v="260"/>
    <n v="22761688"/>
    <n v="111"/>
    <n v="10023653"/>
    <n v="5566992"/>
    <m/>
  </r>
  <r>
    <n v="9"/>
    <x v="20"/>
    <x v="1"/>
    <s v="Septiembre"/>
    <s v="MARIMASA"/>
    <x v="23"/>
    <x v="34"/>
    <n v="44428487"/>
    <n v="1404000"/>
    <n v="8198768"/>
    <n v="34825719"/>
    <n v="30100000"/>
    <n v="1.1570006312292358"/>
    <x v="1"/>
    <n v="26"/>
    <s v="IPS Pto De Vista San Diego"/>
    <s v="Antioquia"/>
    <s v="Siempre Cumple"/>
    <n v="81"/>
    <n v="9539533"/>
    <n v="173"/>
    <n v="20041948"/>
    <n v="94"/>
    <n v="8198768"/>
    <n v="6648238"/>
    <m/>
  </r>
  <r>
    <n v="9"/>
    <x v="20"/>
    <x v="1"/>
    <s v="Septiembre"/>
    <s v="ANDRSAZA"/>
    <x v="45"/>
    <x v="45"/>
    <n v="42520559"/>
    <n v="0"/>
    <n v="6340285"/>
    <n v="36180274"/>
    <n v="22000000"/>
    <n v="1.644557909090909"/>
    <x v="1"/>
    <n v="26"/>
    <s v="IPS Pto De Vista Santa Bárbara"/>
    <s v="Centro"/>
    <s v="Cumple"/>
    <n v="73"/>
    <n v="7976423"/>
    <n v="194"/>
    <n v="25993759"/>
    <n v="93"/>
    <n v="6340285"/>
    <n v="2210092"/>
    <m/>
  </r>
  <r>
    <n v="9"/>
    <x v="20"/>
    <x v="1"/>
    <s v="Septiembre"/>
    <s v="ISABMOGO"/>
    <x v="17"/>
    <x v="15"/>
    <n v="34475982"/>
    <n v="1577160"/>
    <n v="3980828"/>
    <n v="28917994"/>
    <n v="22000000"/>
    <n v="1.3144542727272728"/>
    <x v="1"/>
    <n v="26"/>
    <s v="IPS Pto De Vista Santa Bárbara"/>
    <s v="Centro"/>
    <s v="No Cumple"/>
    <n v="61"/>
    <n v="7507856"/>
    <n v="160"/>
    <n v="18273740"/>
    <n v="67"/>
    <n v="3980828"/>
    <n v="4713558"/>
    <m/>
  </r>
  <r>
    <n v="9"/>
    <x v="20"/>
    <x v="1"/>
    <s v="Septiembre"/>
    <s v="CAMIPUHE"/>
    <x v="53"/>
    <x v="53"/>
    <n v="29780654"/>
    <n v="1156000"/>
    <n v="4967368"/>
    <n v="23657286"/>
    <n v="22000000"/>
    <n v="1.0753311818181819"/>
    <x v="1"/>
    <n v="26"/>
    <s v="IPS Pto De Vista SSura Clle100"/>
    <s v="Centro"/>
    <s v="Cumple"/>
    <n v="53"/>
    <n v="4698201"/>
    <n v="175"/>
    <n v="16247255"/>
    <n v="74"/>
    <n v="4967368"/>
    <n v="3867830"/>
    <m/>
  </r>
  <r>
    <n v="9"/>
    <x v="20"/>
    <x v="1"/>
    <s v="Septiembre"/>
    <s v="LUZNHEGO"/>
    <x v="21"/>
    <x v="19"/>
    <n v="31456835"/>
    <n v="0"/>
    <n v="2297825"/>
    <n v="29159010"/>
    <n v="25000000"/>
    <n v="1.1663604000000001"/>
    <x v="1"/>
    <n v="26"/>
    <s v="IPS Punto de Vista Mayorca"/>
    <s v="Antioquia"/>
    <s v="Siempre Cumple"/>
    <n v="47"/>
    <n v="7268745"/>
    <n v="149"/>
    <n v="20742625"/>
    <n v="35"/>
    <n v="2297825"/>
    <n v="1147640"/>
    <m/>
  </r>
  <r>
    <n v="9"/>
    <x v="20"/>
    <x v="1"/>
    <s v="Septiembre"/>
    <s v="VIVIVAZA"/>
    <x v="33"/>
    <x v="30"/>
    <n v="79553715"/>
    <n v="1622000"/>
    <n v="14051347"/>
    <n v="63880368"/>
    <n v="34730769.230769232"/>
    <n v="1.8393018471760796"/>
    <x v="1"/>
    <n v="26"/>
    <s v="IPS Pto De Vista Unicentro"/>
    <s v="Antioquia"/>
    <s v="Cumple"/>
    <n v="128"/>
    <n v="13934960"/>
    <n v="329"/>
    <n v="37611029"/>
    <n v="161"/>
    <n v="14051347"/>
    <n v="13956379"/>
    <m/>
  </r>
  <r>
    <n v="9"/>
    <x v="20"/>
    <x v="1"/>
    <s v="Septiembre"/>
    <s v="ANAMLOBE"/>
    <x v="3"/>
    <x v="3"/>
    <n v="40625328"/>
    <n v="1157600"/>
    <n v="6733403"/>
    <n v="32734325"/>
    <n v="14884615.384615384"/>
    <n v="2.199205297157623"/>
    <x v="1"/>
    <n v="26"/>
    <s v="IPS Pto De Vista Unicentro"/>
    <s v="Antioquia"/>
    <s v="Siempre Cumple"/>
    <n v="71"/>
    <n v="7495671"/>
    <n v="169"/>
    <n v="20346152"/>
    <n v="72"/>
    <n v="6733403"/>
    <n v="6050102"/>
    <m/>
  </r>
  <r>
    <n v="9"/>
    <x v="20"/>
    <x v="1"/>
    <s v="Septiembre"/>
    <s v="LILACARA"/>
    <x v="19"/>
    <x v="17"/>
    <n v="61676787"/>
    <n v="2490000"/>
    <n v="12275185"/>
    <n v="46911602"/>
    <n v="43000000"/>
    <n v="1.090967488372093"/>
    <x v="1"/>
    <n v="26"/>
    <s v="IPS Pto De Vista Molinos"/>
    <s v="Antioquia"/>
    <s v="Cumple"/>
    <n v="109"/>
    <n v="11897038"/>
    <n v="268"/>
    <n v="27518582"/>
    <n v="141"/>
    <n v="12275185"/>
    <n v="9985982"/>
    <m/>
  </r>
  <r>
    <n v="9"/>
    <x v="20"/>
    <x v="1"/>
    <s v="Septiembre"/>
    <s v="ALEXLOGR"/>
    <x v="2"/>
    <x v="2"/>
    <n v="49989292"/>
    <n v="685600"/>
    <n v="10476584"/>
    <n v="38827108"/>
    <n v="29000000.000000004"/>
    <n v="1.338865793103448"/>
    <x v="1"/>
    <n v="26"/>
    <s v="IPS Punto de Vista Bello"/>
    <s v="Antioquia"/>
    <s v="Fluctúa"/>
    <n v="76"/>
    <n v="7591222"/>
    <n v="194"/>
    <n v="22881850"/>
    <n v="119"/>
    <n v="10476584"/>
    <n v="9039636"/>
    <m/>
  </r>
  <r>
    <n v="9"/>
    <x v="20"/>
    <x v="1"/>
    <s v="Septiembre"/>
    <s v="CINDGACU"/>
    <x v="55"/>
    <x v="55"/>
    <n v="39829814"/>
    <n v="304000"/>
    <n v="10058321"/>
    <n v="29467493"/>
    <n v="29000000.000000004"/>
    <n v="1.0161204482758619"/>
    <x v="1"/>
    <n v="26"/>
    <s v="IPS Pto De Vista San Diego"/>
    <s v="Antioquia"/>
    <s v="Siempre Cumple"/>
    <n v="70"/>
    <n v="6558930"/>
    <n v="187"/>
    <n v="18888478"/>
    <n v="118"/>
    <n v="10058321"/>
    <n v="4324085"/>
    <m/>
  </r>
  <r>
    <n v="9"/>
    <x v="20"/>
    <x v="1"/>
    <s v="Septiembre"/>
    <s v="CARORICA"/>
    <x v="59"/>
    <x v="59"/>
    <n v="18736439"/>
    <n v="0"/>
    <n v="5995745"/>
    <n v="12740694"/>
    <n v="29999999.999999996"/>
    <n v="0.42468980000000006"/>
    <x v="0"/>
    <n v="26"/>
    <s v=""/>
    <s v=""/>
    <s v="No Aplica"/>
    <n v="28"/>
    <n v="2337645"/>
    <n v="94"/>
    <n v="6966934"/>
    <n v="79"/>
    <n v="5995745"/>
    <n v="3436115"/>
    <m/>
  </r>
  <r>
    <n v="9"/>
    <x v="20"/>
    <x v="1"/>
    <s v="Septiembre"/>
    <s v="TATIRITR"/>
    <x v="60"/>
    <x v="60"/>
    <n v="23380249"/>
    <n v="0"/>
    <n v="6101461"/>
    <n v="17278788"/>
    <n v="29999999.999999996"/>
    <n v="0.57595960000000013"/>
    <x v="1"/>
    <n v="26"/>
    <s v="Punto de Vista Cali Norte"/>
    <s v="Occidente"/>
    <s v="No Cumple"/>
    <n v="35"/>
    <n v="3570717"/>
    <n v="106"/>
    <n v="11588114"/>
    <n v="82"/>
    <n v="6101461"/>
    <n v="2119957"/>
    <m/>
  </r>
  <r>
    <n v="9"/>
    <x v="20"/>
    <x v="1"/>
    <s v="Septiembre"/>
    <s v="PAOLPACA"/>
    <x v="47"/>
    <x v="47"/>
    <n v="40775871"/>
    <n v="0"/>
    <n v="10737557"/>
    <n v="30038314"/>
    <n v="29999999.999999996"/>
    <n v="1.0012771333333335"/>
    <x v="1"/>
    <n v="26"/>
    <s v="Punto de Vista Tequendama"/>
    <s v="Occidente"/>
    <s v="Siempre Cumple"/>
    <n v="57"/>
    <n v="4761246"/>
    <n v="200"/>
    <n v="22309374"/>
    <n v="109"/>
    <n v="10737557"/>
    <n v="2967694"/>
    <m/>
  </r>
  <r>
    <n v="9"/>
    <x v="20"/>
    <x v="1"/>
    <s v="Septiembre"/>
    <s v="ROCIFASA"/>
    <x v="31"/>
    <x v="28"/>
    <n v="43993370"/>
    <n v="563760"/>
    <n v="6909418"/>
    <n v="36520192"/>
    <n v="25000000"/>
    <n v="1.4608076800000001"/>
    <x v="1"/>
    <n v="26"/>
    <s v="Optica Salud Sura Chipichape"/>
    <s v="Occidente"/>
    <s v="Cumple"/>
    <n v="56"/>
    <n v="7909592"/>
    <n v="211"/>
    <n v="25711751"/>
    <n v="78"/>
    <n v="6909418"/>
    <n v="3462609"/>
    <m/>
  </r>
  <r>
    <n v="9"/>
    <x v="20"/>
    <x v="1"/>
    <s v="Septiembre"/>
    <s v="CLAUREME"/>
    <x v="37"/>
    <x v="7"/>
    <n v="253200"/>
    <n v="0"/>
    <n v="0"/>
    <n v="253200"/>
    <m/>
    <m/>
    <x v="0"/>
    <n v="26"/>
    <s v=""/>
    <s v=""/>
    <s v="No Aplica"/>
    <n v="0"/>
    <n v="0"/>
    <n v="0"/>
    <n v="0"/>
    <n v="0"/>
    <n v="0"/>
    <n v="253200"/>
    <m/>
  </r>
  <r>
    <n v="9"/>
    <x v="20"/>
    <x v="1"/>
    <s v="Septiembre"/>
    <s v="DARWHERI"/>
    <x v="37"/>
    <x v="7"/>
    <n v="533295"/>
    <n v="0"/>
    <n v="312440"/>
    <n v="220855"/>
    <m/>
    <m/>
    <x v="0"/>
    <n v="26"/>
    <s v=""/>
    <s v=""/>
    <s v="No Aplica"/>
    <n v="0"/>
    <n v="0"/>
    <n v="2"/>
    <n v="220855"/>
    <n v="3"/>
    <n v="312440"/>
    <n v="0"/>
    <m/>
  </r>
  <r>
    <n v="9"/>
    <x v="20"/>
    <x v="1"/>
    <s v="Septiembre"/>
    <s v="EMMAARMA"/>
    <x v="37"/>
    <x v="7"/>
    <n v="91200"/>
    <n v="0"/>
    <n v="0"/>
    <n v="91200"/>
    <m/>
    <m/>
    <x v="0"/>
    <n v="26"/>
    <s v=""/>
    <s v=""/>
    <s v="No Aplica"/>
    <n v="0"/>
    <n v="0"/>
    <n v="0"/>
    <n v="0"/>
    <n v="0"/>
    <n v="0"/>
    <n v="91200"/>
    <m/>
  </r>
  <r>
    <n v="9"/>
    <x v="20"/>
    <x v="1"/>
    <s v="Septiembre"/>
    <s v="GISECACM"/>
    <x v="37"/>
    <x v="7"/>
    <n v="576248"/>
    <n v="0"/>
    <n v="0"/>
    <n v="576248"/>
    <m/>
    <m/>
    <x v="0"/>
    <n v="26"/>
    <s v=""/>
    <s v=""/>
    <s v="No Aplica"/>
    <n v="1"/>
    <n v="85733"/>
    <n v="2"/>
    <n v="184315"/>
    <n v="0"/>
    <n v="0"/>
    <n v="306200"/>
    <m/>
  </r>
  <r>
    <n v="9"/>
    <x v="20"/>
    <x v="1"/>
    <s v="Septiembre"/>
    <s v="MARIREAR"/>
    <x v="37"/>
    <x v="7"/>
    <n v="189600"/>
    <n v="0"/>
    <n v="0"/>
    <n v="189600"/>
    <m/>
    <m/>
    <x v="0"/>
    <n v="26"/>
    <s v=""/>
    <s v=""/>
    <s v="No Aplica"/>
    <n v="0"/>
    <n v="0"/>
    <n v="0"/>
    <n v="0"/>
    <n v="0"/>
    <n v="0"/>
    <n v="189600"/>
    <m/>
  </r>
  <r>
    <n v="9"/>
    <x v="20"/>
    <x v="1"/>
    <s v="Septiembre"/>
    <s v="MARISEAR"/>
    <x v="37"/>
    <x v="7"/>
    <n v="325490"/>
    <n v="0"/>
    <n v="0"/>
    <n v="325490"/>
    <m/>
    <m/>
    <x v="0"/>
    <n v="26"/>
    <s v=""/>
    <s v=""/>
    <s v="No Aplica"/>
    <n v="0"/>
    <n v="0"/>
    <n v="2"/>
    <n v="325490"/>
    <n v="0"/>
    <n v="0"/>
    <n v="0"/>
    <m/>
  </r>
  <r>
    <n v="9"/>
    <x v="20"/>
    <x v="1"/>
    <s v="Septiembre"/>
    <s v="OSCADESU"/>
    <x v="37"/>
    <x v="7"/>
    <n v="411456"/>
    <n v="0"/>
    <n v="131610"/>
    <n v="279846"/>
    <m/>
    <m/>
    <x v="0"/>
    <n v="26"/>
    <s v=""/>
    <s v=""/>
    <s v="No Aplica"/>
    <n v="1"/>
    <n v="107715"/>
    <n v="2"/>
    <n v="172130"/>
    <n v="3"/>
    <n v="131610"/>
    <n v="1"/>
    <m/>
  </r>
  <r>
    <n v="9"/>
    <x v="20"/>
    <x v="1"/>
    <s v="Septiembre"/>
    <s v="PAULESVE"/>
    <x v="37"/>
    <x v="7"/>
    <n v="43870"/>
    <n v="0"/>
    <n v="43870"/>
    <n v="0"/>
    <m/>
    <m/>
    <x v="0"/>
    <n v="26"/>
    <s v=""/>
    <s v=""/>
    <s v="No Aplica"/>
    <n v="0"/>
    <n v="0"/>
    <n v="0"/>
    <n v="0"/>
    <n v="1"/>
    <n v="43870"/>
    <n v="0"/>
    <m/>
  </r>
  <r>
    <n v="9"/>
    <x v="20"/>
    <x v="1"/>
    <s v="Septiembre"/>
    <s v="RUBYHIGA"/>
    <x v="37"/>
    <x v="7"/>
    <n v="106600"/>
    <n v="0"/>
    <n v="0"/>
    <n v="106600"/>
    <m/>
    <m/>
    <x v="0"/>
    <n v="26"/>
    <s v=""/>
    <s v=""/>
    <s v="No Aplica"/>
    <n v="0"/>
    <n v="0"/>
    <n v="2"/>
    <n v="106600"/>
    <n v="0"/>
    <n v="0"/>
    <n v="0"/>
    <m/>
  </r>
  <r>
    <n v="9"/>
    <x v="20"/>
    <x v="1"/>
    <s v="Septiembre"/>
    <s v="USERPI"/>
    <x v="37"/>
    <x v="7"/>
    <n v="402855"/>
    <n v="0"/>
    <n v="402855"/>
    <n v="0"/>
    <m/>
    <m/>
    <x v="0"/>
    <n v="26"/>
    <s v=""/>
    <s v=""/>
    <s v="No Aplica"/>
    <n v="0"/>
    <n v="0"/>
    <n v="0"/>
    <n v="0"/>
    <n v="3"/>
    <n v="402855"/>
    <n v="0"/>
    <m/>
  </r>
  <r>
    <n v="9"/>
    <x v="20"/>
    <x v="1"/>
    <s v="Septiembre"/>
    <s v="(en blanco)"/>
    <x v="37"/>
    <x v="7"/>
    <n v="-772370"/>
    <n v="0"/>
    <n v="0"/>
    <n v="-772370"/>
    <m/>
    <m/>
    <x v="0"/>
    <n v="26"/>
    <s v=""/>
    <s v=""/>
    <s v="No Aplica"/>
    <n v="11"/>
    <n v="-120491"/>
    <n v="30"/>
    <n v="-303523"/>
    <n v="0"/>
    <n v="0"/>
    <n v="-348356"/>
    <m/>
  </r>
  <r>
    <n v="10"/>
    <x v="21"/>
    <x v="1"/>
    <s v="Octubre"/>
    <s v="DIANPOPA"/>
    <x v="13"/>
    <x v="33"/>
    <n v="55731249"/>
    <n v="556200"/>
    <n v="5104863"/>
    <n v="50070186"/>
    <n v="31721000"/>
    <n v="1.5784554711389931"/>
    <x v="0"/>
    <n v="25"/>
    <s v=""/>
    <s v=""/>
    <s v="No Aplica"/>
    <n v="115"/>
    <n v="17065705"/>
    <n v="288"/>
    <n v="29155546"/>
    <n v="74"/>
    <n v="5104863"/>
    <n v="4405135"/>
    <m/>
  </r>
  <r>
    <n v="10"/>
    <x v="21"/>
    <x v="1"/>
    <s v="Octubre"/>
    <s v="PAULGOBA"/>
    <x v="35"/>
    <x v="36"/>
    <n v="53752320"/>
    <n v="0"/>
    <n v="4904987"/>
    <n v="48847333"/>
    <n v="42000000"/>
    <n v="1.1630317380952382"/>
    <x v="1"/>
    <n v="25"/>
    <s v="Ferias Empresariales Antioquia"/>
    <s v="Antioquia"/>
    <s v="Fluctúa"/>
    <n v="1"/>
    <n v="43991"/>
    <n v="2"/>
    <n v="76770"/>
    <n v="75"/>
    <n v="4904987"/>
    <n v="48726572"/>
    <m/>
  </r>
  <r>
    <n v="10"/>
    <x v="21"/>
    <x v="1"/>
    <s v="Octubre"/>
    <s v="ANGEROPI"/>
    <x v="46"/>
    <x v="46"/>
    <n v="27489571"/>
    <n v="662000"/>
    <n v="6613349"/>
    <n v="20214222"/>
    <n v="41000000"/>
    <n v="0.49302980487804876"/>
    <x v="0"/>
    <n v="25"/>
    <s v=""/>
    <s v=""/>
    <s v="No Aplica"/>
    <n v="52"/>
    <n v="5433336"/>
    <n v="144"/>
    <n v="12457007"/>
    <n v="76"/>
    <n v="6613349"/>
    <n v="2985879"/>
    <m/>
  </r>
  <r>
    <n v="10"/>
    <x v="21"/>
    <x v="1"/>
    <s v="Octubre"/>
    <s v="BIBIBECA"/>
    <x v="6"/>
    <x v="6"/>
    <n v="57357908"/>
    <n v="412000"/>
    <n v="15408535"/>
    <n v="41537373"/>
    <n v="41000000"/>
    <n v="1.0131066585365853"/>
    <x v="1"/>
    <n v="25"/>
    <s v="IPS Pto De Vista Centro"/>
    <s v="Antioquia"/>
    <s v="Fluctúa"/>
    <n v="101"/>
    <n v="9573118"/>
    <n v="272"/>
    <n v="27169085"/>
    <n v="165"/>
    <n v="15408535"/>
    <n v="5207170"/>
    <m/>
  </r>
  <r>
    <n v="10"/>
    <x v="21"/>
    <x v="1"/>
    <s v="Octubre"/>
    <s v="CAROVABE"/>
    <x v="8"/>
    <x v="32"/>
    <n v="40242649"/>
    <n v="1404000"/>
    <n v="8569309"/>
    <n v="30269340"/>
    <n v="36080000"/>
    <n v="0.83895066518847006"/>
    <x v="0"/>
    <n v="25"/>
    <s v=""/>
    <s v=""/>
    <s v="No Aplica"/>
    <n v="75"/>
    <n v="7109381"/>
    <n v="181"/>
    <n v="18251894"/>
    <n v="95"/>
    <n v="8569309"/>
    <n v="6312065"/>
    <m/>
  </r>
  <r>
    <n v="10"/>
    <x v="21"/>
    <x v="1"/>
    <s v="Octubre"/>
    <s v="CLAUBLAR"/>
    <x v="9"/>
    <x v="8"/>
    <n v="46180809"/>
    <n v="812000"/>
    <n v="9798311"/>
    <n v="35570498"/>
    <n v="24600000"/>
    <n v="1.4459552032520324"/>
    <x v="1"/>
    <n v="25"/>
    <s v="IPS Pto De Vista Centro"/>
    <s v="Antioquia"/>
    <s v="Fluctúa"/>
    <n v="76"/>
    <n v="8898791"/>
    <n v="188"/>
    <n v="21398426"/>
    <n v="113"/>
    <n v="9798311"/>
    <n v="6085281"/>
    <m/>
  </r>
  <r>
    <n v="10"/>
    <x v="21"/>
    <x v="1"/>
    <s v="Octubre"/>
    <s v="HERIRORO"/>
    <x v="52"/>
    <x v="52"/>
    <n v="53302614"/>
    <n v="304000"/>
    <n v="11885025"/>
    <n v="41113589"/>
    <n v="41000000"/>
    <n v="1.0027704634146342"/>
    <x v="1"/>
    <n v="25"/>
    <s v="IPS Pto De Vista Centro"/>
    <s v="Antioquia"/>
    <s v="Siempre Cumple"/>
    <n v="107"/>
    <n v="10365272"/>
    <n v="266"/>
    <n v="26252516"/>
    <n v="134"/>
    <n v="11885025"/>
    <n v="4799801"/>
    <m/>
  </r>
  <r>
    <n v="10"/>
    <x v="21"/>
    <x v="1"/>
    <s v="Octubre"/>
    <s v="MARGGAPA"/>
    <x v="22"/>
    <x v="20"/>
    <n v="46695625"/>
    <n v="716000"/>
    <n v="13158967"/>
    <n v="32820658"/>
    <n v="41000000"/>
    <n v="0.8005038536585366"/>
    <x v="1"/>
    <n v="25"/>
    <s v="IPS Pto De Vista Centro"/>
    <s v="Antioquia"/>
    <s v="Fluctúa"/>
    <n v="90"/>
    <n v="8985065"/>
    <n v="186"/>
    <n v="17911354"/>
    <n v="144"/>
    <n v="13158967"/>
    <n v="6640239"/>
    <m/>
  </r>
  <r>
    <n v="10"/>
    <x v="21"/>
    <x v="1"/>
    <s v="Octubre"/>
    <s v="YULIRIRE"/>
    <x v="57"/>
    <x v="57"/>
    <n v="37937416"/>
    <n v="1306000"/>
    <n v="5656876"/>
    <n v="30974540"/>
    <n v="29000000"/>
    <n v="1.0680875862068966"/>
    <x v="1"/>
    <n v="25"/>
    <s v="IPS Punto de Vista Bello"/>
    <s v="Antioquia"/>
    <s v="Fluctúa"/>
    <n v="84"/>
    <n v="7621530"/>
    <n v="214"/>
    <n v="19808362"/>
    <n v="73"/>
    <n v="5656876"/>
    <n v="4850648"/>
    <m/>
  </r>
  <r>
    <n v="10"/>
    <x v="21"/>
    <x v="1"/>
    <s v="Octubre"/>
    <s v="ANGEGAAR"/>
    <x v="4"/>
    <x v="4"/>
    <n v="34357724"/>
    <n v="333360"/>
    <n v="3636609"/>
    <n v="30387755"/>
    <n v="21560000"/>
    <n v="1.4094506029684601"/>
    <x v="1"/>
    <n v="25"/>
    <s v="IPS Pto De Vista San Diego"/>
    <s v="Antioquia"/>
    <s v="Fluctúa"/>
    <n v="38"/>
    <n v="6350433"/>
    <n v="90"/>
    <n v="20393201"/>
    <n v="37"/>
    <n v="3636609"/>
    <n v="3977481"/>
    <m/>
  </r>
  <r>
    <n v="10"/>
    <x v="21"/>
    <x v="1"/>
    <s v="Octubre"/>
    <s v="NATAPIDU"/>
    <x v="28"/>
    <x v="25"/>
    <n v="56444455"/>
    <n v="519840"/>
    <n v="5184364"/>
    <n v="50740251"/>
    <n v="36000000"/>
    <n v="1.4094514166666667"/>
    <x v="1"/>
    <n v="25"/>
    <s v="IPS Pto De Vista Industriales"/>
    <s v="Antioquia"/>
    <s v="Cumple"/>
    <n v="56"/>
    <n v="11419570"/>
    <n v="164"/>
    <n v="33182634"/>
    <n v="64"/>
    <n v="5184364"/>
    <n v="6657887"/>
    <m/>
  </r>
  <r>
    <n v="10"/>
    <x v="21"/>
    <x v="1"/>
    <s v="Octubre"/>
    <s v="ELIZVESU"/>
    <x v="15"/>
    <x v="13"/>
    <n v="70661856"/>
    <n v="868000"/>
    <n v="15286020"/>
    <n v="54507836"/>
    <n v="43000000"/>
    <n v="1.2676240930232558"/>
    <x v="1"/>
    <n v="25"/>
    <s v="IPS Pto De Vista Unicentro"/>
    <s v="Antioquia"/>
    <s v="Fluctúa"/>
    <n v="97"/>
    <n v="13247695"/>
    <n v="274"/>
    <n v="34686249"/>
    <n v="160"/>
    <n v="15286020"/>
    <n v="7441892"/>
    <m/>
  </r>
  <r>
    <n v="10"/>
    <x v="21"/>
    <x v="1"/>
    <s v="Octubre"/>
    <s v="SUANHECO"/>
    <x v="58"/>
    <x v="58"/>
    <n v="76570018"/>
    <n v="1205400"/>
    <n v="16090874"/>
    <n v="59273744"/>
    <n v="43000000"/>
    <n v="1.3784591627906977"/>
    <x v="1"/>
    <n v="25"/>
    <s v="IPS Pto De Vista Molinos"/>
    <s v="Antioquia"/>
    <s v="Fluctúa"/>
    <n v="131"/>
    <n v="17028462"/>
    <n v="322"/>
    <n v="36787599"/>
    <n v="179"/>
    <n v="16090874"/>
    <n v="6663083"/>
    <m/>
  </r>
  <r>
    <n v="10"/>
    <x v="21"/>
    <x v="1"/>
    <s v="Octubre"/>
    <s v="ZULYARGA"/>
    <x v="34"/>
    <x v="31"/>
    <n v="87251215"/>
    <n v="2616000"/>
    <n v="22320628"/>
    <n v="62314587"/>
    <n v="43000000"/>
    <n v="1.4491764418604651"/>
    <x v="1"/>
    <n v="25"/>
    <s v="IPS Pto De Vista Molinos"/>
    <s v="Antioquia"/>
    <n v="0"/>
    <n v="137"/>
    <n v="15558641"/>
    <n v="352"/>
    <n v="39205284"/>
    <n v="232"/>
    <n v="22320628"/>
    <n v="10166662"/>
    <m/>
  </r>
  <r>
    <n v="10"/>
    <x v="21"/>
    <x v="1"/>
    <s v="Octubre"/>
    <s v="DIANQUME"/>
    <x v="14"/>
    <x v="12"/>
    <n v="61703628"/>
    <n v="919400"/>
    <n v="13956331"/>
    <n v="46827897"/>
    <n v="43000000"/>
    <n v="1.0890208604651164"/>
    <x v="1"/>
    <n v="25"/>
    <s v="IPS Pto De Vista Molinos"/>
    <s v="Antioquia"/>
    <s v="Cumple"/>
    <n v="113"/>
    <n v="12188932"/>
    <n v="289"/>
    <n v="28849794"/>
    <n v="150"/>
    <n v="13956331"/>
    <n v="6708571"/>
    <m/>
  </r>
  <r>
    <n v="10"/>
    <x v="21"/>
    <x v="1"/>
    <s v="Octubre"/>
    <s v="DERLARMO"/>
    <x v="11"/>
    <x v="10"/>
    <n v="31297041"/>
    <n v="660000"/>
    <n v="6682043"/>
    <n v="23954998"/>
    <n v="20000000"/>
    <n v="1.1977499"/>
    <x v="1"/>
    <n v="25"/>
    <s v="IPS Pto De Vista Olaya"/>
    <s v="Centro"/>
    <s v="Cumple"/>
    <n v="83"/>
    <n v="5194494"/>
    <n v="206"/>
    <n v="16573711"/>
    <n v="100"/>
    <n v="6682043"/>
    <n v="2846793"/>
    <m/>
  </r>
  <r>
    <n v="10"/>
    <x v="21"/>
    <x v="1"/>
    <s v="Octubre"/>
    <s v="RAULMOGA"/>
    <x v="30"/>
    <x v="27"/>
    <n v="39596124"/>
    <n v="1262000"/>
    <n v="7733211"/>
    <n v="30600913"/>
    <n v="20000000"/>
    <n v="1.5300456499999999"/>
    <x v="0"/>
    <n v="25"/>
    <s v="IPS Pto De Vista Olaya"/>
    <s v="Centro"/>
    <s v="No Aplica"/>
    <n v="80"/>
    <n v="5294944"/>
    <n v="224"/>
    <n v="22785921"/>
    <n v="103"/>
    <n v="7733211"/>
    <n v="3782048"/>
    <m/>
  </r>
  <r>
    <n v="10"/>
    <x v="21"/>
    <x v="1"/>
    <s v="Octubre"/>
    <s v="ALVAOSOS"/>
    <x v="36"/>
    <x v="37"/>
    <n v="44069708"/>
    <n v="304000"/>
    <n v="9803233"/>
    <n v="33962475"/>
    <n v="30960000"/>
    <n v="1.0969791666666666"/>
    <x v="1"/>
    <n v="25"/>
    <s v="IPS Pto De Vista Punto Clave"/>
    <s v="Antioquia"/>
    <s v="Siempre Cumple"/>
    <n v="68"/>
    <n v="7885485"/>
    <n v="153"/>
    <n v="19282499"/>
    <n v="109"/>
    <n v="9803233"/>
    <n v="7098491"/>
    <m/>
  </r>
  <r>
    <n v="10"/>
    <x v="21"/>
    <x v="1"/>
    <s v="Octubre"/>
    <s v="DEISCACR"/>
    <x v="50"/>
    <x v="50"/>
    <n v="37679671"/>
    <n v="1209600"/>
    <n v="8767580"/>
    <n v="27702491"/>
    <n v="43000000"/>
    <n v="0.6442439767441861"/>
    <x v="1"/>
    <n v="25"/>
    <s v="IPS Pto De Vista Punto Clave"/>
    <s v="Antioquia"/>
    <s v="Fluctúa"/>
    <n v="61"/>
    <n v="7194585"/>
    <n v="159"/>
    <n v="15724030"/>
    <n v="101"/>
    <n v="8767580"/>
    <n v="5993476"/>
    <m/>
  </r>
  <r>
    <n v="10"/>
    <x v="21"/>
    <x v="1"/>
    <s v="Octubre"/>
    <s v="GENNHEPO"/>
    <x v="16"/>
    <x v="14"/>
    <n v="67560630"/>
    <n v="552000"/>
    <n v="13482749"/>
    <n v="53525881"/>
    <n v="43000000"/>
    <n v="1.2447879302325582"/>
    <x v="1"/>
    <n v="25"/>
    <s v="IPS Pto De Vista Punto Clave"/>
    <s v="Antioquia"/>
    <s v="Fluctúa"/>
    <n v="120"/>
    <n v="12747533"/>
    <n v="309"/>
    <n v="33123228"/>
    <n v="144"/>
    <n v="13482749"/>
    <n v="8207120"/>
    <m/>
  </r>
  <r>
    <n v="10"/>
    <x v="21"/>
    <x v="1"/>
    <s v="Octubre"/>
    <s v="LEIDGOVI"/>
    <x v="39"/>
    <x v="39"/>
    <n v="52589851"/>
    <n v="440000"/>
    <n v="8074006"/>
    <n v="44075845"/>
    <n v="41968000"/>
    <n v="1.050225052420892"/>
    <x v="1"/>
    <n v="25"/>
    <s v="IPS Pto De Vista Punto Clave"/>
    <s v="Antioquia"/>
    <s v="Fluctúa"/>
    <n v="81"/>
    <n v="9988734"/>
    <n v="223"/>
    <n v="27198814"/>
    <n v="93"/>
    <n v="8074006"/>
    <n v="7328297"/>
    <m/>
  </r>
  <r>
    <n v="10"/>
    <x v="21"/>
    <x v="1"/>
    <s v="Octubre"/>
    <s v="YENYSUPE"/>
    <x v="51"/>
    <x v="51"/>
    <n v="33577993"/>
    <n v="880000"/>
    <n v="10836318"/>
    <n v="21861675"/>
    <n v="43000000"/>
    <n v="0.50841104651162794"/>
    <x v="1"/>
    <n v="25"/>
    <s v="IPS Pto De Vista Punto Clave"/>
    <s v="Antioquia"/>
    <s v="Cumple"/>
    <n v="54"/>
    <n v="6069373"/>
    <n v="123"/>
    <n v="11347150"/>
    <n v="114"/>
    <n v="10836318"/>
    <n v="5325152"/>
    <m/>
  </r>
  <r>
    <n v="10"/>
    <x v="21"/>
    <x v="1"/>
    <s v="Octubre"/>
    <s v="YURAUSVE"/>
    <x v="56"/>
    <x v="56"/>
    <n v="57068707"/>
    <n v="304000"/>
    <n v="10606803"/>
    <n v="46157904"/>
    <n v="43000000"/>
    <n v="1.0734396279069767"/>
    <x v="1"/>
    <n v="25"/>
    <s v="IPS Pto De Vista Punto Clave"/>
    <s v="Antioquia"/>
    <n v="0"/>
    <n v="95"/>
    <n v="11273712"/>
    <n v="254"/>
    <n v="27862282"/>
    <n v="119"/>
    <n v="10606803"/>
    <n v="7325910"/>
    <m/>
  </r>
  <r>
    <n v="10"/>
    <x v="21"/>
    <x v="1"/>
    <s v="Octubre"/>
    <s v="CARORAMN"/>
    <x v="61"/>
    <x v="61"/>
    <n v="45351731"/>
    <n v="370400"/>
    <n v="9490793"/>
    <n v="35490538"/>
    <n v="43000000"/>
    <n v="0.82536134883720935"/>
    <x v="1"/>
    <n v="25"/>
    <s v="IPS Pto De Vista Punto Clave"/>
    <s v="Antioquia"/>
    <s v="No Cumple"/>
    <n v="77"/>
    <n v="7948471"/>
    <n v="199"/>
    <n v="24083921"/>
    <n v="106"/>
    <n v="9490793"/>
    <n v="3828546"/>
    <m/>
  </r>
  <r>
    <n v="10"/>
    <x v="21"/>
    <x v="1"/>
    <s v="Octubre"/>
    <s v="DIANPAAL"/>
    <x v="12"/>
    <x v="11"/>
    <n v="45330134"/>
    <n v="2529000"/>
    <n v="8880679"/>
    <n v="33920455"/>
    <n v="33000000"/>
    <n v="1.0278925757575759"/>
    <x v="1"/>
    <n v="25"/>
    <s v="IPS Pto De Vista Rionegro"/>
    <s v="Antioquia"/>
    <s v="Cumple"/>
    <n v="77"/>
    <n v="8559197"/>
    <n v="196"/>
    <n v="23187687"/>
    <n v="100"/>
    <n v="8880679"/>
    <n v="4702571"/>
    <m/>
  </r>
  <r>
    <n v="10"/>
    <x v="21"/>
    <x v="1"/>
    <s v="Octubre"/>
    <s v="JAQUVEGU"/>
    <x v="18"/>
    <x v="16"/>
    <n v="41740619"/>
    <n v="660000"/>
    <n v="8231752"/>
    <n v="32848867"/>
    <n v="33000000"/>
    <n v="0.99542021212121212"/>
    <x v="0"/>
    <n v="25"/>
    <s v="IPS Pto De Vista Rionegro"/>
    <s v="Antioquia"/>
    <s v="No Aplica"/>
    <n v="78"/>
    <n v="7802083"/>
    <n v="194"/>
    <n v="20517018"/>
    <n v="91"/>
    <n v="8231752"/>
    <n v="5189766"/>
    <m/>
  </r>
  <r>
    <n v="10"/>
    <x v="21"/>
    <x v="1"/>
    <s v="Octubre"/>
    <s v="MARIOCOC"/>
    <x v="24"/>
    <x v="21"/>
    <n v="55389342"/>
    <n v="1469400"/>
    <n v="10023488"/>
    <n v="43896454"/>
    <n v="33000000"/>
    <n v="1.3301955757575759"/>
    <x v="1"/>
    <n v="25"/>
    <s v="IPS Pto De Vista Rionegro"/>
    <s v="Antioquia"/>
    <s v="Cumple"/>
    <n v="95"/>
    <n v="11076432"/>
    <n v="238"/>
    <n v="28750231"/>
    <n v="115"/>
    <n v="10023488"/>
    <n v="5539191"/>
    <m/>
  </r>
  <r>
    <n v="10"/>
    <x v="21"/>
    <x v="1"/>
    <s v="Octubre"/>
    <s v="ADRIMOLU"/>
    <x v="1"/>
    <x v="1"/>
    <n v="50015623"/>
    <n v="1116000"/>
    <n v="9078843"/>
    <n v="39820780"/>
    <n v="42200000"/>
    <n v="0.94362037914691943"/>
    <x v="1"/>
    <n v="25"/>
    <s v="IPS Pto De Vista Molinos"/>
    <s v="Antioquia"/>
    <s v="Cumple"/>
    <n v="102"/>
    <n v="10389715"/>
    <n v="231"/>
    <n v="24932467"/>
    <n v="103"/>
    <n v="9078843"/>
    <n v="5614598"/>
    <m/>
  </r>
  <r>
    <n v="10"/>
    <x v="21"/>
    <x v="1"/>
    <s v="Octubre"/>
    <s v="ERIKSAVA"/>
    <x v="44"/>
    <x v="44"/>
    <n v="43184239"/>
    <n v="1352000"/>
    <n v="10880616"/>
    <n v="30951623"/>
    <n v="30100000"/>
    <n v="1.0282931229235881"/>
    <x v="1"/>
    <n v="25"/>
    <s v="IPS Pto De Vista San Diego"/>
    <s v="Antioquia"/>
    <s v="No Cumple"/>
    <n v="72"/>
    <n v="7685843"/>
    <n v="154"/>
    <n v="17838452"/>
    <n v="115"/>
    <n v="10880616"/>
    <n v="6779328"/>
    <m/>
  </r>
  <r>
    <n v="10"/>
    <x v="21"/>
    <x v="1"/>
    <s v="Octubre"/>
    <s v="HISNOSPI"/>
    <x v="49"/>
    <x v="49"/>
    <n v="46124694"/>
    <n v="852000"/>
    <n v="11906318"/>
    <n v="33366376"/>
    <n v="30100000"/>
    <n v="1.1085174750830564"/>
    <x v="0"/>
    <n v="25"/>
    <s v="IPS Pto De Vista San Diego"/>
    <s v="Antioquia"/>
    <s v="No Aplica"/>
    <n v="90"/>
    <n v="8603312"/>
    <n v="224"/>
    <n v="21296015"/>
    <n v="123"/>
    <n v="11906318"/>
    <n v="4319049"/>
    <m/>
  </r>
  <r>
    <n v="10"/>
    <x v="21"/>
    <x v="1"/>
    <s v="Octubre"/>
    <s v="MARIMASA"/>
    <x v="23"/>
    <x v="34"/>
    <n v="32902714"/>
    <n v="0"/>
    <n v="6499287"/>
    <n v="26403427"/>
    <n v="22876000"/>
    <n v="1.1541977181325407"/>
    <x v="1"/>
    <n v="25"/>
    <s v="IPS Pto De Vista San Diego"/>
    <s v="Antioquia"/>
    <s v="Siempre Cumple"/>
    <n v="58"/>
    <n v="6945434"/>
    <n v="144"/>
    <n v="15849210"/>
    <n v="67"/>
    <n v="6499287"/>
    <n v="3608783"/>
    <m/>
  </r>
  <r>
    <n v="10"/>
    <x v="21"/>
    <x v="1"/>
    <s v="Octubre"/>
    <s v="ANDRSAZA"/>
    <x v="45"/>
    <x v="45"/>
    <n v="42540888"/>
    <n v="501000"/>
    <n v="6689212"/>
    <n v="35350676"/>
    <n v="22000000"/>
    <n v="1.606848909090909"/>
    <x v="1"/>
    <n v="25"/>
    <s v="IPS Pto De Vista Santa Bárbara"/>
    <s v="Centro"/>
    <s v="Cumple"/>
    <n v="75"/>
    <n v="7913752"/>
    <n v="198"/>
    <n v="25875788"/>
    <n v="93"/>
    <n v="6689212"/>
    <n v="2062136"/>
    <m/>
  </r>
  <r>
    <n v="10"/>
    <x v="21"/>
    <x v="1"/>
    <s v="Octubre"/>
    <s v="ISABMOGO"/>
    <x v="17"/>
    <x v="15"/>
    <n v="35856782"/>
    <n v="905600"/>
    <n v="7117961"/>
    <n v="27833221"/>
    <n v="22000000"/>
    <n v="1.265146409090909"/>
    <x v="1"/>
    <n v="25"/>
    <s v="IPS Pto De Vista Santa Bárbara"/>
    <s v="Centro"/>
    <s v="No Cumple"/>
    <n v="63"/>
    <n v="7348462"/>
    <n v="166"/>
    <n v="16662759"/>
    <n v="90"/>
    <n v="7117961"/>
    <n v="4727600"/>
    <m/>
  </r>
  <r>
    <n v="10"/>
    <x v="21"/>
    <x v="1"/>
    <s v="Octubre"/>
    <s v="CAMIPUHE"/>
    <x v="53"/>
    <x v="53"/>
    <n v="28578765"/>
    <n v="852000"/>
    <n v="5322287"/>
    <n v="22404478"/>
    <n v="22000000"/>
    <n v="1.0183853636363636"/>
    <x v="1"/>
    <n v="25"/>
    <s v="IPS Pto De Vista SSura Clle100"/>
    <s v="Centro"/>
    <s v="Cumple"/>
    <n v="41"/>
    <n v="4423640"/>
    <n v="133"/>
    <n v="16167438"/>
    <n v="67"/>
    <n v="5322287"/>
    <n v="2665400"/>
    <m/>
  </r>
  <r>
    <n v="10"/>
    <x v="21"/>
    <x v="1"/>
    <s v="Octubre"/>
    <s v="LUZNHEGO"/>
    <x v="21"/>
    <x v="19"/>
    <n v="33681408"/>
    <n v="0"/>
    <n v="3423358"/>
    <n v="30258050"/>
    <n v="25000000"/>
    <n v="1.2103219999999999"/>
    <x v="1"/>
    <n v="25"/>
    <s v="IPS Punto de Vista Mayorca"/>
    <s v="Antioquia"/>
    <s v="Siempre Cumple"/>
    <n v="51"/>
    <n v="9418556"/>
    <n v="151"/>
    <n v="18663092"/>
    <n v="48"/>
    <n v="3423358"/>
    <n v="2176402"/>
    <m/>
  </r>
  <r>
    <n v="10"/>
    <x v="21"/>
    <x v="1"/>
    <s v="Octubre"/>
    <s v="VIVIVAZA"/>
    <x v="33"/>
    <x v="30"/>
    <n v="29356744"/>
    <n v="124000"/>
    <n v="4301507"/>
    <n v="24931237"/>
    <n v="18920000"/>
    <n v="1.3177186575052855"/>
    <x v="1"/>
    <n v="25"/>
    <s v="IPS Pto De Vista Unicentro"/>
    <s v="Antioquia"/>
    <s v="Cumple"/>
    <n v="49"/>
    <n v="6728370"/>
    <n v="110"/>
    <n v="15415216"/>
    <n v="53"/>
    <n v="4301507"/>
    <n v="2911651"/>
    <m/>
  </r>
  <r>
    <n v="10"/>
    <x v="21"/>
    <x v="1"/>
    <s v="Octubre"/>
    <s v="ANAMLOBE"/>
    <x v="3"/>
    <x v="3"/>
    <n v="71494856"/>
    <n v="1574680"/>
    <n v="11717463"/>
    <n v="58202713"/>
    <n v="43000000"/>
    <n v="1.353551465116279"/>
    <x v="1"/>
    <n v="25"/>
    <s v="IPS Pto De Vista Unicentro"/>
    <s v="Antioquia"/>
    <s v="Siempre Cumple"/>
    <n v="119"/>
    <n v="15604773"/>
    <n v="280"/>
    <n v="36779401"/>
    <n v="129"/>
    <n v="11717463"/>
    <n v="7393219"/>
    <m/>
  </r>
  <r>
    <n v="10"/>
    <x v="21"/>
    <x v="1"/>
    <s v="Octubre"/>
    <s v="LILACARA"/>
    <x v="19"/>
    <x v="17"/>
    <n v="48864388"/>
    <n v="1662000"/>
    <n v="9106877"/>
    <n v="38095511"/>
    <n v="41280000"/>
    <n v="0.92285637112403096"/>
    <x v="1"/>
    <n v="25"/>
    <s v="IPS Pto De Vista Molinos"/>
    <s v="Antioquia"/>
    <s v="Cumple"/>
    <n v="93"/>
    <n v="10892934"/>
    <n v="231"/>
    <n v="22422715"/>
    <n v="106"/>
    <n v="9106877"/>
    <n v="6441862"/>
    <m/>
  </r>
  <r>
    <n v="10"/>
    <x v="21"/>
    <x v="1"/>
    <s v="Octubre"/>
    <s v="ALEXLOGR"/>
    <x v="2"/>
    <x v="2"/>
    <n v="54845689"/>
    <n v="304000"/>
    <n v="15816098"/>
    <n v="38725591"/>
    <n v="29000000"/>
    <n v="1.3353652068965518"/>
    <x v="1"/>
    <n v="25"/>
    <s v="IPS Punto de Vista Bello"/>
    <s v="Antioquia"/>
    <s v="Fluctúa"/>
    <n v="85"/>
    <n v="8091072"/>
    <n v="222"/>
    <n v="26329753"/>
    <n v="173"/>
    <n v="15816098"/>
    <n v="4608766"/>
    <m/>
  </r>
  <r>
    <n v="10"/>
    <x v="21"/>
    <x v="1"/>
    <s v="Octubre"/>
    <s v="CINDGACU"/>
    <x v="55"/>
    <x v="55"/>
    <n v="38738958"/>
    <n v="866000"/>
    <n v="9808904"/>
    <n v="28064054"/>
    <n v="41000000"/>
    <n v="0.68448912195121947"/>
    <x v="1"/>
    <n v="25"/>
    <s v="IPS Pto De Vista San Diego"/>
    <s v="Antioquia"/>
    <s v="Siempre Cumple"/>
    <n v="65"/>
    <n v="6225146"/>
    <n v="191"/>
    <n v="18470800"/>
    <n v="111"/>
    <n v="9808904"/>
    <n v="4234108"/>
    <m/>
  </r>
  <r>
    <n v="10"/>
    <x v="21"/>
    <x v="1"/>
    <s v="Octubre"/>
    <s v="CARORICA"/>
    <x v="59"/>
    <x v="59"/>
    <n v="13525227"/>
    <n v="0"/>
    <n v="3472578"/>
    <n v="10052649"/>
    <n v="14400000"/>
    <n v="0.69810062500000003"/>
    <x v="0"/>
    <n v="25"/>
    <s v=""/>
    <s v=""/>
    <s v="No Aplica"/>
    <n v="26"/>
    <n v="2119255"/>
    <n v="70"/>
    <n v="6560467"/>
    <n v="45"/>
    <n v="3472578"/>
    <n v="1372927"/>
    <m/>
  </r>
  <r>
    <n v="10"/>
    <x v="21"/>
    <x v="1"/>
    <s v="Octubre"/>
    <s v="TATIRITR"/>
    <x v="60"/>
    <x v="60"/>
    <n v="26572763"/>
    <n v="0"/>
    <n v="7476946"/>
    <n v="19095817"/>
    <n v="30000000"/>
    <n v="0.63652723333333339"/>
    <x v="1"/>
    <n v="25"/>
    <s v="Punto de Vista Cali Norte"/>
    <s v="Occidente"/>
    <s v="No Cumple"/>
    <n v="42"/>
    <n v="3760291"/>
    <n v="146"/>
    <n v="12890793"/>
    <n v="98"/>
    <n v="7476946"/>
    <n v="2444733"/>
    <m/>
  </r>
  <r>
    <n v="10"/>
    <x v="21"/>
    <x v="1"/>
    <s v="Octubre"/>
    <s v="PAOLPACA"/>
    <x v="47"/>
    <x v="47"/>
    <n v="29170803"/>
    <n v="0"/>
    <n v="8690861"/>
    <n v="20479942"/>
    <n v="30000000"/>
    <n v="0.68266473333333333"/>
    <x v="1"/>
    <n v="25"/>
    <s v="Punto de Vista Tequendama"/>
    <s v="Occidente"/>
    <s v="Siempre Cumple"/>
    <n v="45"/>
    <n v="3859632"/>
    <n v="158"/>
    <n v="13072495"/>
    <n v="103"/>
    <n v="8690861"/>
    <n v="3547815"/>
    <m/>
  </r>
  <r>
    <n v="10"/>
    <x v="21"/>
    <x v="1"/>
    <s v="Octubre"/>
    <s v="YANEARNA"/>
    <x v="62"/>
    <x v="62"/>
    <n v="351315"/>
    <n v="0"/>
    <n v="0"/>
    <n v="351315"/>
    <n v="8400000"/>
    <n v="4.1823214285714283E-2"/>
    <x v="0"/>
    <n v="25"/>
    <s v=""/>
    <s v=""/>
    <s v="No Aplica"/>
    <n v="0"/>
    <n v="0"/>
    <n v="2"/>
    <n v="220315"/>
    <n v="0"/>
    <n v="0"/>
    <n v="131000"/>
    <m/>
  </r>
  <r>
    <n v="10"/>
    <x v="21"/>
    <x v="1"/>
    <s v="Octubre"/>
    <s v="ROCIFASA"/>
    <x v="31"/>
    <x v="28"/>
    <n v="42681928"/>
    <n v="2376360"/>
    <n v="5984296"/>
    <n v="34321272"/>
    <n v="25000000"/>
    <n v="1.3728508800000001"/>
    <x v="1"/>
    <n v="25"/>
    <s v="Optica Salud Sura Chipichape"/>
    <s v="Occidente"/>
    <s v="Cumple"/>
    <n v="64"/>
    <n v="10428459"/>
    <n v="177"/>
    <n v="20560090"/>
    <n v="67"/>
    <n v="5984296"/>
    <n v="5709083"/>
    <m/>
  </r>
  <r>
    <n v="10"/>
    <x v="21"/>
    <x v="1"/>
    <s v="Octubre"/>
    <s v="DARWHERI"/>
    <x v="37"/>
    <x v="7"/>
    <n v="87740"/>
    <n v="0"/>
    <n v="87740"/>
    <n v="0"/>
    <m/>
    <m/>
    <x v="0"/>
    <n v="25"/>
    <s v=""/>
    <s v=""/>
    <s v="No Aplica"/>
    <n v="0"/>
    <n v="0"/>
    <n v="0"/>
    <n v="0"/>
    <n v="2"/>
    <n v="87740"/>
    <n v="0"/>
    <m/>
  </r>
  <r>
    <n v="10"/>
    <x v="21"/>
    <x v="1"/>
    <s v="Octubre"/>
    <s v="DIANGUAV"/>
    <x v="37"/>
    <x v="7"/>
    <n v="134285"/>
    <n v="0"/>
    <n v="134285"/>
    <n v="0"/>
    <m/>
    <m/>
    <x v="0"/>
    <n v="25"/>
    <s v=""/>
    <s v=""/>
    <s v="No Aplica"/>
    <n v="0"/>
    <n v="0"/>
    <n v="0"/>
    <n v="0"/>
    <n v="1"/>
    <n v="134285"/>
    <n v="0"/>
    <m/>
  </r>
  <r>
    <n v="10"/>
    <x v="21"/>
    <x v="1"/>
    <s v="Octubre"/>
    <s v="JHONMULO"/>
    <x v="37"/>
    <x v="7"/>
    <n v="394655"/>
    <n v="0"/>
    <n v="0"/>
    <n v="394655"/>
    <m/>
    <m/>
    <x v="0"/>
    <n v="25"/>
    <s v=""/>
    <s v=""/>
    <s v="No Aplica"/>
    <n v="0"/>
    <n v="0"/>
    <n v="0"/>
    <n v="0"/>
    <n v="0"/>
    <n v="0"/>
    <n v="394655"/>
    <m/>
  </r>
  <r>
    <n v="10"/>
    <x v="21"/>
    <x v="1"/>
    <s v="Octubre"/>
    <s v="LUZMARMO"/>
    <x v="37"/>
    <x v="7"/>
    <n v="268570"/>
    <n v="0"/>
    <n v="268570"/>
    <n v="0"/>
    <m/>
    <m/>
    <x v="0"/>
    <n v="25"/>
    <s v=""/>
    <s v=""/>
    <s v="No Aplica"/>
    <n v="0"/>
    <n v="0"/>
    <n v="0"/>
    <n v="0"/>
    <n v="2"/>
    <n v="268570"/>
    <n v="0"/>
    <m/>
  </r>
  <r>
    <n v="10"/>
    <x v="21"/>
    <x v="1"/>
    <s v="Octubre"/>
    <s v="MARISEAR"/>
    <x v="37"/>
    <x v="7"/>
    <n v="20986"/>
    <n v="0"/>
    <n v="20986"/>
    <n v="0"/>
    <m/>
    <m/>
    <x v="0"/>
    <n v="25"/>
    <s v=""/>
    <s v=""/>
    <s v="No Aplica"/>
    <n v="0"/>
    <n v="0"/>
    <n v="0"/>
    <n v="0"/>
    <n v="1"/>
    <n v="20986"/>
    <n v="0"/>
    <m/>
  </r>
  <r>
    <n v="10"/>
    <x v="21"/>
    <x v="1"/>
    <s v="Octubre"/>
    <s v="OSCADESU"/>
    <x v="37"/>
    <x v="7"/>
    <n v="577182"/>
    <n v="0"/>
    <n v="264290"/>
    <n v="312892"/>
    <m/>
    <m/>
    <x v="0"/>
    <n v="25"/>
    <s v=""/>
    <s v=""/>
    <s v="No Aplica"/>
    <n v="0"/>
    <n v="0"/>
    <n v="4"/>
    <n v="312890"/>
    <n v="4"/>
    <n v="264290"/>
    <n v="2"/>
    <m/>
  </r>
  <r>
    <n v="10"/>
    <x v="21"/>
    <x v="1"/>
    <s v="Octubre"/>
    <s v="USERPI"/>
    <x v="37"/>
    <x v="7"/>
    <n v="43870"/>
    <n v="0"/>
    <n v="43870"/>
    <n v="0"/>
    <m/>
    <m/>
    <x v="0"/>
    <n v="25"/>
    <s v=""/>
    <s v=""/>
    <s v="No Aplica"/>
    <n v="0"/>
    <n v="0"/>
    <n v="0"/>
    <n v="0"/>
    <n v="1"/>
    <n v="43870"/>
    <n v="0"/>
    <m/>
  </r>
  <r>
    <n v="10"/>
    <x v="21"/>
    <x v="1"/>
    <s v="Octubre"/>
    <s v="(en blanco)"/>
    <x v="37"/>
    <x v="7"/>
    <n v="-501616"/>
    <n v="0"/>
    <n v="0"/>
    <n v="-501616"/>
    <m/>
    <m/>
    <x v="0"/>
    <n v="25"/>
    <s v=""/>
    <s v=""/>
    <s v="No Aplica"/>
    <n v="0"/>
    <n v="0"/>
    <n v="0"/>
    <n v="0"/>
    <n v="0"/>
    <n v="0"/>
    <n v="-501616"/>
    <m/>
  </r>
  <r>
    <n v="11"/>
    <x v="22"/>
    <x v="1"/>
    <s v="Noviembre"/>
    <s v="DIANPOPA"/>
    <x v="13"/>
    <x v="33"/>
    <n v="44198499"/>
    <n v="0"/>
    <n v="2285841"/>
    <n v="41912658"/>
    <n v="31721000"/>
    <n v="1.3212905646101951"/>
    <x v="0"/>
    <n v="24"/>
    <s v=""/>
    <s v=""/>
    <s v="No Aplica"/>
    <n v="132"/>
    <n v="7327955"/>
    <n v="280"/>
    <n v="14185227"/>
    <n v="28"/>
    <n v="2285841"/>
    <n v="20399476"/>
    <m/>
  </r>
  <r>
    <n v="11"/>
    <x v="22"/>
    <x v="1"/>
    <s v="Noviembre"/>
    <s v="PAULGOBA"/>
    <x v="35"/>
    <x v="36"/>
    <n v="36450469"/>
    <n v="0"/>
    <n v="4855767"/>
    <n v="31594702"/>
    <n v="38500000"/>
    <n v="0.82064161038961037"/>
    <x v="1"/>
    <n v="24"/>
    <s v="Ferias Empresariales Antioquia"/>
    <s v="Antioquia"/>
    <s v="Fluctúa"/>
    <n v="95"/>
    <n v="3668578"/>
    <n v="230"/>
    <n v="12278586"/>
    <n v="78"/>
    <n v="4855767"/>
    <n v="15647538"/>
    <m/>
  </r>
  <r>
    <n v="11"/>
    <x v="22"/>
    <x v="1"/>
    <s v="Noviembre"/>
    <s v="ANGEROPI"/>
    <x v="46"/>
    <x v="46"/>
    <n v="6340385"/>
    <n v="426000"/>
    <n v="1724947"/>
    <n v="4189438"/>
    <n v="18375000"/>
    <n v="0.22799662585034014"/>
    <x v="0"/>
    <n v="24"/>
    <s v=""/>
    <s v=""/>
    <s v="No Aplica"/>
    <n v="15"/>
    <n v="995653"/>
    <n v="32"/>
    <n v="2054951"/>
    <n v="19"/>
    <n v="1724947"/>
    <n v="1564834"/>
    <m/>
  </r>
  <r>
    <n v="11"/>
    <x v="22"/>
    <x v="1"/>
    <s v="Noviembre"/>
    <s v="BIBIBECA"/>
    <x v="6"/>
    <x v="6"/>
    <n v="60244096"/>
    <n v="990000"/>
    <n v="15783356"/>
    <n v="43470740"/>
    <n v="37583333.333333328"/>
    <n v="1.1566494013303772"/>
    <x v="1"/>
    <n v="24"/>
    <s v="IPS Pto De Vista Centro"/>
    <s v="Antioquia"/>
    <s v="Fluctúa"/>
    <n v="116"/>
    <n v="9452438"/>
    <n v="286"/>
    <n v="28834941"/>
    <n v="172"/>
    <n v="15783356"/>
    <n v="6173361"/>
    <m/>
  </r>
  <r>
    <n v="11"/>
    <x v="22"/>
    <x v="1"/>
    <s v="Noviembre"/>
    <s v="CLAUBLAR"/>
    <x v="9"/>
    <x v="8"/>
    <n v="61534541"/>
    <n v="440000"/>
    <n v="13755813"/>
    <n v="47338728"/>
    <n v="37583333.333333328"/>
    <n v="1.2595670421286034"/>
    <x v="1"/>
    <n v="24"/>
    <s v="IPS Pto De Vista Centro"/>
    <s v="Antioquia"/>
    <s v="Fluctúa"/>
    <n v="106"/>
    <n v="11130288"/>
    <n v="255"/>
    <n v="30348582"/>
    <n v="154"/>
    <n v="13755813"/>
    <n v="6299858"/>
    <m/>
  </r>
  <r>
    <n v="11"/>
    <x v="22"/>
    <x v="1"/>
    <s v="Noviembre"/>
    <s v="HERIRORO"/>
    <x v="52"/>
    <x v="52"/>
    <n v="51710215"/>
    <n v="304000"/>
    <n v="12216618"/>
    <n v="39189597"/>
    <n v="37583333.333333328"/>
    <n v="1.0427387228381375"/>
    <x v="1"/>
    <n v="24"/>
    <s v="IPS Pto De Vista Centro"/>
    <s v="Antioquia"/>
    <s v="Siempre Cumple"/>
    <n v="102"/>
    <n v="9923655"/>
    <n v="249"/>
    <n v="24760665"/>
    <n v="131"/>
    <n v="12216618"/>
    <n v="4809277"/>
    <m/>
  </r>
  <r>
    <n v="11"/>
    <x v="22"/>
    <x v="1"/>
    <s v="Noviembre"/>
    <s v="MARGGAPA"/>
    <x v="22"/>
    <x v="20"/>
    <n v="71170798"/>
    <n v="152000"/>
    <n v="15246858"/>
    <n v="55771940"/>
    <n v="37583333.333333328"/>
    <n v="1.4839540576496677"/>
    <x v="1"/>
    <n v="24"/>
    <s v="IPS Pto De Vista Centro"/>
    <s v="Antioquia"/>
    <s v="Fluctúa"/>
    <n v="122"/>
    <n v="13286928"/>
    <n v="276"/>
    <n v="35957521"/>
    <n v="158"/>
    <n v="15246858"/>
    <n v="6679491"/>
    <m/>
  </r>
  <r>
    <n v="11"/>
    <x v="22"/>
    <x v="1"/>
    <s v="Noviembre"/>
    <s v="YULIRIRE"/>
    <x v="57"/>
    <x v="57"/>
    <n v="47261160"/>
    <n v="304000"/>
    <n v="11334724"/>
    <n v="35622436"/>
    <n v="26583333.333333332"/>
    <n v="1.3400289404388714"/>
    <x v="1"/>
    <n v="24"/>
    <s v="IPS Punto de Vista Bello"/>
    <s v="Antioquia"/>
    <s v="Fluctúa"/>
    <n v="103"/>
    <n v="8287262"/>
    <n v="234"/>
    <n v="22297921"/>
    <n v="130"/>
    <n v="11334724"/>
    <n v="5341253"/>
    <m/>
  </r>
  <r>
    <n v="11"/>
    <x v="22"/>
    <x v="1"/>
    <s v="Noviembre"/>
    <s v="ANGEGAAR"/>
    <x v="4"/>
    <x v="4"/>
    <n v="35609591"/>
    <n v="370400"/>
    <n v="6879351"/>
    <n v="28359840"/>
    <n v="22875000"/>
    <n v="1.2397744262295083"/>
    <x v="1"/>
    <n v="24"/>
    <s v="IPS Pto De Vista San Diego"/>
    <s v="Antioquia"/>
    <s v="Fluctúa"/>
    <n v="51"/>
    <n v="7190029"/>
    <n v="126"/>
    <n v="18026144"/>
    <n v="75"/>
    <n v="6879351"/>
    <n v="3514067"/>
    <m/>
  </r>
  <r>
    <n v="11"/>
    <x v="22"/>
    <x v="1"/>
    <s v="Noviembre"/>
    <s v="NATAPIDU"/>
    <x v="28"/>
    <x v="25"/>
    <n v="52456820"/>
    <n v="518760"/>
    <n v="6292991"/>
    <n v="45645069"/>
    <n v="33000000"/>
    <n v="1.383183909090909"/>
    <x v="1"/>
    <n v="24"/>
    <s v="IPS Pto De Vista Industriales"/>
    <s v="Antioquia"/>
    <s v="Cumple"/>
    <n v="51"/>
    <n v="10232946"/>
    <n v="165"/>
    <n v="29524809"/>
    <n v="74"/>
    <n v="6292991"/>
    <n v="6406074"/>
    <m/>
  </r>
  <r>
    <n v="11"/>
    <x v="22"/>
    <x v="1"/>
    <s v="Noviembre"/>
    <s v="ELIZVESU"/>
    <x v="15"/>
    <x v="13"/>
    <n v="75360758"/>
    <n v="1455400"/>
    <n v="16190170"/>
    <n v="57715188"/>
    <n v="28666666.666666668"/>
    <n v="2.0133205116279069"/>
    <x v="1"/>
    <n v="24"/>
    <s v="IPS Pto De Vista Unicentro"/>
    <s v="Antioquia"/>
    <s v="Fluctúa"/>
    <n v="110"/>
    <n v="14601546"/>
    <n v="269"/>
    <n v="35951102"/>
    <n v="160"/>
    <n v="16190170"/>
    <n v="8617940"/>
    <m/>
  </r>
  <r>
    <n v="11"/>
    <x v="22"/>
    <x v="1"/>
    <s v="Noviembre"/>
    <s v="SUANHECO"/>
    <x v="58"/>
    <x v="58"/>
    <n v="87098749"/>
    <n v="784000"/>
    <n v="20763243"/>
    <n v="65551506"/>
    <n v="39416666.666666672"/>
    <n v="1.6630403213530653"/>
    <x v="1"/>
    <n v="24"/>
    <s v="IPS Pto De Vista Molinos"/>
    <s v="Antioquia"/>
    <s v="Fluctúa"/>
    <n v="128"/>
    <n v="16844932"/>
    <n v="317"/>
    <n v="41533714"/>
    <n v="218"/>
    <n v="20763243"/>
    <n v="7956860"/>
    <m/>
  </r>
  <r>
    <n v="11"/>
    <x v="22"/>
    <x v="1"/>
    <s v="Noviembre"/>
    <s v="ZULYARGA"/>
    <x v="34"/>
    <x v="31"/>
    <n v="60932865"/>
    <n v="1021000"/>
    <n v="13974949"/>
    <n v="45936916"/>
    <n v="39416666.666666672"/>
    <n v="1.1654185877378433"/>
    <x v="1"/>
    <n v="24"/>
    <s v="IPS Pto De Vista Molinos"/>
    <s v="Antioquia"/>
    <n v="0"/>
    <n v="95"/>
    <n v="9835800"/>
    <n v="288"/>
    <n v="31275460"/>
    <n v="141"/>
    <n v="13974949"/>
    <n v="5846656"/>
    <m/>
  </r>
  <r>
    <n v="11"/>
    <x v="22"/>
    <x v="1"/>
    <s v="Noviembre"/>
    <s v="DIANQUME"/>
    <x v="14"/>
    <x v="12"/>
    <n v="60575223"/>
    <n v="1662000"/>
    <n v="13383346"/>
    <n v="45529877"/>
    <n v="35833333.333333336"/>
    <n v="1.2706012186046511"/>
    <x v="1"/>
    <n v="24"/>
    <s v="IPS Pto De Vista Molinos"/>
    <s v="Antioquia"/>
    <s v="Cumple"/>
    <n v="109"/>
    <n v="10411449"/>
    <n v="259"/>
    <n v="29249576"/>
    <n v="140"/>
    <n v="13383346"/>
    <n v="7530852"/>
    <m/>
  </r>
  <r>
    <n v="11"/>
    <x v="22"/>
    <x v="1"/>
    <s v="Noviembre"/>
    <s v="DERLARMO"/>
    <x v="11"/>
    <x v="10"/>
    <n v="23113868"/>
    <n v="1634000"/>
    <n v="5103579"/>
    <n v="16376289"/>
    <n v="20000000"/>
    <n v="0.81881444999999997"/>
    <x v="1"/>
    <n v="24"/>
    <s v="IPS Pto De Vista Olaya"/>
    <s v="Centro"/>
    <s v="Cumple"/>
    <n v="62"/>
    <n v="3324732"/>
    <n v="151"/>
    <n v="11268654"/>
    <n v="79"/>
    <n v="5103579"/>
    <n v="3416903"/>
    <m/>
  </r>
  <r>
    <n v="11"/>
    <x v="22"/>
    <x v="1"/>
    <s v="Noviembre"/>
    <s v="RAULMOGA"/>
    <x v="30"/>
    <x v="27"/>
    <n v="26806849"/>
    <n v="880000"/>
    <n v="4894394"/>
    <n v="21032455"/>
    <n v="20000000"/>
    <n v="1.0516227499999999"/>
    <x v="0"/>
    <n v="24"/>
    <s v="IPS Pto De Vista Olaya"/>
    <s v="Centro"/>
    <s v="No Aplica"/>
    <n v="69"/>
    <n v="4670160"/>
    <n v="158"/>
    <n v="15052277"/>
    <n v="72"/>
    <n v="4894394"/>
    <n v="2190018"/>
    <m/>
  </r>
  <r>
    <n v="11"/>
    <x v="22"/>
    <x v="1"/>
    <s v="Noviembre"/>
    <s v="ALVAOSOS"/>
    <x v="36"/>
    <x v="37"/>
    <n v="26774358"/>
    <n v="417200"/>
    <n v="3247985"/>
    <n v="23109173"/>
    <n v="21500000"/>
    <n v="1.0748452558139534"/>
    <x v="1"/>
    <n v="24"/>
    <s v="IPS Pto De Vista Punto Clave"/>
    <s v="Antioquia"/>
    <s v="Siempre Cumple"/>
    <n v="43"/>
    <n v="4498421"/>
    <n v="112"/>
    <n v="14417225"/>
    <n v="39"/>
    <n v="3247985"/>
    <n v="4610727"/>
    <m/>
  </r>
  <r>
    <n v="11"/>
    <x v="22"/>
    <x v="1"/>
    <s v="Noviembre"/>
    <s v="DEISCACR"/>
    <x v="50"/>
    <x v="50"/>
    <n v="53334385"/>
    <n v="1048000"/>
    <n v="10906510"/>
    <n v="41379875"/>
    <n v="37625000"/>
    <n v="1.099797342192691"/>
    <x v="1"/>
    <n v="24"/>
    <s v="IPS Pto De Vista Punto Clave"/>
    <s v="Antioquia"/>
    <s v="Fluctúa"/>
    <n v="91"/>
    <n v="9208342"/>
    <n v="222"/>
    <n v="27194796"/>
    <n v="122"/>
    <n v="10906510"/>
    <n v="6024737"/>
    <m/>
  </r>
  <r>
    <n v="11"/>
    <x v="22"/>
    <x v="1"/>
    <s v="Noviembre"/>
    <s v="GENNHEPO"/>
    <x v="16"/>
    <x v="14"/>
    <n v="52809363"/>
    <n v="412000"/>
    <n v="10813313"/>
    <n v="41584050"/>
    <n v="39416666.666666672"/>
    <n v="1.0549864693446087"/>
    <x v="1"/>
    <n v="24"/>
    <s v="IPS Pto De Vista Punto Clave"/>
    <s v="Antioquia"/>
    <s v="Fluctúa"/>
    <n v="90"/>
    <n v="9372525"/>
    <n v="276"/>
    <n v="28564100"/>
    <n v="129"/>
    <n v="10813313"/>
    <n v="4059425"/>
    <m/>
  </r>
  <r>
    <n v="11"/>
    <x v="22"/>
    <x v="1"/>
    <s v="Noviembre"/>
    <s v="LEIDGOVI"/>
    <x v="39"/>
    <x v="39"/>
    <n v="58969829"/>
    <n v="2008000"/>
    <n v="10986974"/>
    <n v="45974855"/>
    <n v="39416666.666666672"/>
    <n v="1.1663810993657504"/>
    <x v="1"/>
    <n v="24"/>
    <s v="IPS Pto De Vista Punto Clave"/>
    <s v="Antioquia"/>
    <s v="Fluctúa"/>
    <n v="92"/>
    <n v="9394135"/>
    <n v="250"/>
    <n v="30835631"/>
    <n v="118"/>
    <n v="10986974"/>
    <n v="7753089"/>
    <m/>
  </r>
  <r>
    <n v="11"/>
    <x v="22"/>
    <x v="1"/>
    <s v="Noviembre"/>
    <s v="YENYSUPE"/>
    <x v="51"/>
    <x v="51"/>
    <n v="61878934"/>
    <n v="608000"/>
    <n v="14184348"/>
    <n v="47086586"/>
    <n v="39416666.666666672"/>
    <n v="1.1945856913319237"/>
    <x v="1"/>
    <n v="24"/>
    <s v="IPS Pto De Vista Punto Clave"/>
    <s v="Antioquia"/>
    <s v="Cumple"/>
    <n v="115"/>
    <n v="11665009"/>
    <n v="282"/>
    <n v="28159465"/>
    <n v="147"/>
    <n v="14184348"/>
    <n v="7870112"/>
    <m/>
  </r>
  <r>
    <n v="11"/>
    <x v="22"/>
    <x v="1"/>
    <s v="Noviembre"/>
    <s v="YURAUSVE"/>
    <x v="56"/>
    <x v="56"/>
    <n v="61393097"/>
    <n v="1069200"/>
    <n v="12223573"/>
    <n v="48100324"/>
    <n v="39416666.666666672"/>
    <n v="1.2203042029598308"/>
    <x v="1"/>
    <n v="24"/>
    <s v="IPS Pto De Vista Punto Clave"/>
    <s v="Antioquia"/>
    <n v="0"/>
    <n v="107"/>
    <n v="11846585"/>
    <n v="252"/>
    <n v="30077556"/>
    <n v="127"/>
    <n v="12223573"/>
    <n v="7245383"/>
    <m/>
  </r>
  <r>
    <n v="11"/>
    <x v="22"/>
    <x v="1"/>
    <s v="Noviembre"/>
    <s v="CARORAMN"/>
    <x v="61"/>
    <x v="61"/>
    <n v="39756153"/>
    <n v="1568000"/>
    <n v="11826603"/>
    <n v="26361550"/>
    <n v="39416666.666666672"/>
    <n v="0.66879196617336145"/>
    <x v="1"/>
    <n v="24"/>
    <s v="IPS Pto De Vista Punto Clave"/>
    <s v="Antioquia"/>
    <s v="No Cumple"/>
    <n v="59"/>
    <n v="6204852"/>
    <n v="152"/>
    <n v="16082156"/>
    <n v="117"/>
    <n v="11826603"/>
    <n v="5642542"/>
    <m/>
  </r>
  <r>
    <n v="11"/>
    <x v="22"/>
    <x v="1"/>
    <s v="Noviembre"/>
    <s v="DIANPAAL"/>
    <x v="12"/>
    <x v="11"/>
    <n v="46832912"/>
    <n v="2557400"/>
    <n v="9467374"/>
    <n v="34808138"/>
    <n v="30250000"/>
    <n v="1.1506822479338843"/>
    <x v="1"/>
    <n v="24"/>
    <s v="IPS Pto De Vista Rionegro"/>
    <s v="Antioquia"/>
    <s v="Cumple"/>
    <n v="77"/>
    <n v="8136099"/>
    <n v="204"/>
    <n v="23908087"/>
    <n v="103"/>
    <n v="9467374"/>
    <n v="5321352"/>
    <m/>
  </r>
  <r>
    <n v="11"/>
    <x v="22"/>
    <x v="1"/>
    <s v="Noviembre"/>
    <s v="JAQUVEGU"/>
    <x v="18"/>
    <x v="16"/>
    <n v="43477277"/>
    <n v="1972000"/>
    <n v="9143513"/>
    <n v="32361764"/>
    <n v="30250000"/>
    <n v="1.0698103801652892"/>
    <x v="0"/>
    <n v="24"/>
    <s v="IPS Pto De Vista Rionegro"/>
    <s v="Antioquia"/>
    <s v="No Aplica"/>
    <n v="83"/>
    <n v="8014379"/>
    <n v="182"/>
    <n v="21330637"/>
    <n v="102"/>
    <n v="9143513"/>
    <n v="4988748"/>
    <m/>
  </r>
  <r>
    <n v="11"/>
    <x v="22"/>
    <x v="1"/>
    <s v="Noviembre"/>
    <s v="MARIOCOC"/>
    <x v="24"/>
    <x v="21"/>
    <n v="54974346"/>
    <n v="2029400"/>
    <n v="9973557"/>
    <n v="42971389"/>
    <n v="30250000"/>
    <n v="1.420541785123967"/>
    <x v="1"/>
    <n v="24"/>
    <s v="IPS Pto De Vista Rionegro"/>
    <s v="Antioquia"/>
    <s v="Cumple"/>
    <n v="85"/>
    <n v="9924213"/>
    <n v="230"/>
    <n v="29747170"/>
    <n v="108"/>
    <n v="9973557"/>
    <n v="5329406"/>
    <m/>
  </r>
  <r>
    <n v="11"/>
    <x v="22"/>
    <x v="1"/>
    <s v="Noviembre"/>
    <s v="ADRIMOLU"/>
    <x v="1"/>
    <x v="1"/>
    <n v="55984932"/>
    <n v="1959800"/>
    <n v="10817272"/>
    <n v="43207860"/>
    <n v="39416666.666666672"/>
    <n v="1.0961824947145875"/>
    <x v="1"/>
    <n v="24"/>
    <s v="IPS Pto De Vista Molinos"/>
    <s v="Antioquia"/>
    <s v="Cumple"/>
    <n v="104"/>
    <n v="10679376"/>
    <n v="249"/>
    <n v="27428737"/>
    <n v="115"/>
    <n v="10817272"/>
    <n v="7059547"/>
    <m/>
  </r>
  <r>
    <n v="11"/>
    <x v="22"/>
    <x v="1"/>
    <s v="Noviembre"/>
    <s v="ERIKSAVA"/>
    <x v="44"/>
    <x v="44"/>
    <n v="49645222"/>
    <n v="812000"/>
    <n v="10933474"/>
    <n v="37899748"/>
    <n v="27591666.666666668"/>
    <n v="1.3735940078526125"/>
    <x v="1"/>
    <n v="24"/>
    <s v="IPS Pto De Vista San Diego"/>
    <s v="Antioquia"/>
    <s v="No Cumple"/>
    <n v="93"/>
    <n v="10624894"/>
    <n v="192"/>
    <n v="21795017"/>
    <n v="120"/>
    <n v="10933474"/>
    <n v="6291837"/>
    <m/>
  </r>
  <r>
    <n v="11"/>
    <x v="22"/>
    <x v="1"/>
    <s v="Noviembre"/>
    <s v="HISNOSPI"/>
    <x v="49"/>
    <x v="49"/>
    <n v="46145707"/>
    <n v="896000"/>
    <n v="10462995"/>
    <n v="34786712"/>
    <n v="27591666.666666668"/>
    <n v="1.2607687828450618"/>
    <x v="0"/>
    <n v="24"/>
    <s v="IPS Pto De Vista San Diego"/>
    <s v="Antioquia"/>
    <s v="No Aplica"/>
    <n v="81"/>
    <n v="9277635"/>
    <n v="218"/>
    <n v="21939857"/>
    <n v="111"/>
    <n v="10462995"/>
    <n v="4465220"/>
    <m/>
  </r>
  <r>
    <n v="11"/>
    <x v="22"/>
    <x v="1"/>
    <s v="Noviembre"/>
    <s v="MARIMASA"/>
    <x v="23"/>
    <x v="34"/>
    <n v="46758812"/>
    <n v="885400"/>
    <n v="9278291"/>
    <n v="36595121"/>
    <n v="27591666.666666668"/>
    <n v="1.3263106372697069"/>
    <x v="1"/>
    <n v="24"/>
    <s v="IPS Pto De Vista San Diego"/>
    <s v="Antioquia"/>
    <s v="Siempre Cumple"/>
    <n v="80"/>
    <n v="10188381"/>
    <n v="191"/>
    <n v="22739075"/>
    <n v="103"/>
    <n v="9278291"/>
    <n v="4553065"/>
    <m/>
  </r>
  <r>
    <n v="11"/>
    <x v="22"/>
    <x v="1"/>
    <s v="Noviembre"/>
    <s v="ANDRSAZA"/>
    <x v="45"/>
    <x v="45"/>
    <n v="36708038"/>
    <n v="900000"/>
    <n v="6154747"/>
    <n v="29653291"/>
    <n v="22000000"/>
    <n v="1.3478768636363636"/>
    <x v="1"/>
    <n v="24"/>
    <s v="IPS Pto De Vista Santa Bárbara"/>
    <s v="Centro"/>
    <s v="Cumple"/>
    <n v="60"/>
    <n v="6435093"/>
    <n v="156"/>
    <n v="21307816"/>
    <n v="87"/>
    <n v="6154747"/>
    <n v="2810382"/>
    <m/>
  </r>
  <r>
    <n v="11"/>
    <x v="22"/>
    <x v="1"/>
    <s v="Noviembre"/>
    <s v="ISABMOGO"/>
    <x v="17"/>
    <x v="15"/>
    <n v="29812160"/>
    <n v="1396000"/>
    <n v="4106232"/>
    <n v="24309928"/>
    <n v="22000000"/>
    <n v="1.1049967272727272"/>
    <x v="1"/>
    <n v="24"/>
    <s v="IPS Pto De Vista Santa Bárbara"/>
    <s v="Centro"/>
    <s v="No Cumple"/>
    <n v="51"/>
    <n v="6125202"/>
    <n v="134"/>
    <n v="16090940"/>
    <n v="58"/>
    <n v="4106232"/>
    <n v="3489786"/>
    <m/>
  </r>
  <r>
    <n v="11"/>
    <x v="22"/>
    <x v="1"/>
    <s v="Noviembre"/>
    <s v="CAMIPUHE"/>
    <x v="53"/>
    <x v="53"/>
    <n v="30870276"/>
    <n v="740800"/>
    <n v="6312251"/>
    <n v="23817225"/>
    <n v="22000000"/>
    <n v="1.0826011363636363"/>
    <x v="1"/>
    <n v="24"/>
    <s v="IPS Pto De Vista SSura Clle100"/>
    <s v="Centro"/>
    <s v="Cumple"/>
    <n v="46"/>
    <n v="4455726"/>
    <n v="134"/>
    <n v="17683429"/>
    <n v="84"/>
    <n v="6312251"/>
    <n v="2418870"/>
    <m/>
  </r>
  <r>
    <n v="11"/>
    <x v="22"/>
    <x v="1"/>
    <s v="Noviembre"/>
    <s v="LUZNHEGO"/>
    <x v="21"/>
    <x v="19"/>
    <n v="30369131"/>
    <n v="383400"/>
    <n v="2480688"/>
    <n v="27505043"/>
    <n v="25000000"/>
    <n v="1.10020172"/>
    <x v="1"/>
    <n v="24"/>
    <s v="IPS Punto de Vista Mayorca"/>
    <s v="Antioquia"/>
    <s v="Siempre Cumple"/>
    <n v="50"/>
    <n v="8215477"/>
    <n v="136"/>
    <n v="17556486"/>
    <n v="43"/>
    <n v="2480688"/>
    <n v="2116480"/>
    <m/>
  </r>
  <r>
    <n v="11"/>
    <x v="22"/>
    <x v="1"/>
    <s v="Noviembre"/>
    <s v="VIVIVAZA"/>
    <x v="33"/>
    <x v="30"/>
    <n v="75708260"/>
    <n v="1748000"/>
    <n v="15216791"/>
    <n v="58743469"/>
    <n v="39416666.666666672"/>
    <n v="1.4903205665961943"/>
    <x v="1"/>
    <n v="24"/>
    <s v="IPS Pto De Vista Unicentro"/>
    <s v="Antioquia"/>
    <s v="Cumple"/>
    <n v="110"/>
    <n v="13074879"/>
    <n v="261"/>
    <n v="37268562"/>
    <n v="154"/>
    <n v="15216791"/>
    <n v="10148028"/>
    <m/>
  </r>
  <r>
    <n v="11"/>
    <x v="22"/>
    <x v="1"/>
    <s v="Noviembre"/>
    <s v="ANAMLOBE"/>
    <x v="3"/>
    <x v="3"/>
    <n v="71843708"/>
    <n v="1868800"/>
    <n v="12767347"/>
    <n v="57207561"/>
    <n v="39416666.666666672"/>
    <n v="1.4513546131078223"/>
    <x v="1"/>
    <n v="24"/>
    <s v="IPS Pto De Vista Unicentro"/>
    <s v="Antioquia"/>
    <s v="Siempre Cumple"/>
    <n v="106"/>
    <n v="14213130"/>
    <n v="275"/>
    <n v="37268562"/>
    <n v="143"/>
    <n v="12767347"/>
    <n v="7594669"/>
    <m/>
  </r>
  <r>
    <n v="11"/>
    <x v="22"/>
    <x v="1"/>
    <s v="Noviembre"/>
    <s v="LILACARA"/>
    <x v="19"/>
    <x v="17"/>
    <n v="17766159"/>
    <n v="1112000"/>
    <n v="2760493"/>
    <n v="13893666"/>
    <n v="10750000"/>
    <n v="1.292434046511628"/>
    <x v="1"/>
    <n v="24"/>
    <s v="IPS Pto De Vista Molinos"/>
    <s v="Antioquia"/>
    <s v="Cumple"/>
    <n v="27"/>
    <n v="2473162"/>
    <n v="72"/>
    <n v="8616219"/>
    <n v="32"/>
    <n v="2760493"/>
    <n v="3916285"/>
    <m/>
  </r>
  <r>
    <n v="11"/>
    <x v="22"/>
    <x v="1"/>
    <s v="Noviembre"/>
    <s v="ALEXLOGR"/>
    <x v="2"/>
    <x v="2"/>
    <n v="45450345"/>
    <n v="815000"/>
    <n v="11274376"/>
    <n v="33360969"/>
    <n v="26583333.333333332"/>
    <n v="1.2549580815047023"/>
    <x v="1"/>
    <n v="24"/>
    <s v="IPS Punto de Vista Bello"/>
    <s v="Antioquia"/>
    <s v="Fluctúa"/>
    <n v="85"/>
    <n v="7973440"/>
    <n v="206"/>
    <n v="21278365"/>
    <n v="127"/>
    <n v="11274376"/>
    <n v="4924164"/>
    <m/>
  </r>
  <r>
    <n v="11"/>
    <x v="22"/>
    <x v="1"/>
    <s v="Noviembre"/>
    <s v="CINDGACU"/>
    <x v="55"/>
    <x v="55"/>
    <n v="46717457"/>
    <n v="440000"/>
    <n v="8313900"/>
    <n v="37963557"/>
    <n v="37583333.333333328"/>
    <n v="1.0101168159645235"/>
    <x v="1"/>
    <n v="24"/>
    <s v="IPS Pto De Vista San Diego"/>
    <s v="Antioquia"/>
    <s v="Siempre Cumple"/>
    <n v="94"/>
    <n v="8928482"/>
    <n v="214"/>
    <n v="23588055"/>
    <n v="93"/>
    <n v="8313900"/>
    <n v="5887020"/>
    <m/>
  </r>
  <r>
    <n v="11"/>
    <x v="22"/>
    <x v="1"/>
    <s v="Noviembre"/>
    <s v="CARORICA"/>
    <x v="59"/>
    <x v="59"/>
    <n v="2403261"/>
    <n v="0"/>
    <n v="0"/>
    <n v="2403261"/>
    <n v="17500000"/>
    <n v="0.13732920000000001"/>
    <x v="0"/>
    <n v="24"/>
    <s v=""/>
    <s v=""/>
    <s v="No Aplica"/>
    <n v="7"/>
    <n v="672744"/>
    <n v="18"/>
    <n v="1405600"/>
    <n v="0"/>
    <n v="0"/>
    <n v="324917"/>
    <m/>
  </r>
  <r>
    <n v="11"/>
    <x v="22"/>
    <x v="1"/>
    <s v="Noviembre"/>
    <s v="TATIRITR"/>
    <x v="60"/>
    <x v="60"/>
    <n v="31645420"/>
    <n v="0"/>
    <n v="7952882"/>
    <n v="23692538"/>
    <n v="30000000"/>
    <n v="0.78975126666666662"/>
    <x v="1"/>
    <n v="24"/>
    <s v="Punto de Vista Cali Norte"/>
    <s v="Occidente"/>
    <s v="No Cumple"/>
    <n v="51"/>
    <n v="4111880"/>
    <n v="172"/>
    <n v="17944098"/>
    <n v="91"/>
    <n v="7952882"/>
    <n v="1636560"/>
    <m/>
  </r>
  <r>
    <n v="11"/>
    <x v="22"/>
    <x v="1"/>
    <s v="Noviembre"/>
    <s v="PAOLPACA"/>
    <x v="47"/>
    <x v="47"/>
    <n v="40463646"/>
    <n v="0"/>
    <n v="11634538"/>
    <n v="28829108"/>
    <n v="30000000"/>
    <n v="0.96097026666666663"/>
    <x v="1"/>
    <n v="24"/>
    <s v="Punto de Vista Tequendama"/>
    <s v="Occidente"/>
    <s v="Siempre Cumple"/>
    <n v="77"/>
    <n v="5722643"/>
    <n v="268"/>
    <n v="20228809"/>
    <n v="128"/>
    <n v="11634538"/>
    <n v="2877656"/>
    <m/>
  </r>
  <r>
    <n v="11"/>
    <x v="22"/>
    <x v="1"/>
    <s v="Noviembre"/>
    <s v="YANEARNA"/>
    <x v="62"/>
    <x v="62"/>
    <n v="17596763"/>
    <n v="0"/>
    <n v="7718873"/>
    <n v="9877890"/>
    <n v="30000000"/>
    <n v="0.32926299999999997"/>
    <x v="0"/>
    <n v="24"/>
    <s v=""/>
    <s v=""/>
    <s v="No Aplica"/>
    <n v="28"/>
    <n v="2398499"/>
    <n v="92"/>
    <n v="6431386"/>
    <n v="80"/>
    <n v="7718873"/>
    <n v="1048005"/>
    <m/>
  </r>
  <r>
    <n v="11"/>
    <x v="22"/>
    <x v="1"/>
    <s v="Noviembre"/>
    <s v="ROCIFASA"/>
    <x v="31"/>
    <x v="28"/>
    <n v="47769881"/>
    <n v="967800"/>
    <n v="7393165"/>
    <n v="39408916"/>
    <n v="25000000"/>
    <n v="1.57635664"/>
    <x v="1"/>
    <n v="24"/>
    <s v="Optica Salud Sura Chipichape"/>
    <s v="Occidente"/>
    <s v="Cumple"/>
    <n v="82"/>
    <n v="12643624"/>
    <n v="211"/>
    <n v="21758581"/>
    <n v="82"/>
    <n v="7393165"/>
    <n v="5974511"/>
    <m/>
  </r>
  <r>
    <n v="11"/>
    <x v="22"/>
    <x v="1"/>
    <s v="Noviembre"/>
    <s v="CAROVABE"/>
    <x v="37"/>
    <x v="7"/>
    <n v="6856850"/>
    <n v="0"/>
    <n v="2563934"/>
    <n v="4292916"/>
    <m/>
    <m/>
    <x v="0"/>
    <n v="24"/>
    <s v=""/>
    <s v=""/>
    <s v="No Aplica"/>
    <n v="11"/>
    <n v="705095"/>
    <n v="26"/>
    <n v="2090010"/>
    <n v="29"/>
    <n v="2563934"/>
    <n v="1497811"/>
    <m/>
  </r>
  <r>
    <n v="11"/>
    <x v="22"/>
    <x v="1"/>
    <s v="Noviembre"/>
    <s v="CLAUREME"/>
    <x v="37"/>
    <x v="7"/>
    <n v="284400"/>
    <n v="0"/>
    <n v="0"/>
    <n v="284400"/>
    <m/>
    <m/>
    <x v="0"/>
    <n v="24"/>
    <s v=""/>
    <s v=""/>
    <s v="No Aplica"/>
    <n v="0"/>
    <n v="0"/>
    <n v="0"/>
    <n v="0"/>
    <n v="0"/>
    <n v="0"/>
    <n v="284400"/>
    <m/>
  </r>
  <r>
    <n v="11"/>
    <x v="22"/>
    <x v="1"/>
    <s v="Noviembre"/>
    <s v="DARWHERI"/>
    <x v="37"/>
    <x v="7"/>
    <n v="357158"/>
    <n v="0"/>
    <n v="131610"/>
    <n v="225548"/>
    <m/>
    <m/>
    <x v="0"/>
    <n v="24"/>
    <s v=""/>
    <s v=""/>
    <s v="No Aplica"/>
    <n v="1"/>
    <n v="53418"/>
    <n v="2"/>
    <n v="172130"/>
    <n v="3"/>
    <n v="131610"/>
    <n v="0"/>
    <m/>
  </r>
  <r>
    <n v="11"/>
    <x v="22"/>
    <x v="1"/>
    <s v="Noviembre"/>
    <s v="MARIREAR"/>
    <x v="37"/>
    <x v="7"/>
    <n v="94800"/>
    <n v="0"/>
    <n v="0"/>
    <n v="94800"/>
    <m/>
    <m/>
    <x v="0"/>
    <n v="24"/>
    <s v=""/>
    <s v=""/>
    <s v="No Aplica"/>
    <n v="0"/>
    <n v="0"/>
    <n v="0"/>
    <n v="0"/>
    <n v="0"/>
    <n v="0"/>
    <n v="94800"/>
    <m/>
  </r>
  <r>
    <n v="11"/>
    <x v="22"/>
    <x v="1"/>
    <s v="Noviembre"/>
    <s v="MARIORRO"/>
    <x v="37"/>
    <x v="7"/>
    <n v="218800"/>
    <n v="0"/>
    <n v="0"/>
    <n v="218800"/>
    <m/>
    <m/>
    <x v="0"/>
    <n v="24"/>
    <s v=""/>
    <s v=""/>
    <s v="No Aplica"/>
    <n v="0"/>
    <n v="0"/>
    <n v="0"/>
    <n v="0"/>
    <n v="0"/>
    <n v="0"/>
    <n v="218800"/>
    <m/>
  </r>
  <r>
    <n v="11"/>
    <x v="22"/>
    <x v="1"/>
    <s v="Noviembre"/>
    <s v="OSCADESU"/>
    <x v="37"/>
    <x v="7"/>
    <n v="1175359"/>
    <n v="0"/>
    <n v="913994"/>
    <n v="261365"/>
    <m/>
    <m/>
    <x v="0"/>
    <n v="24"/>
    <s v=""/>
    <s v=""/>
    <s v="No Aplica"/>
    <n v="3"/>
    <n v="234804"/>
    <n v="0"/>
    <n v="0"/>
    <n v="12"/>
    <n v="913994"/>
    <n v="26561"/>
    <m/>
  </r>
  <r>
    <n v="11"/>
    <x v="22"/>
    <x v="1"/>
    <s v="Noviembre"/>
    <s v="USERPI"/>
    <x v="37"/>
    <x v="7"/>
    <n v="338334"/>
    <n v="0"/>
    <n v="338334"/>
    <n v="0"/>
    <m/>
    <m/>
    <x v="0"/>
    <n v="24"/>
    <s v=""/>
    <s v=""/>
    <s v="No Aplica"/>
    <n v="0"/>
    <n v="0"/>
    <n v="0"/>
    <n v="0"/>
    <n v="3"/>
    <n v="338334"/>
    <n v="0"/>
    <m/>
  </r>
  <r>
    <n v="11"/>
    <x v="22"/>
    <x v="1"/>
    <s v="Noviembre"/>
    <s v="YENISIGI"/>
    <x v="37"/>
    <x v="7"/>
    <n v="23109"/>
    <n v="0"/>
    <n v="0"/>
    <n v="23109"/>
    <m/>
    <m/>
    <x v="0"/>
    <n v="24"/>
    <s v=""/>
    <s v=""/>
    <s v="No Aplica"/>
    <n v="0"/>
    <n v="0"/>
    <n v="0"/>
    <n v="0"/>
    <n v="0"/>
    <n v="0"/>
    <n v="23109"/>
    <m/>
  </r>
  <r>
    <n v="11"/>
    <x v="22"/>
    <x v="1"/>
    <s v="Noviembre"/>
    <s v="4436347947"/>
    <x v="37"/>
    <x v="7"/>
    <n v="69764"/>
    <n v="0"/>
    <n v="69764"/>
    <n v="0"/>
    <m/>
    <m/>
    <x v="0"/>
    <n v="24"/>
    <s v=""/>
    <s v=""/>
    <s v="No Aplica"/>
    <n v="0"/>
    <n v="0"/>
    <n v="0"/>
    <n v="0"/>
    <n v="1"/>
    <n v="69764"/>
    <n v="0"/>
    <m/>
  </r>
  <r>
    <n v="11"/>
    <x v="22"/>
    <x v="1"/>
    <s v="Noviembre"/>
    <s v="4436379864"/>
    <x v="37"/>
    <x v="7"/>
    <n v="134285"/>
    <n v="0"/>
    <n v="134285"/>
    <n v="0"/>
    <m/>
    <m/>
    <x v="0"/>
    <n v="24"/>
    <s v=""/>
    <s v=""/>
    <s v="No Aplica"/>
    <n v="0"/>
    <n v="0"/>
    <n v="0"/>
    <n v="0"/>
    <n v="1"/>
    <n v="134285"/>
    <n v="0"/>
    <m/>
  </r>
  <r>
    <n v="11"/>
    <x v="22"/>
    <x v="1"/>
    <s v="Noviembre"/>
    <s v="(en blanco)"/>
    <x v="37"/>
    <x v="7"/>
    <n v="-78551"/>
    <n v="0"/>
    <n v="0"/>
    <n v="-78551"/>
    <m/>
    <m/>
    <x v="0"/>
    <n v="24"/>
    <s v=""/>
    <s v=""/>
    <s v="No Aplica"/>
    <n v="6"/>
    <n v="35004"/>
    <n v="8"/>
    <n v="65600"/>
    <n v="0"/>
    <n v="0"/>
    <n v="-179155"/>
    <m/>
  </r>
  <r>
    <n v="12"/>
    <x v="23"/>
    <x v="1"/>
    <s v="Diciembre"/>
    <s v="ADRIMOLU"/>
    <x v="1"/>
    <x v="1"/>
    <n v="46495079"/>
    <n v="1049000"/>
    <n v="8076681"/>
    <n v="37369398"/>
    <n v="21708333.333333332"/>
    <n v="1.7214310019193859"/>
    <x v="1"/>
    <n v="24"/>
    <s v="IPS Pto De Vista Molinos"/>
    <s v="Antioquia"/>
    <s v="Cumple"/>
    <n v="88"/>
    <n v="9078590"/>
    <n v="229"/>
    <n v="25004780"/>
    <n v="89"/>
    <n v="8076681"/>
    <n v="4335028"/>
    <m/>
  </r>
  <r>
    <n v="12"/>
    <x v="23"/>
    <x v="1"/>
    <s v="Diciembre"/>
    <s v="ALEXLOGR"/>
    <x v="2"/>
    <x v="2"/>
    <n v="53868378"/>
    <n v="1072000"/>
    <n v="12514720"/>
    <n v="40281658"/>
    <n v="29000000"/>
    <n v="1.3890226896551725"/>
    <x v="1"/>
    <n v="24"/>
    <s v="IPS Punto de Vista Bello"/>
    <s v="Antioquia"/>
    <s v="Fluctúa"/>
    <n v="94"/>
    <n v="8718393"/>
    <n v="239"/>
    <n v="24560095"/>
    <n v="135"/>
    <n v="12514720"/>
    <n v="8075170"/>
    <m/>
  </r>
  <r>
    <n v="12"/>
    <x v="23"/>
    <x v="1"/>
    <s v="Diciembre"/>
    <s v="ALVAOSOS"/>
    <x v="36"/>
    <x v="37"/>
    <n v="59883388"/>
    <n v="744000"/>
    <n v="10790843"/>
    <n v="48348545"/>
    <n v="43000000"/>
    <n v="1.1243847674418606"/>
    <x v="1"/>
    <n v="24"/>
    <s v="IPS Pto De Vista Punto Clave"/>
    <s v="Antioquia"/>
    <s v="Siempre Cumple"/>
    <n v="89"/>
    <n v="10676153"/>
    <n v="217"/>
    <n v="31097970"/>
    <n v="114"/>
    <n v="10790843"/>
    <n v="7318422"/>
    <m/>
  </r>
  <r>
    <n v="12"/>
    <x v="23"/>
    <x v="1"/>
    <s v="Diciembre"/>
    <s v="ANAMLOBE"/>
    <x v="3"/>
    <x v="3"/>
    <n v="84199687"/>
    <n v="1378600"/>
    <n v="16184606"/>
    <n v="66636481"/>
    <n v="43000000"/>
    <n v="1.5496856046511629"/>
    <x v="1"/>
    <n v="24"/>
    <s v="IPS Pto De Vista Unicentro"/>
    <s v="Antioquia"/>
    <s v="Siempre Cumple"/>
    <n v="145"/>
    <n v="17882946"/>
    <n v="323"/>
    <n v="42037988"/>
    <n v="175"/>
    <n v="16184606"/>
    <n v="8094147"/>
    <m/>
  </r>
  <r>
    <n v="12"/>
    <x v="23"/>
    <x v="1"/>
    <s v="Diciembre"/>
    <s v="ANDRSAZA"/>
    <x v="45"/>
    <x v="45"/>
    <n v="46259813"/>
    <n v="810400"/>
    <n v="7226887"/>
    <n v="38222526"/>
    <n v="21083333.333333332"/>
    <n v="1.812926134387352"/>
    <x v="1"/>
    <n v="24"/>
    <s v="IPS Pto De Vista Santa Bárbara"/>
    <s v="Centro"/>
    <s v="Cumple"/>
    <n v="61"/>
    <n v="6479480"/>
    <n v="186"/>
    <n v="27939246"/>
    <n v="92"/>
    <n v="7226887"/>
    <n v="4614200"/>
    <m/>
  </r>
  <r>
    <n v="12"/>
    <x v="23"/>
    <x v="1"/>
    <s v="Diciembre"/>
    <s v="ANGEGAAR"/>
    <x v="4"/>
    <x v="4"/>
    <n v="16849549"/>
    <n v="0"/>
    <n v="978515"/>
    <n v="15871034"/>
    <n v="12750000"/>
    <n v="1.244786980392157"/>
    <x v="1"/>
    <n v="24"/>
    <s v="IPS Pto De Vista San Diego"/>
    <s v="Antioquia"/>
    <s v="Fluctúa"/>
    <n v="23"/>
    <n v="3137069"/>
    <n v="59"/>
    <n v="10980039"/>
    <n v="12"/>
    <n v="978515"/>
    <n v="1753926"/>
    <m/>
  </r>
  <r>
    <n v="12"/>
    <x v="23"/>
    <x v="1"/>
    <s v="Diciembre"/>
    <s v="BIBIBECA"/>
    <x v="6"/>
    <x v="6"/>
    <n v="63179340"/>
    <n v="901000"/>
    <n v="14961703"/>
    <n v="47316637"/>
    <n v="39291666.666666664"/>
    <n v="1.2042410265111347"/>
    <x v="1"/>
    <n v="24"/>
    <s v="IPS Pto De Vista Centro"/>
    <s v="Antioquia"/>
    <s v="Fluctúa"/>
    <n v="110"/>
    <n v="10828318"/>
    <n v="321"/>
    <n v="30273364"/>
    <n v="165"/>
    <n v="14961703"/>
    <n v="7115955"/>
    <m/>
  </r>
  <r>
    <n v="12"/>
    <x v="23"/>
    <x v="1"/>
    <s v="Diciembre"/>
    <s v="CAMIPUHE"/>
    <x v="53"/>
    <x v="53"/>
    <n v="31339786"/>
    <n v="705500"/>
    <n v="4244262"/>
    <n v="26390024"/>
    <n v="21083333.333333332"/>
    <n v="1.2517007430830041"/>
    <x v="1"/>
    <n v="24"/>
    <s v="IPS Pto De Vista SSura Clle100"/>
    <s v="Centro"/>
    <s v="Cumple"/>
    <n v="53"/>
    <n v="5545570"/>
    <n v="150"/>
    <n v="19398820"/>
    <n v="55"/>
    <n v="4244262"/>
    <n v="2151134"/>
    <m/>
  </r>
  <r>
    <n v="12"/>
    <x v="23"/>
    <x v="1"/>
    <s v="Diciembre"/>
    <s v="CARORAMN"/>
    <x v="61"/>
    <x v="61"/>
    <n v="60766210"/>
    <n v="1156000"/>
    <n v="11540485"/>
    <n v="48069725"/>
    <n v="43000000"/>
    <n v="1.1179005813953489"/>
    <x v="1"/>
    <n v="24"/>
    <s v="IPS Pto De Vista Punto Clave"/>
    <s v="Antioquia"/>
    <s v="No Cumple"/>
    <n v="108"/>
    <n v="10760212"/>
    <n v="270"/>
    <n v="33586039"/>
    <n v="121"/>
    <n v="11540485"/>
    <n v="4879474"/>
    <m/>
  </r>
  <r>
    <n v="12"/>
    <x v="23"/>
    <x v="1"/>
    <s v="Diciembre"/>
    <s v="CARORICA"/>
    <x v="59"/>
    <x v="59"/>
    <n v="14519690"/>
    <n v="0"/>
    <n v="5137819"/>
    <n v="9381871"/>
    <n v="30000000"/>
    <n v="0.31272903333333335"/>
    <x v="0"/>
    <n v="24"/>
    <s v=""/>
    <s v=""/>
    <s v="No Aplica"/>
    <n v="24"/>
    <n v="2299321"/>
    <n v="72"/>
    <n v="6007943"/>
    <n v="65"/>
    <n v="5137819"/>
    <n v="1074607"/>
    <m/>
  </r>
  <r>
    <n v="12"/>
    <x v="23"/>
    <x v="1"/>
    <s v="Diciembre"/>
    <s v="CINDGACU"/>
    <x v="55"/>
    <x v="55"/>
    <n v="53466591"/>
    <n v="304000"/>
    <n v="11812158"/>
    <n v="41350433"/>
    <n v="39291666.666666664"/>
    <n v="1.0523970222693533"/>
    <x v="1"/>
    <n v="24"/>
    <s v="IPS Pto De Vista San Diego"/>
    <s v="Antioquia"/>
    <s v="Siempre Cumple"/>
    <n v="91"/>
    <n v="8435023"/>
    <n v="256"/>
    <n v="27851587"/>
    <n v="121"/>
    <n v="11812158"/>
    <n v="5367823"/>
    <m/>
  </r>
  <r>
    <n v="12"/>
    <x v="23"/>
    <x v="1"/>
    <s v="Diciembre"/>
    <s v="CLAUBLAR"/>
    <x v="9"/>
    <x v="8"/>
    <n v="62953464"/>
    <n v="0"/>
    <n v="14278187"/>
    <n v="48675277"/>
    <n v="39291666.666666664"/>
    <n v="1.2388193510074232"/>
    <x v="1"/>
    <n v="24"/>
    <s v="IPS Pto De Vista Centro"/>
    <s v="Antioquia"/>
    <s v="Fluctúa"/>
    <n v="109"/>
    <n v="11840435"/>
    <n v="280"/>
    <n v="29600837"/>
    <n v="151"/>
    <n v="14278187"/>
    <n v="7234005"/>
    <m/>
  </r>
  <r>
    <n v="12"/>
    <x v="23"/>
    <x v="1"/>
    <s v="Diciembre"/>
    <s v="DEISCACR"/>
    <x v="50"/>
    <x v="50"/>
    <n v="62186609"/>
    <n v="1610000"/>
    <n v="11594413"/>
    <n v="48982196"/>
    <n v="43000000"/>
    <n v="1.1391208372093022"/>
    <x v="1"/>
    <n v="24"/>
    <s v="IPS Pto De Vista Punto Clave"/>
    <s v="Antioquia"/>
    <s v="Fluctúa"/>
    <n v="113"/>
    <n v="10780985"/>
    <n v="255"/>
    <n v="30736426"/>
    <n v="124"/>
    <n v="11594413"/>
    <n v="9074785"/>
    <m/>
  </r>
  <r>
    <n v="12"/>
    <x v="23"/>
    <x v="1"/>
    <s v="Diciembre"/>
    <s v="DERLARMO"/>
    <x v="11"/>
    <x v="10"/>
    <n v="10359567"/>
    <n v="396000"/>
    <n v="1430483"/>
    <n v="8533084"/>
    <n v="3333333.3333333335"/>
    <n v="2.5599251999999999"/>
    <x v="1"/>
    <n v="24"/>
    <s v="IPS Pto De Vista Olaya"/>
    <s v="Centro"/>
    <s v="Cumple"/>
    <n v="26"/>
    <n v="1720993"/>
    <n v="68"/>
    <n v="6118082"/>
    <n v="17"/>
    <n v="1430483"/>
    <n v="1090009"/>
    <m/>
  </r>
  <r>
    <n v="12"/>
    <x v="23"/>
    <x v="1"/>
    <s v="Diciembre"/>
    <s v="DIANPAAL"/>
    <x v="12"/>
    <x v="11"/>
    <n v="48718916"/>
    <n v="6065000"/>
    <n v="7738133"/>
    <n v="34915783"/>
    <n v="33000000"/>
    <n v="1.0580540303030304"/>
    <x v="1"/>
    <n v="24"/>
    <s v="IPS Pto De Vista Rionegro"/>
    <s v="Antioquia"/>
    <s v="Cumple"/>
    <n v="75"/>
    <n v="8661454"/>
    <n v="220"/>
    <n v="23841798"/>
    <n v="96"/>
    <n v="7738133"/>
    <n v="8477531"/>
    <m/>
  </r>
  <r>
    <n v="12"/>
    <x v="23"/>
    <x v="1"/>
    <s v="Diciembre"/>
    <s v="DIANPOPA"/>
    <x v="13"/>
    <x v="33"/>
    <n v="25986829"/>
    <n v="0"/>
    <n v="756490"/>
    <n v="25230339"/>
    <n v="31721000"/>
    <n v="0.79538283786765862"/>
    <x v="0"/>
    <n v="24"/>
    <s v=""/>
    <s v=""/>
    <s v="No Aplica"/>
    <n v="17"/>
    <n v="1121637"/>
    <n v="42"/>
    <n v="1838853"/>
    <n v="9"/>
    <n v="756490"/>
    <n v="22269849"/>
    <m/>
  </r>
  <r>
    <n v="12"/>
    <x v="23"/>
    <x v="1"/>
    <s v="Diciembre"/>
    <s v="DIANQUME"/>
    <x v="14"/>
    <x v="12"/>
    <n v="60493632"/>
    <n v="2942000"/>
    <n v="9572327"/>
    <n v="47979305"/>
    <n v="43000000"/>
    <n v="1.1157977906976744"/>
    <x v="1"/>
    <n v="24"/>
    <s v="IPS Pto De Vista Molinos"/>
    <s v="Antioquia"/>
    <s v="Cumple"/>
    <n v="100"/>
    <n v="11279425"/>
    <n v="252"/>
    <n v="30380619"/>
    <n v="96"/>
    <n v="9572327"/>
    <n v="9261261"/>
    <m/>
  </r>
  <r>
    <n v="12"/>
    <x v="23"/>
    <x v="1"/>
    <s v="Diciembre"/>
    <s v="ELIZVESU"/>
    <x v="15"/>
    <x v="13"/>
    <n v="47219857"/>
    <n v="880000"/>
    <n v="6783051"/>
    <n v="39556806"/>
    <n v="37625000"/>
    <n v="1.0513436810631229"/>
    <x v="1"/>
    <n v="24"/>
    <s v="IPS Pto De Vista Unicentro"/>
    <s v="Antioquia"/>
    <s v="Fluctúa"/>
    <n v="80"/>
    <n v="10031012"/>
    <n v="192"/>
    <n v="25375821"/>
    <n v="76"/>
    <n v="6783051"/>
    <n v="5029973"/>
    <m/>
  </r>
  <r>
    <n v="12"/>
    <x v="23"/>
    <x v="1"/>
    <s v="Diciembre"/>
    <s v="ERIKSAVA"/>
    <x v="44"/>
    <x v="44"/>
    <n v="50195576"/>
    <n v="412000"/>
    <n v="8872440"/>
    <n v="40911136"/>
    <n v="30100000"/>
    <n v="1.359173953488372"/>
    <x v="1"/>
    <n v="24"/>
    <s v="IPS Pto De Vista San Diego"/>
    <s v="Antioquia"/>
    <s v="No Cumple"/>
    <n v="84"/>
    <n v="10276224"/>
    <n v="202"/>
    <n v="23938070"/>
    <n v="89"/>
    <n v="8872440"/>
    <n v="7108842"/>
    <m/>
  </r>
  <r>
    <n v="12"/>
    <x v="23"/>
    <x v="1"/>
    <s v="Diciembre"/>
    <s v="GENNHEPO"/>
    <x v="16"/>
    <x v="14"/>
    <n v="67029634"/>
    <n v="1258400"/>
    <n v="12995899"/>
    <n v="52775335"/>
    <n v="43000000"/>
    <n v="1.2273333720930233"/>
    <x v="1"/>
    <n v="24"/>
    <s v="IPS Pto De Vista Punto Clave"/>
    <s v="Antioquia"/>
    <s v="Fluctúa"/>
    <n v="123"/>
    <n v="11621364"/>
    <n v="334"/>
    <n v="34497692"/>
    <n v="134"/>
    <n v="12995899"/>
    <n v="7914679"/>
    <m/>
  </r>
  <r>
    <n v="12"/>
    <x v="23"/>
    <x v="1"/>
    <s v="Diciembre"/>
    <s v="HERIRORO"/>
    <x v="52"/>
    <x v="52"/>
    <n v="59051382"/>
    <n v="1030400"/>
    <n v="12830370"/>
    <n v="45190612"/>
    <n v="39291666.666666664"/>
    <n v="1.1501322248144221"/>
    <x v="1"/>
    <n v="24"/>
    <s v="IPS Pto De Vista Centro"/>
    <s v="Antioquia"/>
    <s v="Siempre Cumple"/>
    <n v="124"/>
    <n v="11689081"/>
    <n v="284"/>
    <n v="29109112"/>
    <n v="137"/>
    <n v="12830370"/>
    <n v="5422819"/>
    <m/>
  </r>
  <r>
    <n v="12"/>
    <x v="23"/>
    <x v="1"/>
    <s v="Diciembre"/>
    <s v="HISNOSPI"/>
    <x v="49"/>
    <x v="49"/>
    <n v="53561318"/>
    <n v="304000"/>
    <n v="11431024"/>
    <n v="41826294"/>
    <n v="30100000"/>
    <n v="1.3895778737541529"/>
    <x v="0"/>
    <n v="24"/>
    <s v="IPS Pto De Vista San Diego"/>
    <s v="Antioquia"/>
    <s v="No Aplica"/>
    <n v="94"/>
    <n v="10372673"/>
    <n v="256"/>
    <n v="25373884"/>
    <n v="122"/>
    <n v="11431024"/>
    <n v="6383737"/>
    <m/>
  </r>
  <r>
    <n v="12"/>
    <x v="23"/>
    <x v="1"/>
    <s v="Diciembre"/>
    <s v="ISABMOGO"/>
    <x v="17"/>
    <x v="15"/>
    <n v="29598073"/>
    <n v="971000"/>
    <n v="5417838"/>
    <n v="23209235"/>
    <n v="21083333.333333332"/>
    <n v="1.100833280632411"/>
    <x v="1"/>
    <n v="24"/>
    <s v="IPS Pto De Vista Santa Bárbara"/>
    <s v="Centro"/>
    <s v="No Cumple"/>
    <n v="41"/>
    <n v="4498778"/>
    <n v="138"/>
    <n v="16362691"/>
    <n v="73"/>
    <n v="5417838"/>
    <n v="3318766"/>
    <m/>
  </r>
  <r>
    <n v="12"/>
    <x v="23"/>
    <x v="1"/>
    <s v="Diciembre"/>
    <s v="JAQUVEGU"/>
    <x v="18"/>
    <x v="16"/>
    <n v="46897479"/>
    <n v="1376000"/>
    <n v="9787124"/>
    <n v="35734355"/>
    <n v="33000000"/>
    <n v="1.0828592424242425"/>
    <x v="0"/>
    <n v="24"/>
    <s v="IPS Pto De Vista Rionegro"/>
    <s v="Antioquia"/>
    <s v="No Aplica"/>
    <n v="81"/>
    <n v="8437165"/>
    <n v="199"/>
    <n v="22702905"/>
    <n v="104"/>
    <n v="9787124"/>
    <n v="5970285"/>
    <m/>
  </r>
  <r>
    <n v="12"/>
    <x v="23"/>
    <x v="1"/>
    <s v="Diciembre"/>
    <s v="LEIDGOVI"/>
    <x v="39"/>
    <x v="39"/>
    <n v="59170386"/>
    <n v="1037400"/>
    <n v="10787098"/>
    <n v="47345888"/>
    <n v="43000000"/>
    <n v="1.1010671627906976"/>
    <x v="1"/>
    <n v="24"/>
    <s v="IPS Pto De Vista Punto Clave"/>
    <s v="Antioquia"/>
    <s v="Fluctúa"/>
    <n v="103"/>
    <n v="10810335"/>
    <n v="284"/>
    <n v="31861155"/>
    <n v="119"/>
    <n v="10787098"/>
    <n v="5711798"/>
    <m/>
  </r>
  <r>
    <n v="12"/>
    <x v="23"/>
    <x v="1"/>
    <s v="Diciembre"/>
    <s v="LILACARA"/>
    <x v="19"/>
    <x v="17"/>
    <n v="69040189"/>
    <n v="3008000"/>
    <n v="12269797"/>
    <n v="53762392"/>
    <n v="43000000"/>
    <n v="1.2502881860465116"/>
    <x v="1"/>
    <n v="24"/>
    <s v="IPS Pto De Vista Molinos"/>
    <s v="Antioquia"/>
    <s v="Cumple"/>
    <n v="110"/>
    <n v="13592733"/>
    <n v="252"/>
    <n v="33026486"/>
    <n v="134"/>
    <n v="12269797"/>
    <n v="10151173"/>
    <m/>
  </r>
  <r>
    <n v="12"/>
    <x v="23"/>
    <x v="1"/>
    <s v="Diciembre"/>
    <s v="LUZNHEGO"/>
    <x v="21"/>
    <x v="19"/>
    <n v="33257499"/>
    <n v="286920"/>
    <n v="4685851"/>
    <n v="28284728"/>
    <n v="23958333.333333332"/>
    <n v="1.1805799513043478"/>
    <x v="1"/>
    <n v="24"/>
    <s v="IPS Punto de Vista Mayorca"/>
    <s v="Antioquia"/>
    <s v="Siempre Cumple"/>
    <n v="46"/>
    <n v="6938411"/>
    <n v="150"/>
    <n v="19352839"/>
    <n v="53"/>
    <n v="4685851"/>
    <n v="2280398"/>
    <m/>
  </r>
  <r>
    <n v="12"/>
    <x v="23"/>
    <x v="1"/>
    <s v="Diciembre"/>
    <s v="MARGGAPA"/>
    <x v="22"/>
    <x v="20"/>
    <n v="60274845"/>
    <n v="206000"/>
    <n v="12630601"/>
    <n v="47438244"/>
    <n v="39291666.666666664"/>
    <n v="1.2073360084835632"/>
    <x v="1"/>
    <n v="24"/>
    <s v="IPS Pto De Vista Centro"/>
    <s v="Antioquia"/>
    <s v="Fluctúa"/>
    <n v="101"/>
    <n v="12700857"/>
    <n v="224"/>
    <n v="28830244"/>
    <n v="126"/>
    <n v="12630601"/>
    <n v="6113143"/>
    <m/>
  </r>
  <r>
    <n v="12"/>
    <x v="23"/>
    <x v="1"/>
    <s v="Diciembre"/>
    <s v="MARIMASA"/>
    <x v="23"/>
    <x v="34"/>
    <n v="51059040"/>
    <n v="852000"/>
    <n v="8351671"/>
    <n v="41855369"/>
    <n v="30100000"/>
    <n v="1.3905438205980067"/>
    <x v="1"/>
    <n v="24"/>
    <s v="IPS Pto De Vista San Diego"/>
    <s v="Antioquia"/>
    <s v="Siempre Cumple"/>
    <n v="89"/>
    <n v="11982799"/>
    <n v="199"/>
    <n v="25164179"/>
    <n v="87"/>
    <n v="8351671"/>
    <n v="5560391"/>
    <m/>
  </r>
  <r>
    <n v="12"/>
    <x v="23"/>
    <x v="1"/>
    <s v="Diciembre"/>
    <s v="MARIOCOC"/>
    <x v="24"/>
    <x v="21"/>
    <n v="54391198"/>
    <n v="2566000"/>
    <n v="8813660"/>
    <n v="43011538"/>
    <n v="33000000"/>
    <n v="1.3033799393939394"/>
    <x v="1"/>
    <n v="24"/>
    <s v="IPS Pto De Vista Rionegro"/>
    <s v="Antioquia"/>
    <s v="Cumple"/>
    <n v="89"/>
    <n v="11073719"/>
    <n v="222"/>
    <n v="29113777"/>
    <n v="99"/>
    <n v="8813660"/>
    <n v="5390042"/>
    <m/>
  </r>
  <r>
    <n v="12"/>
    <x v="23"/>
    <x v="1"/>
    <s v="Diciembre"/>
    <s v="NATAPIDU"/>
    <x v="28"/>
    <x v="25"/>
    <n v="53519837"/>
    <n v="669600"/>
    <n v="5422439"/>
    <n v="47427798"/>
    <n v="30000000"/>
    <n v="1.5809266"/>
    <x v="1"/>
    <n v="24"/>
    <s v="IPS Pto De Vista Industriales"/>
    <s v="Antioquia"/>
    <s v="Cumple"/>
    <n v="39"/>
    <n v="7381483"/>
    <n v="134"/>
    <n v="35068369"/>
    <n v="55"/>
    <n v="5422439"/>
    <n v="5647546"/>
    <m/>
  </r>
  <r>
    <n v="12"/>
    <x v="23"/>
    <x v="1"/>
    <s v="Diciembre"/>
    <s v="NATAVAMO"/>
    <x v="63"/>
    <x v="63"/>
    <n v="19569050"/>
    <n v="0"/>
    <n v="6834946"/>
    <n v="12734104"/>
    <n v="21500000"/>
    <n v="0.59228390697674416"/>
    <x v="1"/>
    <n v="24"/>
    <s v="IPS Pto De Vista Molinos"/>
    <s v="Antioquia"/>
    <s v="Siempre Cumple"/>
    <n v="32"/>
    <n v="3983787"/>
    <n v="80"/>
    <n v="7534286"/>
    <n v="71"/>
    <n v="6834946"/>
    <n v="1216031"/>
    <m/>
  </r>
  <r>
    <n v="12"/>
    <x v="23"/>
    <x v="1"/>
    <s v="Diciembre"/>
    <s v="PAOLPACA"/>
    <x v="47"/>
    <x v="47"/>
    <n v="23326099"/>
    <n v="0"/>
    <n v="5055322"/>
    <n v="18270777"/>
    <n v="21250000"/>
    <n v="0.8598012705882353"/>
    <x v="1"/>
    <n v="24"/>
    <s v="Punto de Vista Tequendama"/>
    <s v="Occidente"/>
    <s v="Siempre Cumple"/>
    <n v="41"/>
    <n v="3235203"/>
    <n v="146"/>
    <n v="13900518"/>
    <n v="65"/>
    <n v="5055322"/>
    <n v="1135056"/>
    <m/>
  </r>
  <r>
    <n v="12"/>
    <x v="23"/>
    <x v="1"/>
    <s v="Diciembre"/>
    <s v="PAULGOBA"/>
    <x v="35"/>
    <x v="36"/>
    <n v="11517022"/>
    <n v="0"/>
    <n v="1992875"/>
    <n v="9524147"/>
    <n v="10500000"/>
    <n v="0.90706161904761906"/>
    <x v="1"/>
    <n v="24"/>
    <s v="Ferias Empresariales Antioquia"/>
    <s v="Antioquia"/>
    <s v="Fluctúa"/>
    <n v="0"/>
    <n v="0"/>
    <n v="0"/>
    <n v="0"/>
    <n v="31"/>
    <n v="1992875"/>
    <n v="9524147"/>
    <m/>
  </r>
  <r>
    <n v="12"/>
    <x v="23"/>
    <x v="1"/>
    <s v="Diciembre"/>
    <s v="RAULMOGA"/>
    <x v="30"/>
    <x v="27"/>
    <n v="32482625"/>
    <n v="440000"/>
    <n v="5081430"/>
    <n v="26961195"/>
    <n v="15000000"/>
    <n v="1.7974129999999999"/>
    <x v="0"/>
    <n v="24"/>
    <s v="IPS Pto De Vista Olaya"/>
    <s v="Centro"/>
    <s v="No Aplica"/>
    <n v="83"/>
    <n v="5125419"/>
    <n v="206"/>
    <n v="18553694"/>
    <n v="77"/>
    <n v="5081430"/>
    <n v="3722082"/>
    <m/>
  </r>
  <r>
    <n v="12"/>
    <x v="23"/>
    <x v="1"/>
    <s v="Diciembre"/>
    <s v="ROCIFASA"/>
    <x v="31"/>
    <x v="28"/>
    <n v="23006928"/>
    <n v="537480"/>
    <n v="2466671"/>
    <n v="20002777"/>
    <n v="7291666.666666666"/>
    <n v="2.7432379885714289"/>
    <x v="1"/>
    <n v="24"/>
    <s v="Optica Salud Sura Chipichape"/>
    <s v="Occidente"/>
    <s v="Cumple"/>
    <n v="35"/>
    <n v="4592959"/>
    <n v="94"/>
    <n v="12617280"/>
    <n v="28"/>
    <n v="2466671"/>
    <n v="3330018"/>
    <m/>
  </r>
  <r>
    <n v="12"/>
    <x v="23"/>
    <x v="1"/>
    <s v="Diciembre"/>
    <s v="SUANHECO"/>
    <x v="58"/>
    <x v="58"/>
    <n v="78221017"/>
    <n v="2726000"/>
    <n v="16024320"/>
    <n v="59470697"/>
    <n v="43000000"/>
    <n v="1.3830394651162792"/>
    <x v="1"/>
    <n v="24"/>
    <s v="IPS Pto De Vista Molinos"/>
    <s v="Antioquia"/>
    <s v="Fluctúa"/>
    <n v="137"/>
    <n v="16608865"/>
    <n v="340"/>
    <n v="37422920"/>
    <n v="178"/>
    <n v="16024320"/>
    <n v="8164912"/>
    <m/>
  </r>
  <r>
    <n v="12"/>
    <x v="23"/>
    <x v="1"/>
    <s v="Diciembre"/>
    <s v="TATIRITR"/>
    <x v="60"/>
    <x v="60"/>
    <n v="37359204"/>
    <n v="112800"/>
    <n v="4805905"/>
    <n v="32440499"/>
    <n v="26458333.333333332"/>
    <n v="1.2260976000000001"/>
    <x v="1"/>
    <n v="24"/>
    <s v="Punto de Vista Cali Norte"/>
    <s v="Occidente"/>
    <s v="No Cumple"/>
    <n v="64"/>
    <n v="8554063"/>
    <n v="180"/>
    <n v="21435532"/>
    <n v="56"/>
    <n v="4805905"/>
    <n v="2563704"/>
    <m/>
  </r>
  <r>
    <n v="12"/>
    <x v="23"/>
    <x v="1"/>
    <s v="Diciembre"/>
    <s v="VIVIVAZA"/>
    <x v="33"/>
    <x v="30"/>
    <n v="83843568"/>
    <n v="2500000"/>
    <n v="16737154"/>
    <n v="64606414"/>
    <n v="43000000"/>
    <n v="1.5024747441860464"/>
    <x v="1"/>
    <n v="24"/>
    <s v="IPS Pto De Vista Unicentro"/>
    <s v="Antioquia"/>
    <s v="Cumple"/>
    <n v="143"/>
    <n v="16431927"/>
    <n v="300"/>
    <n v="39665502"/>
    <n v="169"/>
    <n v="16737154"/>
    <n v="11008985"/>
    <m/>
  </r>
  <r>
    <n v="12"/>
    <x v="23"/>
    <x v="1"/>
    <s v="Diciembre"/>
    <s v="YANEARNA"/>
    <x v="62"/>
    <x v="62"/>
    <n v="13659094"/>
    <n v="0"/>
    <n v="5367869"/>
    <n v="8291225"/>
    <n v="30000000"/>
    <n v="0.27637416666666664"/>
    <x v="0"/>
    <n v="24"/>
    <s v=""/>
    <s v=""/>
    <s v="No Aplica"/>
    <n v="22"/>
    <n v="1921543"/>
    <n v="102"/>
    <n v="5626937"/>
    <n v="62"/>
    <n v="5367869"/>
    <n v="742745"/>
    <m/>
  </r>
  <r>
    <n v="12"/>
    <x v="23"/>
    <x v="1"/>
    <s v="Diciembre"/>
    <s v="YENISIGI"/>
    <x v="64"/>
    <x v="64"/>
    <n v="30693810"/>
    <n v="880000"/>
    <n v="8603656"/>
    <n v="21210154"/>
    <n v="39291666.666666664"/>
    <n v="0.53981303923647939"/>
    <x v="1"/>
    <n v="24"/>
    <s v="IPS Pto De Vista Centro"/>
    <s v="Antioquia"/>
    <s v="Fluctúa"/>
    <n v="41"/>
    <n v="3979405"/>
    <n v="138"/>
    <n v="14919694"/>
    <n v="96"/>
    <n v="8603656"/>
    <n v="3191055"/>
    <m/>
  </r>
  <r>
    <n v="12"/>
    <x v="23"/>
    <x v="1"/>
    <s v="Diciembre"/>
    <s v="YENYSUPE"/>
    <x v="51"/>
    <x v="51"/>
    <n v="60936109"/>
    <n v="524000"/>
    <n v="12161620"/>
    <n v="48250489"/>
    <n v="43000000"/>
    <n v="1.1221043953488372"/>
    <x v="1"/>
    <n v="24"/>
    <s v="IPS Pto De Vista Punto Clave"/>
    <s v="Antioquia"/>
    <s v="Cumple"/>
    <n v="125"/>
    <n v="11479432"/>
    <n v="278"/>
    <n v="30236614"/>
    <n v="130"/>
    <n v="12161620"/>
    <n v="7058443"/>
    <m/>
  </r>
  <r>
    <n v="12"/>
    <x v="23"/>
    <x v="1"/>
    <s v="Diciembre"/>
    <s v="YULIRIRE"/>
    <x v="57"/>
    <x v="57"/>
    <n v="42401714"/>
    <n v="412000"/>
    <n v="8892342"/>
    <n v="33097372"/>
    <n v="29000000"/>
    <n v="1.1412886896551724"/>
    <x v="1"/>
    <n v="24"/>
    <s v="IPS Punto de Vista Bello"/>
    <s v="Antioquia"/>
    <s v="Fluctúa"/>
    <n v="82"/>
    <n v="8132528"/>
    <n v="211"/>
    <n v="20384196"/>
    <n v="102"/>
    <n v="8892342"/>
    <n v="4992648"/>
    <m/>
  </r>
  <r>
    <n v="12"/>
    <x v="23"/>
    <x v="1"/>
    <s v="Diciembre"/>
    <s v="YURAUSVE"/>
    <x v="56"/>
    <x v="56"/>
    <n v="66548425"/>
    <n v="0"/>
    <n v="13932577"/>
    <n v="52615848"/>
    <n v="43000000"/>
    <n v="1.2236243720930233"/>
    <x v="1"/>
    <n v="24"/>
    <s v="IPS Pto De Vista Punto Clave"/>
    <s v="Antioquia"/>
    <n v="0"/>
    <n v="123"/>
    <n v="12399083"/>
    <n v="293"/>
    <n v="33312372"/>
    <n v="149"/>
    <n v="13932577"/>
    <n v="6904393"/>
    <m/>
  </r>
  <r>
    <n v="12"/>
    <x v="23"/>
    <x v="1"/>
    <s v="Diciembre"/>
    <s v="ZULYARGA"/>
    <x v="34"/>
    <x v="31"/>
    <n v="52696012"/>
    <n v="1632000"/>
    <n v="8895980"/>
    <n v="42168032"/>
    <n v="34041666.666666672"/>
    <n v="1.2387181982864135"/>
    <x v="1"/>
    <n v="24"/>
    <s v="IPS Pto De Vista Molinos"/>
    <s v="Antioquia"/>
    <n v="0"/>
    <n v="99"/>
    <n v="11395264"/>
    <n v="254"/>
    <n v="27638192"/>
    <n v="103"/>
    <n v="8895980"/>
    <n v="4766576"/>
    <m/>
  </r>
  <r>
    <n v="12"/>
    <x v="23"/>
    <x v="1"/>
    <s v="Diciembre"/>
    <s v="ANAKBEZA"/>
    <x v="37"/>
    <x v="7"/>
    <n v="407117"/>
    <n v="0"/>
    <n v="69764"/>
    <n v="337353"/>
    <m/>
    <m/>
    <x v="0"/>
    <n v="24"/>
    <s v=""/>
    <s v=""/>
    <s v="No Aplica"/>
    <n v="2"/>
    <n v="120638"/>
    <n v="2"/>
    <n v="216715"/>
    <n v="1"/>
    <n v="69764"/>
    <n v="0"/>
    <m/>
  </r>
  <r>
    <n v="12"/>
    <x v="23"/>
    <x v="1"/>
    <s v="Diciembre"/>
    <s v="ANGEROPI"/>
    <x v="37"/>
    <x v="7"/>
    <n v="4247115"/>
    <n v="0"/>
    <n v="668750"/>
    <n v="3578365"/>
    <m/>
    <m/>
    <x v="0"/>
    <n v="24"/>
    <s v=""/>
    <s v=""/>
    <s v="No Aplica"/>
    <n v="7"/>
    <n v="798035"/>
    <n v="22"/>
    <n v="2247330"/>
    <n v="7"/>
    <n v="668750"/>
    <n v="533000"/>
    <m/>
  </r>
  <r>
    <n v="12"/>
    <x v="23"/>
    <x v="1"/>
    <s v="Diciembre"/>
    <s v="CAROVABE"/>
    <x v="37"/>
    <x v="7"/>
    <n v="985602"/>
    <n v="0"/>
    <n v="0"/>
    <n v="985602"/>
    <m/>
    <m/>
    <x v="0"/>
    <n v="24"/>
    <s v=""/>
    <s v=""/>
    <s v="No Aplica"/>
    <n v="2"/>
    <n v="154001"/>
    <n v="4"/>
    <n v="391600"/>
    <n v="0"/>
    <n v="0"/>
    <n v="440001"/>
    <m/>
  </r>
  <r>
    <n v="12"/>
    <x v="23"/>
    <x v="1"/>
    <s v="Diciembre"/>
    <s v="CLAUREME"/>
    <x v="37"/>
    <x v="7"/>
    <n v="281200"/>
    <n v="0"/>
    <n v="0"/>
    <n v="281200"/>
    <m/>
    <m/>
    <x v="0"/>
    <n v="24"/>
    <s v=""/>
    <s v=""/>
    <s v="No Aplica"/>
    <n v="0"/>
    <n v="0"/>
    <n v="0"/>
    <n v="0"/>
    <n v="0"/>
    <n v="0"/>
    <n v="281200"/>
    <m/>
  </r>
  <r>
    <n v="12"/>
    <x v="23"/>
    <x v="1"/>
    <s v="Diciembre"/>
    <s v="DARWHERI"/>
    <x v="37"/>
    <x v="7"/>
    <n v="3754448"/>
    <n v="0"/>
    <n v="2746690"/>
    <n v="1007758"/>
    <m/>
    <m/>
    <x v="0"/>
    <n v="24"/>
    <s v=""/>
    <s v=""/>
    <s v="No Aplica"/>
    <n v="2"/>
    <n v="94572"/>
    <n v="4"/>
    <n v="156160"/>
    <n v="35"/>
    <n v="2746690"/>
    <n v="757026"/>
    <m/>
  </r>
  <r>
    <n v="12"/>
    <x v="23"/>
    <x v="1"/>
    <s v="Diciembre"/>
    <s v="EMMAARMA"/>
    <x v="37"/>
    <x v="7"/>
    <n v="94800"/>
    <n v="0"/>
    <n v="0"/>
    <n v="94800"/>
    <m/>
    <m/>
    <x v="0"/>
    <n v="24"/>
    <s v=""/>
    <s v=""/>
    <s v="No Aplica"/>
    <n v="0"/>
    <n v="0"/>
    <n v="0"/>
    <n v="0"/>
    <n v="0"/>
    <n v="0"/>
    <n v="94800"/>
    <m/>
  </r>
  <r>
    <n v="12"/>
    <x v="23"/>
    <x v="1"/>
    <s v="Diciembre"/>
    <s v="LUCIGOAL"/>
    <x v="37"/>
    <x v="7"/>
    <n v="43870"/>
    <n v="0"/>
    <n v="43870"/>
    <n v="0"/>
    <m/>
    <m/>
    <x v="0"/>
    <n v="24"/>
    <s v=""/>
    <s v=""/>
    <s v="No Aplica"/>
    <n v="0"/>
    <n v="0"/>
    <n v="0"/>
    <n v="0"/>
    <n v="1"/>
    <n v="43870"/>
    <n v="0"/>
    <m/>
  </r>
  <r>
    <n v="12"/>
    <x v="23"/>
    <x v="1"/>
    <s v="Diciembre"/>
    <s v="LUZMARMO"/>
    <x v="37"/>
    <x v="7"/>
    <n v="43870"/>
    <n v="0"/>
    <n v="43870"/>
    <n v="0"/>
    <m/>
    <m/>
    <x v="0"/>
    <n v="24"/>
    <s v=""/>
    <s v=""/>
    <s v="No Aplica"/>
    <n v="0"/>
    <n v="0"/>
    <n v="0"/>
    <n v="0"/>
    <n v="1"/>
    <n v="43870"/>
    <n v="0"/>
    <m/>
  </r>
  <r>
    <n v="12"/>
    <x v="23"/>
    <x v="1"/>
    <s v="Diciembre"/>
    <s v="MONIMEME"/>
    <x v="37"/>
    <x v="7"/>
    <n v="420000"/>
    <n v="0"/>
    <n v="0"/>
    <n v="420000"/>
    <m/>
    <m/>
    <x v="0"/>
    <n v="24"/>
    <s v=""/>
    <s v=""/>
    <s v="No Aplica"/>
    <n v="0"/>
    <n v="0"/>
    <n v="0"/>
    <n v="0"/>
    <n v="0"/>
    <n v="0"/>
    <n v="420000"/>
    <m/>
  </r>
  <r>
    <n v="12"/>
    <x v="23"/>
    <x v="1"/>
    <s v="Diciembre"/>
    <s v="NATA"/>
    <x v="37"/>
    <x v="7"/>
    <n v="319594"/>
    <n v="0"/>
    <n v="0"/>
    <n v="319594"/>
    <m/>
    <m/>
    <x v="0"/>
    <n v="24"/>
    <s v=""/>
    <s v=""/>
    <s v="No Aplica"/>
    <n v="1"/>
    <n v="151571"/>
    <n v="0"/>
    <n v="0"/>
    <n v="0"/>
    <n v="0"/>
    <n v="168023"/>
    <m/>
  </r>
  <r>
    <n v="12"/>
    <x v="23"/>
    <x v="1"/>
    <s v="Diciembre"/>
    <s v="OSCADESU"/>
    <x v="37"/>
    <x v="7"/>
    <n v="134285"/>
    <n v="0"/>
    <n v="134285"/>
    <n v="0"/>
    <m/>
    <m/>
    <x v="0"/>
    <n v="24"/>
    <s v=""/>
    <s v=""/>
    <s v="No Aplica"/>
    <n v="0"/>
    <n v="0"/>
    <n v="0"/>
    <n v="0"/>
    <n v="1"/>
    <n v="134285"/>
    <n v="0"/>
    <m/>
  </r>
  <r>
    <n v="1"/>
    <x v="24"/>
    <x v="2"/>
    <s v="Enero"/>
    <s v="ADRIMOLU"/>
    <x v="1"/>
    <x v="1"/>
    <n v="17269335"/>
    <n v="716000"/>
    <n v="3005844"/>
    <n v="13547491"/>
    <n v="9800000"/>
    <n v="1.3823970408163266"/>
    <x v="1"/>
    <n v="25"/>
    <s v="IPS Pto De Vista Molinos"/>
    <s v="Antioquia"/>
    <s v="Cumple"/>
    <n v="31"/>
    <n v="3736764"/>
    <n v="80"/>
    <n v="8539208"/>
    <n v="32"/>
    <n v="3005844"/>
    <n v="1987519"/>
    <s v="Inicio Vacaciones"/>
  </r>
  <r>
    <n v="1"/>
    <x v="24"/>
    <x v="2"/>
    <s v="Enero"/>
    <s v="ALEXLOGR"/>
    <x v="2"/>
    <x v="2"/>
    <n v="61297489"/>
    <n v="273600"/>
    <n v="14362717"/>
    <n v="46661172"/>
    <n v="35000000"/>
    <n v="1.3331763428571428"/>
    <x v="1"/>
    <n v="25"/>
    <s v="IPS Punto de Vista Bello"/>
    <s v="Antioquia"/>
    <s v="Fluctúa"/>
    <n v="105"/>
    <n v="8964456"/>
    <n v="256"/>
    <n v="30393569"/>
    <n v="159"/>
    <n v="14362717"/>
    <n v="7576747"/>
    <s v="NO"/>
  </r>
  <r>
    <n v="1"/>
    <x v="24"/>
    <x v="2"/>
    <s v="Enero"/>
    <s v="ALVAOSOS"/>
    <x v="36"/>
    <x v="37"/>
    <n v="60743546"/>
    <n v="1058000"/>
    <n v="12854659"/>
    <n v="46830887"/>
    <n v="44000000"/>
    <n v="1.064338340909091"/>
    <x v="1"/>
    <n v="25"/>
    <s v="IPS Pto De Vista Punto Clave"/>
    <s v="Antioquia"/>
    <s v="Siempre Cumple"/>
    <n v="84"/>
    <n v="9695862"/>
    <n v="196"/>
    <n v="29749174"/>
    <n v="138"/>
    <n v="12854659"/>
    <n v="8443851"/>
    <s v="NO"/>
  </r>
  <r>
    <n v="1"/>
    <x v="24"/>
    <x v="2"/>
    <s v="Enero"/>
    <s v="ANAKBEZA"/>
    <x v="65"/>
    <x v="65"/>
    <n v="34369462"/>
    <n v="440000"/>
    <n v="8402389"/>
    <n v="25527073"/>
    <n v="42000000"/>
    <n v="0.60778745238095233"/>
    <x v="0"/>
    <n v="25"/>
    <s v=""/>
    <s v=""/>
    <s v="No Aplica"/>
    <n v="51"/>
    <n v="5887141"/>
    <n v="144"/>
    <n v="16615804"/>
    <n v="87"/>
    <n v="8402389"/>
    <n v="3464128"/>
    <m/>
  </r>
  <r>
    <n v="1"/>
    <x v="24"/>
    <x v="2"/>
    <s v="Enero"/>
    <s v="ANAMLOBE"/>
    <x v="3"/>
    <x v="3"/>
    <n v="83994476"/>
    <n v="960000"/>
    <n v="14690675"/>
    <n v="68343801"/>
    <n v="44000000"/>
    <n v="1.5532682045454544"/>
    <x v="1"/>
    <n v="25"/>
    <s v="IPS Pto De Vista Unicentro"/>
    <s v="Antioquia"/>
    <s v="Siempre Cumple"/>
    <n v="128"/>
    <n v="15496805"/>
    <n v="297"/>
    <n v="44542364"/>
    <n v="157"/>
    <n v="14650975"/>
    <n v="9304332"/>
    <s v="NO"/>
  </r>
  <r>
    <n v="1"/>
    <x v="24"/>
    <x v="2"/>
    <s v="Enero"/>
    <s v="ANDRSAZA"/>
    <x v="45"/>
    <x v="45"/>
    <n v="59477126"/>
    <n v="968000"/>
    <n v="8590067"/>
    <n v="49919059"/>
    <n v="28000000"/>
    <n v="1.7828235357142856"/>
    <x v="1"/>
    <n v="25"/>
    <s v="IPS Pto De Vista Santa Bárbara"/>
    <s v="Centro"/>
    <s v="Cumple"/>
    <n v="89"/>
    <n v="10192554"/>
    <n v="240"/>
    <n v="36365599"/>
    <n v="124"/>
    <n v="8590067"/>
    <n v="4328906"/>
    <s v="NO"/>
  </r>
  <r>
    <n v="1"/>
    <x v="24"/>
    <x v="2"/>
    <s v="Enero"/>
    <s v="ANGEGAAR"/>
    <x v="4"/>
    <x v="4"/>
    <n v="23318843"/>
    <n v="0"/>
    <n v="2788527"/>
    <n v="20530316"/>
    <n v="20000000"/>
    <n v="1.0265158000000001"/>
    <x v="1"/>
    <n v="25"/>
    <s v="IPS Pto De Vista San Diego"/>
    <s v="Antioquia"/>
    <s v="Fluctúa"/>
    <n v="29"/>
    <n v="5761601"/>
    <n v="72"/>
    <n v="10271366"/>
    <n v="35"/>
    <n v="2788527"/>
    <n v="4497349"/>
    <s v="NO"/>
  </r>
  <r>
    <n v="1"/>
    <x v="24"/>
    <x v="2"/>
    <s v="Enero"/>
    <s v="BIBIBECA"/>
    <x v="6"/>
    <x v="6"/>
    <n v="63959830"/>
    <n v="1980000"/>
    <n v="16625981"/>
    <n v="45353849"/>
    <n v="42000000"/>
    <n v="1.0798535476190476"/>
    <x v="1"/>
    <n v="25"/>
    <s v="IPS Pto De Vista Centro"/>
    <s v="Antioquia"/>
    <s v="Fluctúa"/>
    <n v="110"/>
    <n v="11042155"/>
    <n v="276"/>
    <n v="27542867"/>
    <n v="176"/>
    <n v="16625981"/>
    <n v="8748827"/>
    <s v="NO"/>
  </r>
  <r>
    <n v="1"/>
    <x v="24"/>
    <x v="2"/>
    <s v="Enero"/>
    <s v="CAMIPUHE"/>
    <x v="53"/>
    <x v="53"/>
    <n v="37552109"/>
    <n v="1408000"/>
    <n v="6518868"/>
    <n v="29625241"/>
    <n v="28000000"/>
    <n v="1.0580443214285715"/>
    <x v="1"/>
    <n v="25"/>
    <s v="IPS Pto De Vista SSura Clle100"/>
    <s v="Centro"/>
    <s v="Cumple"/>
    <n v="67"/>
    <n v="6483868"/>
    <n v="198"/>
    <n v="21613657"/>
    <n v="89"/>
    <n v="6518868"/>
    <n v="2935716"/>
    <s v="NO"/>
  </r>
  <r>
    <n v="1"/>
    <x v="24"/>
    <x v="2"/>
    <s v="Enero"/>
    <s v="CARORAMN"/>
    <x v="61"/>
    <x v="61"/>
    <n v="58791171"/>
    <n v="304000"/>
    <n v="11636999"/>
    <n v="46850172"/>
    <n v="44000000"/>
    <n v="1.0647766363636364"/>
    <x v="1"/>
    <n v="25"/>
    <s v="IPS Pto De Vista Punto Clave"/>
    <s v="Antioquia"/>
    <s v="No Cumple"/>
    <n v="96"/>
    <n v="11876230"/>
    <n v="252"/>
    <n v="29357337"/>
    <n v="136"/>
    <n v="11636999"/>
    <n v="5920605"/>
    <s v="NO"/>
  </r>
  <r>
    <n v="1"/>
    <x v="24"/>
    <x v="2"/>
    <s v="Enero"/>
    <s v="CARORICA"/>
    <x v="59"/>
    <x v="59"/>
    <n v="25906256"/>
    <n v="0"/>
    <n v="8142272"/>
    <n v="17763984"/>
    <n v="30000000"/>
    <n v="0.59213280000000001"/>
    <x v="0"/>
    <n v="25"/>
    <s v=""/>
    <s v=""/>
    <s v="No Aplica"/>
    <n v="31"/>
    <n v="2943935"/>
    <n v="144"/>
    <n v="10698117"/>
    <n v="88"/>
    <n v="8142272"/>
    <n v="4121932"/>
    <m/>
  </r>
  <r>
    <n v="1"/>
    <x v="24"/>
    <x v="2"/>
    <s v="Enero"/>
    <s v="CINDGACU"/>
    <x v="55"/>
    <x v="55"/>
    <n v="32254707"/>
    <n v="1705400"/>
    <n v="10175486"/>
    <n v="20373821"/>
    <n v="42000000"/>
    <n v="0.4850909761904762"/>
    <x v="1"/>
    <n v="25"/>
    <s v="IPS Pto De Vista San Diego"/>
    <s v="Antioquia"/>
    <s v="Siempre Cumple"/>
    <n v="43"/>
    <n v="3895972"/>
    <n v="146"/>
    <n v="13681434"/>
    <n v="106"/>
    <n v="10175486"/>
    <n v="4501815"/>
    <s v="NO"/>
  </r>
  <r>
    <n v="1"/>
    <x v="24"/>
    <x v="2"/>
    <s v="Enero"/>
    <s v="CLAUBLAR"/>
    <x v="9"/>
    <x v="8"/>
    <n v="76531014"/>
    <n v="852000"/>
    <n v="17738995"/>
    <n v="57940019"/>
    <n v="42000000"/>
    <n v="1.3795242619047619"/>
    <x v="1"/>
    <n v="25"/>
    <s v="IPS Pto De Vista Centro"/>
    <s v="Antioquia"/>
    <s v="Fluctúa"/>
    <n v="105"/>
    <n v="13182111"/>
    <n v="281"/>
    <n v="37750781"/>
    <n v="178"/>
    <n v="17738995"/>
    <n v="7859127"/>
    <s v="NO"/>
  </r>
  <r>
    <n v="1"/>
    <x v="24"/>
    <x v="2"/>
    <s v="Enero"/>
    <s v="DEISCACR"/>
    <x v="50"/>
    <x v="50"/>
    <n v="62472955"/>
    <n v="304000"/>
    <n v="12349191"/>
    <n v="49819764"/>
    <n v="44000000"/>
    <n v="1.1322673636363636"/>
    <x v="1"/>
    <n v="25"/>
    <s v="IPS Pto De Vista Punto Clave"/>
    <s v="Antioquia"/>
    <s v="Fluctúa"/>
    <n v="110"/>
    <n v="12051967"/>
    <n v="256"/>
    <n v="30714148"/>
    <n v="137"/>
    <n v="12349191"/>
    <n v="7357649"/>
    <s v="NO"/>
  </r>
  <r>
    <n v="1"/>
    <x v="24"/>
    <x v="2"/>
    <s v="Enero"/>
    <s v="DERLARMO"/>
    <x v="11"/>
    <x v="10"/>
    <n v="35457950"/>
    <n v="1042000"/>
    <n v="7162901"/>
    <n v="27253049"/>
    <n v="25000000"/>
    <n v="1.0901219600000001"/>
    <x v="1"/>
    <n v="25"/>
    <s v="IPS Pto De Vista Olaya"/>
    <s v="Centro"/>
    <s v="Cumple"/>
    <n v="87"/>
    <n v="5053807"/>
    <n v="218"/>
    <n v="20185442"/>
    <n v="108"/>
    <n v="7162901"/>
    <n v="3055800"/>
    <s v="NO"/>
  </r>
  <r>
    <n v="1"/>
    <x v="24"/>
    <x v="2"/>
    <s v="Enero"/>
    <s v="DIANPAAL"/>
    <x v="12"/>
    <x v="11"/>
    <n v="58474859"/>
    <n v="3762400"/>
    <n v="13481465"/>
    <n v="41230994"/>
    <n v="35000000"/>
    <n v="1.1780284000000001"/>
    <x v="1"/>
    <n v="25"/>
    <s v="IPS Pto De Vista Rionegro"/>
    <s v="Antioquia"/>
    <s v="Cumple"/>
    <n v="97"/>
    <n v="10771133"/>
    <n v="229"/>
    <n v="27174750"/>
    <n v="148"/>
    <n v="13481465"/>
    <n v="7047511"/>
    <s v="NO"/>
  </r>
  <r>
    <n v="1"/>
    <x v="24"/>
    <x v="2"/>
    <s v="Enero"/>
    <s v="DIANQUME"/>
    <x v="14"/>
    <x v="12"/>
    <n v="76461640"/>
    <n v="2512000"/>
    <n v="13521697"/>
    <n v="60427943"/>
    <n v="44000000"/>
    <n v="1.3733623409090909"/>
    <x v="1"/>
    <n v="25"/>
    <s v="IPS Pto De Vista Molinos"/>
    <s v="Antioquia"/>
    <s v="Cumple"/>
    <n v="113"/>
    <n v="11949711"/>
    <n v="318"/>
    <n v="41649046"/>
    <n v="149"/>
    <n v="13521697"/>
    <n v="9341186"/>
    <m/>
  </r>
  <r>
    <n v="1"/>
    <x v="24"/>
    <x v="2"/>
    <s v="Enero"/>
    <s v="ELIZVESU"/>
    <x v="15"/>
    <x v="13"/>
    <n v="75021196"/>
    <n v="744000"/>
    <n v="17693092"/>
    <n v="56584104"/>
    <n v="44000000"/>
    <n v="1.2860023636363636"/>
    <x v="1"/>
    <n v="25"/>
    <s v="IPS Pto De Vista Unicentro"/>
    <s v="Antioquia"/>
    <s v="Fluctúa"/>
    <n v="99"/>
    <n v="12616203"/>
    <n v="280"/>
    <n v="36275252"/>
    <n v="176"/>
    <n v="17693092"/>
    <n v="8436649"/>
    <s v="NO"/>
  </r>
  <r>
    <n v="1"/>
    <x v="24"/>
    <x v="2"/>
    <s v="Enero"/>
    <s v="ERIKSAVA"/>
    <x v="44"/>
    <x v="44"/>
    <n v="47939661"/>
    <n v="412000"/>
    <n v="10240435"/>
    <n v="37287226"/>
    <n v="36000000"/>
    <n v="1.0357562777777778"/>
    <x v="1"/>
    <n v="25"/>
    <s v="IPS Pto De Vista San Diego"/>
    <s v="Antioquia"/>
    <s v="No Cumple"/>
    <n v="83"/>
    <n v="9983756"/>
    <n v="174"/>
    <n v="20996211"/>
    <n v="113"/>
    <n v="10240435"/>
    <n v="6719259"/>
    <s v="NO"/>
  </r>
  <r>
    <n v="1"/>
    <x v="24"/>
    <x v="2"/>
    <s v="Enero"/>
    <s v="GENNHEPO"/>
    <x v="16"/>
    <x v="14"/>
    <n v="64212459"/>
    <n v="890000"/>
    <n v="11834200"/>
    <n v="51488259"/>
    <n v="44000000"/>
    <n v="1.1701877045454545"/>
    <x v="1"/>
    <n v="25"/>
    <s v="IPS Pto De Vista Punto Clave"/>
    <s v="Antioquia"/>
    <s v="Fluctúa"/>
    <n v="107"/>
    <n v="11882724"/>
    <n v="320"/>
    <n v="33905055"/>
    <n v="137"/>
    <n v="11834200"/>
    <n v="6590480"/>
    <s v="NO"/>
  </r>
  <r>
    <n v="1"/>
    <x v="24"/>
    <x v="2"/>
    <s v="Enero"/>
    <s v="HERIRORO"/>
    <x v="52"/>
    <x v="52"/>
    <n v="57205580"/>
    <n v="836000"/>
    <n v="12301148"/>
    <n v="44068432"/>
    <n v="42000000"/>
    <n v="1.0492483809523809"/>
    <x v="1"/>
    <n v="25"/>
    <s v="IPS Pto De Vista Centro"/>
    <s v="Antioquia"/>
    <s v="Siempre Cumple"/>
    <n v="119"/>
    <n v="11313459"/>
    <n v="296"/>
    <n v="26728412"/>
    <n v="133"/>
    <n v="12301148"/>
    <n v="6862561"/>
    <s v="NO"/>
  </r>
  <r>
    <n v="1"/>
    <x v="24"/>
    <x v="2"/>
    <s v="Enero"/>
    <s v="HISNOSPI"/>
    <x v="49"/>
    <x v="49"/>
    <n v="57412400"/>
    <n v="1442000"/>
    <n v="12946572"/>
    <n v="43023828"/>
    <n v="36000000"/>
    <n v="1.1951063333333334"/>
    <x v="0"/>
    <n v="25"/>
    <s v="IPS Pto De Vista San Diego"/>
    <s v="Antioquia"/>
    <s v="No Aplica"/>
    <n v="103"/>
    <n v="11565674"/>
    <n v="254"/>
    <n v="27247266"/>
    <n v="143"/>
    <n v="12946572"/>
    <n v="5652888"/>
    <m/>
  </r>
  <r>
    <n v="1"/>
    <x v="24"/>
    <x v="2"/>
    <s v="Enero"/>
    <s v="ISABMOGO"/>
    <x v="17"/>
    <x v="15"/>
    <n v="39958959"/>
    <n v="823400"/>
    <n v="7374226"/>
    <n v="31761333"/>
    <n v="28000000"/>
    <n v="1.1343333214285714"/>
    <x v="1"/>
    <n v="25"/>
    <s v="IPS Pto De Vista Santa Bárbara"/>
    <s v="Centro"/>
    <s v="No Cumple"/>
    <n v="73"/>
    <n v="7071336"/>
    <n v="196"/>
    <n v="22477081"/>
    <n v="99"/>
    <n v="7374226"/>
    <n v="3036316"/>
    <s v="NO"/>
  </r>
  <r>
    <n v="1"/>
    <x v="24"/>
    <x v="2"/>
    <s v="Enero"/>
    <s v="JAQUVEGU"/>
    <x v="18"/>
    <x v="16"/>
    <n v="54056154"/>
    <n v="4048000"/>
    <n v="10305133"/>
    <n v="39703021"/>
    <n v="35000000"/>
    <n v="1.1343720285714285"/>
    <x v="0"/>
    <n v="25"/>
    <s v="IPS Pto De Vista Rionegro"/>
    <s v="Antioquia"/>
    <s v="No Aplica"/>
    <n v="94"/>
    <n v="10015735"/>
    <n v="237"/>
    <n v="25965291"/>
    <n v="118"/>
    <n v="10305133"/>
    <n v="7769995"/>
    <m/>
  </r>
  <r>
    <n v="1"/>
    <x v="24"/>
    <x v="2"/>
    <s v="Enero"/>
    <s v="LEIDGOVI"/>
    <x v="39"/>
    <x v="39"/>
    <n v="60365766"/>
    <n v="552000"/>
    <n v="13711622"/>
    <n v="46102144"/>
    <n v="44000000"/>
    <n v="1.047776"/>
    <x v="1"/>
    <n v="25"/>
    <s v="IPS Pto De Vista Punto Clave"/>
    <s v="Antioquia"/>
    <s v="Fluctúa"/>
    <n v="88"/>
    <n v="10293966"/>
    <n v="243"/>
    <n v="30943681"/>
    <n v="150"/>
    <n v="13711622"/>
    <n v="5416497"/>
    <s v="NO"/>
  </r>
  <r>
    <n v="1"/>
    <x v="24"/>
    <x v="2"/>
    <s v="Enero"/>
    <s v="LILACARA"/>
    <x v="19"/>
    <x v="17"/>
    <n v="69253490"/>
    <n v="1698000"/>
    <n v="13695998"/>
    <n v="53859492"/>
    <n v="44000000"/>
    <n v="1.2240793636363636"/>
    <x v="1"/>
    <n v="25"/>
    <s v="IPS Pto De Vista Molinos"/>
    <s v="Antioquia"/>
    <s v="Cumple"/>
    <n v="104"/>
    <n v="13205299"/>
    <n v="286"/>
    <n v="32582286"/>
    <n v="137"/>
    <n v="13151798"/>
    <n v="10314107"/>
    <s v="NO"/>
  </r>
  <r>
    <n v="1"/>
    <x v="24"/>
    <x v="2"/>
    <s v="Enero"/>
    <s v="LUZNHEGO"/>
    <x v="21"/>
    <x v="19"/>
    <n v="15302294"/>
    <n v="0"/>
    <n v="1363715"/>
    <n v="13938579"/>
    <n v="6000000"/>
    <n v="2.3230965000000001"/>
    <x v="1"/>
    <n v="25"/>
    <s v="IPS Punto de Vista Mayorca"/>
    <s v="Antioquia"/>
    <s v="Siempre Cumple"/>
    <n v="25"/>
    <n v="4290900"/>
    <n v="79"/>
    <n v="8467321"/>
    <n v="27"/>
    <n v="1363715"/>
    <n v="1180358"/>
    <s v="Inicio Vacaciones"/>
  </r>
  <r>
    <n v="1"/>
    <x v="24"/>
    <x v="2"/>
    <s v="Enero"/>
    <s v="MARGGAPA"/>
    <x v="22"/>
    <x v="20"/>
    <n v="69460373"/>
    <n v="1367000"/>
    <n v="16490198"/>
    <n v="51603175"/>
    <n v="42000000"/>
    <n v="1.2286470238095237"/>
    <x v="1"/>
    <n v="25"/>
    <s v="IPS Pto De Vista Centro"/>
    <s v="Antioquia"/>
    <s v="Fluctúa"/>
    <n v="110"/>
    <n v="14610878"/>
    <n v="264"/>
    <n v="30980299"/>
    <n v="169"/>
    <n v="16490198"/>
    <n v="7378998"/>
    <s v="NO"/>
  </r>
  <r>
    <n v="1"/>
    <x v="24"/>
    <x v="2"/>
    <s v="Enero"/>
    <s v="MARIMASA"/>
    <x v="23"/>
    <x v="34"/>
    <n v="56265048"/>
    <n v="838000"/>
    <n v="12188691"/>
    <n v="43238357"/>
    <n v="36000000"/>
    <n v="1.2010654722222223"/>
    <x v="1"/>
    <n v="25"/>
    <s v="IPS Pto De Vista San Diego"/>
    <s v="Antioquia"/>
    <s v="Siempre Cumple"/>
    <n v="88"/>
    <n v="9112079"/>
    <n v="241"/>
    <n v="31460625"/>
    <n v="124"/>
    <n v="12188691"/>
    <n v="3503653"/>
    <s v="NO"/>
  </r>
  <r>
    <n v="1"/>
    <x v="24"/>
    <x v="2"/>
    <s v="Enero"/>
    <s v="MARIOCOC"/>
    <x v="24"/>
    <x v="21"/>
    <n v="58503860"/>
    <n v="1748400"/>
    <n v="8704737"/>
    <n v="48050723"/>
    <n v="19600000"/>
    <n v="2.4515674999999999"/>
    <x v="1"/>
    <n v="25"/>
    <s v="IPS Pto De Vista Rionegro"/>
    <s v="Antioquia"/>
    <s v="Cumple"/>
    <n v="102"/>
    <n v="12210967"/>
    <n v="260"/>
    <n v="32703231"/>
    <n v="108"/>
    <n v="8704737"/>
    <n v="4884925"/>
    <s v="Inicio Vacaciones"/>
  </r>
  <r>
    <n v="1"/>
    <x v="24"/>
    <x v="2"/>
    <s v="Enero"/>
    <s v="NATAPIDU"/>
    <x v="28"/>
    <x v="25"/>
    <n v="22923440"/>
    <n v="0"/>
    <n v="1805839"/>
    <n v="21117601"/>
    <n v="17600000"/>
    <n v="1.1998636931818183"/>
    <x v="1"/>
    <n v="25"/>
    <s v="IPS Pto De Vista Industriales"/>
    <s v="Antioquia"/>
    <s v="Cumple"/>
    <n v="22"/>
    <n v="4745110"/>
    <n v="76"/>
    <n v="14264762"/>
    <n v="20"/>
    <n v="1805839"/>
    <n v="2107729"/>
    <s v="Regreso Vacaciones"/>
  </r>
  <r>
    <n v="1"/>
    <x v="24"/>
    <x v="2"/>
    <s v="Enero"/>
    <s v="NATAVAMO"/>
    <x v="63"/>
    <x v="63"/>
    <n v="40163309"/>
    <n v="866000"/>
    <n v="11986675"/>
    <n v="27310634"/>
    <n v="22000000"/>
    <n v="1.2413924545454544"/>
    <x v="1"/>
    <n v="25"/>
    <s v="IPS Pto De Vista Molinos"/>
    <s v="Antioquia"/>
    <s v="Siempre Cumple"/>
    <n v="71"/>
    <n v="6601958"/>
    <n v="174"/>
    <n v="17023595"/>
    <n v="121"/>
    <n v="11986675"/>
    <n v="4551081"/>
    <s v="NO"/>
  </r>
  <r>
    <n v="1"/>
    <x v="24"/>
    <x v="2"/>
    <s v="Enero"/>
    <s v="PAOLPACA"/>
    <x v="47"/>
    <x v="47"/>
    <n v="38004568"/>
    <n v="0"/>
    <n v="8804602"/>
    <n v="29199966"/>
    <n v="30000000"/>
    <n v="0.97333219999999998"/>
    <x v="1"/>
    <n v="25"/>
    <s v="Punto de Vista Tequendama"/>
    <s v="Occidente"/>
    <s v="Siempre Cumple"/>
    <n v="64"/>
    <n v="5591158"/>
    <n v="266"/>
    <n v="21033743"/>
    <n v="100"/>
    <n v="8804602"/>
    <n v="2575065"/>
    <s v="NO"/>
  </r>
  <r>
    <n v="1"/>
    <x v="24"/>
    <x v="2"/>
    <s v="Enero"/>
    <s v="PAULGOBA"/>
    <x v="35"/>
    <x v="36"/>
    <n v="19993749"/>
    <n v="0"/>
    <n v="2946031"/>
    <n v="17047718"/>
    <n v="28000000"/>
    <n v="0.60884707142857142"/>
    <x v="1"/>
    <n v="25"/>
    <s v="Ferias Empresariales Antioquia"/>
    <s v="Antioquia"/>
    <s v="Fluctúa"/>
    <n v="18"/>
    <n v="2854592"/>
    <n v="66"/>
    <n v="10087413"/>
    <n v="38"/>
    <n v="2946031"/>
    <n v="4105713"/>
    <s v="Regreso Vacaciones"/>
  </r>
  <r>
    <n v="1"/>
    <x v="24"/>
    <x v="2"/>
    <s v="Enero"/>
    <s v="RAULMOGA"/>
    <x v="30"/>
    <x v="27"/>
    <n v="26263354"/>
    <n v="625400"/>
    <n v="5246424"/>
    <n v="20391530"/>
    <n v="20000000"/>
    <n v="1.0195765000000001"/>
    <x v="0"/>
    <n v="25"/>
    <s v="IPS Pto De Vista Olaya"/>
    <s v="Centro"/>
    <s v="No Aplica"/>
    <n v="64"/>
    <n v="4435956"/>
    <n v="170"/>
    <n v="14477540"/>
    <n v="77"/>
    <n v="5246424"/>
    <n v="2103434"/>
    <m/>
  </r>
  <r>
    <n v="1"/>
    <x v="24"/>
    <x v="2"/>
    <s v="Enero"/>
    <s v="ROCIFASA"/>
    <x v="31"/>
    <x v="28"/>
    <n v="32007710"/>
    <n v="927000"/>
    <n v="4497745"/>
    <n v="26582965"/>
    <n v="33600000"/>
    <n v="0.79115967261904763"/>
    <x v="1"/>
    <n v="25"/>
    <s v="Optica Salud Sura Chipichape"/>
    <s v="Occidente"/>
    <s v="Cumple"/>
    <n v="44"/>
    <n v="6465944"/>
    <n v="160"/>
    <n v="17934637"/>
    <n v="51"/>
    <n v="4497745"/>
    <n v="3109384"/>
    <s v="Regreso Vacaciones"/>
  </r>
  <r>
    <n v="1"/>
    <x v="24"/>
    <x v="2"/>
    <s v="Enero"/>
    <s v="SUANHECO"/>
    <x v="58"/>
    <x v="58"/>
    <n v="77956760"/>
    <n v="1264000"/>
    <n v="13380457"/>
    <n v="63312303"/>
    <n v="44000000"/>
    <n v="1.4389159772727274"/>
    <x v="1"/>
    <n v="25"/>
    <s v="IPS Pto De Vista Molinos"/>
    <s v="Antioquia"/>
    <s v="Fluctúa"/>
    <n v="134"/>
    <n v="16391426"/>
    <n v="324"/>
    <n v="40722401"/>
    <n v="151"/>
    <n v="13380457"/>
    <n v="7462476"/>
    <s v="NO"/>
  </r>
  <r>
    <n v="1"/>
    <x v="24"/>
    <x v="2"/>
    <s v="Enero"/>
    <s v="TATIRITR"/>
    <x v="60"/>
    <x v="60"/>
    <n v="25398145"/>
    <n v="203040"/>
    <n v="6029236"/>
    <n v="19165869"/>
    <n v="30200000"/>
    <n v="0.63463142384105964"/>
    <x v="1"/>
    <n v="25"/>
    <s v="Punto de Vista Cali Norte"/>
    <s v="Occidente"/>
    <s v="No Cumple"/>
    <n v="41"/>
    <n v="4621718"/>
    <n v="130"/>
    <n v="11884865"/>
    <n v="65"/>
    <n v="6029236"/>
    <n v="2862326"/>
    <s v="NO"/>
  </r>
  <r>
    <n v="1"/>
    <x v="24"/>
    <x v="2"/>
    <s v="Enero"/>
    <s v="VIVIVAZA"/>
    <x v="33"/>
    <x v="30"/>
    <n v="96204575"/>
    <n v="2500000"/>
    <n v="19086981"/>
    <n v="74617594"/>
    <n v="44000000"/>
    <n v="1.6958544090909091"/>
    <x v="1"/>
    <n v="25"/>
    <s v="IPS Pto De Vista Unicentro"/>
    <s v="Antioquia"/>
    <s v="Cumple"/>
    <n v="138"/>
    <n v="16401583"/>
    <n v="321"/>
    <n v="50118535"/>
    <n v="201"/>
    <n v="19086981"/>
    <n v="10597476"/>
    <s v="NO"/>
  </r>
  <r>
    <n v="1"/>
    <x v="24"/>
    <x v="2"/>
    <s v="Enero"/>
    <s v="YANEARNA"/>
    <x v="62"/>
    <x v="62"/>
    <n v="5824860"/>
    <n v="0"/>
    <n v="1913160"/>
    <n v="3911700"/>
    <n v="2400000"/>
    <n v="1.629875"/>
    <x v="0"/>
    <n v="25"/>
    <s v=""/>
    <s v=""/>
    <s v="No Aplica"/>
    <n v="9"/>
    <n v="695212"/>
    <n v="46"/>
    <n v="2692485"/>
    <n v="23"/>
    <n v="1913160"/>
    <n v="524003"/>
    <m/>
  </r>
  <r>
    <n v="1"/>
    <x v="24"/>
    <x v="2"/>
    <s v="Enero"/>
    <s v="YENISIGI"/>
    <x v="64"/>
    <x v="64"/>
    <n v="25401781"/>
    <n v="1306000"/>
    <n v="5633122"/>
    <n v="18462659"/>
    <n v="42000000"/>
    <n v="0.43958711904761905"/>
    <x v="1"/>
    <n v="25"/>
    <s v="IPS Pto De Vista Centro"/>
    <s v="Antioquia"/>
    <s v="Fluctúa"/>
    <n v="45"/>
    <n v="4659398"/>
    <n v="102"/>
    <n v="10186236"/>
    <n v="69"/>
    <n v="5633122"/>
    <n v="4923025"/>
    <s v="NO"/>
  </r>
  <r>
    <n v="1"/>
    <x v="24"/>
    <x v="2"/>
    <s v="Enero"/>
    <s v="YENYSUPE"/>
    <x v="51"/>
    <x v="51"/>
    <n v="68451621"/>
    <n v="1077200"/>
    <n v="18184222"/>
    <n v="49190199"/>
    <n v="44000000"/>
    <n v="1.1179590681818181"/>
    <x v="1"/>
    <n v="25"/>
    <s v="IPS Pto De Vista Punto Clave"/>
    <s v="Antioquia"/>
    <s v="Cumple"/>
    <n v="117"/>
    <n v="13016283"/>
    <n v="276"/>
    <n v="29591966"/>
    <n v="184"/>
    <n v="18184222"/>
    <n v="7659150"/>
    <s v="NO"/>
  </r>
  <r>
    <n v="1"/>
    <x v="24"/>
    <x v="2"/>
    <s v="Enero"/>
    <s v="YULIRIRE"/>
    <x v="57"/>
    <x v="57"/>
    <n v="55056616"/>
    <n v="618000"/>
    <n v="12829728"/>
    <n v="41608888"/>
    <n v="35000000"/>
    <n v="1.1888253714285715"/>
    <x v="1"/>
    <n v="25"/>
    <s v="IPS Punto de Vista Bello"/>
    <s v="Antioquia"/>
    <s v="Fluctúa"/>
    <n v="102"/>
    <n v="9162426"/>
    <n v="288"/>
    <n v="27142867"/>
    <n v="147"/>
    <n v="12829728"/>
    <n v="5921595"/>
    <s v="NO"/>
  </r>
  <r>
    <n v="1"/>
    <x v="24"/>
    <x v="2"/>
    <s v="Enero"/>
    <s v="YURAUSVE"/>
    <x v="56"/>
    <x v="56"/>
    <n v="74835445"/>
    <n v="1732000"/>
    <n v="17592084"/>
    <n v="55511361"/>
    <n v="44000000"/>
    <n v="1.2616218409090909"/>
    <x v="1"/>
    <n v="25"/>
    <s v="IPS Pto De Vista Punto Clave"/>
    <s v="Antioquia"/>
    <n v="0"/>
    <n v="118"/>
    <n v="12405613"/>
    <n v="324"/>
    <n v="35239941"/>
    <n v="180"/>
    <n v="17592084"/>
    <n v="9597807"/>
    <s v="NO"/>
  </r>
  <r>
    <n v="1"/>
    <x v="24"/>
    <x v="2"/>
    <s v="Enero"/>
    <s v="ZULYARGA"/>
    <x v="34"/>
    <x v="31"/>
    <n v="70521704"/>
    <n v="632000"/>
    <n v="17034079"/>
    <n v="52855625"/>
    <n v="44000000"/>
    <n v="1.2012642045454545"/>
    <x v="1"/>
    <n v="25"/>
    <s v="IPS Pto De Vista Molinos"/>
    <s v="Antioquia"/>
    <n v="0"/>
    <n v="112"/>
    <n v="12834316"/>
    <n v="336"/>
    <n v="34281487"/>
    <n v="186"/>
    <n v="17034079"/>
    <n v="6371822"/>
    <s v="NO"/>
  </r>
  <r>
    <n v="1"/>
    <x v="24"/>
    <x v="2"/>
    <s v="Enero"/>
    <s v="ANGEROPI"/>
    <x v="37"/>
    <x v="7"/>
    <n v="942404"/>
    <n v="0"/>
    <n v="0"/>
    <n v="942404"/>
    <m/>
    <m/>
    <x v="0"/>
    <n v="25"/>
    <s v=""/>
    <s v=""/>
    <s v="No Aplica"/>
    <n v="1"/>
    <n v="140689"/>
    <n v="2"/>
    <n v="801715"/>
    <n v="0"/>
    <n v="0"/>
    <n v="0"/>
    <m/>
  </r>
  <r>
    <n v="1"/>
    <x v="24"/>
    <x v="2"/>
    <s v="Enero"/>
    <s v="ALEJVAVA"/>
    <x v="37"/>
    <x v="7"/>
    <n v="94800"/>
    <n v="0"/>
    <n v="94800"/>
    <n v="0"/>
    <m/>
    <m/>
    <x v="0"/>
    <n v="25"/>
    <s v=""/>
    <s v=""/>
    <s v="No Aplica"/>
    <n v="0"/>
    <n v="0"/>
    <n v="0"/>
    <n v="0"/>
    <n v="0"/>
    <n v="0"/>
    <n v="94800"/>
    <m/>
  </r>
  <r>
    <n v="1"/>
    <x v="24"/>
    <x v="2"/>
    <s v="Enero"/>
    <s v="CAROVABE"/>
    <x v="37"/>
    <x v="7"/>
    <n v="1001795"/>
    <n v="0"/>
    <n v="0"/>
    <n v="1001795"/>
    <m/>
    <m/>
    <x v="0"/>
    <n v="25"/>
    <s v=""/>
    <s v=""/>
    <s v="No Aplica"/>
    <n v="2"/>
    <n v="147345"/>
    <n v="4"/>
    <n v="854450"/>
    <n v="0"/>
    <n v="0"/>
    <n v="0"/>
    <m/>
  </r>
  <r>
    <n v="1"/>
    <x v="24"/>
    <x v="2"/>
    <s v="Enero"/>
    <s v="CLAUREME"/>
    <x v="37"/>
    <x v="7"/>
    <n v="281200"/>
    <n v="0"/>
    <n v="281200"/>
    <n v="0"/>
    <m/>
    <m/>
    <x v="0"/>
    <n v="25"/>
    <s v=""/>
    <s v=""/>
    <s v="No Aplica"/>
    <n v="0"/>
    <n v="0"/>
    <n v="0"/>
    <n v="0"/>
    <n v="0"/>
    <n v="0"/>
    <n v="281200"/>
    <m/>
  </r>
  <r>
    <n v="1"/>
    <x v="24"/>
    <x v="2"/>
    <s v="Enero"/>
    <s v="DARWHERI"/>
    <x v="37"/>
    <x v="7"/>
    <n v="14696700"/>
    <n v="0"/>
    <n v="3988853"/>
    <n v="10707847"/>
    <m/>
    <m/>
    <x v="0"/>
    <n v="25"/>
    <s v=""/>
    <s v=""/>
    <s v="No Aplica"/>
    <n v="18"/>
    <n v="2261888"/>
    <n v="52"/>
    <n v="8093416"/>
    <n v="53"/>
    <n v="3988853"/>
    <n v="352543"/>
    <m/>
  </r>
  <r>
    <n v="1"/>
    <x v="24"/>
    <x v="2"/>
    <s v="Enero"/>
    <s v="DIANPOPA"/>
    <x v="37"/>
    <x v="7"/>
    <n v="12629460"/>
    <n v="0"/>
    <n v="0"/>
    <n v="12629460"/>
    <m/>
    <m/>
    <x v="0"/>
    <n v="25"/>
    <s v=""/>
    <s v=""/>
    <s v="No Aplica"/>
    <n v="1"/>
    <n v="86897"/>
    <n v="2"/>
    <n v="119250"/>
    <n v="0"/>
    <n v="0"/>
    <n v="12423313"/>
    <m/>
  </r>
  <r>
    <n v="1"/>
    <x v="24"/>
    <x v="2"/>
    <s v="Enero"/>
    <s v="EMMAARMA"/>
    <x v="37"/>
    <x v="7"/>
    <n v="72600"/>
    <n v="0"/>
    <n v="72600"/>
    <n v="0"/>
    <m/>
    <m/>
    <x v="0"/>
    <n v="25"/>
    <s v=""/>
    <s v=""/>
    <s v="No Aplica"/>
    <n v="0"/>
    <n v="0"/>
    <n v="0"/>
    <n v="0"/>
    <n v="0"/>
    <n v="0"/>
    <n v="72600"/>
    <m/>
  </r>
  <r>
    <n v="1"/>
    <x v="24"/>
    <x v="2"/>
    <s v="Enero"/>
    <s v="ELIZGORE"/>
    <x v="37"/>
    <x v="7"/>
    <n v="43870"/>
    <n v="0"/>
    <n v="43870"/>
    <n v="0"/>
    <m/>
    <m/>
    <x v="0"/>
    <n v="25"/>
    <s v=""/>
    <s v=""/>
    <s v="No Aplica"/>
    <n v="0"/>
    <n v="0"/>
    <n v="0"/>
    <n v="0"/>
    <n v="1"/>
    <n v="43870"/>
    <n v="0"/>
    <m/>
  </r>
  <r>
    <n v="1"/>
    <x v="24"/>
    <x v="2"/>
    <s v="Enero"/>
    <s v="LOREBECR"/>
    <x v="37"/>
    <x v="7"/>
    <n v="43870"/>
    <n v="0"/>
    <n v="43870"/>
    <n v="0"/>
    <m/>
    <m/>
    <x v="0"/>
    <n v="25"/>
    <s v=""/>
    <s v=""/>
    <s v="No Aplica"/>
    <n v="0"/>
    <n v="0"/>
    <n v="0"/>
    <n v="0"/>
    <n v="1"/>
    <n v="43870"/>
    <n v="0"/>
    <m/>
  </r>
  <r>
    <n v="1"/>
    <x v="24"/>
    <x v="2"/>
    <s v="Enero"/>
    <s v="LUZMARMO"/>
    <x v="37"/>
    <x v="7"/>
    <n v="43870"/>
    <n v="0"/>
    <n v="43870"/>
    <n v="0"/>
    <m/>
    <m/>
    <x v="0"/>
    <n v="25"/>
    <s v=""/>
    <s v=""/>
    <s v="No Aplica"/>
    <n v="0"/>
    <n v="0"/>
    <n v="0"/>
    <n v="0"/>
    <n v="1"/>
    <n v="43870"/>
    <n v="0"/>
    <m/>
  </r>
  <r>
    <n v="1"/>
    <x v="24"/>
    <x v="2"/>
    <s v="Enero"/>
    <s v="OSCADESU"/>
    <x v="37"/>
    <x v="7"/>
    <n v="178155"/>
    <n v="0"/>
    <n v="178155"/>
    <n v="0"/>
    <m/>
    <m/>
    <x v="0"/>
    <n v="25"/>
    <s v=""/>
    <s v=""/>
    <s v="No Aplica"/>
    <n v="0"/>
    <n v="0"/>
    <n v="0"/>
    <n v="0"/>
    <n v="2"/>
    <n v="178155"/>
    <n v="0"/>
    <m/>
  </r>
  <r>
    <n v="1"/>
    <x v="24"/>
    <x v="2"/>
    <s v="Enero"/>
    <s v="4437579252"/>
    <x v="37"/>
    <x v="7"/>
    <n v="43870"/>
    <n v="0"/>
    <n v="43870"/>
    <n v="0"/>
    <m/>
    <m/>
    <x v="0"/>
    <n v="25"/>
    <s v=""/>
    <s v=""/>
    <s v="No Aplica"/>
    <n v="0"/>
    <n v="0"/>
    <n v="0"/>
    <n v="0"/>
    <n v="1"/>
    <n v="43870"/>
    <n v="0"/>
    <m/>
  </r>
  <r>
    <n v="1"/>
    <x v="24"/>
    <x v="2"/>
    <s v="Enero"/>
    <s v="(en blanco)"/>
    <x v="37"/>
    <x v="7"/>
    <n v="-134285"/>
    <n v="0"/>
    <n v="0"/>
    <n v="-134285"/>
    <m/>
    <m/>
    <x v="0"/>
    <n v="25"/>
    <s v=""/>
    <s v=""/>
    <s v="No Aplica"/>
    <n v="0"/>
    <n v="0"/>
    <n v="0"/>
    <n v="0"/>
    <n v="0"/>
    <n v="0"/>
    <n v="-134285"/>
    <m/>
  </r>
  <r>
    <n v="2"/>
    <x v="25"/>
    <x v="2"/>
    <s v="Febrero"/>
    <s v="DERLARMO"/>
    <x v="11"/>
    <x v="10"/>
    <n v="37508923"/>
    <n v="880000"/>
    <n v="7353040"/>
    <n v="29275883"/>
    <n v="25000008"/>
    <n v="1.1710349452688176"/>
    <x v="1"/>
    <n v="24"/>
    <s v="IPS Pto De Vista Olaya"/>
    <s v="Centro"/>
    <s v="Cumple"/>
    <n v="91"/>
    <n v="6236617"/>
    <n v="226"/>
    <n v="21079498"/>
    <n v="97"/>
    <n v="7353040"/>
    <n v="2839768"/>
    <s v="NO"/>
  </r>
  <r>
    <n v="2"/>
    <x v="25"/>
    <x v="2"/>
    <s v="Febrero"/>
    <s v="RAULMOGA"/>
    <x v="30"/>
    <x v="27"/>
    <n v="33381675"/>
    <n v="1032800"/>
    <n v="6493937"/>
    <n v="25854938"/>
    <n v="25000008"/>
    <n v="1.0341971890568995"/>
    <x v="0"/>
    <n v="24"/>
    <s v="IPS Pto De Vista Olaya"/>
    <s v="Centro"/>
    <s v="No Aplica"/>
    <n v="76"/>
    <n v="5567965"/>
    <n v="218"/>
    <n v="17420995"/>
    <n v="93"/>
    <n v="6493937"/>
    <n v="3898778"/>
    <m/>
  </r>
  <r>
    <n v="2"/>
    <x v="25"/>
    <x v="2"/>
    <s v="Febrero"/>
    <s v="PAULGOBA"/>
    <x v="35"/>
    <x v="36"/>
    <n v="7669377"/>
    <n v="0"/>
    <n v="1822745"/>
    <n v="5846632"/>
    <n v="43999992"/>
    <n v="0.13287802415964076"/>
    <x v="1"/>
    <n v="24"/>
    <s v="Ferias Empresariales Antioquia"/>
    <s v="Antioquia"/>
    <s v="Fluctúa"/>
    <n v="9"/>
    <n v="731231"/>
    <n v="28"/>
    <n v="4151665"/>
    <n v="23"/>
    <n v="1822745"/>
    <n v="963736"/>
    <s v="NO"/>
  </r>
  <r>
    <n v="2"/>
    <x v="25"/>
    <x v="2"/>
    <s v="Febrero"/>
    <s v="DIANPAAL"/>
    <x v="12"/>
    <x v="11"/>
    <n v="37168721"/>
    <n v="909000"/>
    <n v="6005910"/>
    <n v="30253811"/>
    <n v="10208331"/>
    <n v="2.9636393059746986"/>
    <x v="1"/>
    <n v="24"/>
    <s v="IPS Pto De Vista Rionegro"/>
    <s v="Antioquia"/>
    <s v="Cumple"/>
    <n v="60"/>
    <n v="6751589"/>
    <n v="168"/>
    <n v="21521569"/>
    <n v="68"/>
    <n v="6005910"/>
    <n v="2889653"/>
    <s v="Inicio Vacaciones"/>
  </r>
  <r>
    <n v="2"/>
    <x v="25"/>
    <x v="2"/>
    <s v="Febrero"/>
    <s v="JAQUVEGU"/>
    <x v="18"/>
    <x v="16"/>
    <n v="50495412"/>
    <n v="2522400"/>
    <n v="8794037"/>
    <n v="39178975"/>
    <n v="34999992"/>
    <n v="1.1193995415770381"/>
    <x v="0"/>
    <n v="24"/>
    <s v="IPS Pto De Vista Rionegro"/>
    <s v="Antioquia"/>
    <s v="No Aplica"/>
    <n v="85"/>
    <n v="9333870"/>
    <n v="198"/>
    <n v="26246959"/>
    <n v="110"/>
    <n v="8794037"/>
    <n v="6120546"/>
    <m/>
  </r>
  <r>
    <n v="2"/>
    <x v="25"/>
    <x v="2"/>
    <s v="Febrero"/>
    <s v="MARIOCOC"/>
    <x v="24"/>
    <x v="21"/>
    <n v="29064933"/>
    <n v="3136800"/>
    <n v="3304388"/>
    <n v="22623745"/>
    <n v="24791661"/>
    <n v="0.91255462875198234"/>
    <x v="1"/>
    <n v="24"/>
    <s v="IPS Pto De Vista Rionegro"/>
    <s v="Antioquia"/>
    <s v="Cumple"/>
    <n v="45"/>
    <n v="5286607"/>
    <n v="123"/>
    <n v="15111263"/>
    <n v="40"/>
    <n v="3304388"/>
    <n v="5362675"/>
    <s v="Regreso Vacaciones"/>
  </r>
  <r>
    <n v="2"/>
    <x v="25"/>
    <x v="2"/>
    <s v="Febrero"/>
    <s v="ALEXLOGR"/>
    <x v="2"/>
    <x v="2"/>
    <n v="53793523"/>
    <n v="372000"/>
    <n v="11587886"/>
    <n v="41833637"/>
    <n v="34999992"/>
    <n v="1.195247044627896"/>
    <x v="1"/>
    <n v="24"/>
    <s v="IPS Punto de Vista Bello"/>
    <s v="Antioquia"/>
    <s v="Fluctúa"/>
    <n v="94"/>
    <n v="9027930"/>
    <n v="225"/>
    <n v="27204743"/>
    <n v="127"/>
    <n v="11587886"/>
    <n v="5972964"/>
    <s v="NO"/>
  </r>
  <r>
    <n v="2"/>
    <x v="25"/>
    <x v="2"/>
    <s v="Febrero"/>
    <s v="YULIRIRE"/>
    <x v="57"/>
    <x v="57"/>
    <n v="49248727"/>
    <n v="632000"/>
    <n v="10198598"/>
    <n v="38418129"/>
    <n v="34999992"/>
    <n v="1.0976610794653896"/>
    <x v="1"/>
    <n v="24"/>
    <s v="IPS Punto de Vista Bello"/>
    <s v="Antioquia"/>
    <s v="Fluctúa"/>
    <n v="91"/>
    <n v="8001716"/>
    <n v="244"/>
    <n v="25368025"/>
    <n v="120"/>
    <n v="10198598"/>
    <n v="5680388"/>
    <s v="NO"/>
  </r>
  <r>
    <n v="2"/>
    <x v="25"/>
    <x v="2"/>
    <s v="Febrero"/>
    <s v="ADRIMOLU"/>
    <x v="1"/>
    <x v="1"/>
    <n v="54267701"/>
    <n v="1396400"/>
    <n v="9437507"/>
    <n v="43433794"/>
    <n v="42499992"/>
    <n v="1.0219718159005771"/>
    <x v="1"/>
    <n v="24"/>
    <s v="IPS Pto De Vista Molinos"/>
    <s v="Antioquia"/>
    <s v="Cumple"/>
    <n v="93"/>
    <n v="9307188"/>
    <n v="256"/>
    <n v="29182165"/>
    <n v="100"/>
    <n v="9437507"/>
    <n v="6340841"/>
    <s v="NO"/>
  </r>
  <r>
    <n v="2"/>
    <x v="25"/>
    <x v="2"/>
    <s v="Febrero"/>
    <s v="ELIZVESU"/>
    <x v="15"/>
    <x v="13"/>
    <n v="67313825"/>
    <n v="744000"/>
    <n v="15398156"/>
    <n v="51171669"/>
    <n v="43999992"/>
    <n v="1.1629926887259434"/>
    <x v="1"/>
    <n v="24"/>
    <s v="IPS Pto De Vista Unicentro"/>
    <s v="Antioquia"/>
    <s v="Fluctúa"/>
    <n v="100"/>
    <n v="12899625"/>
    <n v="254"/>
    <n v="32400973"/>
    <n v="157"/>
    <n v="15398156"/>
    <n v="6615071"/>
    <s v="NO"/>
  </r>
  <r>
    <n v="2"/>
    <x v="25"/>
    <x v="2"/>
    <s v="Febrero"/>
    <s v="LILACARA"/>
    <x v="19"/>
    <x v="17"/>
    <n v="60161294"/>
    <n v="1088000"/>
    <n v="12610913"/>
    <n v="46462381"/>
    <n v="43999992"/>
    <n v="1.0559633965387993"/>
    <x v="1"/>
    <n v="24"/>
    <s v="IPS Pto De Vista Molinos"/>
    <s v="Antioquia"/>
    <s v="Cumple"/>
    <n v="85"/>
    <n v="10700287"/>
    <n v="246"/>
    <n v="26908598"/>
    <n v="130"/>
    <n v="12610913"/>
    <n v="9941496"/>
    <s v="NO"/>
  </r>
  <r>
    <n v="2"/>
    <x v="25"/>
    <x v="2"/>
    <s v="Febrero"/>
    <s v="NATAVAMO"/>
    <x v="63"/>
    <x v="63"/>
    <n v="44511722"/>
    <n v="0"/>
    <n v="12043492"/>
    <n v="32468230"/>
    <n v="32833326"/>
    <n v="0.98888032238951362"/>
    <x v="1"/>
    <n v="24"/>
    <s v="IPS Pto De Vista Molinos"/>
    <s v="Antioquia"/>
    <s v="Siempre Cumple"/>
    <n v="72"/>
    <n v="8765926"/>
    <n v="194"/>
    <n v="20484764"/>
    <n v="132"/>
    <n v="12043492"/>
    <n v="3217540"/>
    <s v="NO"/>
  </r>
  <r>
    <n v="2"/>
    <x v="25"/>
    <x v="2"/>
    <s v="Febrero"/>
    <s v="NOREARMA"/>
    <x v="66"/>
    <x v="66"/>
    <n v="34897617"/>
    <n v="152000"/>
    <n v="10031892"/>
    <n v="24713725"/>
    <n v="41999994"/>
    <n v="0.58842210786982496"/>
    <x v="1"/>
    <n v="24"/>
    <s v="IPS Pto De Vista San Diego"/>
    <s v="Antioquia"/>
    <s v="Fluctúa"/>
    <n v="48"/>
    <n v="5499597"/>
    <n v="114"/>
    <n v="16255470"/>
    <n v="95"/>
    <n v="10031892"/>
    <n v="3110658"/>
    <s v="NO"/>
  </r>
  <r>
    <n v="2"/>
    <x v="25"/>
    <x v="2"/>
    <s v="Febrero"/>
    <s v="SUANHECO"/>
    <x v="58"/>
    <x v="58"/>
    <n v="73955887"/>
    <n v="1058000"/>
    <n v="16779740"/>
    <n v="56118147"/>
    <n v="43999992"/>
    <n v="1.2754126637113934"/>
    <x v="1"/>
    <n v="24"/>
    <s v="IPS Pto De Vista Molinos"/>
    <s v="Antioquia"/>
    <s v="Fluctúa"/>
    <n v="107"/>
    <n v="15230941"/>
    <n v="268"/>
    <n v="34648806"/>
    <n v="182"/>
    <n v="16779740"/>
    <n v="7296400"/>
    <s v="NO"/>
  </r>
  <r>
    <n v="2"/>
    <x v="25"/>
    <x v="2"/>
    <s v="Febrero"/>
    <s v="ZULYARGA"/>
    <x v="34"/>
    <x v="31"/>
    <n v="26721255"/>
    <n v="1472000"/>
    <n v="4629997"/>
    <n v="20619258"/>
    <n v="10999998"/>
    <n v="1.8744783408142438"/>
    <x v="1"/>
    <n v="24"/>
    <s v="IPS Pto De Vista Molinos"/>
    <s v="Antioquia"/>
    <n v="0"/>
    <n v="35"/>
    <n v="5206222"/>
    <n v="120"/>
    <n v="13210240"/>
    <n v="44"/>
    <n v="4629997"/>
    <n v="3674796"/>
    <s v="Regreso Vacaciones"/>
  </r>
  <r>
    <n v="2"/>
    <x v="25"/>
    <x v="2"/>
    <s v="Febrero"/>
    <s v="ANAKBEZA"/>
    <x v="65"/>
    <x v="65"/>
    <n v="37928922"/>
    <n v="1238000"/>
    <n v="8606331"/>
    <n v="28084591"/>
    <n v="42000000"/>
    <n v="0.66868073809523809"/>
    <x v="0"/>
    <n v="24"/>
    <s v=""/>
    <s v=""/>
    <s v="No Aplica"/>
    <n v="67"/>
    <n v="6398718"/>
    <n v="175"/>
    <n v="17234345"/>
    <n v="94"/>
    <n v="8606331"/>
    <n v="5689528"/>
    <m/>
  </r>
  <r>
    <n v="2"/>
    <x v="25"/>
    <x v="2"/>
    <s v="Febrero"/>
    <s v="BIBIBECA"/>
    <x v="6"/>
    <x v="6"/>
    <n v="62586677"/>
    <n v="440000"/>
    <n v="14522896"/>
    <n v="47623781"/>
    <n v="42000000"/>
    <n v="1.1338995476190477"/>
    <x v="1"/>
    <n v="24"/>
    <s v="IPS Pto De Vista Centro"/>
    <s v="Antioquia"/>
    <s v="Fluctúa"/>
    <n v="109"/>
    <n v="9740249"/>
    <n v="294"/>
    <n v="31910637"/>
    <n v="168"/>
    <n v="14522896"/>
    <n v="6412895"/>
    <s v="NO"/>
  </r>
  <r>
    <n v="2"/>
    <x v="25"/>
    <x v="2"/>
    <s v="Febrero"/>
    <s v="CINDGACU"/>
    <x v="55"/>
    <x v="55"/>
    <n v="52377123"/>
    <n v="440000"/>
    <n v="9646692"/>
    <n v="42290431"/>
    <n v="42000000"/>
    <n v="1.0069150238095239"/>
    <x v="1"/>
    <n v="24"/>
    <s v="IPS Pto De Vista San Diego"/>
    <s v="Antioquia"/>
    <s v="Siempre Cumple"/>
    <n v="96"/>
    <n v="9648212"/>
    <n v="269"/>
    <n v="29054703"/>
    <n v="102"/>
    <n v="9646692"/>
    <n v="4027516"/>
    <s v="NO"/>
  </r>
  <r>
    <n v="2"/>
    <x v="25"/>
    <x v="2"/>
    <s v="Febrero"/>
    <s v="CLAUBLAR"/>
    <x v="9"/>
    <x v="8"/>
    <n v="68529139"/>
    <n v="1026000"/>
    <n v="14770387"/>
    <n v="52732752"/>
    <n v="42000000"/>
    <n v="1.2555417142857144"/>
    <x v="1"/>
    <n v="24"/>
    <s v="IPS Pto De Vista Centro"/>
    <s v="Antioquia"/>
    <s v="Fluctúa"/>
    <n v="127"/>
    <n v="12882882"/>
    <n v="314"/>
    <n v="33583141"/>
    <n v="163"/>
    <n v="14770387"/>
    <n v="7292729"/>
    <s v="NO"/>
  </r>
  <r>
    <n v="2"/>
    <x v="25"/>
    <x v="2"/>
    <s v="Febrero"/>
    <s v="HERIRORO"/>
    <x v="52"/>
    <x v="52"/>
    <n v="57391782"/>
    <n v="412000"/>
    <n v="13649669"/>
    <n v="43330113"/>
    <n v="42000000"/>
    <n v="1.0316693571428572"/>
    <x v="1"/>
    <n v="24"/>
    <s v="IPS Pto De Vista Centro"/>
    <s v="Antioquia"/>
    <s v="Siempre Cumple"/>
    <n v="110"/>
    <n v="10338708"/>
    <n v="269"/>
    <n v="27644536"/>
    <n v="151"/>
    <n v="13649669"/>
    <n v="5758869"/>
    <s v="NO"/>
  </r>
  <r>
    <n v="2"/>
    <x v="25"/>
    <x v="2"/>
    <s v="Febrero"/>
    <s v="MARGGAPA"/>
    <x v="22"/>
    <x v="20"/>
    <n v="64444511"/>
    <n v="890000"/>
    <n v="13255160"/>
    <n v="50299351"/>
    <n v="42000000"/>
    <n v="1.1976035952380952"/>
    <x v="1"/>
    <n v="24"/>
    <s v="IPS Pto De Vista Centro"/>
    <s v="Antioquia"/>
    <s v="Fluctúa"/>
    <n v="95"/>
    <n v="11151403"/>
    <n v="252"/>
    <n v="33299415"/>
    <n v="147"/>
    <n v="13255160"/>
    <n v="6738533"/>
    <s v="NO"/>
  </r>
  <r>
    <n v="2"/>
    <x v="25"/>
    <x v="2"/>
    <s v="Febrero"/>
    <s v="YENISIGI"/>
    <x v="64"/>
    <x v="64"/>
    <n v="33161976"/>
    <n v="0"/>
    <n v="9566335"/>
    <n v="23595641"/>
    <n v="42000000"/>
    <n v="0.5618009761904762"/>
    <x v="1"/>
    <n v="24"/>
    <s v="IPS Pto De Vista Centro"/>
    <s v="Antioquia"/>
    <s v="Fluctúa"/>
    <n v="60"/>
    <n v="5712526"/>
    <n v="150"/>
    <n v="14329007"/>
    <n v="110"/>
    <n v="9566335"/>
    <n v="3554108"/>
    <s v="NO"/>
  </r>
  <r>
    <n v="2"/>
    <x v="25"/>
    <x v="2"/>
    <s v="Febrero"/>
    <s v="ANGEGAAR"/>
    <x v="4"/>
    <x v="4"/>
    <n v="20550461"/>
    <n v="273600"/>
    <n v="3281797"/>
    <n v="16995064"/>
    <n v="14333332"/>
    <n v="1.1857022498327674"/>
    <x v="1"/>
    <n v="24"/>
    <s v="IPS Pto De Vista San Diego"/>
    <s v="Antioquia"/>
    <s v="Fluctúa"/>
    <n v="27"/>
    <n v="4200719"/>
    <n v="82"/>
    <n v="9339622"/>
    <n v="38"/>
    <n v="3281797"/>
    <n v="3728323"/>
    <s v="Inicio Vacaciones"/>
  </r>
  <r>
    <n v="2"/>
    <x v="25"/>
    <x v="2"/>
    <s v="Febrero"/>
    <s v="NATAPIDU"/>
    <x v="28"/>
    <x v="25"/>
    <n v="58150164"/>
    <n v="704160"/>
    <n v="6424066"/>
    <n v="51021938"/>
    <n v="40000008"/>
    <n v="1.2755481948903611"/>
    <x v="1"/>
    <n v="24"/>
    <s v="IPS Pto De Vista Industriales"/>
    <s v="Antioquia"/>
    <s v="Cumple"/>
    <n v="54"/>
    <n v="12779036"/>
    <n v="183"/>
    <n v="32353384"/>
    <n v="74"/>
    <n v="6424066"/>
    <n v="6593678"/>
    <s v="NO"/>
  </r>
  <r>
    <n v="2"/>
    <x v="25"/>
    <x v="2"/>
    <s v="Febrero"/>
    <s v="ALVAOSOS"/>
    <x v="36"/>
    <x v="37"/>
    <n v="39551707"/>
    <n v="440000"/>
    <n v="7424409"/>
    <n v="31687298"/>
    <n v="29333328"/>
    <n v="1.080248991863453"/>
    <x v="1"/>
    <n v="24"/>
    <s v="IPS Pto De Vista Punto Clave"/>
    <s v="Antioquia"/>
    <s v="Siempre Cumple"/>
    <n v="58"/>
    <n v="7913936"/>
    <n v="147"/>
    <n v="17959487"/>
    <n v="78"/>
    <n v="7424409"/>
    <n v="6253875"/>
    <s v="NO"/>
  </r>
  <r>
    <n v="2"/>
    <x v="25"/>
    <x v="2"/>
    <s v="Febrero"/>
    <s v="CARORAMN"/>
    <x v="61"/>
    <x v="61"/>
    <n v="56838735"/>
    <n v="0"/>
    <n v="11013617"/>
    <n v="45825118"/>
    <n v="43999992"/>
    <n v="1.0414801439054806"/>
    <x v="1"/>
    <n v="24"/>
    <s v="IPS Pto De Vista Punto Clave"/>
    <s v="Antioquia"/>
    <s v="No Cumple"/>
    <n v="83"/>
    <n v="10343994"/>
    <n v="250"/>
    <n v="29549176"/>
    <n v="136"/>
    <n v="11013617"/>
    <n v="5931948"/>
    <s v="NO"/>
  </r>
  <r>
    <n v="2"/>
    <x v="25"/>
    <x v="2"/>
    <s v="Febrero"/>
    <s v="DEISCACR"/>
    <x v="50"/>
    <x v="50"/>
    <n v="57442837"/>
    <n v="2044300"/>
    <n v="10210689"/>
    <n v="45187848"/>
    <n v="43999992"/>
    <n v="1.0269967321812241"/>
    <x v="1"/>
    <n v="24"/>
    <s v="IPS Pto De Vista Punto Clave"/>
    <s v="Antioquia"/>
    <s v="Fluctúa"/>
    <n v="90"/>
    <n v="11254757"/>
    <n v="226"/>
    <n v="26061589"/>
    <n v="123"/>
    <n v="10210689"/>
    <n v="9915802"/>
    <s v="NO"/>
  </r>
  <r>
    <n v="2"/>
    <x v="25"/>
    <x v="2"/>
    <s v="Febrero"/>
    <s v="GENNHEPO"/>
    <x v="16"/>
    <x v="14"/>
    <n v="58576646"/>
    <n v="1940400"/>
    <n v="10561221"/>
    <n v="46075025"/>
    <n v="43999992"/>
    <n v="1.047159849483609"/>
    <x v="1"/>
    <n v="24"/>
    <s v="IPS Pto De Vista Punto Clave"/>
    <s v="Antioquia"/>
    <s v="Fluctúa"/>
    <n v="91"/>
    <n v="10778693"/>
    <n v="264"/>
    <n v="31536201"/>
    <n v="123"/>
    <n v="10561221"/>
    <n v="5700531"/>
    <s v="NO"/>
  </r>
  <r>
    <n v="2"/>
    <x v="25"/>
    <x v="2"/>
    <s v="Febrero"/>
    <s v="LEIDGOVI"/>
    <x v="39"/>
    <x v="39"/>
    <n v="58041070"/>
    <n v="304000"/>
    <n v="10143386"/>
    <n v="47593684"/>
    <n v="43999992"/>
    <n v="1.0816748330317878"/>
    <x v="1"/>
    <n v="24"/>
    <s v="IPS Pto De Vista Punto Clave"/>
    <s v="Antioquia"/>
    <s v="Fluctúa"/>
    <n v="92"/>
    <n v="12520599"/>
    <n v="242"/>
    <n v="30674237"/>
    <n v="102"/>
    <n v="10143386"/>
    <n v="4702848"/>
    <s v="NO"/>
  </r>
  <r>
    <n v="2"/>
    <x v="25"/>
    <x v="2"/>
    <s v="Febrero"/>
    <s v="YENYSUPE"/>
    <x v="51"/>
    <x v="51"/>
    <n v="61097196"/>
    <n v="721000"/>
    <n v="13716865"/>
    <n v="46659331"/>
    <n v="43999992"/>
    <n v="1.0604395337162789"/>
    <x v="1"/>
    <n v="24"/>
    <s v="IPS Pto De Vista Punto Clave"/>
    <s v="Antioquia"/>
    <s v="Cumple"/>
    <n v="92"/>
    <n v="10767939"/>
    <n v="266"/>
    <n v="29449076"/>
    <n v="149"/>
    <n v="13716865"/>
    <n v="7163316"/>
    <s v="NO"/>
  </r>
  <r>
    <n v="2"/>
    <x v="25"/>
    <x v="2"/>
    <s v="Febrero"/>
    <s v="YURAUSVE"/>
    <x v="56"/>
    <x v="56"/>
    <n v="57531938"/>
    <n v="824000"/>
    <n v="13623989"/>
    <n v="43083949"/>
    <n v="40333326"/>
    <n v="1.0681972768623147"/>
    <x v="1"/>
    <n v="24"/>
    <s v="IPS Pto De Vista Punto Clave"/>
    <s v="Antioquia"/>
    <n v="0"/>
    <n v="86"/>
    <n v="10423484"/>
    <n v="244"/>
    <n v="25828651"/>
    <n v="141"/>
    <n v="13623989"/>
    <n v="7655814"/>
    <s v="NO"/>
  </r>
  <r>
    <n v="2"/>
    <x v="25"/>
    <x v="2"/>
    <s v="Febrero"/>
    <s v="ANAMLOBE"/>
    <x v="3"/>
    <x v="3"/>
    <n v="86113394"/>
    <n v="2244600"/>
    <n v="13175980"/>
    <n v="70692814"/>
    <n v="43999992"/>
    <n v="1.6066551557554829"/>
    <x v="1"/>
    <n v="24"/>
    <s v="IPS Pto De Vista Unicentro"/>
    <s v="Antioquia"/>
    <s v="Siempre Cumple"/>
    <n v="131"/>
    <n v="17843385"/>
    <n v="306"/>
    <n v="43795615"/>
    <n v="142"/>
    <n v="13175980"/>
    <n v="11298414"/>
    <s v="NO"/>
  </r>
  <r>
    <n v="2"/>
    <x v="25"/>
    <x v="2"/>
    <s v="Febrero"/>
    <s v="DIANQUME"/>
    <x v="14"/>
    <x v="12"/>
    <n v="69450301"/>
    <n v="1939000"/>
    <n v="12376048"/>
    <n v="55135253"/>
    <n v="43999992"/>
    <n v="1.2530741596498471"/>
    <x v="1"/>
    <n v="24"/>
    <s v="IPS Pto De Vista Molinos"/>
    <s v="Antioquia"/>
    <s v="Cumple"/>
    <n v="112"/>
    <n v="14011080"/>
    <n v="267"/>
    <n v="32797053"/>
    <n v="139"/>
    <n v="12376048"/>
    <n v="10266120"/>
    <m/>
  </r>
  <r>
    <n v="2"/>
    <x v="25"/>
    <x v="2"/>
    <s v="Febrero"/>
    <s v="VIVIVAZA"/>
    <x v="33"/>
    <x v="30"/>
    <n v="84755156"/>
    <n v="3324000"/>
    <n v="15397998"/>
    <n v="66033158"/>
    <n v="43999992"/>
    <n v="1.5007538637734297"/>
    <x v="1"/>
    <n v="24"/>
    <s v="IPS Pto De Vista Unicentro"/>
    <s v="Antioquia"/>
    <s v="Cumple"/>
    <n v="127"/>
    <n v="16221167"/>
    <n v="298"/>
    <n v="43169207"/>
    <n v="172"/>
    <n v="15270398"/>
    <n v="10094384"/>
    <s v="NO"/>
  </r>
  <r>
    <n v="2"/>
    <x v="25"/>
    <x v="2"/>
    <s v="Febrero"/>
    <s v="ERIKSAVA"/>
    <x v="44"/>
    <x v="44"/>
    <n v="51093049"/>
    <n v="1058000"/>
    <n v="10627454"/>
    <n v="39407595"/>
    <n v="27000000"/>
    <n v="1.4595405555555556"/>
    <x v="1"/>
    <n v="24"/>
    <s v="IPS Pto De Vista San Diego"/>
    <s v="Antioquia"/>
    <s v="No Cumple"/>
    <n v="79"/>
    <n v="9423400"/>
    <n v="201"/>
    <n v="23251398"/>
    <n v="111"/>
    <n v="10627454"/>
    <n v="7790797"/>
    <s v="Inicio Vacaciones"/>
  </r>
  <r>
    <n v="2"/>
    <x v="25"/>
    <x v="2"/>
    <s v="Febrero"/>
    <s v="HISNOSPI"/>
    <x v="49"/>
    <x v="49"/>
    <n v="46036944"/>
    <n v="578000"/>
    <n v="4274115"/>
    <n v="41184829"/>
    <n v="36000000"/>
    <n v="1.1440230277777779"/>
    <x v="0"/>
    <n v="24"/>
    <s v="IPS Pto De Vista San Diego"/>
    <s v="Antioquia"/>
    <s v="No Aplica"/>
    <n v="96"/>
    <n v="9489783"/>
    <n v="243"/>
    <n v="27987572"/>
    <n v="48"/>
    <n v="4274115"/>
    <n v="4285474"/>
    <m/>
  </r>
  <r>
    <n v="2"/>
    <x v="25"/>
    <x v="2"/>
    <s v="Febrero"/>
    <s v="MARIMASA"/>
    <x v="23"/>
    <x v="34"/>
    <n v="59723074"/>
    <n v="334800"/>
    <n v="16075787"/>
    <n v="43312487"/>
    <n v="36000000"/>
    <n v="1.203124638888889"/>
    <x v="1"/>
    <n v="24"/>
    <s v="IPS Pto De Vista San Diego"/>
    <s v="Antioquia"/>
    <s v="Siempre Cumple"/>
    <n v="85"/>
    <n v="9193382"/>
    <n v="203"/>
    <n v="28890155"/>
    <n v="169"/>
    <n v="16075787"/>
    <n v="5563750"/>
    <s v="NO"/>
  </r>
  <r>
    <n v="2"/>
    <x v="25"/>
    <x v="2"/>
    <s v="Febrero"/>
    <s v="ANDRSAZA"/>
    <x v="45"/>
    <x v="45"/>
    <n v="26247994"/>
    <n v="2651600"/>
    <n v="2713413"/>
    <n v="20882981"/>
    <n v="7000002"/>
    <n v="2.9832821476336719"/>
    <x v="1"/>
    <n v="24"/>
    <s v="IPS Pto De Vista Santa Bárbara"/>
    <s v="Centro"/>
    <s v="Cumple"/>
    <n v="45"/>
    <n v="4202264"/>
    <n v="130"/>
    <n v="14727325"/>
    <n v="38"/>
    <n v="2713413"/>
    <n v="4604992"/>
    <s v="Inicio Vacaciones"/>
  </r>
  <r>
    <n v="2"/>
    <x v="25"/>
    <x v="2"/>
    <s v="Febrero"/>
    <s v="CAMIPUHE"/>
    <x v="53"/>
    <x v="53"/>
    <n v="39954933"/>
    <n v="2503200"/>
    <n v="6816649"/>
    <n v="30635084"/>
    <n v="28000008"/>
    <n v="1.0941098302543342"/>
    <x v="1"/>
    <n v="24"/>
    <s v="IPS Pto De Vista SSura Clle100"/>
    <s v="Centro"/>
    <s v="Cumple"/>
    <n v="57"/>
    <n v="5467479"/>
    <n v="180"/>
    <n v="22302072"/>
    <n v="85"/>
    <n v="6816649"/>
    <n v="5368733"/>
    <s v="NO"/>
  </r>
  <r>
    <n v="2"/>
    <x v="25"/>
    <x v="2"/>
    <s v="Febrero"/>
    <s v="ISABMOGO"/>
    <x v="17"/>
    <x v="15"/>
    <n v="54726755"/>
    <n v="892800"/>
    <n v="7827799"/>
    <n v="46006156"/>
    <n v="24500007"/>
    <n v="1.8778017491995003"/>
    <x v="1"/>
    <n v="24"/>
    <s v="IPS Pto De Vista Santa Bárbara"/>
    <s v="Centro"/>
    <s v="No Cumple"/>
    <n v="87"/>
    <n v="9644126"/>
    <n v="254"/>
    <n v="31701964"/>
    <n v="104"/>
    <n v="7827799"/>
    <n v="5552866"/>
    <s v="Inicio Vacaciones"/>
  </r>
  <r>
    <n v="2"/>
    <x v="25"/>
    <x v="2"/>
    <s v="Febrero"/>
    <s v="LUZNHEGO"/>
    <x v="21"/>
    <x v="19"/>
    <n v="36541203"/>
    <n v="0"/>
    <n v="4349978"/>
    <n v="32191225"/>
    <n v="30000000"/>
    <n v="1.0730408333333334"/>
    <x v="1"/>
    <n v="24"/>
    <s v="IPS Punto de Vista Mayorca"/>
    <s v="Antioquia"/>
    <s v="Siempre Cumple"/>
    <n v="53"/>
    <n v="8926848"/>
    <n v="178"/>
    <n v="20561262"/>
    <n v="58"/>
    <n v="4349978"/>
    <n v="2703115"/>
    <s v="NO"/>
  </r>
  <r>
    <n v="2"/>
    <x v="25"/>
    <x v="2"/>
    <s v="Febrero"/>
    <s v="CARORICA"/>
    <x v="59"/>
    <x v="59"/>
    <n v="8996578"/>
    <n v="0"/>
    <n v="2895420"/>
    <n v="6101158"/>
    <n v="6250000"/>
    <n v="0.97618528000000004"/>
    <x v="0"/>
    <n v="24"/>
    <s v=""/>
    <s v=""/>
    <s v="No Aplica"/>
    <n v="12"/>
    <n v="1052667"/>
    <n v="52"/>
    <n v="4300485"/>
    <n v="31"/>
    <n v="2895420"/>
    <n v="748006"/>
    <m/>
  </r>
  <r>
    <n v="2"/>
    <x v="25"/>
    <x v="2"/>
    <s v="Febrero"/>
    <s v="MONIARGI"/>
    <x v="67"/>
    <x v="67"/>
    <n v="11298038"/>
    <n v="0"/>
    <n v="5011452"/>
    <n v="6286586"/>
    <n v="23750000"/>
    <n v="0.26469835789473684"/>
    <x v="0"/>
    <n v="24"/>
    <s v="Punto de Vista Cali Norte"/>
    <s v="Occidente"/>
    <s v="No Aplica"/>
    <n v="10"/>
    <n v="1082484"/>
    <n v="60"/>
    <n v="4432156"/>
    <n v="63"/>
    <n v="5011452"/>
    <n v="771946"/>
    <m/>
  </r>
  <r>
    <n v="2"/>
    <x v="25"/>
    <x v="2"/>
    <s v="Febrero"/>
    <s v="PAOLPACA"/>
    <x v="47"/>
    <x v="47"/>
    <n v="40153004"/>
    <n v="0"/>
    <n v="7839783"/>
    <n v="32313221"/>
    <n v="30000000"/>
    <n v="1.0771073666666666"/>
    <x v="1"/>
    <n v="24"/>
    <s v="Punto de Vista Tequendama"/>
    <s v="Occidente"/>
    <s v="Siempre Cumple"/>
    <n v="54"/>
    <n v="6257456"/>
    <n v="250"/>
    <n v="22381151"/>
    <n v="91"/>
    <n v="7839783"/>
    <n v="3674614"/>
    <s v="NO"/>
  </r>
  <r>
    <n v="2"/>
    <x v="25"/>
    <x v="2"/>
    <s v="Febrero"/>
    <s v="TATIRITR"/>
    <x v="60"/>
    <x v="60"/>
    <n v="39741810"/>
    <n v="198000"/>
    <n v="7381930"/>
    <n v="32161880"/>
    <n v="30000000"/>
    <n v="1.0720626666666666"/>
    <x v="1"/>
    <n v="24"/>
    <s v="Punto de Vista Cali Norte"/>
    <s v="Occidente"/>
    <s v="No Cumple"/>
    <n v="55"/>
    <n v="7674161"/>
    <n v="212"/>
    <n v="20789303"/>
    <n v="87"/>
    <n v="7381930"/>
    <n v="3896416"/>
    <s v="NO"/>
  </r>
  <r>
    <n v="2"/>
    <x v="25"/>
    <x v="2"/>
    <s v="Febrero"/>
    <s v="ROCIFASA"/>
    <x v="31"/>
    <x v="28"/>
    <n v="46509056"/>
    <n v="1406880"/>
    <n v="6098037"/>
    <n v="39004139"/>
    <n v="34999992"/>
    <n v="1.1144042261495375"/>
    <x v="1"/>
    <n v="24"/>
    <s v="Optica Salud Sura Chipichape"/>
    <s v="Occidente"/>
    <s v="Cumple"/>
    <n v="65"/>
    <n v="10666791"/>
    <n v="169"/>
    <n v="22777278"/>
    <n v="64"/>
    <n v="6098037"/>
    <n v="6966950"/>
    <s v="NO"/>
  </r>
  <r>
    <n v="2"/>
    <x v="25"/>
    <x v="2"/>
    <s v="Febrero"/>
    <s v="ANGEROPI"/>
    <x v="37"/>
    <x v="7"/>
    <n v="360123"/>
    <n v="0"/>
    <n v="0"/>
    <n v="360123"/>
    <m/>
    <m/>
    <x v="0"/>
    <n v="24"/>
    <s v=""/>
    <s v=""/>
    <s v="No Aplica"/>
    <n v="1"/>
    <n v="53418"/>
    <n v="4"/>
    <n v="213705"/>
    <n v="0"/>
    <n v="0"/>
    <n v="93000"/>
    <m/>
  </r>
  <r>
    <n v="2"/>
    <x v="25"/>
    <x v="2"/>
    <s v="Febrero"/>
    <s v="ANAUROCA"/>
    <x v="37"/>
    <x v="7"/>
    <n v="394655"/>
    <n v="0"/>
    <n v="394655"/>
    <n v="0"/>
    <m/>
    <m/>
    <x v="0"/>
    <n v="24"/>
    <s v=""/>
    <s v=""/>
    <s v="No Aplica"/>
    <n v="0"/>
    <n v="0"/>
    <n v="0"/>
    <n v="0"/>
    <n v="0"/>
    <n v="0"/>
    <n v="394655"/>
    <m/>
  </r>
  <r>
    <n v="2"/>
    <x v="25"/>
    <x v="2"/>
    <s v="Febrero"/>
    <s v="CAROVABE"/>
    <x v="37"/>
    <x v="7"/>
    <n v="540597"/>
    <n v="0"/>
    <n v="0"/>
    <n v="540597"/>
    <m/>
    <m/>
    <x v="0"/>
    <n v="24"/>
    <s v=""/>
    <s v=""/>
    <s v="No Aplica"/>
    <n v="2"/>
    <n v="156737"/>
    <n v="4"/>
    <n v="383860"/>
    <n v="0"/>
    <n v="0"/>
    <n v="0"/>
    <m/>
  </r>
  <r>
    <n v="2"/>
    <x v="25"/>
    <x v="2"/>
    <s v="Febrero"/>
    <s v="CLAUREME"/>
    <x v="37"/>
    <x v="7"/>
    <n v="185200"/>
    <n v="0"/>
    <n v="185200"/>
    <n v="0"/>
    <m/>
    <m/>
    <x v="0"/>
    <n v="24"/>
    <s v=""/>
    <s v=""/>
    <s v="No Aplica"/>
    <n v="0"/>
    <n v="0"/>
    <n v="0"/>
    <n v="0"/>
    <n v="0"/>
    <n v="0"/>
    <n v="185200"/>
    <m/>
  </r>
  <r>
    <n v="2"/>
    <x v="25"/>
    <x v="2"/>
    <s v="Febrero"/>
    <s v="DARWHERI"/>
    <x v="37"/>
    <x v="7"/>
    <n v="9949540"/>
    <n v="0"/>
    <n v="3441869"/>
    <n v="6507671"/>
    <m/>
    <m/>
    <x v="0"/>
    <n v="24"/>
    <s v=""/>
    <s v=""/>
    <s v="No Aplica"/>
    <n v="8"/>
    <n v="1597355"/>
    <n v="24"/>
    <n v="4629316"/>
    <n v="44"/>
    <n v="3441869"/>
    <n v="281000"/>
    <m/>
  </r>
  <r>
    <n v="2"/>
    <x v="25"/>
    <x v="2"/>
    <s v="Febrero"/>
    <s v="DIANPOPA"/>
    <x v="37"/>
    <x v="7"/>
    <n v="5374750"/>
    <n v="0"/>
    <n v="0"/>
    <n v="5374750"/>
    <m/>
    <m/>
    <x v="0"/>
    <n v="24"/>
    <s v=""/>
    <s v=""/>
    <s v="No Aplica"/>
    <n v="3"/>
    <n v="164353"/>
    <n v="10"/>
    <n v="519665"/>
    <n v="0"/>
    <n v="0"/>
    <n v="4690732"/>
    <m/>
  </r>
  <r>
    <n v="2"/>
    <x v="25"/>
    <x v="2"/>
    <s v="Febrero"/>
    <s v="ELIZGORE"/>
    <x v="37"/>
    <x v="7"/>
    <n v="400180"/>
    <n v="0"/>
    <n v="400180"/>
    <n v="0"/>
    <m/>
    <m/>
    <x v="0"/>
    <n v="24"/>
    <s v=""/>
    <s v=""/>
    <s v="No Aplica"/>
    <n v="0"/>
    <n v="0"/>
    <n v="0"/>
    <n v="0"/>
    <n v="5"/>
    <n v="400180"/>
    <n v="0"/>
    <m/>
  </r>
  <r>
    <n v="2"/>
    <x v="25"/>
    <x v="2"/>
    <s v="Febrero"/>
    <s v="ESTESESE"/>
    <x v="37"/>
    <x v="7"/>
    <n v="69764"/>
    <n v="0"/>
    <n v="69764"/>
    <n v="0"/>
    <m/>
    <m/>
    <x v="0"/>
    <n v="24"/>
    <s v=""/>
    <s v=""/>
    <s v="No Aplica"/>
    <n v="0"/>
    <n v="0"/>
    <n v="0"/>
    <n v="0"/>
    <n v="1"/>
    <n v="69764"/>
    <n v="0"/>
    <m/>
  </r>
  <r>
    <n v="2"/>
    <x v="25"/>
    <x v="2"/>
    <s v="Febrero"/>
    <s v="NATVAMO"/>
    <x v="37"/>
    <x v="7"/>
    <n v="326501"/>
    <n v="0"/>
    <n v="0"/>
    <n v="326501"/>
    <m/>
    <m/>
    <x v="0"/>
    <n v="24"/>
    <s v=""/>
    <s v=""/>
    <s v="No Aplica"/>
    <n v="1"/>
    <n v="109786"/>
    <n v="2"/>
    <n v="216715"/>
    <n v="0"/>
    <n v="0"/>
    <n v="0"/>
    <m/>
  </r>
  <r>
    <n v="2"/>
    <x v="25"/>
    <x v="2"/>
    <s v="Febrero"/>
    <s v="PAOLPCA"/>
    <x v="37"/>
    <x v="7"/>
    <n v="43870"/>
    <n v="0"/>
    <n v="43870"/>
    <n v="0"/>
    <m/>
    <m/>
    <x v="0"/>
    <n v="24"/>
    <s v=""/>
    <s v=""/>
    <s v="No Aplica"/>
    <n v="0"/>
    <n v="0"/>
    <n v="0"/>
    <n v="0"/>
    <n v="1"/>
    <n v="43870"/>
    <n v="0"/>
    <m/>
  </r>
  <r>
    <n v="2"/>
    <x v="25"/>
    <x v="2"/>
    <s v="Febrero"/>
    <s v="RUBYHIGA"/>
    <x v="37"/>
    <x v="7"/>
    <n v="521646"/>
    <n v="0"/>
    <n v="0"/>
    <n v="521646"/>
    <m/>
    <m/>
    <x v="0"/>
    <n v="24"/>
    <s v=""/>
    <s v=""/>
    <s v="No Aplica"/>
    <n v="1"/>
    <n v="115116"/>
    <n v="2"/>
    <n v="186530"/>
    <n v="0"/>
    <n v="0"/>
    <n v="220000"/>
    <m/>
  </r>
  <r>
    <n v="2"/>
    <x v="25"/>
    <x v="2"/>
    <s v="Febrero"/>
    <s v="YANEARNA"/>
    <x v="37"/>
    <x v="7"/>
    <n v="416996"/>
    <n v="0"/>
    <n v="0"/>
    <n v="416996"/>
    <m/>
    <m/>
    <x v="0"/>
    <n v="24"/>
    <s v=""/>
    <s v=""/>
    <s v="No Aplica"/>
    <n v="2"/>
    <n v="120906"/>
    <n v="4"/>
    <n v="296090"/>
    <n v="0"/>
    <n v="0"/>
    <n v="0"/>
    <m/>
  </r>
  <r>
    <n v="2"/>
    <x v="25"/>
    <x v="2"/>
    <s v="Febrero"/>
    <s v="4438276293"/>
    <x v="37"/>
    <x v="7"/>
    <n v="134285"/>
    <n v="0"/>
    <n v="134285"/>
    <n v="0"/>
    <m/>
    <m/>
    <x v="0"/>
    <n v="24"/>
    <s v=""/>
    <s v=""/>
    <s v="No Aplica"/>
    <n v="0"/>
    <n v="0"/>
    <n v="0"/>
    <n v="0"/>
    <n v="1"/>
    <n v="134285"/>
    <n v="0"/>
    <m/>
  </r>
  <r>
    <n v="2"/>
    <x v="25"/>
    <x v="2"/>
    <s v="Febrero"/>
    <s v="4438231734"/>
    <x v="37"/>
    <x v="7"/>
    <n v="43870"/>
    <n v="0"/>
    <n v="43870"/>
    <n v="0"/>
    <m/>
    <m/>
    <x v="0"/>
    <n v="24"/>
    <s v=""/>
    <s v=""/>
    <s v="No Aplica"/>
    <n v="0"/>
    <n v="0"/>
    <n v="0"/>
    <n v="0"/>
    <n v="1"/>
    <n v="43870"/>
    <n v="0"/>
    <m/>
  </r>
  <r>
    <n v="2"/>
    <x v="25"/>
    <x v="2"/>
    <s v="Febrero"/>
    <s v="4438680224"/>
    <x v="37"/>
    <x v="7"/>
    <n v="134285"/>
    <n v="0"/>
    <n v="134285"/>
    <n v="0"/>
    <m/>
    <m/>
    <x v="0"/>
    <n v="24"/>
    <s v=""/>
    <s v=""/>
    <s v="No Aplica"/>
    <n v="0"/>
    <n v="0"/>
    <n v="0"/>
    <n v="0"/>
    <n v="1"/>
    <n v="134285"/>
    <n v="0"/>
    <m/>
  </r>
  <r>
    <n v="2"/>
    <x v="25"/>
    <x v="2"/>
    <s v="Febrero"/>
    <s v="4438700803"/>
    <x v="37"/>
    <x v="7"/>
    <n v="134285"/>
    <n v="0"/>
    <n v="134285"/>
    <n v="0"/>
    <m/>
    <m/>
    <x v="0"/>
    <n v="24"/>
    <s v=""/>
    <s v=""/>
    <s v="No Aplica"/>
    <n v="0"/>
    <n v="0"/>
    <n v="0"/>
    <n v="0"/>
    <n v="1"/>
    <n v="134285"/>
    <n v="0"/>
    <m/>
  </r>
  <r>
    <n v="2"/>
    <x v="25"/>
    <x v="2"/>
    <s v="Febrero"/>
    <s v="4438736383"/>
    <x v="37"/>
    <x v="7"/>
    <n v="134285"/>
    <n v="0"/>
    <n v="134285"/>
    <n v="0"/>
    <m/>
    <m/>
    <x v="0"/>
    <n v="24"/>
    <s v=""/>
    <s v=""/>
    <s v="No Aplica"/>
    <n v="0"/>
    <n v="0"/>
    <n v="0"/>
    <n v="0"/>
    <n v="1"/>
    <n v="134285"/>
    <n v="0"/>
    <m/>
  </r>
  <r>
    <n v="2"/>
    <x v="25"/>
    <x v="2"/>
    <s v="Febrero"/>
    <s v="IPSA"/>
    <x v="37"/>
    <x v="7"/>
    <n v="43870"/>
    <n v="0"/>
    <n v="43870"/>
    <n v="0"/>
    <m/>
    <m/>
    <x v="0"/>
    <n v="24"/>
    <s v=""/>
    <s v=""/>
    <s v="No Aplica"/>
    <n v="0"/>
    <n v="0"/>
    <n v="0"/>
    <n v="0"/>
    <n v="1"/>
    <n v="43870"/>
    <n v="0"/>
    <m/>
  </r>
  <r>
    <n v="2"/>
    <x v="25"/>
    <x v="2"/>
    <s v="Febrero"/>
    <s v="(en blanco)"/>
    <x v="37"/>
    <x v="7"/>
    <n v="-43870"/>
    <n v="0"/>
    <n v="0"/>
    <n v="-43870"/>
    <m/>
    <m/>
    <x v="0"/>
    <n v="24"/>
    <s v=""/>
    <s v=""/>
    <s v="No Aplica"/>
    <n v="1"/>
    <n v="78787"/>
    <n v="0"/>
    <n v="0"/>
    <n v="0"/>
    <n v="0"/>
    <n v="-122657"/>
    <m/>
  </r>
  <r>
    <n v="3"/>
    <x v="26"/>
    <x v="2"/>
    <s v="Marzo"/>
    <s v="DERLARMO"/>
    <x v="11"/>
    <x v="10"/>
    <n v="37762195"/>
    <n v="880000"/>
    <n v="7683777"/>
    <n v="29198418"/>
    <n v="25000008"/>
    <n v="1.1679363462603691"/>
    <x v="1"/>
    <n v="24"/>
    <s v="IPS Pto De Vista Olaya"/>
    <s v="Centro"/>
    <s v="Cumple"/>
    <n v="96"/>
    <n v="6014692"/>
    <n v="272"/>
    <n v="22018535"/>
    <n v="113"/>
    <n v="7683777"/>
    <n v="2045191"/>
    <s v="NO"/>
  </r>
  <r>
    <n v="3"/>
    <x v="26"/>
    <x v="2"/>
    <s v="Marzo"/>
    <s v="RAULMOGA"/>
    <x v="30"/>
    <x v="27"/>
    <n v="37415861"/>
    <n v="744000"/>
    <n v="7760068"/>
    <n v="28911793"/>
    <n v="25000008"/>
    <n v="1.1564713499291681"/>
    <x v="0"/>
    <n v="24"/>
    <s v="IPS Pto De Vista Olaya"/>
    <s v="Centro"/>
    <s v="No Aplica"/>
    <n v="86"/>
    <n v="6429651"/>
    <n v="212"/>
    <n v="20329907"/>
    <n v="111"/>
    <n v="7760068"/>
    <n v="2896235"/>
    <m/>
  </r>
  <r>
    <n v="3"/>
    <x v="26"/>
    <x v="2"/>
    <s v="Marzo"/>
    <s v="PAULGOBA"/>
    <x v="35"/>
    <x v="36"/>
    <n v="32146846"/>
    <n v="597400"/>
    <n v="4807189"/>
    <n v="26742257"/>
    <n v="43666660"/>
    <n v="0.61241819273560194"/>
    <x v="1"/>
    <n v="24"/>
    <s v="Ferias Empresariales Antioquia"/>
    <s v="Antioquia"/>
    <s v="Fluctúa"/>
    <n v="31"/>
    <n v="3315045"/>
    <n v="66"/>
    <n v="8055222"/>
    <n v="71"/>
    <n v="4807189"/>
    <n v="15969390"/>
    <s v="NO"/>
  </r>
  <r>
    <n v="3"/>
    <x v="26"/>
    <x v="2"/>
    <s v="Marzo"/>
    <s v="DIANPAAL"/>
    <x v="12"/>
    <x v="11"/>
    <n v="24119799"/>
    <n v="2063400"/>
    <n v="4477522"/>
    <n v="17578877"/>
    <n v="33541659"/>
    <n v="0.52409086264934002"/>
    <x v="1"/>
    <n v="24"/>
    <s v="IPS Pto De Vista Rionegro"/>
    <s v="Antioquia"/>
    <s v="Cumple"/>
    <n v="40"/>
    <n v="4699998"/>
    <n v="90"/>
    <n v="11425056"/>
    <n v="52"/>
    <n v="4477522"/>
    <n v="3517223"/>
    <s v="Regreso Vacaciones"/>
  </r>
  <r>
    <n v="3"/>
    <x v="26"/>
    <x v="2"/>
    <s v="Marzo"/>
    <s v="JAQUVEGU"/>
    <x v="18"/>
    <x v="16"/>
    <n v="46692080"/>
    <n v="2180400"/>
    <n v="9246312"/>
    <n v="35265368"/>
    <n v="34999992"/>
    <n v="1.0075821731616397"/>
    <x v="0"/>
    <n v="24"/>
    <s v="IPS Pto De Vista Rionegro"/>
    <s v="Antioquia"/>
    <s v="No Aplica"/>
    <n v="88"/>
    <n v="8908018"/>
    <n v="213"/>
    <n v="23227544"/>
    <n v="103"/>
    <n v="9246312"/>
    <n v="5310206"/>
    <m/>
  </r>
  <r>
    <n v="3"/>
    <x v="26"/>
    <x v="2"/>
    <s v="Marzo"/>
    <s v="MARIOCOC"/>
    <x v="24"/>
    <x v="21"/>
    <n v="58167235"/>
    <n v="1944400"/>
    <n v="10412305"/>
    <n v="45810530"/>
    <n v="34999992"/>
    <n v="1.3088725848851623"/>
    <x v="1"/>
    <n v="24"/>
    <s v="IPS Pto De Vista Rionegro"/>
    <s v="Antioquia"/>
    <s v="Cumple"/>
    <n v="85"/>
    <n v="10808306"/>
    <n v="228"/>
    <n v="31240834"/>
    <n v="123"/>
    <n v="10412305"/>
    <n v="5705790"/>
    <s v="NO"/>
  </r>
  <r>
    <n v="3"/>
    <x v="26"/>
    <x v="2"/>
    <s v="Marzo"/>
    <s v="ALEXLOGR"/>
    <x v="2"/>
    <x v="2"/>
    <n v="52100929"/>
    <n v="1666200"/>
    <n v="9525996"/>
    <n v="40908733"/>
    <n v="34999992"/>
    <n v="1.1688212100162765"/>
    <x v="1"/>
    <n v="24"/>
    <s v="IPS Punto de Vista Bello"/>
    <s v="Antioquia"/>
    <s v="Fluctúa"/>
    <n v="86"/>
    <n v="8152759"/>
    <n v="208"/>
    <n v="27650768"/>
    <n v="115"/>
    <n v="9525996"/>
    <n v="6771406"/>
    <s v="NO"/>
  </r>
  <r>
    <n v="3"/>
    <x v="26"/>
    <x v="2"/>
    <s v="Marzo"/>
    <s v="YULIRIRE"/>
    <x v="57"/>
    <x v="57"/>
    <n v="48559797"/>
    <n v="1814000"/>
    <n v="10057037"/>
    <n v="36688760"/>
    <n v="34999992"/>
    <n v="1.0482505253144059"/>
    <x v="1"/>
    <n v="24"/>
    <s v="IPS Punto de Vista Bello"/>
    <s v="Antioquia"/>
    <s v="Fluctúa"/>
    <n v="76"/>
    <n v="7372554"/>
    <n v="212"/>
    <n v="24952512"/>
    <n v="110"/>
    <n v="10057037"/>
    <n v="6177694"/>
    <s v="NO"/>
  </r>
  <r>
    <n v="3"/>
    <x v="26"/>
    <x v="2"/>
    <s v="Marzo"/>
    <s v="ADRIMOLU"/>
    <x v="1"/>
    <x v="1"/>
    <n v="60699745"/>
    <n v="1334000"/>
    <n v="14141762"/>
    <n v="45223983"/>
    <n v="43999992"/>
    <n v="1.0278179823305422"/>
    <x v="1"/>
    <n v="24"/>
    <s v="IPS Pto De Vista Molinos"/>
    <s v="Antioquia"/>
    <s v="Cumple"/>
    <n v="108"/>
    <n v="11395637"/>
    <n v="265"/>
    <n v="28367081"/>
    <n v="161"/>
    <n v="14141762"/>
    <n v="6795265"/>
    <s v="NO"/>
  </r>
  <r>
    <n v="3"/>
    <x v="26"/>
    <x v="2"/>
    <s v="Marzo"/>
    <s v="ELIZVESU"/>
    <x v="15"/>
    <x v="13"/>
    <n v="69620812"/>
    <n v="632000"/>
    <n v="14432588"/>
    <n v="54556224"/>
    <n v="43999992"/>
    <n v="1.2399144072571651"/>
    <x v="1"/>
    <n v="24"/>
    <s v="IPS Pto De Vista Unicentro"/>
    <s v="Antioquia"/>
    <s v="Fluctúa"/>
    <n v="118"/>
    <n v="13284165"/>
    <n v="298"/>
    <n v="35119421"/>
    <n v="156"/>
    <n v="14432588"/>
    <n v="6784638"/>
    <s v="NO"/>
  </r>
  <r>
    <n v="3"/>
    <x v="26"/>
    <x v="2"/>
    <s v="Marzo"/>
    <s v="LILACARA"/>
    <x v="19"/>
    <x v="17"/>
    <n v="60854521"/>
    <n v="2130000"/>
    <n v="12774837"/>
    <n v="45949684"/>
    <n v="43999992"/>
    <n v="1.0443111898747619"/>
    <x v="1"/>
    <n v="24"/>
    <s v="IPS Pto De Vista Molinos"/>
    <s v="Antioquia"/>
    <s v="Cumple"/>
    <n v="83"/>
    <n v="9627282"/>
    <n v="246"/>
    <n v="30614892"/>
    <n v="134"/>
    <n v="12774837"/>
    <n v="7837510"/>
    <s v="NO"/>
  </r>
  <r>
    <n v="3"/>
    <x v="26"/>
    <x v="2"/>
    <s v="Marzo"/>
    <s v="NATAVAMO"/>
    <x v="63"/>
    <x v="63"/>
    <n v="46687799"/>
    <n v="440000"/>
    <n v="10865850"/>
    <n v="35381949"/>
    <n v="42541663"/>
    <n v="0.83170112555308429"/>
    <x v="1"/>
    <n v="24"/>
    <s v="IPS Pto De Vista Molinos"/>
    <s v="Antioquia"/>
    <s v="Siempre Cumple"/>
    <n v="79"/>
    <n v="7876965"/>
    <n v="216"/>
    <n v="24368198"/>
    <n v="114"/>
    <n v="10865850"/>
    <n v="3576786"/>
    <s v="NO"/>
  </r>
  <r>
    <n v="3"/>
    <x v="26"/>
    <x v="2"/>
    <s v="Marzo"/>
    <s v="NOREARMA"/>
    <x v="66"/>
    <x v="66"/>
    <n v="55699502"/>
    <n v="0"/>
    <n v="9075740"/>
    <n v="46623762"/>
    <n v="39999996"/>
    <n v="1.1655941665594167"/>
    <x v="1"/>
    <n v="24"/>
    <s v="IPS Pto De Vista San Diego"/>
    <s v="Antioquia"/>
    <s v="Fluctúa"/>
    <n v="88"/>
    <n v="11481196"/>
    <n v="192"/>
    <n v="30513272"/>
    <n v="105"/>
    <n v="9075740"/>
    <n v="4629294"/>
    <s v="NO"/>
  </r>
  <r>
    <n v="3"/>
    <x v="26"/>
    <x v="2"/>
    <s v="Marzo"/>
    <s v="SUANHECO"/>
    <x v="58"/>
    <x v="58"/>
    <n v="68879988"/>
    <n v="1259000"/>
    <n v="12791422"/>
    <n v="54829566"/>
    <n v="43999992"/>
    <n v="1.2461267265684957"/>
    <x v="1"/>
    <n v="24"/>
    <s v="IPS Pto De Vista Molinos"/>
    <s v="Antioquia"/>
    <s v="Fluctúa"/>
    <n v="117"/>
    <n v="14538557"/>
    <n v="294"/>
    <n v="32838724"/>
    <n v="152"/>
    <n v="12791422"/>
    <n v="8711285"/>
    <s v="NO"/>
  </r>
  <r>
    <n v="3"/>
    <x v="26"/>
    <x v="2"/>
    <s v="Marzo"/>
    <s v="ZULYARGA"/>
    <x v="34"/>
    <x v="31"/>
    <n v="53785068"/>
    <n v="2464000"/>
    <n v="10860500"/>
    <n v="40460568"/>
    <n v="40333326"/>
    <n v="1.0031547609041713"/>
    <x v="1"/>
    <n v="24"/>
    <s v="IPS Pto De Vista Molinos"/>
    <s v="Antioquia"/>
    <n v="0"/>
    <n v="81"/>
    <n v="8790522"/>
    <n v="230"/>
    <n v="28192946"/>
    <n v="118"/>
    <n v="10860500"/>
    <n v="5941100"/>
    <s v="NO"/>
  </r>
  <r>
    <n v="3"/>
    <x v="26"/>
    <x v="2"/>
    <s v="Marzo"/>
    <s v="ANAKBEZA"/>
    <x v="65"/>
    <x v="65"/>
    <n v="35333089"/>
    <n v="1917200"/>
    <n v="7986801"/>
    <n v="25429088"/>
    <n v="42000000"/>
    <n v="0.60545447619047621"/>
    <x v="0"/>
    <n v="24"/>
    <s v=""/>
    <s v=""/>
    <s v="No Aplica"/>
    <n v="64"/>
    <n v="6072527"/>
    <n v="140"/>
    <n v="16212801"/>
    <n v="84"/>
    <n v="7986801"/>
    <n v="5060960"/>
    <m/>
  </r>
  <r>
    <n v="3"/>
    <x v="26"/>
    <x v="2"/>
    <s v="Marzo"/>
    <s v="BIBIBECA"/>
    <x v="6"/>
    <x v="6"/>
    <n v="11258231"/>
    <n v="426000"/>
    <n v="2801795"/>
    <n v="8030436"/>
    <n v="10500000"/>
    <n v="0.76480342857142858"/>
    <x v="1"/>
    <n v="24"/>
    <s v="IPS Pto De Vista Centro"/>
    <s v="Antioquia"/>
    <s v="Fluctúa"/>
    <n v="25"/>
    <n v="1717535"/>
    <n v="54"/>
    <n v="4659580"/>
    <n v="31"/>
    <n v="2801795"/>
    <n v="2079321"/>
    <s v="Inicio Vacaciones"/>
  </r>
  <r>
    <n v="3"/>
    <x v="26"/>
    <x v="2"/>
    <s v="Marzo"/>
    <s v="CINDGACU"/>
    <x v="55"/>
    <x v="55"/>
    <n v="35262854"/>
    <n v="852000"/>
    <n v="12414033"/>
    <n v="21996821"/>
    <n v="42000000"/>
    <n v="0.52373383333333334"/>
    <x v="1"/>
    <n v="24"/>
    <s v="IPS Pto De Vista San Diego"/>
    <s v="Antioquia"/>
    <s v="Siempre Cumple"/>
    <n v="60"/>
    <n v="4954336"/>
    <n v="150"/>
    <n v="15453263"/>
    <n v="142"/>
    <n v="12414033"/>
    <n v="2441222"/>
    <s v="NO"/>
  </r>
  <r>
    <n v="3"/>
    <x v="26"/>
    <x v="2"/>
    <s v="Marzo"/>
    <s v="CLAUBLAR"/>
    <x v="9"/>
    <x v="8"/>
    <n v="66132914"/>
    <n v="1068000"/>
    <n v="15393341"/>
    <n v="49671573"/>
    <n v="42000000"/>
    <n v="1.1826565"/>
    <x v="1"/>
    <n v="24"/>
    <s v="IPS Pto De Vista Centro"/>
    <s v="Antioquia"/>
    <s v="Fluctúa"/>
    <n v="112"/>
    <n v="12122331"/>
    <n v="266"/>
    <n v="32581015"/>
    <n v="156"/>
    <n v="15393341"/>
    <n v="6036227"/>
    <s v="NO"/>
  </r>
  <r>
    <n v="3"/>
    <x v="26"/>
    <x v="2"/>
    <s v="Marzo"/>
    <s v="HERIRORO"/>
    <x v="52"/>
    <x v="52"/>
    <n v="55340948"/>
    <n v="1283000"/>
    <n v="10517458"/>
    <n v="43540490"/>
    <n v="42000000"/>
    <n v="1.0366783333333334"/>
    <x v="1"/>
    <n v="24"/>
    <s v="IPS Pto De Vista Centro"/>
    <s v="Antioquia"/>
    <s v="Siempre Cumple"/>
    <n v="120"/>
    <n v="10529119"/>
    <n v="264"/>
    <n v="29388753"/>
    <n v="117"/>
    <n v="10517458"/>
    <n v="4905618"/>
    <s v="NO"/>
  </r>
  <r>
    <n v="3"/>
    <x v="26"/>
    <x v="2"/>
    <s v="Marzo"/>
    <s v="MARGGAPA"/>
    <x v="22"/>
    <x v="20"/>
    <n v="53969563"/>
    <n v="1554000"/>
    <n v="12605670"/>
    <n v="39809893"/>
    <n v="26250000"/>
    <n v="1.5165673523809524"/>
    <x v="1"/>
    <n v="24"/>
    <s v="IPS Pto De Vista Centro"/>
    <s v="Antioquia"/>
    <s v="Fluctúa"/>
    <n v="93"/>
    <n v="9864935"/>
    <n v="216"/>
    <n v="24109847"/>
    <n v="129"/>
    <n v="12605670"/>
    <n v="7389111"/>
    <s v="Inicio Vacaciones"/>
  </r>
  <r>
    <n v="3"/>
    <x v="26"/>
    <x v="2"/>
    <s v="Marzo"/>
    <s v="YENISIGI"/>
    <x v="64"/>
    <x v="64"/>
    <n v="52844737"/>
    <n v="225000"/>
    <n v="9184559"/>
    <n v="43435178"/>
    <n v="42000000"/>
    <n v="1.0341709047619048"/>
    <x v="1"/>
    <n v="24"/>
    <s v="IPS Pto De Vista Centro"/>
    <s v="Antioquia"/>
    <s v="Fluctúa"/>
    <n v="89"/>
    <n v="10016851"/>
    <n v="250"/>
    <n v="29259956"/>
    <n v="106"/>
    <n v="9184559"/>
    <n v="4383371"/>
    <s v="NO"/>
  </r>
  <r>
    <n v="3"/>
    <x v="26"/>
    <x v="2"/>
    <s v="Marzo"/>
    <s v="ANGEGAAR"/>
    <x v="4"/>
    <x v="4"/>
    <n v="15705455"/>
    <n v="0"/>
    <n v="1985599"/>
    <n v="13719856"/>
    <n v="8333335"/>
    <n v="1.6463823907235218"/>
    <x v="1"/>
    <n v="24"/>
    <s v="IPS Pto De Vista San Diego"/>
    <s v="Antioquia"/>
    <s v="Fluctúa"/>
    <n v="14"/>
    <n v="1796736"/>
    <n v="54"/>
    <n v="8845522"/>
    <n v="22"/>
    <n v="1985599"/>
    <n v="3077598"/>
    <s v="NO"/>
  </r>
  <r>
    <n v="3"/>
    <x v="26"/>
    <x v="2"/>
    <s v="Marzo"/>
    <s v="NATAPIDU"/>
    <x v="28"/>
    <x v="25"/>
    <n v="64249265"/>
    <n v="479600"/>
    <n v="6184065"/>
    <n v="57585600"/>
    <n v="38333341"/>
    <n v="1.5022327430317122"/>
    <x v="1"/>
    <n v="24"/>
    <s v="IPS Pto De Vista Industriales"/>
    <s v="Antioquia"/>
    <s v="Cumple"/>
    <n v="49"/>
    <n v="10686331"/>
    <n v="186"/>
    <n v="41217472"/>
    <n v="70"/>
    <n v="6184065"/>
    <n v="6161397"/>
    <s v="NO"/>
  </r>
  <r>
    <n v="3"/>
    <x v="26"/>
    <x v="2"/>
    <s v="Marzo"/>
    <s v="ALVAOSOS"/>
    <x v="36"/>
    <x v="37"/>
    <n v="39831194"/>
    <n v="1198040"/>
    <n v="9454948"/>
    <n v="29178206"/>
    <n v="43833326"/>
    <n v="0.66566260566218494"/>
    <x v="1"/>
    <n v="24"/>
    <s v="IPS Pto De Vista Punto Clave"/>
    <s v="Antioquia"/>
    <s v="Siempre Cumple"/>
    <n v="50"/>
    <n v="6698813"/>
    <n v="128"/>
    <n v="17171059"/>
    <n v="99"/>
    <n v="9454948"/>
    <n v="6506374"/>
    <s v="NO"/>
  </r>
  <r>
    <n v="3"/>
    <x v="26"/>
    <x v="2"/>
    <s v="Marzo"/>
    <s v="CARORAMN"/>
    <x v="61"/>
    <x v="61"/>
    <n v="59946010"/>
    <n v="1916000"/>
    <n v="11128214"/>
    <n v="46901796"/>
    <n v="43999992"/>
    <n v="1.0659501029000187"/>
    <x v="1"/>
    <n v="24"/>
    <s v="IPS Pto De Vista Punto Clave"/>
    <s v="Antioquia"/>
    <s v="No Cumple"/>
    <n v="88"/>
    <n v="9706947"/>
    <n v="244"/>
    <n v="29311734"/>
    <n v="114"/>
    <n v="11128214"/>
    <n v="9799115"/>
    <s v="NO"/>
  </r>
  <r>
    <n v="3"/>
    <x v="26"/>
    <x v="2"/>
    <s v="Marzo"/>
    <s v="DEISCACR"/>
    <x v="50"/>
    <x v="50"/>
    <n v="33584236"/>
    <n v="862000"/>
    <n v="7028402"/>
    <n v="25693834"/>
    <n v="21999996"/>
    <n v="1.1679017578003197"/>
    <x v="1"/>
    <n v="24"/>
    <s v="IPS Pto De Vista Punto Clave"/>
    <s v="Antioquia"/>
    <s v="Fluctúa"/>
    <n v="61"/>
    <n v="6628327"/>
    <n v="140"/>
    <n v="14180263"/>
    <n v="77"/>
    <n v="7028402"/>
    <n v="5747244"/>
    <s v="Inicio Vacaciones"/>
  </r>
  <r>
    <n v="3"/>
    <x v="26"/>
    <x v="2"/>
    <s v="Marzo"/>
    <s v="GENNHEPO"/>
    <x v="16"/>
    <x v="14"/>
    <n v="53595447"/>
    <n v="716000"/>
    <n v="9655359"/>
    <n v="43224088"/>
    <n v="42166659"/>
    <n v="1.025077372148455"/>
    <x v="1"/>
    <n v="24"/>
    <s v="IPS Pto De Vista Punto Clave"/>
    <s v="Antioquia"/>
    <s v="Fluctúa"/>
    <n v="94"/>
    <n v="9712926"/>
    <n v="276"/>
    <n v="27552661"/>
    <n v="100"/>
    <n v="9655359"/>
    <n v="6674501"/>
    <s v="NO"/>
  </r>
  <r>
    <n v="3"/>
    <x v="26"/>
    <x v="2"/>
    <s v="Marzo"/>
    <s v="LEIDGOVI"/>
    <x v="39"/>
    <x v="39"/>
    <n v="55341588"/>
    <n v="440000"/>
    <n v="9658034"/>
    <n v="45243554"/>
    <n v="43999992"/>
    <n v="1.0282627778659597"/>
    <x v="1"/>
    <n v="24"/>
    <s v="IPS Pto De Vista Punto Clave"/>
    <s v="Antioquia"/>
    <s v="Fluctúa"/>
    <n v="87"/>
    <n v="10852837"/>
    <n v="238"/>
    <n v="29648932"/>
    <n v="99"/>
    <n v="9658034"/>
    <n v="5181785"/>
    <s v="NO"/>
  </r>
  <r>
    <n v="3"/>
    <x v="26"/>
    <x v="2"/>
    <s v="Marzo"/>
    <s v="YENYSUPE"/>
    <x v="51"/>
    <x v="51"/>
    <n v="57608767"/>
    <n v="1718000"/>
    <n v="11059306"/>
    <n v="44831461"/>
    <n v="43999992"/>
    <n v="1.0188970261630956"/>
    <x v="1"/>
    <n v="24"/>
    <s v="IPS Pto De Vista Punto Clave"/>
    <s v="Antioquia"/>
    <s v="Cumple"/>
    <n v="97"/>
    <n v="11021670"/>
    <n v="269"/>
    <n v="27543111"/>
    <n v="119"/>
    <n v="11059306"/>
    <n v="7984680"/>
    <s v="NO"/>
  </r>
  <r>
    <n v="3"/>
    <x v="26"/>
    <x v="2"/>
    <s v="Marzo"/>
    <s v="YURAUSVE"/>
    <x v="56"/>
    <x v="56"/>
    <n v="60461782"/>
    <n v="1852000"/>
    <n v="12397020"/>
    <n v="46212762"/>
    <n v="43999992"/>
    <n v="1.0502902364164066"/>
    <x v="1"/>
    <n v="24"/>
    <s v="IPS Pto De Vista Punto Clave"/>
    <s v="Antioquia"/>
    <n v="0"/>
    <n v="109"/>
    <n v="11334745"/>
    <n v="258"/>
    <n v="29345750"/>
    <n v="124"/>
    <n v="12397020"/>
    <n v="7384267"/>
    <s v="NO"/>
  </r>
  <r>
    <n v="3"/>
    <x v="26"/>
    <x v="2"/>
    <s v="Marzo"/>
    <s v="ANAMLOBE"/>
    <x v="3"/>
    <x v="3"/>
    <n v="76393038"/>
    <n v="1023000"/>
    <n v="9438470"/>
    <n v="65931568"/>
    <n v="43999992"/>
    <n v="1.4984449997172726"/>
    <x v="1"/>
    <n v="24"/>
    <s v="IPS Pto De Vista Unicentro"/>
    <s v="Antioquia"/>
    <s v="Siempre Cumple"/>
    <n v="101"/>
    <n v="13479356"/>
    <n v="252"/>
    <n v="44539760"/>
    <n v="103"/>
    <n v="9438470"/>
    <n v="8935452"/>
    <s v="NO"/>
  </r>
  <r>
    <n v="3"/>
    <x v="26"/>
    <x v="2"/>
    <s v="Marzo"/>
    <s v="DIANQUME"/>
    <x v="14"/>
    <x v="12"/>
    <n v="68895604"/>
    <n v="2945000"/>
    <n v="12761057"/>
    <n v="53189547"/>
    <n v="43999992"/>
    <n v="1.2088535607006474"/>
    <x v="1"/>
    <n v="24"/>
    <s v="IPS Pto De Vista Molinos"/>
    <s v="Antioquia"/>
    <s v="Cumple"/>
    <n v="98"/>
    <n v="11269204"/>
    <n v="252"/>
    <n v="35283679"/>
    <n v="135"/>
    <n v="12224857"/>
    <n v="10117864"/>
    <m/>
  </r>
  <r>
    <n v="3"/>
    <x v="26"/>
    <x v="2"/>
    <s v="Marzo"/>
    <s v="VIVIVAZA"/>
    <x v="33"/>
    <x v="30"/>
    <n v="29963545"/>
    <n v="220000"/>
    <n v="4334763"/>
    <n v="25408782"/>
    <n v="9166665"/>
    <n v="2.7718676312486603"/>
    <x v="1"/>
    <n v="24"/>
    <s v="IPS Pto De Vista Unicentro"/>
    <s v="Antioquia"/>
    <s v="Cumple"/>
    <n v="53"/>
    <n v="5688010"/>
    <n v="120"/>
    <n v="16651863"/>
    <n v="49"/>
    <n v="4280963"/>
    <n v="3342709"/>
    <s v="Inicio Vacaciones"/>
  </r>
  <r>
    <n v="3"/>
    <x v="26"/>
    <x v="2"/>
    <s v="Marzo"/>
    <s v="ERIKSAVA"/>
    <x v="44"/>
    <x v="44"/>
    <n v="8903115"/>
    <n v="0"/>
    <n v="2096665"/>
    <n v="6806450"/>
    <n v="18000000"/>
    <n v="0.37813611111111112"/>
    <x v="1"/>
    <n v="24"/>
    <s v="IPS Pto De Vista San Diego"/>
    <s v="Antioquia"/>
    <s v="No Cumple"/>
    <n v="16"/>
    <n v="1447413"/>
    <n v="34"/>
    <n v="2961300"/>
    <n v="21"/>
    <n v="2096665"/>
    <n v="2397737"/>
    <s v="Regreso Vacaciones"/>
  </r>
  <r>
    <n v="3"/>
    <x v="26"/>
    <x v="2"/>
    <s v="Marzo"/>
    <s v="HISNOSPI"/>
    <x v="49"/>
    <x v="49"/>
    <n v="38819545"/>
    <n v="1854000"/>
    <n v="178155"/>
    <n v="36787390"/>
    <n v="36000000"/>
    <n v="1.0218719444444444"/>
    <x v="0"/>
    <n v="24"/>
    <s v="IPS Pto De Vista San Diego"/>
    <s v="Antioquia"/>
    <s v="No Aplica"/>
    <n v="81"/>
    <n v="9044206"/>
    <n v="212"/>
    <n v="23306781"/>
    <n v="2"/>
    <n v="178155"/>
    <n v="6290403"/>
    <m/>
  </r>
  <r>
    <n v="3"/>
    <x v="26"/>
    <x v="2"/>
    <s v="Marzo"/>
    <s v="MARIMASA"/>
    <x v="23"/>
    <x v="34"/>
    <n v="62406181"/>
    <n v="1296000"/>
    <n v="17724122"/>
    <n v="43386059"/>
    <n v="36000000"/>
    <n v="1.2051683055555555"/>
    <x v="1"/>
    <n v="24"/>
    <s v="IPS Pto De Vista San Diego"/>
    <s v="Antioquia"/>
    <s v="Siempre Cumple"/>
    <n v="79"/>
    <n v="9556930"/>
    <n v="216"/>
    <n v="30311582"/>
    <n v="185"/>
    <n v="17724122"/>
    <n v="4813547"/>
    <s v="NO"/>
  </r>
  <r>
    <n v="3"/>
    <x v="26"/>
    <x v="2"/>
    <s v="Marzo"/>
    <s v="ANDRSAZA"/>
    <x v="45"/>
    <x v="45"/>
    <n v="50487005"/>
    <n v="836000"/>
    <n v="7466246"/>
    <n v="42184759"/>
    <n v="28000008"/>
    <n v="1.5065981052576842"/>
    <x v="1"/>
    <n v="24"/>
    <s v="IPS Pto De Vista Santa Bárbara"/>
    <s v="Centro"/>
    <s v="Cumple"/>
    <n v="86"/>
    <n v="9292339"/>
    <n v="243"/>
    <n v="30096780"/>
    <n v="106"/>
    <n v="7466246"/>
    <n v="3631640"/>
    <s v="NO"/>
  </r>
  <r>
    <n v="3"/>
    <x v="26"/>
    <x v="2"/>
    <s v="Marzo"/>
    <s v="CAMIPUHE"/>
    <x v="53"/>
    <x v="53"/>
    <n v="36399482"/>
    <n v="2334200"/>
    <n v="4635347"/>
    <n v="29429935"/>
    <n v="17500005"/>
    <n v="1.681710090939974"/>
    <x v="1"/>
    <n v="24"/>
    <s v="IPS Pto De Vista SSura Clle100"/>
    <s v="Centro"/>
    <s v="Cumple"/>
    <n v="70"/>
    <n v="7577004"/>
    <n v="188"/>
    <n v="19867326"/>
    <n v="68"/>
    <n v="4635347"/>
    <n v="4319805"/>
    <s v="Inicio Vacaciones"/>
  </r>
  <r>
    <n v="3"/>
    <x v="26"/>
    <x v="2"/>
    <s v="Marzo"/>
    <s v="ISABMOGO"/>
    <x v="17"/>
    <x v="15"/>
    <n v="15342987"/>
    <n v="440000"/>
    <n v="312440"/>
    <n v="14590547"/>
    <n v="10500003"/>
    <n v="1.3895755077403311"/>
    <x v="1"/>
    <n v="24"/>
    <s v="IPS Pto De Vista Santa Bárbara"/>
    <s v="Centro"/>
    <s v="No Cumple"/>
    <n v="34"/>
    <n v="2856798"/>
    <n v="84"/>
    <n v="9987007"/>
    <n v="3"/>
    <n v="312440"/>
    <n v="2186742"/>
    <s v="Regreso Vacaciones"/>
  </r>
  <r>
    <n v="3"/>
    <x v="26"/>
    <x v="2"/>
    <s v="Marzo"/>
    <s v="LUZNHEGO"/>
    <x v="21"/>
    <x v="19"/>
    <n v="39492013"/>
    <n v="370800"/>
    <n v="4268016"/>
    <n v="34853197"/>
    <n v="30000000"/>
    <n v="1.1617732333333333"/>
    <x v="1"/>
    <n v="24"/>
    <s v="IPS Punto de Vista Mayorca"/>
    <s v="Antioquia"/>
    <s v="Siempre Cumple"/>
    <n v="67"/>
    <n v="10097190"/>
    <n v="184"/>
    <n v="22917230"/>
    <n v="60"/>
    <n v="4268016"/>
    <n v="2209577"/>
    <s v="NO"/>
  </r>
  <r>
    <n v="3"/>
    <x v="26"/>
    <x v="2"/>
    <s v="Marzo"/>
    <s v="MONIARGI"/>
    <x v="67"/>
    <x v="67"/>
    <n v="15730151"/>
    <n v="0"/>
    <n v="4141328"/>
    <n v="11588823"/>
    <n v="12500000"/>
    <n v="0.92710583999999996"/>
    <x v="0"/>
    <n v="24"/>
    <s v="Punto de Vista Cali Norte"/>
    <s v="Occidente"/>
    <s v="No Aplica"/>
    <n v="24"/>
    <n v="2451139"/>
    <n v="100"/>
    <n v="8253456"/>
    <n v="52"/>
    <n v="4141328"/>
    <n v="884228"/>
    <m/>
  </r>
  <r>
    <n v="3"/>
    <x v="26"/>
    <x v="2"/>
    <s v="Marzo"/>
    <s v="PAOLPACA"/>
    <x v="47"/>
    <x v="47"/>
    <n v="32203700"/>
    <n v="0"/>
    <n v="7712346"/>
    <n v="24491354"/>
    <n v="30000000"/>
    <n v="0.81637846666666669"/>
    <x v="1"/>
    <n v="24"/>
    <s v="Punto de Vista Tequendama"/>
    <s v="Occidente"/>
    <s v="Siempre Cumple"/>
    <n v="50"/>
    <n v="4952855"/>
    <n v="192"/>
    <n v="18435159"/>
    <n v="92"/>
    <n v="7712346"/>
    <n v="1103340"/>
    <s v="NO"/>
  </r>
  <r>
    <n v="3"/>
    <x v="26"/>
    <x v="2"/>
    <s v="Marzo"/>
    <s v="TATIRITR"/>
    <x v="60"/>
    <x v="60"/>
    <n v="29898896"/>
    <n v="370800"/>
    <n v="8176512"/>
    <n v="21351584"/>
    <n v="30000000"/>
    <n v="0.71171946666666663"/>
    <x v="1"/>
    <n v="24"/>
    <s v="Punto de Vista Cali Norte"/>
    <s v="Occidente"/>
    <s v="No Cumple"/>
    <n v="42"/>
    <n v="4267179"/>
    <n v="148"/>
    <n v="14997795"/>
    <n v="94"/>
    <n v="8176512"/>
    <n v="2457410"/>
    <s v="NO"/>
  </r>
  <r>
    <n v="3"/>
    <x v="26"/>
    <x v="2"/>
    <s v="Marzo"/>
    <s v="ROCIFASA"/>
    <x v="31"/>
    <x v="28"/>
    <n v="46133500"/>
    <n v="1605260"/>
    <n v="5251560"/>
    <n v="39276680"/>
    <n v="34999992"/>
    <n v="1.1221911136436831"/>
    <x v="1"/>
    <n v="24"/>
    <s v="Optica Salud Sura Chipichape"/>
    <s v="Occidente"/>
    <s v="Cumple"/>
    <n v="70"/>
    <n v="10583739"/>
    <n v="186"/>
    <n v="21166841"/>
    <n v="62"/>
    <n v="5251560"/>
    <n v="9131360"/>
    <s v="NO"/>
  </r>
  <r>
    <n v="3"/>
    <x v="26"/>
    <x v="2"/>
    <s v="Marzo"/>
    <s v="CLAUREME"/>
    <x v="37"/>
    <x v="7"/>
    <n v="562400"/>
    <n v="0"/>
    <n v="562400"/>
    <n v="0"/>
    <m/>
    <m/>
    <x v="0"/>
    <n v="24"/>
    <s v=""/>
    <s v=""/>
    <s v="No Aplica"/>
    <n v="0"/>
    <n v="0"/>
    <n v="0"/>
    <n v="0"/>
    <n v="0"/>
    <n v="0"/>
    <n v="562400"/>
    <m/>
  </r>
  <r>
    <n v="3"/>
    <x v="26"/>
    <x v="2"/>
    <s v="Marzo"/>
    <s v="DARWHERI"/>
    <x v="37"/>
    <x v="7"/>
    <n v="4556569"/>
    <n v="0"/>
    <n v="4232706"/>
    <n v="323863"/>
    <m/>
    <m/>
    <x v="0"/>
    <n v="24"/>
    <s v=""/>
    <s v=""/>
    <s v="No Aplica"/>
    <n v="2"/>
    <n v="151733"/>
    <n v="2"/>
    <n v="172130"/>
    <n v="55"/>
    <n v="4232706"/>
    <n v="0"/>
    <m/>
  </r>
  <r>
    <n v="3"/>
    <x v="26"/>
    <x v="2"/>
    <s v="Marzo"/>
    <s v="DIANGUAV"/>
    <x v="37"/>
    <x v="7"/>
    <n v="43870"/>
    <n v="0"/>
    <n v="43870"/>
    <n v="0"/>
    <m/>
    <m/>
    <x v="0"/>
    <n v="24"/>
    <s v=""/>
    <s v=""/>
    <s v="No Aplica"/>
    <n v="0"/>
    <n v="0"/>
    <n v="0"/>
    <n v="0"/>
    <n v="1"/>
    <n v="43870"/>
    <n v="0"/>
    <m/>
  </r>
  <r>
    <n v="3"/>
    <x v="26"/>
    <x v="2"/>
    <s v="Marzo"/>
    <s v="DIANPOPA"/>
    <x v="37"/>
    <x v="7"/>
    <n v="-171714"/>
    <n v="0"/>
    <n v="0"/>
    <n v="-171714"/>
    <m/>
    <m/>
    <x v="0"/>
    <n v="24"/>
    <s v=""/>
    <s v=""/>
    <s v="No Aplica"/>
    <n v="2"/>
    <n v="-248545"/>
    <n v="4"/>
    <n v="-312324"/>
    <n v="0"/>
    <n v="0"/>
    <n v="389155"/>
    <m/>
  </r>
  <r>
    <n v="3"/>
    <x v="26"/>
    <x v="2"/>
    <s v="Marzo"/>
    <s v="EMMAARMA"/>
    <x v="37"/>
    <x v="7"/>
    <n v="94800"/>
    <n v="0"/>
    <n v="94800"/>
    <n v="0"/>
    <m/>
    <m/>
    <x v="0"/>
    <n v="24"/>
    <s v=""/>
    <s v=""/>
    <s v="No Aplica"/>
    <n v="0"/>
    <n v="0"/>
    <n v="0"/>
    <n v="0"/>
    <n v="0"/>
    <n v="0"/>
    <n v="94800"/>
    <m/>
  </r>
  <r>
    <n v="3"/>
    <x v="26"/>
    <x v="2"/>
    <s v="Marzo"/>
    <s v="ELIZGORE"/>
    <x v="37"/>
    <x v="7"/>
    <n v="43870"/>
    <n v="0"/>
    <n v="43870"/>
    <n v="0"/>
    <m/>
    <m/>
    <x v="0"/>
    <n v="24"/>
    <s v=""/>
    <s v=""/>
    <s v="No Aplica"/>
    <n v="0"/>
    <n v="0"/>
    <n v="0"/>
    <n v="0"/>
    <n v="1"/>
    <n v="43870"/>
    <n v="0"/>
    <m/>
  </r>
  <r>
    <n v="3"/>
    <x v="26"/>
    <x v="2"/>
    <s v="Marzo"/>
    <s v="LOREBECR"/>
    <x v="37"/>
    <x v="7"/>
    <n v="263220"/>
    <n v="0"/>
    <n v="263220"/>
    <n v="0"/>
    <m/>
    <m/>
    <x v="0"/>
    <n v="24"/>
    <s v=""/>
    <s v=""/>
    <s v="No Aplica"/>
    <n v="0"/>
    <n v="0"/>
    <n v="0"/>
    <n v="0"/>
    <n v="6"/>
    <n v="263220"/>
    <n v="0"/>
    <m/>
  </r>
  <r>
    <n v="3"/>
    <x v="26"/>
    <x v="2"/>
    <s v="Marzo"/>
    <s v="MARIREAR"/>
    <x v="37"/>
    <x v="7"/>
    <n v="343600"/>
    <n v="0"/>
    <n v="343600"/>
    <n v="0"/>
    <m/>
    <m/>
    <x v="0"/>
    <n v="24"/>
    <s v=""/>
    <s v=""/>
    <s v="No Aplica"/>
    <n v="0"/>
    <n v="0"/>
    <n v="0"/>
    <n v="0"/>
    <n v="0"/>
    <n v="0"/>
    <n v="343600"/>
    <m/>
  </r>
  <r>
    <n v="3"/>
    <x v="26"/>
    <x v="2"/>
    <s v="Marzo"/>
    <s v="NATVAMO"/>
    <x v="37"/>
    <x v="7"/>
    <n v="483870"/>
    <n v="0"/>
    <n v="43870"/>
    <n v="440000"/>
    <m/>
    <m/>
    <x v="0"/>
    <n v="24"/>
    <s v=""/>
    <s v=""/>
    <s v="No Aplica"/>
    <n v="0"/>
    <n v="0"/>
    <n v="0"/>
    <n v="0"/>
    <n v="1"/>
    <n v="43870"/>
    <n v="440000"/>
    <m/>
  </r>
  <r>
    <n v="3"/>
    <x v="26"/>
    <x v="2"/>
    <s v="Marzo"/>
    <s v="USERPI"/>
    <x v="37"/>
    <x v="7"/>
    <n v="43870"/>
    <n v="0"/>
    <n v="43870"/>
    <n v="0"/>
    <m/>
    <m/>
    <x v="0"/>
    <n v="24"/>
    <s v=""/>
    <s v=""/>
    <s v="No Aplica"/>
    <n v="0"/>
    <n v="0"/>
    <n v="0"/>
    <n v="0"/>
    <n v="1"/>
    <n v="43870"/>
    <n v="0"/>
    <m/>
  </r>
  <r>
    <n v="3"/>
    <x v="26"/>
    <x v="2"/>
    <s v="Marzo"/>
    <s v="4439143358"/>
    <x v="37"/>
    <x v="7"/>
    <n v="43870"/>
    <n v="0"/>
    <n v="43870"/>
    <n v="0"/>
    <m/>
    <m/>
    <x v="0"/>
    <n v="24"/>
    <s v=""/>
    <s v=""/>
    <s v="No Aplica"/>
    <n v="0"/>
    <n v="0"/>
    <n v="0"/>
    <n v="0"/>
    <n v="1"/>
    <n v="43870"/>
    <n v="0"/>
    <m/>
  </r>
  <r>
    <n v="3"/>
    <x v="26"/>
    <x v="2"/>
    <s v="Marzo"/>
    <s v="(en blanco)"/>
    <x v="37"/>
    <x v="7"/>
    <n v="-904159"/>
    <n v="0"/>
    <n v="0"/>
    <n v="-904159"/>
    <m/>
    <m/>
    <x v="0"/>
    <n v="24"/>
    <s v=""/>
    <s v=""/>
    <s v="No Aplica"/>
    <n v="3"/>
    <n v="-162499"/>
    <n v="2"/>
    <n v="-246500"/>
    <n v="0"/>
    <n v="0"/>
    <n v="-495160"/>
    <m/>
  </r>
  <r>
    <n v="4"/>
    <x v="27"/>
    <x v="2"/>
    <s v="Abril"/>
    <s v="DERLARMO"/>
    <x v="11"/>
    <x v="10"/>
    <n v="34331262"/>
    <n v="748000"/>
    <n v="7016414"/>
    <n v="26566848"/>
    <n v="25000000"/>
    <n v="1.0626739199999999"/>
    <x v="1"/>
    <n v="25"/>
    <s v="IPS Pto De Vista Olaya"/>
    <s v="Centro"/>
    <s v="Cumple"/>
    <n v="93"/>
    <n v="6621905"/>
    <n v="238"/>
    <n v="18845384"/>
    <n v="113"/>
    <n v="7016414"/>
    <n v="1847559"/>
    <s v="NO"/>
  </r>
  <r>
    <n v="4"/>
    <x v="27"/>
    <x v="2"/>
    <s v="Abril"/>
    <s v="RAULMOGA"/>
    <x v="30"/>
    <x v="27"/>
    <n v="34845740"/>
    <n v="0"/>
    <n v="7474996"/>
    <n v="27370744"/>
    <n v="25000000"/>
    <n v="1.0948297600000001"/>
    <x v="0"/>
    <n v="25"/>
    <s v="IPS Pto De Vista Olaya"/>
    <s v="Centro"/>
    <s v="No Aplica"/>
    <n v="84"/>
    <n v="5932177"/>
    <n v="216"/>
    <n v="19564981"/>
    <n v="112"/>
    <n v="7474996"/>
    <n v="1873586"/>
    <m/>
  </r>
  <r>
    <n v="4"/>
    <x v="27"/>
    <x v="2"/>
    <s v="Abril"/>
    <s v="PAULGOBA"/>
    <x v="35"/>
    <x v="36"/>
    <n v="60332935"/>
    <n v="0"/>
    <n v="8161510"/>
    <n v="52171425"/>
    <n v="44000000"/>
    <n v="1.1857142045454545"/>
    <x v="1"/>
    <n v="25"/>
    <s v="Ferias Empresariales Antioquia"/>
    <s v="Antioquia"/>
    <s v="Fluctúa"/>
    <n v="21"/>
    <n v="-557406"/>
    <n v="56"/>
    <n v="1182396"/>
    <n v="90"/>
    <n v="8161510"/>
    <n v="51546435"/>
    <s v="NO"/>
  </r>
  <r>
    <n v="4"/>
    <x v="27"/>
    <x v="2"/>
    <s v="Abril"/>
    <s v="DIANPAAL"/>
    <x v="12"/>
    <x v="11"/>
    <n v="49528725"/>
    <n v="3308560"/>
    <n v="8256790"/>
    <n v="37963375"/>
    <n v="35000000"/>
    <n v="1.0846678571428572"/>
    <x v="1"/>
    <n v="25"/>
    <s v="IPS Pto De Vista Rionegro"/>
    <s v="Antioquia"/>
    <s v="Cumple"/>
    <n v="86"/>
    <n v="10296753"/>
    <n v="202"/>
    <n v="25697824"/>
    <n v="99"/>
    <n v="8256790"/>
    <n v="5277358"/>
    <s v="NO"/>
  </r>
  <r>
    <n v="4"/>
    <x v="27"/>
    <x v="2"/>
    <s v="Abril"/>
    <s v="JAQUVEGU"/>
    <x v="18"/>
    <x v="16"/>
    <n v="42377787"/>
    <n v="1204000"/>
    <n v="8455203"/>
    <n v="32718584"/>
    <n v="35000000"/>
    <n v="0.93481668571428567"/>
    <x v="0"/>
    <n v="25"/>
    <s v="IPS Pto De Vista Rionegro"/>
    <s v="Antioquia"/>
    <s v="No Aplica"/>
    <n v="80"/>
    <n v="8130577"/>
    <n v="184"/>
    <n v="21021775"/>
    <n v="93"/>
    <n v="8455203"/>
    <n v="4770232"/>
    <m/>
  </r>
  <r>
    <n v="4"/>
    <x v="27"/>
    <x v="2"/>
    <s v="Abril"/>
    <s v="MARIOCOC"/>
    <x v="24"/>
    <x v="21"/>
    <n v="60128827"/>
    <n v="3618000"/>
    <n v="11294134"/>
    <n v="45216693"/>
    <n v="35000000"/>
    <n v="1.2919055142857143"/>
    <x v="1"/>
    <n v="25"/>
    <s v="IPS Pto De Vista Rionegro"/>
    <s v="Antioquia"/>
    <s v="Cumple"/>
    <n v="87"/>
    <n v="10832551"/>
    <n v="221"/>
    <n v="31207517"/>
    <n v="119"/>
    <n v="11294134"/>
    <n v="6794625"/>
    <s v="NO"/>
  </r>
  <r>
    <n v="4"/>
    <x v="27"/>
    <x v="2"/>
    <s v="Abril"/>
    <s v="ALEXLOGR"/>
    <x v="2"/>
    <x v="2"/>
    <n v="46931637"/>
    <n v="1395200"/>
    <n v="11684192"/>
    <n v="33852245"/>
    <n v="29400000"/>
    <n v="1.1514369047619049"/>
    <x v="1"/>
    <n v="25"/>
    <s v="IPS Punto de Vista Bello"/>
    <s v="Antioquia"/>
    <s v="Fluctúa"/>
    <n v="81"/>
    <n v="7387365"/>
    <n v="186"/>
    <n v="22809943"/>
    <n v="126"/>
    <n v="11684192"/>
    <n v="5050137"/>
    <s v="NO"/>
  </r>
  <r>
    <n v="4"/>
    <x v="27"/>
    <x v="2"/>
    <s v="Abril"/>
    <s v="YULIRIRE"/>
    <x v="57"/>
    <x v="57"/>
    <n v="48304853"/>
    <n v="412000"/>
    <n v="8547059"/>
    <n v="39345794"/>
    <n v="35000000"/>
    <n v="1.1241655428571429"/>
    <x v="1"/>
    <n v="25"/>
    <s v="IPS Punto de Vista Bello"/>
    <s v="Antioquia"/>
    <s v="Fluctúa"/>
    <n v="85"/>
    <n v="7138972"/>
    <n v="222"/>
    <n v="26940248"/>
    <n v="91"/>
    <n v="8547059"/>
    <n v="5678574"/>
    <s v="NO"/>
  </r>
  <r>
    <n v="4"/>
    <x v="27"/>
    <x v="2"/>
    <s v="Abril"/>
    <s v="ADRIMOLU"/>
    <x v="1"/>
    <x v="1"/>
    <n v="38683183"/>
    <n v="1596000"/>
    <n v="5855058"/>
    <n v="31232125"/>
    <n v="28160000"/>
    <n v="1.1090953480113637"/>
    <x v="1"/>
    <n v="25"/>
    <s v="IPS Pto De Vista Molinos"/>
    <s v="Antioquia"/>
    <s v="Cumple"/>
    <n v="69"/>
    <n v="7656639"/>
    <n v="164"/>
    <n v="20599798"/>
    <n v="65"/>
    <n v="5855058"/>
    <n v="4571688"/>
    <s v="NO"/>
  </r>
  <r>
    <n v="4"/>
    <x v="27"/>
    <x v="2"/>
    <s v="Abril"/>
    <s v="ELIZVESU"/>
    <x v="15"/>
    <x v="13"/>
    <n v="62738072"/>
    <n v="1704000"/>
    <n v="11197047"/>
    <n v="49837025"/>
    <n v="44000000"/>
    <n v="1.132659659090909"/>
    <x v="1"/>
    <n v="25"/>
    <s v="IPS Pto De Vista Unicentro"/>
    <s v="Antioquia"/>
    <s v="Fluctúa"/>
    <n v="86"/>
    <n v="11137189"/>
    <n v="224"/>
    <n v="32390177"/>
    <n v="122"/>
    <n v="11197047"/>
    <n v="8013659"/>
    <s v="NO"/>
  </r>
  <r>
    <n v="4"/>
    <x v="27"/>
    <x v="2"/>
    <s v="Abril"/>
    <s v="LILACARA"/>
    <x v="19"/>
    <x v="17"/>
    <n v="56454621"/>
    <n v="1734600"/>
    <n v="10366146"/>
    <n v="44353875"/>
    <n v="44000000"/>
    <n v="1.0080426136363636"/>
    <x v="1"/>
    <n v="25"/>
    <s v="IPS Pto De Vista Molinos"/>
    <s v="Antioquia"/>
    <s v="Cumple"/>
    <n v="96"/>
    <n v="10424904"/>
    <n v="225"/>
    <n v="29937520"/>
    <n v="108"/>
    <n v="10366146"/>
    <n v="5726051"/>
    <s v="NO"/>
  </r>
  <r>
    <n v="4"/>
    <x v="27"/>
    <x v="2"/>
    <s v="Abril"/>
    <s v="NATAVAMO"/>
    <x v="63"/>
    <x v="63"/>
    <n v="49271269"/>
    <n v="2198000"/>
    <n v="10302827"/>
    <n v="36770442"/>
    <n v="35200000"/>
    <n v="1.0446148295454545"/>
    <x v="1"/>
    <n v="25"/>
    <s v="IPS Pto De Vista Molinos"/>
    <s v="Antioquia"/>
    <s v="Siempre Cumple"/>
    <n v="73"/>
    <n v="8631213"/>
    <n v="212"/>
    <n v="24284936"/>
    <n v="110"/>
    <n v="10302827"/>
    <n v="6052293"/>
    <s v="NO"/>
  </r>
  <r>
    <n v="4"/>
    <x v="27"/>
    <x v="2"/>
    <s v="Abril"/>
    <s v="NOREARMA"/>
    <x v="66"/>
    <x v="66"/>
    <n v="56434507"/>
    <n v="852000"/>
    <n v="8746234"/>
    <n v="46836273"/>
    <n v="38240000"/>
    <n v="1.2247979341004185"/>
    <x v="1"/>
    <n v="25"/>
    <s v="IPS Pto De Vista San Diego"/>
    <s v="Antioquia"/>
    <s v="Fluctúa"/>
    <n v="83"/>
    <n v="10252980"/>
    <n v="174"/>
    <n v="30068864"/>
    <n v="90"/>
    <n v="8746234"/>
    <n v="7366429"/>
    <s v="NO"/>
  </r>
  <r>
    <n v="4"/>
    <x v="27"/>
    <x v="2"/>
    <s v="Abril"/>
    <s v="SUANHECO"/>
    <x v="58"/>
    <x v="58"/>
    <n v="71885149"/>
    <n v="2459200"/>
    <n v="12835571"/>
    <n v="56590378"/>
    <n v="44000000"/>
    <n v="1.2861449545454546"/>
    <x v="1"/>
    <n v="25"/>
    <s v="IPS Pto De Vista Molinos"/>
    <s v="Antioquia"/>
    <s v="Fluctúa"/>
    <n v="102"/>
    <n v="12449246"/>
    <n v="257"/>
    <n v="37697180"/>
    <n v="143"/>
    <n v="12835571"/>
    <n v="8903152"/>
    <s v="NO"/>
  </r>
  <r>
    <n v="4"/>
    <x v="27"/>
    <x v="2"/>
    <s v="Abril"/>
    <s v="ZULYARGA"/>
    <x v="34"/>
    <x v="31"/>
    <n v="62589029"/>
    <n v="1442000"/>
    <n v="13551525"/>
    <n v="47595504"/>
    <n v="44000000"/>
    <n v="1.0817159999999999"/>
    <x v="1"/>
    <n v="25"/>
    <s v="IPS Pto De Vista Molinos"/>
    <s v="Antioquia"/>
    <n v="0"/>
    <n v="105"/>
    <n v="11785036"/>
    <n v="272"/>
    <n v="31532633"/>
    <n v="145"/>
    <n v="13551525"/>
    <n v="5719835"/>
    <s v="NO"/>
  </r>
  <r>
    <n v="4"/>
    <x v="27"/>
    <x v="2"/>
    <s v="Abril"/>
    <s v="ANAKBEZA"/>
    <x v="65"/>
    <x v="65"/>
    <n v="51141702"/>
    <n v="1112000"/>
    <n v="8939292"/>
    <n v="41090410"/>
    <n v="42000000"/>
    <n v="0.97834309523809526"/>
    <x v="0"/>
    <n v="25"/>
    <s v=""/>
    <s v=""/>
    <s v="No Aplica"/>
    <n v="98"/>
    <n v="10396447"/>
    <n v="213"/>
    <n v="25194765"/>
    <n v="96"/>
    <n v="8939292"/>
    <n v="6611198"/>
    <m/>
  </r>
  <r>
    <n v="4"/>
    <x v="27"/>
    <x v="2"/>
    <s v="Abril"/>
    <s v="BIBIBECA"/>
    <x v="6"/>
    <x v="6"/>
    <n v="59714291"/>
    <n v="412000"/>
    <n v="14522470"/>
    <n v="44779821"/>
    <n v="42000000"/>
    <n v="1.0661862142857144"/>
    <x v="1"/>
    <n v="25"/>
    <s v="IPS Pto De Vista Centro"/>
    <s v="Antioquia"/>
    <s v="Fluctúa"/>
    <n v="109"/>
    <n v="10170059"/>
    <n v="262"/>
    <n v="29055502"/>
    <n v="155"/>
    <n v="14522470"/>
    <n v="5966260"/>
    <s v="NO"/>
  </r>
  <r>
    <n v="4"/>
    <x v="27"/>
    <x v="2"/>
    <s v="Abril"/>
    <s v="CINDGACU"/>
    <x v="55"/>
    <x v="55"/>
    <n v="55515678"/>
    <n v="1014500"/>
    <n v="10855202"/>
    <n v="43645976"/>
    <n v="42000000"/>
    <n v="1.0391899047619049"/>
    <x v="1"/>
    <n v="25"/>
    <s v="IPS Pto De Vista San Diego"/>
    <s v="Antioquia"/>
    <s v="Siempre Cumple"/>
    <n v="104"/>
    <n v="8847490"/>
    <n v="235"/>
    <n v="27554242"/>
    <n v="117"/>
    <n v="10855202"/>
    <n v="8258744"/>
    <s v="NO"/>
  </r>
  <r>
    <n v="4"/>
    <x v="27"/>
    <x v="2"/>
    <s v="Abril"/>
    <s v="CLAUBLAR"/>
    <x v="9"/>
    <x v="8"/>
    <n v="68278800"/>
    <n v="1189000"/>
    <n v="13391211"/>
    <n v="53698589"/>
    <n v="42000000"/>
    <n v="1.2785378333333333"/>
    <x v="1"/>
    <n v="25"/>
    <s v="IPS Pto De Vista Centro"/>
    <s v="Antioquia"/>
    <s v="Fluctúa"/>
    <n v="115"/>
    <n v="11734633"/>
    <n v="265"/>
    <n v="35660745"/>
    <n v="147"/>
    <n v="13391211"/>
    <n v="7492211"/>
    <s v="NO"/>
  </r>
  <r>
    <n v="4"/>
    <x v="27"/>
    <x v="2"/>
    <s v="Abril"/>
    <s v="HERIRORO"/>
    <x v="52"/>
    <x v="52"/>
    <n v="51795898"/>
    <n v="1872000"/>
    <n v="11598884"/>
    <n v="38325014"/>
    <n v="42000000"/>
    <n v="0.91250033333333336"/>
    <x v="1"/>
    <n v="25"/>
    <s v="IPS Pto De Vista Centro"/>
    <s v="Antioquia"/>
    <s v="Siempre Cumple"/>
    <n v="91"/>
    <n v="8455737"/>
    <n v="217"/>
    <n v="25191004"/>
    <n v="127"/>
    <n v="11598884"/>
    <n v="6550273"/>
    <s v="NO"/>
  </r>
  <r>
    <n v="4"/>
    <x v="27"/>
    <x v="2"/>
    <s v="Abril"/>
    <s v="MARGGAPA"/>
    <x v="22"/>
    <x v="20"/>
    <n v="56892106"/>
    <n v="412000"/>
    <n v="9951008"/>
    <n v="46529098"/>
    <n v="42000000"/>
    <n v="1.1078356666666667"/>
    <x v="1"/>
    <n v="25"/>
    <s v="IPS Pto De Vista Centro"/>
    <s v="Antioquia"/>
    <s v="Fluctúa"/>
    <n v="108"/>
    <n v="11764724"/>
    <n v="226"/>
    <n v="29708201"/>
    <n v="118"/>
    <n v="9951008"/>
    <n v="5468173"/>
    <s v="NO"/>
  </r>
  <r>
    <n v="4"/>
    <x v="27"/>
    <x v="2"/>
    <s v="Abril"/>
    <s v="YENISIGI"/>
    <x v="64"/>
    <x v="64"/>
    <n v="56706996"/>
    <n v="866000"/>
    <n v="12539557"/>
    <n v="43301439"/>
    <n v="42000000"/>
    <n v="1.0309866428571428"/>
    <x v="1"/>
    <n v="25"/>
    <s v="IPS Pto De Vista Centro"/>
    <s v="Antioquia"/>
    <s v="Fluctúa"/>
    <n v="90"/>
    <n v="8621713"/>
    <n v="220"/>
    <n v="27717434"/>
    <n v="136"/>
    <n v="12539557"/>
    <n v="7828292"/>
    <s v="NO"/>
  </r>
  <r>
    <n v="4"/>
    <x v="27"/>
    <x v="2"/>
    <s v="Abril"/>
    <s v="ANGEGAAR"/>
    <x v="4"/>
    <x v="7"/>
    <n v="2359464"/>
    <n v="0"/>
    <n v="0"/>
    <n v="2359464"/>
    <m/>
    <m/>
    <x v="1"/>
    <n v="25"/>
    <s v="IPS Pto De Vista San Diego"/>
    <s v="Antioquia"/>
    <s v="Fluctúa"/>
    <n v="3"/>
    <n v="633194"/>
    <n v="8"/>
    <n v="1581669"/>
    <n v="0"/>
    <n v="0"/>
    <n v="144601"/>
    <s v="NO"/>
  </r>
  <r>
    <n v="4"/>
    <x v="27"/>
    <x v="2"/>
    <s v="Abril"/>
    <s v="NATAPIDU"/>
    <x v="28"/>
    <x v="25"/>
    <n v="69704641"/>
    <n v="1784240"/>
    <n v="6072849"/>
    <n v="61847552"/>
    <n v="40000000"/>
    <n v="1.5461887999999999"/>
    <x v="1"/>
    <n v="25"/>
    <s v="IPS Pto De Vista Industriales"/>
    <s v="Antioquia"/>
    <s v="Cumple"/>
    <n v="63"/>
    <n v="12419192"/>
    <n v="183"/>
    <n v="43465377"/>
    <n v="68"/>
    <n v="6072849"/>
    <n v="7747223"/>
    <s v="NO"/>
  </r>
  <r>
    <n v="4"/>
    <x v="27"/>
    <x v="2"/>
    <s v="Abril"/>
    <s v="ALVAOSOS"/>
    <x v="36"/>
    <x v="37"/>
    <n v="60012807"/>
    <n v="2276000"/>
    <n v="11719876"/>
    <n v="46016931"/>
    <n v="44000000"/>
    <n v="1.0458393409090909"/>
    <x v="1"/>
    <n v="25"/>
    <s v="IPS Pto De Vista Punto Clave"/>
    <s v="Antioquia"/>
    <s v="Siempre Cumple"/>
    <n v="76"/>
    <n v="9250077"/>
    <n v="194"/>
    <n v="27542718"/>
    <n v="121"/>
    <n v="11719876"/>
    <n v="11500136"/>
    <s v="NO"/>
  </r>
  <r>
    <n v="4"/>
    <x v="27"/>
    <x v="2"/>
    <s v="Abril"/>
    <s v="CARORAMN"/>
    <x v="61"/>
    <x v="61"/>
    <n v="55531286"/>
    <n v="1110000"/>
    <n v="9845536"/>
    <n v="44575750"/>
    <n v="44000000"/>
    <n v="1.0130852272727273"/>
    <x v="1"/>
    <n v="25"/>
    <s v="IPS Pto De Vista Punto Clave"/>
    <s v="Antioquia"/>
    <s v="No Cumple"/>
    <n v="79"/>
    <n v="7776541"/>
    <n v="234"/>
    <n v="30320701"/>
    <n v="100"/>
    <n v="9845536"/>
    <n v="7588508"/>
    <s v="NO"/>
  </r>
  <r>
    <n v="4"/>
    <x v="27"/>
    <x v="2"/>
    <s v="Abril"/>
    <s v="DEISCACR"/>
    <x v="50"/>
    <x v="50"/>
    <n v="39961298"/>
    <n v="440000"/>
    <n v="6715984"/>
    <n v="32805314"/>
    <n v="31680000"/>
    <n v="1.0355212752525254"/>
    <x v="1"/>
    <n v="25"/>
    <s v="IPS Pto De Vista Punto Clave"/>
    <s v="Antioquia"/>
    <s v="Fluctúa"/>
    <n v="68"/>
    <n v="7488782"/>
    <n v="146"/>
    <n v="17717218"/>
    <n v="66"/>
    <n v="6715984"/>
    <n v="8039314"/>
    <s v="Regreso Vacaciones"/>
  </r>
  <r>
    <n v="4"/>
    <x v="27"/>
    <x v="2"/>
    <s v="Abril"/>
    <s v="GENNHEPO"/>
    <x v="16"/>
    <x v="14"/>
    <n v="45235277"/>
    <n v="1084000"/>
    <n v="8243866"/>
    <n v="35907411"/>
    <n v="44000000"/>
    <n v="0.81607752272727274"/>
    <x v="1"/>
    <n v="25"/>
    <s v="IPS Pto De Vista Punto Clave"/>
    <s v="Antioquia"/>
    <s v="Fluctúa"/>
    <n v="79"/>
    <n v="7878830"/>
    <n v="221"/>
    <n v="22531223"/>
    <n v="87"/>
    <n v="8243866"/>
    <n v="6581358"/>
    <s v="NO"/>
  </r>
  <r>
    <n v="4"/>
    <x v="27"/>
    <x v="2"/>
    <s v="Abril"/>
    <s v="LEIDGOVI"/>
    <x v="39"/>
    <x v="39"/>
    <n v="57317078"/>
    <n v="660000"/>
    <n v="10715676"/>
    <n v="45941402"/>
    <n v="44000000"/>
    <n v="1.0441227727272728"/>
    <x v="1"/>
    <n v="25"/>
    <s v="IPS Pto De Vista Punto Clave"/>
    <s v="Antioquia"/>
    <s v="Fluctúa"/>
    <n v="93"/>
    <n v="11474955"/>
    <n v="236"/>
    <n v="28965113"/>
    <n v="115"/>
    <n v="10715676"/>
    <n v="6161334"/>
    <s v="NO"/>
  </r>
  <r>
    <n v="4"/>
    <x v="27"/>
    <x v="2"/>
    <s v="Abril"/>
    <s v="YENYSUPE"/>
    <x v="51"/>
    <x v="51"/>
    <n v="45745541"/>
    <n v="1292000"/>
    <n v="9683165"/>
    <n v="34770376"/>
    <n v="24640000"/>
    <n v="1.4111353896103895"/>
    <x v="1"/>
    <n v="25"/>
    <s v="IPS Pto De Vista Punto Clave"/>
    <s v="Antioquia"/>
    <s v="Cumple"/>
    <n v="70"/>
    <n v="8187942"/>
    <n v="183"/>
    <n v="21198990"/>
    <n v="102"/>
    <n v="9683165"/>
    <n v="6675444"/>
    <s v="Inicio Vacaciones"/>
  </r>
  <r>
    <n v="4"/>
    <x v="27"/>
    <x v="2"/>
    <s v="Abril"/>
    <s v="YURAUSVE"/>
    <x v="56"/>
    <x v="56"/>
    <n v="59024078"/>
    <n v="1664000"/>
    <n v="11986165"/>
    <n v="45373913"/>
    <n v="44000000"/>
    <n v="1.0312252954545456"/>
    <x v="1"/>
    <n v="25"/>
    <s v="IPS Pto De Vista Punto Clave"/>
    <s v="Antioquia"/>
    <n v="0"/>
    <n v="114"/>
    <n v="11212556"/>
    <n v="254"/>
    <n v="26973031"/>
    <n v="130"/>
    <n v="11986165"/>
    <n v="8852326"/>
    <s v="NO"/>
  </r>
  <r>
    <n v="4"/>
    <x v="27"/>
    <x v="2"/>
    <s v="Abril"/>
    <s v="ANAMLOBE"/>
    <x v="3"/>
    <x v="3"/>
    <n v="80709658"/>
    <n v="675000"/>
    <n v="10565347"/>
    <n v="69469311"/>
    <n v="44000000"/>
    <n v="1.5788479772727273"/>
    <x v="1"/>
    <n v="25"/>
    <s v="IPS Pto De Vista Unicentro"/>
    <s v="Antioquia"/>
    <s v="Siempre Cumple"/>
    <n v="115"/>
    <n v="15338333"/>
    <n v="260"/>
    <n v="47600227"/>
    <n v="122"/>
    <n v="10565347"/>
    <n v="7205751"/>
    <s v="NO"/>
  </r>
  <r>
    <n v="4"/>
    <x v="27"/>
    <x v="2"/>
    <s v="Abril"/>
    <s v="DIANQUME"/>
    <x v="14"/>
    <x v="12"/>
    <n v="65520172"/>
    <n v="1947200"/>
    <n v="13444003"/>
    <n v="50128969"/>
    <n v="44000000"/>
    <n v="1.1392947499999999"/>
    <x v="1"/>
    <n v="25"/>
    <s v="IPS Pto De Vista Molinos"/>
    <s v="Antioquia"/>
    <s v="Cumple"/>
    <n v="86"/>
    <n v="9645893"/>
    <n v="237"/>
    <n v="34302070"/>
    <n v="144"/>
    <n v="13444003"/>
    <n v="8128206"/>
    <m/>
  </r>
  <r>
    <n v="4"/>
    <x v="27"/>
    <x v="2"/>
    <s v="Abril"/>
    <s v="VIVIVAZA"/>
    <x v="33"/>
    <x v="30"/>
    <n v="65619305"/>
    <n v="2394000"/>
    <n v="10957682"/>
    <n v="52267623"/>
    <n v="44000000"/>
    <n v="1.1879005227272728"/>
    <x v="1"/>
    <n v="25"/>
    <s v="IPS Pto De Vista Unicentro"/>
    <s v="Antioquia"/>
    <s v="Cumple"/>
    <n v="107"/>
    <n v="12069861"/>
    <n v="258"/>
    <n v="35038419"/>
    <n v="123"/>
    <n v="10957682"/>
    <n v="7553343"/>
    <s v="NO"/>
  </r>
  <r>
    <n v="4"/>
    <x v="27"/>
    <x v="2"/>
    <s v="Abril"/>
    <s v="ERIKSAVA"/>
    <x v="44"/>
    <x v="44"/>
    <n v="46437627"/>
    <n v="440000"/>
    <n v="8416252"/>
    <n v="37581375"/>
    <n v="36000000"/>
    <n v="1.0439270833333334"/>
    <x v="1"/>
    <n v="25"/>
    <s v="IPS Pto De Vista San Diego"/>
    <s v="Antioquia"/>
    <s v="No Cumple"/>
    <n v="83"/>
    <n v="9824809"/>
    <n v="173"/>
    <n v="22038264"/>
    <n v="89"/>
    <n v="8416252"/>
    <n v="6158302"/>
    <s v="NO"/>
  </r>
  <r>
    <n v="4"/>
    <x v="27"/>
    <x v="2"/>
    <s v="Abril"/>
    <s v="HISNOSPI"/>
    <x v="49"/>
    <x v="49"/>
    <n v="17351830"/>
    <n v="608000"/>
    <n v="0"/>
    <n v="16743830"/>
    <n v="10080000"/>
    <n v="1.6610942460317459"/>
    <x v="0"/>
    <n v="25"/>
    <s v="IPS Pto De Vista San Diego"/>
    <s v="Antioquia"/>
    <s v="No Aplica"/>
    <n v="34"/>
    <n v="3354149"/>
    <n v="99"/>
    <n v="11708590"/>
    <n v="0"/>
    <n v="0"/>
    <n v="2289091"/>
    <m/>
  </r>
  <r>
    <n v="4"/>
    <x v="27"/>
    <x v="2"/>
    <s v="Abril"/>
    <s v="MARIMASA"/>
    <x v="23"/>
    <x v="34"/>
    <n v="59721687"/>
    <n v="894000"/>
    <n v="14116060"/>
    <n v="44711627"/>
    <n v="36000000"/>
    <n v="1.2419896388888889"/>
    <x v="1"/>
    <n v="25"/>
    <s v="IPS Pto De Vista San Diego"/>
    <s v="Antioquia"/>
    <s v="Siempre Cumple"/>
    <n v="95"/>
    <n v="10721503"/>
    <n v="225"/>
    <n v="29472881"/>
    <n v="152"/>
    <n v="14116060"/>
    <n v="5411243"/>
    <s v="NO"/>
  </r>
  <r>
    <n v="4"/>
    <x v="27"/>
    <x v="2"/>
    <s v="Abril"/>
    <s v="ANDRSAZA"/>
    <x v="45"/>
    <x v="45"/>
    <n v="47658195"/>
    <n v="880000"/>
    <n v="7519142"/>
    <n v="39259053"/>
    <n v="28000000"/>
    <n v="1.4021090357142858"/>
    <x v="1"/>
    <n v="25"/>
    <s v="IPS Pto De Vista Santa Bárbara"/>
    <s v="Centro"/>
    <s v="Cumple"/>
    <n v="72"/>
    <n v="8380318"/>
    <n v="208"/>
    <n v="26827910"/>
    <n v="97"/>
    <n v="7519142"/>
    <n v="4930825"/>
    <s v="NO"/>
  </r>
  <r>
    <n v="4"/>
    <x v="27"/>
    <x v="2"/>
    <s v="Abril"/>
    <s v="CAMIPUHE"/>
    <x v="53"/>
    <x v="53"/>
    <n v="16350782"/>
    <n v="1818200"/>
    <n v="2118771"/>
    <n v="12413811"/>
    <n v="17920000"/>
    <n v="0.69273498883928575"/>
    <x v="1"/>
    <n v="25"/>
    <s v="IPS Pto De Vista SSura Clle100"/>
    <s v="Centro"/>
    <s v="Cumple"/>
    <n v="38"/>
    <n v="2876264"/>
    <n v="94"/>
    <n v="7941492"/>
    <n v="36"/>
    <n v="2118771"/>
    <n v="3414255"/>
    <s v="Regreso Vacaciones"/>
  </r>
  <r>
    <n v="4"/>
    <x v="27"/>
    <x v="2"/>
    <s v="Abril"/>
    <s v="ISABMOGO"/>
    <x v="17"/>
    <x v="15"/>
    <n v="37796484"/>
    <n v="2214000"/>
    <n v="6336908"/>
    <n v="29245576"/>
    <n v="28000000"/>
    <n v="1.0444848571428571"/>
    <x v="1"/>
    <n v="25"/>
    <s v="IPS Pto De Vista Santa Bárbara"/>
    <s v="Centro"/>
    <s v="No Cumple"/>
    <n v="66"/>
    <n v="6554839"/>
    <n v="188"/>
    <n v="19342152"/>
    <n v="84"/>
    <n v="6336908"/>
    <n v="5562585"/>
    <s v="NO"/>
  </r>
  <r>
    <n v="4"/>
    <x v="27"/>
    <x v="2"/>
    <s v="Abril"/>
    <s v="LUZNHEGO"/>
    <x v="21"/>
    <x v="19"/>
    <n v="37296616"/>
    <n v="766800"/>
    <n v="4198870"/>
    <n v="32330946"/>
    <n v="30000000"/>
    <n v="1.0776981999999999"/>
    <x v="1"/>
    <n v="25"/>
    <s v="IPS Punto de Vista Mayorca"/>
    <s v="Antioquia"/>
    <s v="Siempre Cumple"/>
    <n v="47"/>
    <n v="8244233"/>
    <n v="151"/>
    <n v="21557591"/>
    <n v="54"/>
    <n v="4198870"/>
    <n v="3295922"/>
    <s v="NO"/>
  </r>
  <r>
    <n v="4"/>
    <x v="27"/>
    <x v="2"/>
    <s v="Abril"/>
    <s v="MONIARGI"/>
    <x v="67"/>
    <x v="67"/>
    <n v="12178930"/>
    <n v="0"/>
    <n v="5435254"/>
    <n v="6743676"/>
    <n v="27600000"/>
    <n v="0.24433608695652173"/>
    <x v="0"/>
    <n v="25"/>
    <s v="Punto de Vista Cali Norte"/>
    <s v="Occidente"/>
    <s v="No Aplica"/>
    <n v="12"/>
    <n v="1449162"/>
    <n v="50"/>
    <n v="4708434"/>
    <n v="57"/>
    <n v="5435254"/>
    <n v="586080"/>
    <m/>
  </r>
  <r>
    <n v="4"/>
    <x v="27"/>
    <x v="2"/>
    <s v="Abril"/>
    <s v="PAOLPACA"/>
    <x v="47"/>
    <x v="47"/>
    <n v="33108617"/>
    <n v="0"/>
    <n v="7293942"/>
    <n v="25814675"/>
    <n v="27600000"/>
    <n v="0.93531431159420286"/>
    <x v="1"/>
    <n v="25"/>
    <s v="Punto de Vista Tequendama"/>
    <s v="Occidente"/>
    <s v="Siempre Cumple"/>
    <n v="58"/>
    <n v="6022238"/>
    <n v="204"/>
    <n v="17105975"/>
    <n v="87"/>
    <n v="7293942"/>
    <n v="2686462"/>
    <s v="NO"/>
  </r>
  <r>
    <n v="4"/>
    <x v="27"/>
    <x v="2"/>
    <s v="Abril"/>
    <s v="TATIRITR"/>
    <x v="60"/>
    <x v="60"/>
    <n v="43546082"/>
    <n v="0"/>
    <n v="9088283"/>
    <n v="34457799"/>
    <n v="27600000"/>
    <n v="1.2484709782608696"/>
    <x v="1"/>
    <n v="25"/>
    <s v="Punto de Vista Cali Norte"/>
    <s v="Occidente"/>
    <s v="No Cumple"/>
    <n v="66"/>
    <n v="8734689"/>
    <n v="220"/>
    <n v="22990287"/>
    <n v="98"/>
    <n v="9088283"/>
    <n v="2732823"/>
    <s v="NO"/>
  </r>
  <r>
    <n v="4"/>
    <x v="27"/>
    <x v="2"/>
    <s v="Abril"/>
    <s v="ROCIFASA"/>
    <x v="31"/>
    <x v="28"/>
    <n v="54617949"/>
    <n v="2651040"/>
    <n v="6997980"/>
    <n v="44968929"/>
    <n v="35000000"/>
    <n v="1.2848265428571428"/>
    <x v="1"/>
    <n v="25"/>
    <s v="Optica Salud Sura Chipichape"/>
    <s v="Occidente"/>
    <s v="Cumple"/>
    <n v="80"/>
    <n v="14659345"/>
    <n v="222"/>
    <n v="28011925"/>
    <n v="76"/>
    <n v="6997980"/>
    <n v="4948699"/>
    <s v="NO"/>
  </r>
  <r>
    <n v="4"/>
    <x v="27"/>
    <x v="2"/>
    <s v="Abril"/>
    <s v="ANGISEBR"/>
    <x v="37"/>
    <x v="7"/>
    <n v="5576682"/>
    <n v="0"/>
    <n v="2743211"/>
    <n v="2833471"/>
    <m/>
    <m/>
    <x v="0"/>
    <n v="25"/>
    <s v=""/>
    <s v=""/>
    <s v="No Aplica"/>
    <n v="5"/>
    <n v="853779"/>
    <n v="12"/>
    <n v="1772173"/>
    <n v="25"/>
    <n v="2743211"/>
    <n v="207519"/>
    <m/>
  </r>
  <r>
    <n v="4"/>
    <x v="27"/>
    <x v="2"/>
    <s v="Abril"/>
    <s v="ALEJVAVA"/>
    <x v="37"/>
    <x v="7"/>
    <n v="76800"/>
    <n v="0"/>
    <n v="76800"/>
    <n v="0"/>
    <m/>
    <m/>
    <x v="0"/>
    <n v="25"/>
    <s v=""/>
    <s v=""/>
    <s v="No Aplica"/>
    <n v="0"/>
    <n v="0"/>
    <n v="0"/>
    <n v="0"/>
    <n v="0"/>
    <n v="0"/>
    <n v="76800"/>
    <m/>
  </r>
  <r>
    <n v="4"/>
    <x v="27"/>
    <x v="2"/>
    <s v="Abril"/>
    <s v="CARORICA"/>
    <x v="37"/>
    <x v="7"/>
    <n v="1475565"/>
    <n v="0"/>
    <n v="0"/>
    <n v="1475565"/>
    <m/>
    <m/>
    <x v="0"/>
    <n v="25"/>
    <s v=""/>
    <s v=""/>
    <s v="No Aplica"/>
    <n v="2"/>
    <n v="202635"/>
    <n v="4"/>
    <n v="1141930"/>
    <n v="0"/>
    <n v="0"/>
    <n v="131000"/>
    <m/>
  </r>
  <r>
    <n v="4"/>
    <x v="27"/>
    <x v="2"/>
    <s v="Abril"/>
    <s v="DARWHERI"/>
    <x v="37"/>
    <x v="7"/>
    <n v="3648002"/>
    <n v="0"/>
    <n v="1877742"/>
    <n v="1770260"/>
    <m/>
    <m/>
    <x v="0"/>
    <n v="25"/>
    <s v=""/>
    <s v=""/>
    <s v="No Aplica"/>
    <n v="4"/>
    <n v="310378"/>
    <n v="6"/>
    <n v="931882"/>
    <n v="28"/>
    <n v="1877742"/>
    <n v="528000"/>
    <m/>
  </r>
  <r>
    <n v="4"/>
    <x v="27"/>
    <x v="2"/>
    <s v="Abril"/>
    <s v="DIANPOPA"/>
    <x v="37"/>
    <x v="7"/>
    <n v="-210463"/>
    <n v="0"/>
    <n v="0"/>
    <n v="-210463"/>
    <m/>
    <m/>
    <x v="0"/>
    <n v="25"/>
    <s v=""/>
    <s v=""/>
    <s v="No Aplica"/>
    <n v="18"/>
    <n v="-1261122"/>
    <n v="34"/>
    <n v="-2779690"/>
    <n v="0"/>
    <n v="0"/>
    <n v="3830349"/>
    <m/>
  </r>
  <r>
    <n v="4"/>
    <x v="27"/>
    <x v="2"/>
    <s v="Abril"/>
    <s v="LOREBECR"/>
    <x v="37"/>
    <x v="7"/>
    <n v="528142"/>
    <n v="0"/>
    <n v="87740"/>
    <n v="440402"/>
    <m/>
    <m/>
    <x v="0"/>
    <n v="25"/>
    <s v=""/>
    <s v=""/>
    <s v="No Aplica"/>
    <n v="1"/>
    <n v="55714"/>
    <n v="4"/>
    <n v="384687"/>
    <n v="2"/>
    <n v="87740"/>
    <n v="1"/>
    <m/>
  </r>
  <r>
    <n v="4"/>
    <x v="27"/>
    <x v="2"/>
    <s v="Abril"/>
    <s v="4439726892"/>
    <x v="37"/>
    <x v="7"/>
    <n v="134285"/>
    <n v="0"/>
    <n v="134285"/>
    <n v="0"/>
    <m/>
    <m/>
    <x v="0"/>
    <n v="25"/>
    <s v=""/>
    <s v=""/>
    <s v="No Aplica"/>
    <n v="0"/>
    <n v="0"/>
    <n v="0"/>
    <n v="0"/>
    <n v="1"/>
    <n v="134285"/>
    <n v="0"/>
    <m/>
  </r>
  <r>
    <n v="4"/>
    <x v="27"/>
    <x v="2"/>
    <s v="Abril"/>
    <s v="4440570474"/>
    <x v="37"/>
    <x v="7"/>
    <n v="141671"/>
    <n v="0"/>
    <n v="141671"/>
    <n v="0"/>
    <m/>
    <m/>
    <x v="0"/>
    <n v="25"/>
    <s v=""/>
    <s v=""/>
    <s v="No Aplica"/>
    <n v="0"/>
    <n v="0"/>
    <n v="0"/>
    <n v="0"/>
    <n v="1"/>
    <n v="141671"/>
    <n v="0"/>
    <m/>
  </r>
  <r>
    <n v="4"/>
    <x v="27"/>
    <x v="2"/>
    <s v="Abril"/>
    <s v="(en blanco)"/>
    <x v="37"/>
    <x v="7"/>
    <n v="-4054670"/>
    <n v="0"/>
    <n v="0"/>
    <n v="-4054670"/>
    <m/>
    <m/>
    <x v="0"/>
    <n v="25"/>
    <s v=""/>
    <s v=""/>
    <s v="No Aplica"/>
    <n v="0"/>
    <n v="0"/>
    <n v="30"/>
    <n v="-3122560"/>
    <n v="0"/>
    <n v="0"/>
    <n v="-932110"/>
    <m/>
  </r>
  <r>
    <n v="5"/>
    <x v="28"/>
    <x v="2"/>
    <s v="Mayo"/>
    <s v="DERLARMO"/>
    <x v="11"/>
    <x v="10"/>
    <n v="26304686"/>
    <n v="440000"/>
    <n v="6675799"/>
    <n v="19188887"/>
    <n v="25000000"/>
    <n v="0.76755547999999996"/>
    <x v="1"/>
    <n v="25"/>
    <s v="IPS Pto De Vista Olaya"/>
    <s v="Centro"/>
    <s v="Cumple"/>
    <n v="68"/>
    <n v="4567808"/>
    <n v="164"/>
    <n v="13204850"/>
    <n v="87"/>
    <n v="6503399"/>
    <n v="2028629"/>
    <s v="NO"/>
  </r>
  <r>
    <n v="5"/>
    <x v="28"/>
    <x v="2"/>
    <s v="Mayo"/>
    <s v="LOREBECR"/>
    <x v="68"/>
    <x v="68"/>
    <n v="23883424"/>
    <n v="440000"/>
    <n v="4058676"/>
    <n v="19384748"/>
    <n v="25000000"/>
    <n v="0.77538991999999995"/>
    <x v="1"/>
    <n v="25"/>
    <s v="IPS Pto De Vista Olaya"/>
    <s v="Centro"/>
    <s v="Fluctúa"/>
    <n v="59"/>
    <n v="4574499"/>
    <n v="146"/>
    <n v="12554921"/>
    <n v="60"/>
    <n v="4058676"/>
    <n v="2695328"/>
    <s v="NO"/>
  </r>
  <r>
    <n v="5"/>
    <x v="28"/>
    <x v="2"/>
    <s v="Mayo"/>
    <s v="RAULMOGA"/>
    <x v="30"/>
    <x v="27"/>
    <n v="31970965"/>
    <n v="1278000"/>
    <n v="5119261"/>
    <n v="25573704"/>
    <n v="25000000"/>
    <n v="1.0229481600000001"/>
    <x v="0"/>
    <n v="25"/>
    <s v="IPS Pto De Vista Olaya"/>
    <s v="Centro"/>
    <s v="No Aplica"/>
    <n v="80"/>
    <n v="6165915"/>
    <n v="212"/>
    <n v="16946867"/>
    <n v="77"/>
    <n v="4930261"/>
    <n v="3927922"/>
    <m/>
  </r>
  <r>
    <n v="5"/>
    <x v="28"/>
    <x v="2"/>
    <s v="Mayo"/>
    <s v="PAULGOBA"/>
    <x v="35"/>
    <x v="36"/>
    <n v="53194691"/>
    <n v="0"/>
    <n v="7308419"/>
    <n v="45886272"/>
    <n v="44000000"/>
    <n v="1.0428698181818181"/>
    <x v="1"/>
    <n v="25"/>
    <s v="Ferias Empresariales Antioquia"/>
    <s v="Antioquia"/>
    <s v="Fluctúa"/>
    <n v="4"/>
    <n v="499100"/>
    <n v="6"/>
    <n v="649624"/>
    <n v="79"/>
    <n v="7308419"/>
    <n v="44737548"/>
    <s v="NO"/>
  </r>
  <r>
    <n v="5"/>
    <x v="28"/>
    <x v="2"/>
    <s v="Mayo"/>
    <s v="DIANPAAL"/>
    <x v="12"/>
    <x v="11"/>
    <n v="47976876"/>
    <n v="3194400"/>
    <n v="8225045"/>
    <n v="36557431"/>
    <n v="35000000"/>
    <n v="1.0444980285714285"/>
    <x v="1"/>
    <n v="25"/>
    <s v="IPS Pto De Vista Rionegro"/>
    <s v="Antioquia"/>
    <s v="Cumple"/>
    <n v="84"/>
    <n v="9296854"/>
    <n v="206"/>
    <n v="23299139"/>
    <n v="95"/>
    <n v="8225045"/>
    <n v="7155838"/>
    <s v="NO"/>
  </r>
  <r>
    <n v="5"/>
    <x v="28"/>
    <x v="2"/>
    <s v="Mayo"/>
    <s v="JAQUVEGU"/>
    <x v="18"/>
    <x v="16"/>
    <n v="38262373"/>
    <n v="1744200"/>
    <n v="9688829"/>
    <n v="26829344"/>
    <n v="35000000"/>
    <n v="0.7665526857142857"/>
    <x v="0"/>
    <n v="25"/>
    <s v="IPS Pto De Vista Rionegro"/>
    <s v="Antioquia"/>
    <s v="No Aplica"/>
    <n v="73"/>
    <n v="7088805"/>
    <n v="166"/>
    <n v="17212148"/>
    <n v="99"/>
    <n v="9688829"/>
    <n v="4272591"/>
    <m/>
  </r>
  <r>
    <n v="5"/>
    <x v="28"/>
    <x v="2"/>
    <s v="Mayo"/>
    <s v="MARIOCOC"/>
    <x v="24"/>
    <x v="21"/>
    <n v="50821612"/>
    <n v="3012400"/>
    <n v="8664684"/>
    <n v="39144528"/>
    <n v="35000000"/>
    <n v="1.1184150857142856"/>
    <x v="1"/>
    <n v="25"/>
    <s v="IPS Pto De Vista Rionegro"/>
    <s v="Antioquia"/>
    <s v="Cumple"/>
    <n v="87"/>
    <n v="9888219"/>
    <n v="228"/>
    <n v="26807575"/>
    <n v="96"/>
    <n v="8664684"/>
    <n v="5461134"/>
    <s v="NO"/>
  </r>
  <r>
    <n v="5"/>
    <x v="28"/>
    <x v="2"/>
    <s v="Mayo"/>
    <s v="ALEXLOGR"/>
    <x v="2"/>
    <x v="2"/>
    <n v="43965922"/>
    <n v="0"/>
    <n v="8916242"/>
    <n v="35049680"/>
    <n v="33600000"/>
    <n v="1.0431452380952382"/>
    <x v="1"/>
    <n v="25"/>
    <s v="IPS Punto de Vista Bello"/>
    <s v="Antioquia"/>
    <s v="Fluctúa"/>
    <n v="79"/>
    <n v="6768254"/>
    <n v="191"/>
    <n v="24621454"/>
    <n v="94"/>
    <n v="8916242"/>
    <n v="3659972"/>
    <s v="NO"/>
  </r>
  <r>
    <n v="5"/>
    <x v="28"/>
    <x v="2"/>
    <s v="Mayo"/>
    <s v="YULIRIRE"/>
    <x v="57"/>
    <x v="57"/>
    <n v="48786368"/>
    <n v="0"/>
    <n v="10929439"/>
    <n v="37856929"/>
    <n v="35000000"/>
    <n v="1.0816265428571428"/>
    <x v="1"/>
    <n v="25"/>
    <s v="IPS Punto de Vista Bello"/>
    <s v="Antioquia"/>
    <s v="Fluctúa"/>
    <n v="90"/>
    <n v="8052369"/>
    <n v="210"/>
    <n v="23708542"/>
    <n v="101"/>
    <n v="10929439"/>
    <n v="6096018"/>
    <s v="NO"/>
  </r>
  <r>
    <n v="5"/>
    <x v="28"/>
    <x v="2"/>
    <s v="Mayo"/>
    <s v="ADRIMOLU"/>
    <x v="1"/>
    <x v="1"/>
    <n v="56956338"/>
    <n v="1086000"/>
    <n v="10901329"/>
    <n v="44969009"/>
    <n v="44000000"/>
    <n v="1.0220229318181817"/>
    <x v="1"/>
    <n v="25"/>
    <s v="IPS Pto De Vista Molinos"/>
    <s v="Antioquia"/>
    <s v="Cumple"/>
    <n v="99"/>
    <n v="10018978"/>
    <n v="261"/>
    <n v="29353304"/>
    <n v="109"/>
    <n v="10901329"/>
    <n v="6682727"/>
    <s v="NO"/>
  </r>
  <r>
    <n v="5"/>
    <x v="28"/>
    <x v="2"/>
    <s v="Mayo"/>
    <s v="ELIZVESU"/>
    <x v="15"/>
    <x v="13"/>
    <n v="63711045"/>
    <n v="996000"/>
    <n v="12701284"/>
    <n v="50013761"/>
    <n v="44000000"/>
    <n v="1.1366763863636364"/>
    <x v="1"/>
    <n v="25"/>
    <s v="IPS Pto De Vista Unicentro"/>
    <s v="Antioquia"/>
    <s v="Fluctúa"/>
    <n v="90"/>
    <n v="10643701"/>
    <n v="252"/>
    <n v="33595166"/>
    <n v="120"/>
    <n v="12701284"/>
    <n v="6770894"/>
    <s v="NO"/>
  </r>
  <r>
    <n v="5"/>
    <x v="28"/>
    <x v="2"/>
    <s v="Mayo"/>
    <s v="LILACARA"/>
    <x v="19"/>
    <x v="17"/>
    <n v="67439441"/>
    <n v="1540000"/>
    <n v="10252802"/>
    <n v="55646639"/>
    <n v="44000000"/>
    <n v="1.264696340909091"/>
    <x v="1"/>
    <n v="25"/>
    <s v="IPS Pto De Vista Molinos"/>
    <s v="Antioquia"/>
    <s v="Cumple"/>
    <n v="101"/>
    <n v="11720256"/>
    <n v="274"/>
    <n v="38511055"/>
    <n v="92"/>
    <n v="10252802"/>
    <n v="6955328"/>
    <s v="NO"/>
  </r>
  <r>
    <n v="5"/>
    <x v="28"/>
    <x v="2"/>
    <s v="Mayo"/>
    <s v="SUANHECO"/>
    <x v="58"/>
    <x v="58"/>
    <n v="74828635"/>
    <n v="1054000"/>
    <n v="18004634"/>
    <n v="55770001"/>
    <n v="44000000"/>
    <n v="1.2675000227272728"/>
    <x v="1"/>
    <n v="25"/>
    <s v="IPS Pto De Vista Molinos"/>
    <s v="Antioquia"/>
    <s v="Fluctúa"/>
    <n v="127"/>
    <n v="14870894"/>
    <n v="280"/>
    <n v="33887524"/>
    <n v="172"/>
    <n v="18004634"/>
    <n v="8065583"/>
    <s v="NO"/>
  </r>
  <r>
    <n v="5"/>
    <x v="28"/>
    <x v="2"/>
    <s v="Mayo"/>
    <s v="ZULYARGA"/>
    <x v="34"/>
    <x v="31"/>
    <n v="67314837"/>
    <n v="248000"/>
    <n v="13725040"/>
    <n v="53341797"/>
    <n v="44000000"/>
    <n v="1.2123135681818182"/>
    <x v="1"/>
    <n v="25"/>
    <s v="IPS Pto De Vista Molinos"/>
    <s v="Antioquia"/>
    <n v="0"/>
    <n v="113"/>
    <n v="12114784"/>
    <n v="304"/>
    <n v="34850226"/>
    <n v="134"/>
    <n v="13725040"/>
    <n v="6624787"/>
    <s v="NO"/>
  </r>
  <r>
    <n v="5"/>
    <x v="28"/>
    <x v="2"/>
    <s v="Mayo"/>
    <s v="BIBIBECA"/>
    <x v="6"/>
    <x v="6"/>
    <n v="67164169"/>
    <n v="746200"/>
    <n v="16538369"/>
    <n v="49879600"/>
    <n v="42000000"/>
    <n v="1.1876095238095239"/>
    <x v="1"/>
    <n v="25"/>
    <s v="IPS Pto De Vista Centro"/>
    <s v="Antioquia"/>
    <s v="Fluctúa"/>
    <n v="118"/>
    <n v="10631634"/>
    <n v="310"/>
    <n v="34322811"/>
    <n v="163"/>
    <n v="16538369"/>
    <n v="5671355"/>
    <s v="NO"/>
  </r>
  <r>
    <n v="5"/>
    <x v="28"/>
    <x v="2"/>
    <s v="Mayo"/>
    <s v="CINDGACU"/>
    <x v="55"/>
    <x v="55"/>
    <n v="37112588"/>
    <n v="2757000"/>
    <n v="11857239"/>
    <n v="22498349"/>
    <n v="42000000"/>
    <n v="0.53567497619047622"/>
    <x v="1"/>
    <n v="25"/>
    <s v="IPS Pto De Vista San Diego"/>
    <s v="Antioquia"/>
    <s v="Siempre Cumple"/>
    <n v="74"/>
    <n v="5550293"/>
    <n v="166"/>
    <n v="13692813"/>
    <n v="115"/>
    <n v="11857239"/>
    <n v="6012243"/>
    <s v="NO"/>
  </r>
  <r>
    <n v="5"/>
    <x v="28"/>
    <x v="2"/>
    <s v="Mayo"/>
    <s v="CLAUBLAR"/>
    <x v="9"/>
    <x v="8"/>
    <n v="45092159"/>
    <n v="1278000"/>
    <n v="9598406"/>
    <n v="34215753"/>
    <n v="11760000"/>
    <n v="2.909502806122449"/>
    <x v="1"/>
    <n v="25"/>
    <s v="IPS Pto De Vista Centro"/>
    <s v="Antioquia"/>
    <s v="Fluctúa"/>
    <n v="75"/>
    <n v="7143525"/>
    <n v="186"/>
    <n v="23140191"/>
    <n v="98"/>
    <n v="9598406"/>
    <n v="5210037"/>
    <s v="Inicio Vacaciones"/>
  </r>
  <r>
    <n v="5"/>
    <x v="28"/>
    <x v="2"/>
    <s v="Mayo"/>
    <s v="HERIRORO"/>
    <x v="52"/>
    <x v="52"/>
    <n v="58427445"/>
    <n v="812000"/>
    <n v="13198544"/>
    <n v="44416901"/>
    <n v="38640000"/>
    <n v="1.1495057194616978"/>
    <x v="1"/>
    <n v="25"/>
    <s v="IPS Pto De Vista Centro"/>
    <s v="Antioquia"/>
    <s v="Siempre Cumple"/>
    <n v="116"/>
    <n v="9561371"/>
    <n v="262"/>
    <n v="30483020"/>
    <n v="136"/>
    <n v="13198544"/>
    <n v="5184510"/>
    <s v="Inicio Vacaciones"/>
  </r>
  <r>
    <n v="5"/>
    <x v="28"/>
    <x v="2"/>
    <s v="Mayo"/>
    <s v="ANAKBEZA"/>
    <x v="65"/>
    <x v="65"/>
    <n v="17803665"/>
    <n v="1459800"/>
    <n v="6726041"/>
    <n v="9617824"/>
    <n v="30240000"/>
    <n v="0.31804973544973547"/>
    <x v="0"/>
    <n v="25"/>
    <s v=""/>
    <s v=""/>
    <s v="No Aplica"/>
    <n v="30"/>
    <n v="2214088"/>
    <n v="66"/>
    <n v="5535306"/>
    <n v="73"/>
    <n v="6726041"/>
    <n v="3328230"/>
    <m/>
  </r>
  <r>
    <n v="5"/>
    <x v="28"/>
    <x v="2"/>
    <s v="Mayo"/>
    <s v="MARGGAPA"/>
    <x v="22"/>
    <x v="20"/>
    <n v="62036453"/>
    <n v="1456000"/>
    <n v="14354601"/>
    <n v="46225852"/>
    <n v="42000000"/>
    <n v="1.1006155238095239"/>
    <x v="1"/>
    <n v="25"/>
    <s v="IPS Pto De Vista Centro"/>
    <s v="Antioquia"/>
    <s v="Fluctúa"/>
    <n v="101"/>
    <n v="11207707"/>
    <n v="218"/>
    <n v="28655767"/>
    <n v="151"/>
    <n v="14354601"/>
    <n v="7818378"/>
    <s v="NO"/>
  </r>
  <r>
    <n v="5"/>
    <x v="28"/>
    <x v="2"/>
    <s v="Mayo"/>
    <s v="NATAVAMO"/>
    <x v="63"/>
    <x v="63"/>
    <n v="47409956"/>
    <n v="1460000"/>
    <n v="10655648"/>
    <n v="35294308"/>
    <n v="42560000"/>
    <n v="0.82928355263157894"/>
    <x v="1"/>
    <n v="25"/>
    <s v="IPS Pto De Vista Molinos"/>
    <s v="Antioquia"/>
    <s v="Siempre Cumple"/>
    <n v="82"/>
    <n v="7729142"/>
    <n v="199"/>
    <n v="23271564"/>
    <n v="109"/>
    <n v="10655648"/>
    <n v="5753602"/>
    <s v="NO"/>
  </r>
  <r>
    <n v="5"/>
    <x v="28"/>
    <x v="2"/>
    <s v="Mayo"/>
    <s v="NOREARMA"/>
    <x v="66"/>
    <x v="66"/>
    <n v="58089552"/>
    <n v="0"/>
    <n v="8915792"/>
    <n v="49173760"/>
    <n v="43440000"/>
    <n v="1.1319926335174955"/>
    <x v="1"/>
    <n v="25"/>
    <s v="IPS Pto De Vista San Diego"/>
    <s v="Antioquia"/>
    <s v="Fluctúa"/>
    <n v="88"/>
    <n v="11287344"/>
    <n v="194"/>
    <n v="31468278"/>
    <n v="94"/>
    <n v="8915792"/>
    <n v="6418138"/>
    <s v="NO"/>
  </r>
  <r>
    <n v="5"/>
    <x v="28"/>
    <x v="2"/>
    <s v="Mayo"/>
    <s v="YENISIGI"/>
    <x v="64"/>
    <x v="64"/>
    <n v="38871385"/>
    <n v="1473000"/>
    <n v="11734986"/>
    <n v="25663399"/>
    <n v="42000000"/>
    <n v="0.61103330952380952"/>
    <x v="1"/>
    <n v="25"/>
    <s v="IPS Pto De Vista Centro"/>
    <s v="Antioquia"/>
    <s v="Fluctúa"/>
    <n v="70"/>
    <n v="5602497"/>
    <n v="162"/>
    <n v="15056085"/>
    <n v="122"/>
    <n v="11734986"/>
    <n v="6477817"/>
    <s v="NO"/>
  </r>
  <r>
    <n v="5"/>
    <x v="28"/>
    <x v="2"/>
    <s v="Mayo"/>
    <s v="NATAPIDU"/>
    <x v="28"/>
    <x v="25"/>
    <n v="68662060"/>
    <n v="0"/>
    <n v="6554909"/>
    <n v="62107151"/>
    <n v="40000000"/>
    <n v="1.552678775"/>
    <x v="1"/>
    <n v="25"/>
    <s v="IPS Pto De Vista Industriales"/>
    <s v="Antioquia"/>
    <s v="Cumple"/>
    <n v="78"/>
    <n v="14971728"/>
    <n v="205"/>
    <n v="38460509"/>
    <n v="71"/>
    <n v="6554909"/>
    <n v="8674914"/>
    <s v="NO"/>
  </r>
  <r>
    <n v="5"/>
    <x v="28"/>
    <x v="2"/>
    <s v="Mayo"/>
    <s v="ALVAOSOS"/>
    <x v="36"/>
    <x v="37"/>
    <n v="46050886"/>
    <n v="1068400"/>
    <n v="9210309"/>
    <n v="35772177"/>
    <n v="44000000"/>
    <n v="0.81300402272727268"/>
    <x v="1"/>
    <n v="25"/>
    <s v="IPS Pto De Vista Punto Clave"/>
    <s v="Antioquia"/>
    <s v="Siempre Cumple"/>
    <n v="68"/>
    <n v="7340495"/>
    <n v="168"/>
    <n v="22937781"/>
    <n v="93"/>
    <n v="9210309"/>
    <n v="6562301"/>
    <s v="NO"/>
  </r>
  <r>
    <n v="5"/>
    <x v="28"/>
    <x v="2"/>
    <s v="Mayo"/>
    <s v="CARORAMN"/>
    <x v="61"/>
    <x v="61"/>
    <n v="56765459"/>
    <n v="440000"/>
    <n v="11345759"/>
    <n v="44979700"/>
    <n v="44000000"/>
    <n v="1.0222659090909092"/>
    <x v="1"/>
    <n v="25"/>
    <s v="IPS Pto De Vista Punto Clave"/>
    <s v="Antioquia"/>
    <s v="No Cumple"/>
    <n v="86"/>
    <n v="7920267"/>
    <n v="250"/>
    <n v="30545230"/>
    <n v="121"/>
    <n v="11345759"/>
    <n v="6954203"/>
    <s v="NO"/>
  </r>
  <r>
    <n v="5"/>
    <x v="28"/>
    <x v="2"/>
    <s v="Mayo"/>
    <s v="DEISCACR"/>
    <x v="50"/>
    <x v="50"/>
    <n v="58514263"/>
    <n v="1872000"/>
    <n v="9807697"/>
    <n v="46834566"/>
    <n v="44000000"/>
    <n v="1.0644219545454545"/>
    <x v="1"/>
    <n v="25"/>
    <s v="IPS Pto De Vista Punto Clave"/>
    <s v="Antioquia"/>
    <s v="Fluctúa"/>
    <n v="87"/>
    <n v="9224846"/>
    <n v="214"/>
    <n v="31277380"/>
    <n v="99"/>
    <n v="9807697"/>
    <n v="8204340"/>
    <s v="NO"/>
  </r>
  <r>
    <n v="5"/>
    <x v="28"/>
    <x v="2"/>
    <s v="Mayo"/>
    <s v="GENNHEPO"/>
    <x v="16"/>
    <x v="14"/>
    <n v="57907253"/>
    <n v="890000"/>
    <n v="11261660"/>
    <n v="45755593"/>
    <n v="44000000"/>
    <n v="1.0398998409090909"/>
    <x v="1"/>
    <n v="25"/>
    <s v="IPS Pto De Vista Punto Clave"/>
    <s v="Antioquia"/>
    <s v="Fluctúa"/>
    <n v="106"/>
    <n v="9451279"/>
    <n v="282"/>
    <n v="28987177"/>
    <n v="112"/>
    <n v="11261660"/>
    <n v="8207137"/>
    <s v="NO"/>
  </r>
  <r>
    <n v="5"/>
    <x v="28"/>
    <x v="2"/>
    <s v="Mayo"/>
    <s v="LEIDGOVI"/>
    <x v="39"/>
    <x v="39"/>
    <n v="59233289"/>
    <n v="918000"/>
    <n v="10562403"/>
    <n v="47752886"/>
    <n v="44000000"/>
    <n v="1.0852928636363637"/>
    <x v="1"/>
    <n v="25"/>
    <s v="IPS Pto De Vista Punto Clave"/>
    <s v="Antioquia"/>
    <s v="Fluctúa"/>
    <n v="97"/>
    <n v="11139612"/>
    <n v="262"/>
    <n v="30831053"/>
    <n v="101"/>
    <n v="10377203"/>
    <n v="6885421"/>
    <s v="NO"/>
  </r>
  <r>
    <n v="5"/>
    <x v="28"/>
    <x v="2"/>
    <s v="Mayo"/>
    <s v="YENYSUPE"/>
    <x v="51"/>
    <x v="51"/>
    <n v="39321924"/>
    <n v="1216400"/>
    <n v="6372486"/>
    <n v="31733038"/>
    <n v="31680000"/>
    <n v="1.0016741792929293"/>
    <x v="1"/>
    <n v="25"/>
    <s v="IPS Pto De Vista Punto Clave"/>
    <s v="Antioquia"/>
    <s v="Cumple"/>
    <n v="78"/>
    <n v="8403793"/>
    <n v="180"/>
    <n v="20627773"/>
    <n v="70"/>
    <n v="6372486"/>
    <n v="3917872"/>
    <s v="Regreso Vacaciones"/>
  </r>
  <r>
    <n v="5"/>
    <x v="28"/>
    <x v="2"/>
    <s v="Mayo"/>
    <s v="YURAUSVE"/>
    <x v="56"/>
    <x v="56"/>
    <n v="56621822"/>
    <n v="866000"/>
    <n v="11855773"/>
    <n v="43900049"/>
    <n v="44000000"/>
    <n v="0.99772838636363637"/>
    <x v="1"/>
    <n v="25"/>
    <s v="IPS Pto De Vista Punto Clave"/>
    <s v="Antioquia"/>
    <n v="0"/>
    <n v="92"/>
    <n v="9339559"/>
    <n v="260"/>
    <n v="28362826"/>
    <n v="113"/>
    <n v="11855773"/>
    <n v="7063664"/>
    <s v="NO"/>
  </r>
  <r>
    <n v="5"/>
    <x v="28"/>
    <x v="2"/>
    <s v="Mayo"/>
    <s v="ANAMLOBE"/>
    <x v="3"/>
    <x v="3"/>
    <n v="25690300"/>
    <n v="240800"/>
    <n v="2477283"/>
    <n v="22972217"/>
    <n v="12320000"/>
    <n v="1.8646280032467533"/>
    <x v="1"/>
    <n v="25"/>
    <s v="IPS Pto De Vista Unicentro"/>
    <s v="Antioquia"/>
    <s v="Siempre Cumple"/>
    <n v="39"/>
    <n v="4453115"/>
    <n v="98"/>
    <n v="16398058"/>
    <n v="23"/>
    <n v="2236483"/>
    <n v="2602644"/>
    <s v="Inicio Vacaciones"/>
  </r>
  <r>
    <n v="5"/>
    <x v="28"/>
    <x v="2"/>
    <s v="Mayo"/>
    <s v="DIANQUME"/>
    <x v="14"/>
    <x v="12"/>
    <n v="63218218"/>
    <n v="440000"/>
    <n v="13041040"/>
    <n v="49737178"/>
    <n v="44000000"/>
    <n v="1.1303904090909092"/>
    <x v="1"/>
    <n v="25"/>
    <s v="IPS Pto De Vista Molinos"/>
    <s v="Antioquia"/>
    <s v="Cumple"/>
    <n v="96"/>
    <n v="9404925"/>
    <n v="234"/>
    <n v="33979134"/>
    <n v="114"/>
    <n v="10959240"/>
    <n v="8874919"/>
    <m/>
  </r>
  <r>
    <n v="5"/>
    <x v="28"/>
    <x v="2"/>
    <s v="Mayo"/>
    <s v="VIVIVAZA"/>
    <x v="33"/>
    <x v="30"/>
    <n v="83536744"/>
    <n v="4803900"/>
    <n v="14819787"/>
    <n v="63913057"/>
    <n v="44000000"/>
    <n v="1.4525694772727273"/>
    <x v="1"/>
    <n v="25"/>
    <s v="IPS Pto De Vista Unicentro"/>
    <s v="Antioquia"/>
    <s v="Cumple"/>
    <n v="109"/>
    <n v="12137347"/>
    <n v="285"/>
    <n v="42793592"/>
    <n v="151"/>
    <n v="14408787"/>
    <n v="14197018"/>
    <s v="NO"/>
  </r>
  <r>
    <n v="5"/>
    <x v="28"/>
    <x v="2"/>
    <s v="Mayo"/>
    <s v="ANGEGAAR"/>
    <x v="4"/>
    <x v="4"/>
    <n v="4382137"/>
    <n v="0"/>
    <n v="1494713"/>
    <n v="2887424"/>
    <n v="9360000"/>
    <n v="0.30848547008547006"/>
    <x v="1"/>
    <n v="25"/>
    <s v="IPS Pto De Vista San Diego"/>
    <s v="Antioquia"/>
    <s v="Fluctúa"/>
    <n v="6"/>
    <n v="574572"/>
    <n v="12"/>
    <n v="1227213"/>
    <n v="15"/>
    <n v="1494713"/>
    <n v="1085639"/>
    <s v="NO"/>
  </r>
  <r>
    <n v="5"/>
    <x v="28"/>
    <x v="2"/>
    <s v="Mayo"/>
    <s v="ERIKSAVA"/>
    <x v="44"/>
    <x v="44"/>
    <n v="48746470"/>
    <n v="1059100"/>
    <n v="9496922"/>
    <n v="38190448"/>
    <n v="36000000"/>
    <n v="1.0608457777777778"/>
    <x v="1"/>
    <n v="25"/>
    <s v="IPS Pto De Vista San Diego"/>
    <s v="Antioquia"/>
    <s v="No Cumple"/>
    <n v="77"/>
    <n v="8474186"/>
    <n v="176"/>
    <n v="21876874"/>
    <n v="94"/>
    <n v="9496922"/>
    <n v="8898488"/>
    <s v="NO"/>
  </r>
  <r>
    <n v="5"/>
    <x v="28"/>
    <x v="2"/>
    <s v="Mayo"/>
    <s v="HISNOSPI"/>
    <x v="49"/>
    <x v="49"/>
    <n v="19394127"/>
    <n v="720000"/>
    <n v="0"/>
    <n v="18674127"/>
    <n v="36000000"/>
    <n v="0.51872574999999999"/>
    <x v="0"/>
    <n v="25"/>
    <s v="IPS Pto De Vista San Diego"/>
    <s v="Antioquia"/>
    <s v="No Aplica"/>
    <n v="45"/>
    <n v="4036308"/>
    <n v="106"/>
    <n v="12751940"/>
    <n v="0"/>
    <n v="0"/>
    <n v="2605879"/>
    <m/>
  </r>
  <r>
    <n v="5"/>
    <x v="28"/>
    <x v="2"/>
    <s v="Mayo"/>
    <s v="MARIMASA"/>
    <x v="23"/>
    <x v="34"/>
    <n v="58369410"/>
    <n v="1537600"/>
    <n v="13663288"/>
    <n v="43168522"/>
    <n v="36000000"/>
    <n v="1.199125611111111"/>
    <x v="1"/>
    <n v="25"/>
    <s v="IPS Pto De Vista San Diego"/>
    <s v="Antioquia"/>
    <s v="Siempre Cumple"/>
    <n v="83"/>
    <n v="10310811"/>
    <n v="189"/>
    <n v="27618024"/>
    <n v="132"/>
    <n v="13663288"/>
    <n v="6777287"/>
    <s v="NO"/>
  </r>
  <r>
    <n v="5"/>
    <x v="28"/>
    <x v="2"/>
    <s v="Mayo"/>
    <s v="ANDRSAZA"/>
    <x v="45"/>
    <x v="45"/>
    <n v="50477415"/>
    <n v="1239200"/>
    <n v="6077517"/>
    <n v="43160698"/>
    <n v="26880000"/>
    <n v="1.6056807291666666"/>
    <x v="1"/>
    <n v="25"/>
    <s v="IPS Pto De Vista Santa Bárbara"/>
    <s v="Centro"/>
    <s v="Cumple"/>
    <n v="83"/>
    <n v="9024794"/>
    <n v="230"/>
    <n v="30847261"/>
    <n v="91"/>
    <n v="6077517"/>
    <n v="4527843"/>
    <s v="NO"/>
  </r>
  <r>
    <n v="5"/>
    <x v="28"/>
    <x v="2"/>
    <s v="Mayo"/>
    <s v="CAMIPUHE"/>
    <x v="53"/>
    <x v="53"/>
    <n v="28791351"/>
    <n v="842400"/>
    <n v="5794397"/>
    <n v="22154554"/>
    <n v="28000000"/>
    <n v="0.79123407142857138"/>
    <x v="1"/>
    <n v="25"/>
    <s v="IPS Pto De Vista SSura Clle100"/>
    <s v="Centro"/>
    <s v="Cumple"/>
    <n v="64"/>
    <n v="5002810"/>
    <n v="138"/>
    <n v="14790682"/>
    <n v="73"/>
    <n v="5794397"/>
    <n v="3203462"/>
    <s v="NO"/>
  </r>
  <r>
    <n v="5"/>
    <x v="28"/>
    <x v="2"/>
    <s v="Mayo"/>
    <s v="ISABMOGO"/>
    <x v="17"/>
    <x v="15"/>
    <n v="38050304"/>
    <n v="1114400"/>
    <n v="7794839"/>
    <n v="29141065"/>
    <n v="28000000"/>
    <n v="1.0407523214285714"/>
    <x v="1"/>
    <n v="25"/>
    <s v="IPS Pto De Vista Santa Bárbara"/>
    <s v="Centro"/>
    <s v="No Cumple"/>
    <n v="76"/>
    <n v="7314066"/>
    <n v="192"/>
    <n v="16741877"/>
    <n v="105"/>
    <n v="7794839"/>
    <n v="6199522"/>
    <s v="NO"/>
  </r>
  <r>
    <n v="5"/>
    <x v="28"/>
    <x v="2"/>
    <s v="Mayo"/>
    <s v="LUZNHEGO"/>
    <x v="21"/>
    <x v="19"/>
    <n v="34081946"/>
    <n v="0"/>
    <n v="3226825"/>
    <n v="30855121"/>
    <n v="30000000"/>
    <n v="1.0285040333333333"/>
    <x v="1"/>
    <n v="25"/>
    <s v="IPS Punto de Vista Mayorca"/>
    <s v="Antioquia"/>
    <s v="Siempre Cumple"/>
    <n v="62"/>
    <n v="9534552"/>
    <n v="155"/>
    <n v="18878385"/>
    <n v="43"/>
    <n v="3226825"/>
    <n v="2442184"/>
    <s v="NO"/>
  </r>
  <r>
    <n v="5"/>
    <x v="28"/>
    <x v="2"/>
    <s v="Mayo"/>
    <s v="ROCIFASA"/>
    <x v="31"/>
    <x v="28"/>
    <n v="52178442"/>
    <n v="2064040"/>
    <n v="6245377"/>
    <n v="43869025"/>
    <n v="35000000"/>
    <n v="1.2534007142857142"/>
    <x v="1"/>
    <n v="25"/>
    <s v="Optica Salud Sura Chipichape"/>
    <s v="Occidente"/>
    <s v="Cumple"/>
    <n v="91"/>
    <n v="13998124"/>
    <n v="237"/>
    <n v="23271302"/>
    <n v="67"/>
    <n v="6245377"/>
    <n v="8663639"/>
    <s v="NO"/>
  </r>
  <r>
    <n v="5"/>
    <x v="28"/>
    <x v="2"/>
    <s v="Mayo"/>
    <s v="MONILOSA"/>
    <x v="69"/>
    <x v="69"/>
    <n v="2174928"/>
    <n v="0"/>
    <n v="0"/>
    <n v="2174928"/>
    <n v="21189475"/>
    <n v="0.10264190122690628"/>
    <x v="0"/>
    <n v="25"/>
    <s v="Ferias Cali"/>
    <s v="Occidente"/>
    <s v="No Aplica"/>
    <n v="5"/>
    <n v="440092"/>
    <n v="20"/>
    <n v="1529610"/>
    <n v="0"/>
    <n v="0"/>
    <n v="205226"/>
    <m/>
  </r>
  <r>
    <n v="5"/>
    <x v="28"/>
    <x v="2"/>
    <s v="Mayo"/>
    <s v="ANGISEBR"/>
    <x v="70"/>
    <x v="70"/>
    <n v="16180078"/>
    <n v="0"/>
    <n v="702711"/>
    <n v="15477367"/>
    <n v="18000000"/>
    <n v="0.85985372222222223"/>
    <x v="1"/>
    <n v="25"/>
    <s v="Punto de Vista Tequendama"/>
    <s v="Occidente"/>
    <s v="No Cumple"/>
    <n v="40"/>
    <n v="4216893"/>
    <n v="122"/>
    <n v="10292811"/>
    <n v="9"/>
    <n v="702711"/>
    <n v="967663"/>
    <s v="NO"/>
  </r>
  <r>
    <n v="5"/>
    <x v="28"/>
    <x v="2"/>
    <s v="Mayo"/>
    <s v="MONIARGI"/>
    <x v="67"/>
    <x v="67"/>
    <n v="28083187"/>
    <n v="426000"/>
    <n v="517579"/>
    <n v="27139608"/>
    <n v="30000000"/>
    <n v="0.90465359999999995"/>
    <x v="0"/>
    <n v="25"/>
    <s v="Punto de Vista Cali Norte"/>
    <s v="Occidente"/>
    <s v="No Aplica"/>
    <n v="59"/>
    <n v="6452709"/>
    <n v="188"/>
    <n v="19561404"/>
    <n v="5"/>
    <n v="517579"/>
    <n v="1551495"/>
    <m/>
  </r>
  <r>
    <n v="5"/>
    <x v="28"/>
    <x v="2"/>
    <s v="Mayo"/>
    <s v="PAOLPACA"/>
    <x v="47"/>
    <x v="47"/>
    <n v="11369672"/>
    <n v="396000"/>
    <n v="1032336"/>
    <n v="9941336"/>
    <n v="10800000"/>
    <n v="0.92049407407407402"/>
    <x v="1"/>
    <n v="25"/>
    <s v="Punto de Vista Tequendama"/>
    <s v="Occidente"/>
    <s v="Siempre Cumple"/>
    <n v="15"/>
    <n v="1753415"/>
    <n v="82"/>
    <n v="7238069"/>
    <n v="12"/>
    <n v="1032336"/>
    <n v="1345852"/>
    <s v="NO"/>
  </r>
  <r>
    <n v="5"/>
    <x v="28"/>
    <x v="2"/>
    <s v="Mayo"/>
    <s v="TATIRITR"/>
    <x v="60"/>
    <x v="60"/>
    <n v="22294806"/>
    <n v="0"/>
    <n v="798099"/>
    <n v="21496707"/>
    <n v="30000000"/>
    <n v="0.71655690000000005"/>
    <x v="1"/>
    <n v="25"/>
    <s v="Punto de Vista Cali Norte"/>
    <s v="Occidente"/>
    <s v="No Cumple"/>
    <n v="42"/>
    <n v="5199347"/>
    <n v="146"/>
    <n v="15197199"/>
    <n v="9"/>
    <n v="798099"/>
    <n v="1100161"/>
    <s v="NO"/>
  </r>
  <r>
    <n v="5"/>
    <x v="28"/>
    <x v="2"/>
    <s v="Mayo"/>
    <s v="ANAUROCA"/>
    <x v="37"/>
    <x v="7"/>
    <n v="98000"/>
    <n v="0"/>
    <n v="98000"/>
    <n v="0"/>
    <m/>
    <m/>
    <x v="0"/>
    <n v="25"/>
    <s v=""/>
    <s v=""/>
    <s v="No Aplica"/>
    <n v="0"/>
    <n v="0"/>
    <n v="0"/>
    <n v="0"/>
    <n v="0"/>
    <n v="0"/>
    <n v="98000"/>
    <m/>
  </r>
  <r>
    <n v="5"/>
    <x v="28"/>
    <x v="2"/>
    <s v="Mayo"/>
    <s v="ANGIANPI"/>
    <x v="37"/>
    <x v="7"/>
    <n v="94800"/>
    <n v="0"/>
    <n v="94800"/>
    <n v="0"/>
    <m/>
    <m/>
    <x v="0"/>
    <n v="25"/>
    <s v=""/>
    <s v=""/>
    <s v="No Aplica"/>
    <n v="0"/>
    <n v="0"/>
    <n v="0"/>
    <n v="0"/>
    <n v="0"/>
    <n v="0"/>
    <n v="94800"/>
    <m/>
  </r>
  <r>
    <n v="5"/>
    <x v="28"/>
    <x v="2"/>
    <s v="Mayo"/>
    <s v="CAROVABE"/>
    <x v="37"/>
    <x v="7"/>
    <n v="440000"/>
    <n v="0"/>
    <n v="0"/>
    <n v="440000"/>
    <m/>
    <m/>
    <x v="0"/>
    <n v="25"/>
    <s v=""/>
    <s v=""/>
    <s v="No Aplica"/>
    <n v="0"/>
    <n v="0"/>
    <n v="0"/>
    <n v="0"/>
    <n v="0"/>
    <n v="0"/>
    <n v="440000"/>
    <m/>
  </r>
  <r>
    <n v="5"/>
    <x v="28"/>
    <x v="2"/>
    <s v="Mayo"/>
    <s v="DARWHERI"/>
    <x v="37"/>
    <x v="7"/>
    <n v="138849"/>
    <n v="0"/>
    <n v="138849"/>
    <n v="0"/>
    <m/>
    <m/>
    <x v="0"/>
    <n v="25"/>
    <s v=""/>
    <s v=""/>
    <s v="No Aplica"/>
    <n v="0"/>
    <n v="0"/>
    <n v="0"/>
    <n v="0"/>
    <n v="3"/>
    <n v="138849"/>
    <n v="0"/>
    <m/>
  </r>
  <r>
    <n v="5"/>
    <x v="28"/>
    <x v="2"/>
    <s v="Mayo"/>
    <s v="EMMAARMA"/>
    <x v="37"/>
    <x v="7"/>
    <n v="312800"/>
    <n v="0"/>
    <n v="312800"/>
    <n v="0"/>
    <m/>
    <m/>
    <x v="0"/>
    <n v="25"/>
    <s v=""/>
    <s v=""/>
    <s v="No Aplica"/>
    <n v="0"/>
    <n v="0"/>
    <n v="0"/>
    <n v="0"/>
    <n v="0"/>
    <n v="0"/>
    <n v="312800"/>
    <m/>
  </r>
  <r>
    <n v="5"/>
    <x v="28"/>
    <x v="2"/>
    <s v="Mayo"/>
    <s v="ELIZGORE"/>
    <x v="37"/>
    <x v="7"/>
    <n v="3330792"/>
    <n v="0"/>
    <n v="3330792"/>
    <n v="0"/>
    <m/>
    <m/>
    <x v="0"/>
    <n v="25"/>
    <s v=""/>
    <s v=""/>
    <s v="No Aplica"/>
    <n v="0"/>
    <n v="0"/>
    <n v="0"/>
    <n v="0"/>
    <n v="32"/>
    <n v="3330792"/>
    <n v="0"/>
    <m/>
  </r>
  <r>
    <n v="5"/>
    <x v="28"/>
    <x v="2"/>
    <s v="Mayo"/>
    <s v="HEIDVAVI"/>
    <x v="37"/>
    <x v="7"/>
    <n v="6720995"/>
    <n v="0"/>
    <n v="0"/>
    <n v="6720995"/>
    <m/>
    <m/>
    <x v="0"/>
    <n v="25"/>
    <s v=""/>
    <s v=""/>
    <s v="No Aplica"/>
    <n v="14"/>
    <n v="1340572"/>
    <n v="58"/>
    <n v="4530889"/>
    <n v="0"/>
    <n v="0"/>
    <n v="849534"/>
    <m/>
  </r>
  <r>
    <n v="5"/>
    <x v="28"/>
    <x v="2"/>
    <s v="Mayo"/>
    <s v="(en blanco)"/>
    <x v="37"/>
    <x v="7"/>
    <n v="-95388"/>
    <n v="0"/>
    <n v="0"/>
    <n v="-95388"/>
    <m/>
    <m/>
    <x v="0"/>
    <n v="25"/>
    <s v=""/>
    <s v=""/>
    <s v="No Aplica"/>
    <n v="0"/>
    <n v="0"/>
    <n v="0"/>
    <n v="0"/>
    <n v="0"/>
    <n v="0"/>
    <n v="-95388"/>
    <m/>
  </r>
  <r>
    <n v="6"/>
    <x v="29"/>
    <x v="2"/>
    <s v="Junio"/>
    <s v="DERLARMO"/>
    <x v="11"/>
    <x v="10"/>
    <n v="33216868"/>
    <n v="1856000"/>
    <n v="5864049"/>
    <n v="25496819"/>
    <n v="25000008"/>
    <n v="1.0198724336408211"/>
    <x v="1"/>
    <n v="24"/>
    <s v="IPS Pto De Vista Olaya"/>
    <s v="Centro"/>
    <s v="Cumple"/>
    <n v="83"/>
    <n v="5428657"/>
    <n v="210"/>
    <n v="18372276"/>
    <n v="77"/>
    <n v="5864049"/>
    <n v="3551886"/>
    <s v="NO"/>
  </r>
  <r>
    <n v="6"/>
    <x v="29"/>
    <x v="2"/>
    <s v="Junio"/>
    <s v="LOREBECR"/>
    <x v="68"/>
    <x v="68"/>
    <n v="23524142"/>
    <n v="528000"/>
    <n v="5646408"/>
    <n v="17349734"/>
    <n v="25000008"/>
    <n v="0.69398913792347583"/>
    <x v="1"/>
    <n v="24"/>
    <s v="IPS Pto De Vista Olaya"/>
    <s v="Centro"/>
    <s v="Fluctúa"/>
    <n v="50"/>
    <n v="4041717"/>
    <n v="144"/>
    <n v="11927267"/>
    <n v="84"/>
    <n v="5646408"/>
    <n v="1908750"/>
    <s v="NO"/>
  </r>
  <r>
    <n v="6"/>
    <x v="29"/>
    <x v="2"/>
    <s v="Junio"/>
    <s v="RAULMOGA"/>
    <x v="30"/>
    <x v="27"/>
    <n v="31991642"/>
    <n v="142000"/>
    <n v="6528939"/>
    <n v="25320703"/>
    <n v="25000008"/>
    <n v="1.0128277958951053"/>
    <x v="0"/>
    <n v="24"/>
    <s v="IPS Pto De Vista Olaya"/>
    <s v="Centro"/>
    <s v="No Aplica"/>
    <n v="76"/>
    <n v="5970359"/>
    <n v="209"/>
    <n v="16999950"/>
    <n v="91"/>
    <n v="6370339"/>
    <n v="2650994"/>
    <m/>
  </r>
  <r>
    <n v="6"/>
    <x v="29"/>
    <x v="2"/>
    <s v="Junio"/>
    <s v="MARGGAPA"/>
    <x v="22"/>
    <x v="20"/>
    <n v="93951741"/>
    <n v="912600"/>
    <n v="14341244"/>
    <n v="78697897"/>
    <n v="43333328"/>
    <n v="1.8161055389052971"/>
    <x v="1"/>
    <n v="24"/>
    <s v="IPS Pto De Vista Centro"/>
    <s v="Antioquia"/>
    <s v="Fluctúa"/>
    <n v="176"/>
    <n v="29315678"/>
    <n v="316"/>
    <n v="42543878"/>
    <n v="160"/>
    <n v="13699644"/>
    <n v="8392541"/>
    <s v="NO"/>
  </r>
  <r>
    <n v="6"/>
    <x v="29"/>
    <x v="2"/>
    <s v="Junio"/>
    <s v="NATAVAMO"/>
    <x v="63"/>
    <x v="63"/>
    <n v="56055725"/>
    <n v="145800"/>
    <n v="7394095"/>
    <n v="48515830"/>
    <n v="41541661"/>
    <n v="1.167883730022254"/>
    <x v="1"/>
    <n v="24"/>
    <s v="IPS Pto De Vista Molinos"/>
    <s v="Antioquia"/>
    <s v="Siempre Cumple"/>
    <n v="121"/>
    <n v="15944110"/>
    <n v="246"/>
    <n v="27765087"/>
    <n v="87"/>
    <n v="7394095"/>
    <n v="4952433"/>
    <s v="NO"/>
  </r>
  <r>
    <n v="6"/>
    <x v="29"/>
    <x v="2"/>
    <s v="Junio"/>
    <s v="PAULGOBA"/>
    <x v="35"/>
    <x v="36"/>
    <n v="73524529"/>
    <n v="0"/>
    <n v="7638270"/>
    <n v="65886259"/>
    <n v="43999992"/>
    <n v="1.4974152495300455"/>
    <x v="1"/>
    <n v="24"/>
    <s v="Ferias Empresariales Antioquia"/>
    <s v="Antioquia"/>
    <s v="Fluctúa"/>
    <n v="102"/>
    <n v="11454196"/>
    <n v="190"/>
    <n v="14398855"/>
    <n v="100"/>
    <n v="7638270"/>
    <n v="40033208"/>
    <s v="NO"/>
  </r>
  <r>
    <n v="6"/>
    <x v="29"/>
    <x v="2"/>
    <s v="Junio"/>
    <s v="DIANPAAL"/>
    <x v="12"/>
    <x v="11"/>
    <n v="48063192"/>
    <n v="3157200"/>
    <n v="9328740"/>
    <n v="35577252"/>
    <n v="34999992"/>
    <n v="1.0164931466270049"/>
    <x v="1"/>
    <n v="24"/>
    <s v="IPS Pto De Vista Rionegro"/>
    <s v="Antioquia"/>
    <s v="Cumple"/>
    <n v="80"/>
    <n v="7637997"/>
    <n v="202"/>
    <n v="25022671"/>
    <n v="102"/>
    <n v="9328740"/>
    <n v="6073784"/>
    <s v="NO"/>
  </r>
  <r>
    <n v="6"/>
    <x v="29"/>
    <x v="2"/>
    <s v="Junio"/>
    <s v="JAQUVEGU"/>
    <x v="18"/>
    <x v="16"/>
    <n v="39435323"/>
    <n v="1498000"/>
    <n v="8198661"/>
    <n v="29738662"/>
    <n v="27708327"/>
    <n v="1.0732752648689328"/>
    <x v="0"/>
    <n v="24"/>
    <s v="IPS Pto De Vista Rionegro"/>
    <s v="Antioquia"/>
    <s v="No Aplica"/>
    <n v="84"/>
    <n v="8238140"/>
    <n v="190"/>
    <n v="18740305"/>
    <n v="89"/>
    <n v="8198661"/>
    <n v="4258217"/>
    <m/>
  </r>
  <r>
    <n v="6"/>
    <x v="29"/>
    <x v="2"/>
    <s v="Junio"/>
    <s v="MARIOCOC"/>
    <x v="24"/>
    <x v="21"/>
    <n v="46208776"/>
    <n v="383100"/>
    <n v="8298097"/>
    <n v="37527579"/>
    <n v="34999992"/>
    <n v="1.0722167879352658"/>
    <x v="1"/>
    <n v="24"/>
    <s v="IPS Pto De Vista Rionegro"/>
    <s v="Antioquia"/>
    <s v="Cumple"/>
    <n v="82"/>
    <n v="7783424"/>
    <n v="204"/>
    <n v="24838266"/>
    <n v="91"/>
    <n v="8298097"/>
    <n v="5288989"/>
    <s v="NO"/>
  </r>
  <r>
    <n v="6"/>
    <x v="29"/>
    <x v="2"/>
    <s v="Junio"/>
    <s v="ALEXLOGR"/>
    <x v="2"/>
    <x v="2"/>
    <n v="51021069"/>
    <n v="1250400"/>
    <n v="11977239"/>
    <n v="37793430"/>
    <n v="34999992"/>
    <n v="1.0798125325285788"/>
    <x v="1"/>
    <n v="24"/>
    <s v="IPS Punto de Vista Bello"/>
    <s v="Antioquia"/>
    <s v="Fluctúa"/>
    <n v="88"/>
    <n v="7614101"/>
    <n v="196"/>
    <n v="25874675"/>
    <n v="119"/>
    <n v="11977239"/>
    <n v="5555054"/>
    <s v="NO"/>
  </r>
  <r>
    <n v="6"/>
    <x v="29"/>
    <x v="2"/>
    <s v="Junio"/>
    <s v="YULIRIRE"/>
    <x v="57"/>
    <x v="57"/>
    <n v="32354943"/>
    <n v="0"/>
    <n v="8133949"/>
    <n v="24220994"/>
    <n v="34999992"/>
    <n v="0.69202855817795617"/>
    <x v="1"/>
    <n v="24"/>
    <s v="IPS Punto de Vista Bello"/>
    <s v="Antioquia"/>
    <s v="Fluctúa"/>
    <n v="50"/>
    <n v="3698871"/>
    <n v="136"/>
    <n v="17387590"/>
    <n v="83"/>
    <n v="8133949"/>
    <n v="3134533"/>
    <s v="NO"/>
  </r>
  <r>
    <n v="6"/>
    <x v="29"/>
    <x v="2"/>
    <s v="Junio"/>
    <s v="ADRIMOLU"/>
    <x v="1"/>
    <x v="1"/>
    <n v="73455213"/>
    <n v="2352380"/>
    <n v="15918064"/>
    <n v="55184769"/>
    <n v="43999992"/>
    <n v="1.2541995234908225"/>
    <x v="1"/>
    <n v="24"/>
    <s v="IPS Pto De Vista Molinos"/>
    <s v="Antioquia"/>
    <s v="Cumple"/>
    <n v="122"/>
    <n v="12269886"/>
    <n v="309"/>
    <n v="34898555"/>
    <n v="162"/>
    <n v="15918064"/>
    <n v="10368708"/>
    <s v="NO"/>
  </r>
  <r>
    <n v="6"/>
    <x v="29"/>
    <x v="2"/>
    <s v="Junio"/>
    <s v="LEIDCAOR"/>
    <x v="71"/>
    <x v="71"/>
    <n v="5750412"/>
    <n v="162000"/>
    <n v="1062363"/>
    <n v="4526049"/>
    <n v="31166661"/>
    <n v="0.14522084993320267"/>
    <x v="1"/>
    <n v="24"/>
    <s v="IPS Punto de Vista Mayorca"/>
    <s v="Antioquia"/>
    <s v="Fluctúa"/>
    <n v="14"/>
    <n v="1283644"/>
    <n v="34"/>
    <n v="2677801"/>
    <n v="15"/>
    <n v="1062363"/>
    <n v="726604"/>
    <s v="NO"/>
  </r>
  <r>
    <n v="6"/>
    <x v="29"/>
    <x v="2"/>
    <s v="Junio"/>
    <s v="LILACARA"/>
    <x v="19"/>
    <x v="17"/>
    <n v="59100041"/>
    <n v="1232000"/>
    <n v="12715961"/>
    <n v="45152080"/>
    <n v="43999992"/>
    <n v="1.0261838229425133"/>
    <x v="1"/>
    <n v="24"/>
    <s v="IPS Pto De Vista Molinos"/>
    <s v="Antioquia"/>
    <s v="Cumple"/>
    <n v="102"/>
    <n v="11741116"/>
    <n v="258"/>
    <n v="28813392"/>
    <n v="139"/>
    <n v="12715961"/>
    <n v="5829572"/>
    <s v="NO"/>
  </r>
  <r>
    <n v="6"/>
    <x v="29"/>
    <x v="2"/>
    <s v="Junio"/>
    <s v="SUANHECO"/>
    <x v="58"/>
    <x v="58"/>
    <n v="70398823"/>
    <n v="440000"/>
    <n v="14830300"/>
    <n v="55128523"/>
    <n v="43999992"/>
    <n v="1.2529212050765828"/>
    <x v="1"/>
    <n v="24"/>
    <s v="IPS Pto De Vista Molinos"/>
    <s v="Antioquia"/>
    <s v="Fluctúa"/>
    <n v="110"/>
    <n v="12909378"/>
    <n v="294"/>
    <n v="35982724"/>
    <n v="158"/>
    <n v="14830300"/>
    <n v="6676421"/>
    <s v="NO"/>
  </r>
  <r>
    <n v="6"/>
    <x v="29"/>
    <x v="2"/>
    <s v="Junio"/>
    <s v="ZULYARGA"/>
    <x v="34"/>
    <x v="31"/>
    <n v="66243539"/>
    <n v="910200"/>
    <n v="12188446"/>
    <n v="53144893"/>
    <n v="43999992"/>
    <n v="1.207838696879763"/>
    <x v="1"/>
    <n v="24"/>
    <s v="IPS Pto De Vista Molinos"/>
    <s v="Antioquia"/>
    <n v="0"/>
    <n v="97"/>
    <n v="10198131"/>
    <n v="286"/>
    <n v="35378461"/>
    <n v="122"/>
    <n v="12188446"/>
    <n v="8478501"/>
    <s v="NO"/>
  </r>
  <r>
    <n v="6"/>
    <x v="29"/>
    <x v="2"/>
    <s v="Junio"/>
    <s v="BIBIBECA"/>
    <x v="6"/>
    <x v="6"/>
    <n v="61004406"/>
    <n v="324000"/>
    <n v="16888310"/>
    <n v="43792096"/>
    <n v="42000000"/>
    <n v="1.0426689523809525"/>
    <x v="1"/>
    <n v="24"/>
    <s v="IPS Pto De Vista Centro"/>
    <s v="Antioquia"/>
    <s v="Fluctúa"/>
    <n v="122"/>
    <n v="10391028"/>
    <n v="314"/>
    <n v="27679691"/>
    <n v="176"/>
    <n v="16888310"/>
    <n v="6045377"/>
    <s v="NO"/>
  </r>
  <r>
    <n v="6"/>
    <x v="29"/>
    <x v="2"/>
    <s v="Junio"/>
    <s v="CINDGACU"/>
    <x v="55"/>
    <x v="55"/>
    <n v="55940559"/>
    <n v="1790000"/>
    <n v="11441032"/>
    <n v="42709527"/>
    <n v="42000000"/>
    <n v="1.0168934999999999"/>
    <x v="1"/>
    <n v="24"/>
    <s v="IPS Pto De Vista San Diego"/>
    <s v="Antioquia"/>
    <s v="Siempre Cumple"/>
    <n v="95"/>
    <n v="8534625"/>
    <n v="279"/>
    <n v="28176989"/>
    <n v="118"/>
    <n v="11441032"/>
    <n v="7787913"/>
    <s v="NO"/>
  </r>
  <r>
    <n v="6"/>
    <x v="29"/>
    <x v="2"/>
    <s v="Junio"/>
    <s v="CLAUBLAR"/>
    <x v="9"/>
    <x v="8"/>
    <n v="55504913"/>
    <n v="702000"/>
    <n v="10386459"/>
    <n v="44416454"/>
    <n v="42000000"/>
    <n v="1.0575346190476191"/>
    <x v="1"/>
    <n v="24"/>
    <s v="IPS Pto De Vista Centro"/>
    <s v="Antioquia"/>
    <s v="Fluctúa"/>
    <n v="92"/>
    <n v="9636178"/>
    <n v="228"/>
    <n v="28926721"/>
    <n v="107"/>
    <n v="10386459"/>
    <n v="6555555"/>
    <s v="NO"/>
  </r>
  <r>
    <n v="6"/>
    <x v="29"/>
    <x v="2"/>
    <s v="Junio"/>
    <s v="HERIRORO"/>
    <x v="52"/>
    <x v="52"/>
    <n v="26746114"/>
    <n v="639000"/>
    <n v="7140106"/>
    <n v="18967008"/>
    <n v="31500000"/>
    <n v="0.60212723809523805"/>
    <x v="1"/>
    <n v="24"/>
    <s v="IPS Pto De Vista Centro"/>
    <s v="Antioquia"/>
    <s v="Siempre Cumple"/>
    <n v="52"/>
    <n v="4125397"/>
    <n v="130"/>
    <n v="12928544"/>
    <n v="68"/>
    <n v="7140106"/>
    <n v="2552067"/>
    <s v="Regreso Vacaciones"/>
  </r>
  <r>
    <n v="6"/>
    <x v="29"/>
    <x v="2"/>
    <s v="Junio"/>
    <s v="NOREARMA"/>
    <x v="66"/>
    <x v="66"/>
    <n v="61571269"/>
    <n v="440000"/>
    <n v="12182367"/>
    <n v="48948902"/>
    <n v="42999996"/>
    <n v="1.1383466640322477"/>
    <x v="1"/>
    <n v="24"/>
    <s v="IPS Pto De Vista San Diego"/>
    <s v="Antioquia"/>
    <s v="Fluctúa"/>
    <n v="92"/>
    <n v="9925612"/>
    <n v="216"/>
    <n v="33946944"/>
    <n v="119"/>
    <n v="12084367"/>
    <n v="5614346"/>
    <s v="NO"/>
  </r>
  <r>
    <n v="6"/>
    <x v="29"/>
    <x v="2"/>
    <s v="Junio"/>
    <s v="YENISIGI"/>
    <x v="64"/>
    <x v="64"/>
    <n v="54151760"/>
    <n v="1338600"/>
    <n v="10240837"/>
    <n v="42572323"/>
    <n v="42000000"/>
    <n v="1.0136267380952382"/>
    <x v="1"/>
    <n v="24"/>
    <s v="IPS Pto De Vista Centro"/>
    <s v="Antioquia"/>
    <s v="Fluctúa"/>
    <n v="99"/>
    <n v="9426716"/>
    <n v="266"/>
    <n v="26944206"/>
    <n v="111"/>
    <n v="10240837"/>
    <n v="7540001"/>
    <s v="NO"/>
  </r>
  <r>
    <n v="6"/>
    <x v="29"/>
    <x v="2"/>
    <s v="Junio"/>
    <s v="NATAPIDU"/>
    <x v="28"/>
    <x v="25"/>
    <n v="63072591"/>
    <n v="429300"/>
    <n v="6277098"/>
    <n v="56366193"/>
    <n v="40000008"/>
    <n v="1.4091545431690913"/>
    <x v="1"/>
    <n v="24"/>
    <s v="IPS Pto De Vista Industriales"/>
    <s v="Antioquia"/>
    <s v="Cumple"/>
    <n v="62"/>
    <n v="12071245"/>
    <n v="183"/>
    <n v="39041938"/>
    <n v="70"/>
    <n v="6277098"/>
    <n v="5682310"/>
    <s v="NO"/>
  </r>
  <r>
    <n v="6"/>
    <x v="29"/>
    <x v="2"/>
    <s v="Junio"/>
    <s v="ALVAOSOS"/>
    <x v="36"/>
    <x v="37"/>
    <n v="58694433"/>
    <n v="2254500"/>
    <n v="10791944"/>
    <n v="45647989"/>
    <n v="43999992"/>
    <n v="1.0374544840826334"/>
    <x v="1"/>
    <n v="24"/>
    <s v="IPS Pto De Vista Punto Clave"/>
    <s v="Antioquia"/>
    <s v="Siempre Cumple"/>
    <n v="84"/>
    <n v="10004279"/>
    <n v="206"/>
    <n v="28538534"/>
    <n v="114"/>
    <n v="10791944"/>
    <n v="9359676"/>
    <s v="NO"/>
  </r>
  <r>
    <n v="6"/>
    <x v="29"/>
    <x v="2"/>
    <s v="Junio"/>
    <s v="CARORAMN"/>
    <x v="61"/>
    <x v="61"/>
    <n v="29936982"/>
    <n v="1244310"/>
    <n v="8526449"/>
    <n v="20166223"/>
    <n v="43999992"/>
    <n v="0.45832333333151515"/>
    <x v="1"/>
    <n v="24"/>
    <s v="IPS Pto De Vista Punto Clave"/>
    <s v="Antioquia"/>
    <s v="No Cumple"/>
    <n v="49"/>
    <n v="5430639"/>
    <n v="108"/>
    <n v="11930211"/>
    <n v="91"/>
    <n v="8526449"/>
    <n v="4049683"/>
    <s v="NO"/>
  </r>
  <r>
    <n v="6"/>
    <x v="29"/>
    <x v="2"/>
    <s v="Junio"/>
    <s v="DEISCACR"/>
    <x v="50"/>
    <x v="50"/>
    <n v="56043906"/>
    <n v="858400"/>
    <n v="9061865"/>
    <n v="46123641"/>
    <n v="43999992"/>
    <n v="1.0482647587754106"/>
    <x v="1"/>
    <n v="24"/>
    <s v="IPS Pto De Vista Punto Clave"/>
    <s v="Antioquia"/>
    <s v="Fluctúa"/>
    <n v="91"/>
    <n v="10885911"/>
    <n v="200"/>
    <n v="25410079"/>
    <n v="99"/>
    <n v="9061865"/>
    <n v="10686051"/>
    <s v="NO"/>
  </r>
  <r>
    <n v="6"/>
    <x v="29"/>
    <x v="2"/>
    <s v="Junio"/>
    <s v="GENNHEPO"/>
    <x v="16"/>
    <x v="14"/>
    <n v="39814638"/>
    <n v="1090200"/>
    <n v="6866584"/>
    <n v="31857854"/>
    <n v="21999996"/>
    <n v="1.4480845360153702"/>
    <x v="1"/>
    <n v="24"/>
    <s v="IPS Pto De Vista Punto Clave"/>
    <s v="Antioquia"/>
    <s v="Fluctúa"/>
    <n v="62"/>
    <n v="6934672"/>
    <n v="166"/>
    <n v="18606372"/>
    <n v="76"/>
    <n v="6866584"/>
    <n v="7407010"/>
    <s v="Inicio Vacaciones"/>
  </r>
  <r>
    <n v="6"/>
    <x v="29"/>
    <x v="2"/>
    <s v="Junio"/>
    <s v="LEIDGOVI"/>
    <x v="39"/>
    <x v="39"/>
    <n v="58108152"/>
    <n v="827100"/>
    <n v="9486991"/>
    <n v="47794061"/>
    <n v="43999992"/>
    <n v="1.0862288565870648"/>
    <x v="1"/>
    <n v="24"/>
    <s v="IPS Pto De Vista Punto Clave"/>
    <s v="Antioquia"/>
    <s v="Fluctúa"/>
    <n v="92"/>
    <n v="10965723"/>
    <n v="244"/>
    <n v="31354972"/>
    <n v="97"/>
    <n v="9486991"/>
    <n v="6300466"/>
    <s v="NO"/>
  </r>
  <r>
    <n v="6"/>
    <x v="29"/>
    <x v="2"/>
    <s v="Junio"/>
    <s v="YENYSUPE"/>
    <x v="51"/>
    <x v="51"/>
    <n v="31321038"/>
    <n v="1370400"/>
    <n v="11118747"/>
    <n v="18831891"/>
    <n v="43999992"/>
    <n v="0.42799760054501829"/>
    <x v="1"/>
    <n v="24"/>
    <s v="IPS Pto De Vista Punto Clave"/>
    <s v="Antioquia"/>
    <s v="Cumple"/>
    <n v="43"/>
    <n v="3881608"/>
    <n v="112"/>
    <n v="9727956"/>
    <n v="119"/>
    <n v="11118747"/>
    <n v="6592727"/>
    <s v="NO"/>
  </r>
  <r>
    <n v="6"/>
    <x v="29"/>
    <x v="2"/>
    <s v="Junio"/>
    <s v="YURAUSVE"/>
    <x v="56"/>
    <x v="56"/>
    <n v="64133490"/>
    <n v="790000"/>
    <n v="11856226"/>
    <n v="51487264"/>
    <n v="43999992"/>
    <n v="1.1701653036664188"/>
    <x v="1"/>
    <n v="24"/>
    <s v="IPS Pto De Vista Punto Clave"/>
    <s v="Antioquia"/>
    <n v="0"/>
    <n v="109"/>
    <n v="11871564"/>
    <n v="271"/>
    <n v="30814793"/>
    <n v="120"/>
    <n v="11856226"/>
    <n v="9590907"/>
    <s v="NO"/>
  </r>
  <r>
    <n v="6"/>
    <x v="29"/>
    <x v="2"/>
    <s v="Junio"/>
    <s v="ANAMLOBE"/>
    <x v="3"/>
    <x v="3"/>
    <n v="79445947"/>
    <n v="648000"/>
    <n v="13350375"/>
    <n v="65447572"/>
    <n v="43999992"/>
    <n v="1.4874450886263797"/>
    <x v="1"/>
    <n v="24"/>
    <s v="IPS Pto De Vista Unicentro"/>
    <s v="Antioquia"/>
    <s v="Siempre Cumple"/>
    <n v="117"/>
    <n v="16822712"/>
    <n v="248"/>
    <n v="41384809"/>
    <n v="131"/>
    <n v="13350375"/>
    <n v="7888051"/>
    <s v="NO"/>
  </r>
  <r>
    <n v="6"/>
    <x v="29"/>
    <x v="2"/>
    <s v="Junio"/>
    <s v="DIANQUME"/>
    <x v="14"/>
    <x v="12"/>
    <n v="34323139"/>
    <n v="1139100"/>
    <n v="5211348"/>
    <n v="27972691"/>
    <n v="12833331"/>
    <n v="2.1796906040995903"/>
    <x v="1"/>
    <n v="24"/>
    <s v="IPS Pto De Vista Molinos"/>
    <s v="Antioquia"/>
    <s v="Cumple"/>
    <n v="46"/>
    <n v="5172518"/>
    <n v="121"/>
    <n v="18902652"/>
    <n v="54"/>
    <n v="5211348"/>
    <n v="5036621"/>
    <m/>
  </r>
  <r>
    <n v="6"/>
    <x v="29"/>
    <x v="2"/>
    <s v="Junio"/>
    <s v="ELIZVESU"/>
    <x v="15"/>
    <x v="13"/>
    <n v="63538198"/>
    <n v="1126980"/>
    <n v="10586154"/>
    <n v="51825064"/>
    <n v="43999992"/>
    <n v="1.1778425777895596"/>
    <x v="1"/>
    <n v="24"/>
    <s v="IPS Pto De Vista Unicentro"/>
    <s v="Antioquia"/>
    <s v="Fluctúa"/>
    <n v="101"/>
    <n v="13438377"/>
    <n v="232"/>
    <n v="31326233"/>
    <n v="108"/>
    <n v="10586154"/>
    <n v="8187434"/>
    <s v="NO"/>
  </r>
  <r>
    <n v="6"/>
    <x v="29"/>
    <x v="2"/>
    <s v="Junio"/>
    <s v="VIVIVAZA"/>
    <x v="33"/>
    <x v="30"/>
    <n v="82152793"/>
    <n v="792000"/>
    <n v="15857784"/>
    <n v="65503009"/>
    <n v="43999992"/>
    <n v="1.4887050206736401"/>
    <x v="1"/>
    <n v="24"/>
    <s v="IPS Pto De Vista Unicentro"/>
    <s v="Antioquia"/>
    <s v="Cumple"/>
    <n v="128"/>
    <n v="15148716"/>
    <n v="292"/>
    <n v="40814686"/>
    <n v="166"/>
    <n v="15857784"/>
    <n v="10331607"/>
    <s v="NO"/>
  </r>
  <r>
    <n v="6"/>
    <x v="29"/>
    <x v="2"/>
    <s v="Junio"/>
    <s v="ANGEGAAR"/>
    <x v="4"/>
    <x v="4"/>
    <n v="28213946"/>
    <n v="0"/>
    <n v="5899609"/>
    <n v="22314337"/>
    <n v="16500000"/>
    <n v="1.3523840606060606"/>
    <x v="1"/>
    <n v="24"/>
    <s v="IPS Pto De Vista San Diego"/>
    <s v="Antioquia"/>
    <s v="Fluctúa"/>
    <n v="43"/>
    <n v="5378389"/>
    <n v="104"/>
    <n v="13418245"/>
    <n v="61"/>
    <n v="5899609"/>
    <n v="3517703"/>
    <s v="NO"/>
  </r>
  <r>
    <n v="6"/>
    <x v="29"/>
    <x v="2"/>
    <s v="Junio"/>
    <s v="ERIKSAVA"/>
    <x v="44"/>
    <x v="44"/>
    <n v="26830618"/>
    <n v="220000"/>
    <n v="5124991"/>
    <n v="21485627"/>
    <n v="18000000"/>
    <n v="1.1936459444444445"/>
    <x v="1"/>
    <n v="24"/>
    <s v="IPS Pto De Vista San Diego"/>
    <s v="Antioquia"/>
    <s v="No Cumple"/>
    <n v="42"/>
    <n v="5135785"/>
    <n v="94"/>
    <n v="14114114"/>
    <n v="51"/>
    <n v="5124991"/>
    <n v="2455728"/>
    <s v="NO"/>
  </r>
  <r>
    <n v="6"/>
    <x v="29"/>
    <x v="2"/>
    <s v="Junio"/>
    <s v="HISNOSPI"/>
    <x v="49"/>
    <x v="49"/>
    <n v="38518756"/>
    <n v="0"/>
    <n v="959863"/>
    <n v="37558893"/>
    <n v="36000000"/>
    <n v="1.0433025833333334"/>
    <x v="0"/>
    <n v="24"/>
    <s v="IPS Pto De Vista San Diego"/>
    <s v="Antioquia"/>
    <s v="No Aplica"/>
    <n v="77"/>
    <n v="7512944"/>
    <n v="214"/>
    <n v="25439310"/>
    <n v="9"/>
    <n v="959863"/>
    <n v="4606639"/>
    <m/>
  </r>
  <r>
    <n v="6"/>
    <x v="29"/>
    <x v="2"/>
    <s v="Junio"/>
    <s v="LEIDPAPA"/>
    <x v="72"/>
    <x v="72"/>
    <n v="28915864"/>
    <n v="324000"/>
    <n v="7588486"/>
    <n v="21003378"/>
    <n v="36000000"/>
    <n v="0.58342716666666672"/>
    <x v="1"/>
    <n v="24"/>
    <s v="IPS Pto De Vista Punto Clave"/>
    <s v="Antioquia"/>
    <s v="Siempre Cumple"/>
    <n v="47"/>
    <n v="5136769"/>
    <n v="110"/>
    <n v="11699283"/>
    <n v="76"/>
    <n v="7588486"/>
    <n v="4491326"/>
    <s v="NO"/>
  </r>
  <r>
    <n v="6"/>
    <x v="29"/>
    <x v="2"/>
    <s v="Junio"/>
    <s v="MARIMASA"/>
    <x v="23"/>
    <x v="34"/>
    <n v="60693158"/>
    <n v="882200"/>
    <n v="19626904"/>
    <n v="40184054"/>
    <n v="36000000"/>
    <n v="1.1162237222222222"/>
    <x v="1"/>
    <n v="24"/>
    <s v="IPS Pto De Vista San Diego"/>
    <s v="Antioquia"/>
    <s v="Siempre Cumple"/>
    <n v="86"/>
    <n v="9603237"/>
    <n v="199"/>
    <n v="26267178"/>
    <n v="202"/>
    <n v="19626904"/>
    <n v="5195839"/>
    <s v="NO"/>
  </r>
  <r>
    <n v="6"/>
    <x v="29"/>
    <x v="2"/>
    <s v="Junio"/>
    <s v="ANDRSAZA"/>
    <x v="45"/>
    <x v="45"/>
    <n v="49736292"/>
    <n v="565200"/>
    <n v="8645545"/>
    <n v="40525547"/>
    <n v="28000008"/>
    <n v="1.4473405507598427"/>
    <x v="1"/>
    <n v="24"/>
    <s v="IPS Pto De Vista Santa Bárbara"/>
    <s v="Centro"/>
    <s v="Cumple"/>
    <n v="74"/>
    <n v="7770518"/>
    <n v="207"/>
    <n v="29863578"/>
    <n v="107"/>
    <n v="8645545"/>
    <n v="3456651"/>
    <s v="NO"/>
  </r>
  <r>
    <n v="6"/>
    <x v="29"/>
    <x v="2"/>
    <s v="Junio"/>
    <s v="CAMIPUHE"/>
    <x v="53"/>
    <x v="53"/>
    <n v="40740922"/>
    <n v="1484400"/>
    <n v="5933812"/>
    <n v="33322710"/>
    <n v="28000008"/>
    <n v="1.1900964456867298"/>
    <x v="1"/>
    <n v="24"/>
    <s v="IPS Pto De Vista SSura Clle100"/>
    <s v="Centro"/>
    <s v="Cumple"/>
    <n v="73"/>
    <n v="7459941"/>
    <n v="186"/>
    <n v="21681244"/>
    <n v="78"/>
    <n v="5933812"/>
    <n v="5665925"/>
    <s v="NO"/>
  </r>
  <r>
    <n v="6"/>
    <x v="29"/>
    <x v="2"/>
    <s v="Junio"/>
    <s v="ISABMOGO"/>
    <x v="17"/>
    <x v="15"/>
    <n v="39185604"/>
    <n v="0"/>
    <n v="6520210"/>
    <n v="32665394"/>
    <n v="28000008"/>
    <n v="1.1666208809654626"/>
    <x v="1"/>
    <n v="24"/>
    <s v="IPS Pto De Vista Santa Bárbara"/>
    <s v="Centro"/>
    <s v="No Cumple"/>
    <n v="71"/>
    <n v="7406424"/>
    <n v="199"/>
    <n v="23527328"/>
    <n v="93"/>
    <n v="6520210"/>
    <n v="1731642"/>
    <s v="NO"/>
  </r>
  <r>
    <n v="6"/>
    <x v="29"/>
    <x v="2"/>
    <s v="Junio"/>
    <s v="LUZNHEGO"/>
    <x v="21"/>
    <x v="19"/>
    <n v="30555086"/>
    <n v="475200"/>
    <n v="3543016"/>
    <n v="26536870"/>
    <n v="30000000"/>
    <n v="0.88456233333333334"/>
    <x v="1"/>
    <n v="24"/>
    <s v="IPS Punto de Vista Mayorca"/>
    <s v="Antioquia"/>
    <s v="Siempre Cumple"/>
    <n v="41"/>
    <n v="6408991"/>
    <n v="138"/>
    <n v="17984173"/>
    <n v="46"/>
    <n v="3543016"/>
    <n v="2618906"/>
    <s v="NO"/>
  </r>
  <r>
    <n v="6"/>
    <x v="29"/>
    <x v="2"/>
    <s v="Junio"/>
    <s v="ROCIFASA"/>
    <x v="31"/>
    <x v="28"/>
    <n v="49072187"/>
    <n v="921240"/>
    <n v="7316771"/>
    <n v="40834176"/>
    <n v="34999992"/>
    <n v="1.1666910095293737"/>
    <x v="1"/>
    <n v="24"/>
    <s v="Optica Salud Sura Chipichape"/>
    <s v="Occidente"/>
    <s v="Cumple"/>
    <n v="77"/>
    <n v="12103466"/>
    <n v="208"/>
    <n v="25556767"/>
    <n v="79"/>
    <n v="7316771"/>
    <n v="4095183"/>
    <s v="NO"/>
  </r>
  <r>
    <n v="6"/>
    <x v="29"/>
    <x v="2"/>
    <s v="Junio"/>
    <s v="MONILOSA"/>
    <x v="69"/>
    <x v="69"/>
    <n v="34033003"/>
    <n v="409590"/>
    <n v="3935746"/>
    <n v="29687667"/>
    <n v="26306832"/>
    <n v="1.1285154746113102"/>
    <x v="0"/>
    <n v="24"/>
    <s v="Ferias Cali"/>
    <s v="Occidente"/>
    <s v="No Aplica"/>
    <n v="66"/>
    <n v="5261628"/>
    <n v="138"/>
    <n v="14546588"/>
    <n v="50"/>
    <n v="3935746"/>
    <n v="10289041"/>
    <m/>
  </r>
  <r>
    <n v="6"/>
    <x v="29"/>
    <x v="2"/>
    <s v="Junio"/>
    <s v="ANGISEBR"/>
    <x v="70"/>
    <x v="70"/>
    <n v="45229294"/>
    <n v="112800"/>
    <n v="14625416"/>
    <n v="30491078"/>
    <n v="30000000"/>
    <n v="1.0163692666666666"/>
    <x v="1"/>
    <n v="24"/>
    <s v="Punto de Vista Tequendama"/>
    <s v="Occidente"/>
    <s v="No Cumple"/>
    <n v="76"/>
    <n v="7976255"/>
    <n v="202"/>
    <n v="20205415"/>
    <n v="176"/>
    <n v="14625416"/>
    <n v="2422208"/>
    <s v="NO"/>
  </r>
  <r>
    <n v="6"/>
    <x v="29"/>
    <x v="2"/>
    <s v="Junio"/>
    <s v="HEIDVAVI"/>
    <x v="73"/>
    <x v="73"/>
    <n v="29764812"/>
    <n v="0"/>
    <n v="14291838"/>
    <n v="15472974"/>
    <n v="30000000"/>
    <n v="0.51576580000000005"/>
    <x v="1"/>
    <n v="24"/>
    <s v="Punto de Vista Cali Norte"/>
    <s v="Occidente"/>
    <s v="Siempre Cumple"/>
    <n v="30"/>
    <n v="3683714"/>
    <n v="116"/>
    <n v="10723952"/>
    <n v="142"/>
    <n v="14291838"/>
    <n v="1065308"/>
    <s v="NO"/>
  </r>
  <r>
    <n v="6"/>
    <x v="29"/>
    <x v="2"/>
    <s v="Junio"/>
    <s v="MONIARGI"/>
    <x v="67"/>
    <x v="67"/>
    <n v="39121039"/>
    <n v="0"/>
    <n v="16044156"/>
    <n v="23076883"/>
    <n v="30000000"/>
    <n v="0.76922943333333338"/>
    <x v="0"/>
    <n v="24"/>
    <s v="Punto de Vista Cali Norte"/>
    <s v="Occidente"/>
    <s v="No Aplica"/>
    <n v="53"/>
    <n v="5811497"/>
    <n v="174"/>
    <n v="15736016"/>
    <n v="164"/>
    <n v="16044156"/>
    <n v="1529370"/>
    <m/>
  </r>
  <r>
    <n v="6"/>
    <x v="29"/>
    <x v="2"/>
    <s v="Junio"/>
    <s v="PAOLPACA"/>
    <x v="47"/>
    <x v="47"/>
    <n v="43634310"/>
    <n v="0"/>
    <n v="11817167"/>
    <n v="31817143"/>
    <n v="30000000"/>
    <n v="1.0605714333333334"/>
    <x v="1"/>
    <n v="24"/>
    <s v="Punto de Vista Tequendama"/>
    <s v="Occidente"/>
    <s v="Siempre Cumple"/>
    <n v="62"/>
    <n v="6764719"/>
    <n v="186"/>
    <n v="21689121"/>
    <n v="121"/>
    <n v="11817167"/>
    <n v="3363303"/>
    <s v="NO"/>
  </r>
  <r>
    <n v="6"/>
    <x v="29"/>
    <x v="2"/>
    <s v="Junio"/>
    <s v="TATIRITR"/>
    <x v="60"/>
    <x v="60"/>
    <n v="32780935"/>
    <n v="0"/>
    <n v="11217749"/>
    <n v="21563186"/>
    <n v="30000000"/>
    <n v="0.71877286666666662"/>
    <x v="1"/>
    <n v="24"/>
    <s v="Punto de Vista Cali Norte"/>
    <s v="Occidente"/>
    <s v="No Cumple"/>
    <n v="51"/>
    <n v="5248485"/>
    <n v="141"/>
    <n v="14590951"/>
    <n v="137"/>
    <n v="11217749"/>
    <n v="1723750"/>
    <s v="NO"/>
  </r>
  <r>
    <n v="6"/>
    <x v="29"/>
    <x v="2"/>
    <s v="Junio"/>
    <s v="ANAKBEZA"/>
    <x v="37"/>
    <x v="7"/>
    <n v="195326"/>
    <n v="0"/>
    <n v="0"/>
    <n v="195326"/>
    <m/>
    <m/>
    <x v="0"/>
    <n v="24"/>
    <s v=""/>
    <s v=""/>
    <s v="No Aplica"/>
    <n v="1"/>
    <n v="61429"/>
    <n v="2"/>
    <n v="133897"/>
    <n v="0"/>
    <n v="0"/>
    <n v="0"/>
    <m/>
  </r>
  <r>
    <n v="6"/>
    <x v="29"/>
    <x v="2"/>
    <s v="Junio"/>
    <s v="CARORICA"/>
    <x v="37"/>
    <x v="7"/>
    <n v="148255"/>
    <n v="0"/>
    <n v="0"/>
    <n v="148255"/>
    <m/>
    <m/>
    <x v="0"/>
    <n v="24"/>
    <s v=""/>
    <s v=""/>
    <s v="No Aplica"/>
    <n v="0"/>
    <n v="0"/>
    <n v="2"/>
    <n v="55255"/>
    <n v="0"/>
    <n v="0"/>
    <n v="93000"/>
    <m/>
  </r>
  <r>
    <n v="6"/>
    <x v="29"/>
    <x v="2"/>
    <s v="Junio"/>
    <s v="DARWHERI"/>
    <x v="37"/>
    <x v="7"/>
    <n v="46283"/>
    <n v="0"/>
    <n v="46283"/>
    <n v="0"/>
    <m/>
    <m/>
    <x v="0"/>
    <n v="24"/>
    <s v=""/>
    <s v=""/>
    <s v="No Aplica"/>
    <n v="0"/>
    <n v="0"/>
    <n v="0"/>
    <n v="0"/>
    <n v="1"/>
    <n v="46283"/>
    <n v="0"/>
    <m/>
  </r>
  <r>
    <n v="6"/>
    <x v="29"/>
    <x v="2"/>
    <s v="Junio"/>
    <s v="DIANGUAV"/>
    <x v="37"/>
    <x v="7"/>
    <n v="57600"/>
    <n v="0"/>
    <n v="0"/>
    <n v="57600"/>
    <m/>
    <m/>
    <x v="0"/>
    <n v="24"/>
    <s v=""/>
    <s v=""/>
    <s v="No Aplica"/>
    <n v="0"/>
    <n v="0"/>
    <n v="2"/>
    <n v="57600"/>
    <n v="0"/>
    <n v="0"/>
    <n v="0"/>
    <m/>
  </r>
  <r>
    <n v="6"/>
    <x v="29"/>
    <x v="2"/>
    <s v="Junio"/>
    <s v="DIANPOPA"/>
    <x v="37"/>
    <x v="7"/>
    <n v="107575"/>
    <n v="0"/>
    <n v="0"/>
    <n v="107575"/>
    <m/>
    <m/>
    <x v="0"/>
    <n v="24"/>
    <s v=""/>
    <s v=""/>
    <s v="No Aplica"/>
    <n v="1"/>
    <n v="66000"/>
    <n v="2"/>
    <n v="41575"/>
    <n v="0"/>
    <n v="0"/>
    <n v="0"/>
    <m/>
  </r>
  <r>
    <n v="6"/>
    <x v="29"/>
    <x v="2"/>
    <s v="Junio"/>
    <s v="JENNLORA"/>
    <x v="37"/>
    <x v="7"/>
    <n v="109600"/>
    <n v="0"/>
    <n v="109600"/>
    <n v="0"/>
    <m/>
    <m/>
    <x v="0"/>
    <n v="24"/>
    <s v=""/>
    <s v=""/>
    <s v="No Aplica"/>
    <n v="0"/>
    <n v="0"/>
    <n v="0"/>
    <n v="0"/>
    <n v="0"/>
    <n v="0"/>
    <n v="109600"/>
    <m/>
  </r>
  <r>
    <n v="6"/>
    <x v="29"/>
    <x v="2"/>
    <s v="Junio"/>
    <s v="LEIDMARA"/>
    <x v="37"/>
    <x v="7"/>
    <n v="190600"/>
    <n v="0"/>
    <n v="190600"/>
    <n v="0"/>
    <m/>
    <m/>
    <x v="0"/>
    <n v="24"/>
    <s v=""/>
    <s v=""/>
    <s v="No Aplica"/>
    <n v="0"/>
    <n v="0"/>
    <n v="0"/>
    <n v="0"/>
    <n v="0"/>
    <n v="0"/>
    <n v="190600"/>
    <m/>
  </r>
  <r>
    <n v="6"/>
    <x v="29"/>
    <x v="2"/>
    <s v="Junio"/>
    <s v="MARIREAR"/>
    <x v="37"/>
    <x v="7"/>
    <n v="94800"/>
    <n v="0"/>
    <n v="94800"/>
    <n v="0"/>
    <m/>
    <m/>
    <x v="0"/>
    <n v="24"/>
    <s v=""/>
    <s v=""/>
    <s v="No Aplica"/>
    <n v="0"/>
    <n v="0"/>
    <n v="0"/>
    <n v="0"/>
    <n v="0"/>
    <n v="0"/>
    <n v="94800"/>
    <m/>
  </r>
  <r>
    <n v="6"/>
    <x v="29"/>
    <x v="2"/>
    <s v="Junio"/>
    <s v="SANDCAAC"/>
    <x v="37"/>
    <x v="7"/>
    <n v="2189876"/>
    <n v="0"/>
    <n v="326803"/>
    <n v="1863073"/>
    <m/>
    <m/>
    <x v="0"/>
    <n v="24"/>
    <s v=""/>
    <s v=""/>
    <s v="No Aplica"/>
    <n v="5"/>
    <n v="975405"/>
    <n v="8"/>
    <n v="887668"/>
    <n v="5"/>
    <n v="326803"/>
    <n v="0"/>
    <m/>
  </r>
  <r>
    <n v="6"/>
    <x v="29"/>
    <x v="2"/>
    <s v="Junio"/>
    <s v="VANELOBE"/>
    <x v="37"/>
    <x v="7"/>
    <n v="4900048"/>
    <n v="0"/>
    <n v="2397119"/>
    <n v="2502929"/>
    <m/>
    <m/>
    <x v="0"/>
    <n v="24"/>
    <s v=""/>
    <s v=""/>
    <s v="No Aplica"/>
    <n v="6"/>
    <n v="813530"/>
    <n v="18"/>
    <n v="1234821"/>
    <n v="25"/>
    <n v="2397119"/>
    <n v="454578"/>
    <m/>
  </r>
  <r>
    <n v="6"/>
    <x v="29"/>
    <x v="2"/>
    <s v="Junio"/>
    <s v="(en blanco)"/>
    <x v="37"/>
    <x v="7"/>
    <n v="269729"/>
    <n v="0"/>
    <n v="0"/>
    <n v="269729"/>
    <m/>
    <m/>
    <x v="0"/>
    <n v="24"/>
    <s v=""/>
    <s v=""/>
    <s v="No Aplica"/>
    <n v="1"/>
    <n v="194719"/>
    <n v="2"/>
    <n v="162996"/>
    <n v="0"/>
    <n v="0"/>
    <n v="-87986"/>
    <m/>
  </r>
  <r>
    <n v="7"/>
    <x v="30"/>
    <x v="2"/>
    <s v="Julio"/>
    <s v="DERLARMO"/>
    <x v="11"/>
    <x v="10"/>
    <n v="32941018"/>
    <n v="144000"/>
    <n v="7098563"/>
    <n v="25698455"/>
    <n v="25000008"/>
    <n v="1.0279378710598812"/>
    <x v="1"/>
    <n v="24"/>
    <s v="IPS Pto De Vista Olaya"/>
    <s v="Centro"/>
    <s v="Cumple"/>
    <n v="93"/>
    <n v="6295117"/>
    <n v="242"/>
    <n v="18010439"/>
    <n v="103"/>
    <n v="7098563"/>
    <n v="1536899"/>
    <s v="NO"/>
  </r>
  <r>
    <n v="7"/>
    <x v="30"/>
    <x v="2"/>
    <s v="Julio"/>
    <s v="LOREBECR"/>
    <x v="68"/>
    <x v="68"/>
    <n v="36231587"/>
    <n v="0"/>
    <n v="8237800"/>
    <n v="27993787"/>
    <n v="25000008"/>
    <n v="1.119751121679641"/>
    <x v="1"/>
    <n v="24"/>
    <s v="IPS Pto De Vista Olaya"/>
    <s v="Centro"/>
    <s v="Fluctúa"/>
    <n v="81"/>
    <n v="6479695"/>
    <n v="222"/>
    <n v="18536515"/>
    <n v="126"/>
    <n v="8237800"/>
    <n v="2977577"/>
    <s v="NO"/>
  </r>
  <r>
    <n v="7"/>
    <x v="30"/>
    <x v="2"/>
    <s v="Julio"/>
    <s v="RAULMOGA"/>
    <x v="30"/>
    <x v="27"/>
    <n v="33161155"/>
    <n v="0"/>
    <n v="7430621"/>
    <n v="25730534"/>
    <n v="25000008"/>
    <n v="1.0292210306492702"/>
    <x v="0"/>
    <n v="24"/>
    <s v="IPS Pto De Vista Olaya"/>
    <s v="Centro"/>
    <s v="No Aplica"/>
    <n v="86"/>
    <n v="6216915"/>
    <n v="217"/>
    <n v="18187647"/>
    <n v="97"/>
    <n v="7094721"/>
    <n v="1661872"/>
    <m/>
  </r>
  <r>
    <n v="7"/>
    <x v="30"/>
    <x v="2"/>
    <s v="Julio"/>
    <s v="PAULGOBA"/>
    <x v="35"/>
    <x v="36"/>
    <n v="30526639"/>
    <n v="0"/>
    <n v="3143178"/>
    <n v="27383461"/>
    <n v="43999992"/>
    <n v="0.62235149951845448"/>
    <x v="1"/>
    <n v="24"/>
    <s v="Ferias Empresariales Antioquia"/>
    <s v="Antioquia"/>
    <s v="Fluctúa"/>
    <n v="53"/>
    <n v="8143748"/>
    <n v="104"/>
    <n v="16764458"/>
    <n v="42"/>
    <n v="3143178"/>
    <n v="2475255"/>
    <s v="NO"/>
  </r>
  <r>
    <n v="7"/>
    <x v="30"/>
    <x v="2"/>
    <s v="Julio"/>
    <s v="VANELOBE"/>
    <x v="74"/>
    <x v="74"/>
    <n v="32451648"/>
    <n v="221100"/>
    <n v="3845776"/>
    <n v="28384772"/>
    <n v="20166663"/>
    <n v="1.4075096112827392"/>
    <x v="1"/>
    <n v="24"/>
    <s v="IPS Pto De Vista San Diego"/>
    <s v="Antioquia"/>
    <s v="Siempre Cumple"/>
    <n v="64"/>
    <n v="8588970"/>
    <n v="131"/>
    <n v="16573118"/>
    <n v="56"/>
    <n v="3845776"/>
    <n v="3443784"/>
    <s v="NO"/>
  </r>
  <r>
    <n v="7"/>
    <x v="30"/>
    <x v="2"/>
    <s v="Julio"/>
    <s v="DIANPAAL"/>
    <x v="12"/>
    <x v="11"/>
    <n v="48467586"/>
    <n v="4053090"/>
    <n v="9669073"/>
    <n v="34745423"/>
    <n v="34999992"/>
    <n v="0.9927265983375082"/>
    <x v="1"/>
    <n v="24"/>
    <s v="IPS Pto De Vista Rionegro"/>
    <s v="Antioquia"/>
    <s v="Cumple"/>
    <n v="66"/>
    <n v="8194779"/>
    <n v="189"/>
    <n v="24625896"/>
    <n v="105"/>
    <n v="9669073"/>
    <n v="5977838"/>
    <s v="NO"/>
  </r>
  <r>
    <n v="7"/>
    <x v="30"/>
    <x v="2"/>
    <s v="Julio"/>
    <s v="JAQUVEGU"/>
    <x v="18"/>
    <x v="16"/>
    <n v="19071363"/>
    <n v="954000"/>
    <n v="1389279"/>
    <n v="16728084"/>
    <n v="16041663"/>
    <n v="1.0427898903000268"/>
    <x v="0"/>
    <n v="24"/>
    <s v="IPS Pto De Vista Rionegro"/>
    <s v="Antioquia"/>
    <s v="No Aplica"/>
    <n v="44"/>
    <n v="4400900"/>
    <n v="116"/>
    <n v="11357657"/>
    <n v="15"/>
    <n v="1389279"/>
    <n v="1923527"/>
    <m/>
  </r>
  <r>
    <n v="7"/>
    <x v="30"/>
    <x v="2"/>
    <s v="Julio"/>
    <s v="MARIOCOC"/>
    <x v="24"/>
    <x v="21"/>
    <n v="52538201"/>
    <n v="3038100"/>
    <n v="9478975"/>
    <n v="40021126"/>
    <n v="34999992"/>
    <n v="1.143461004219658"/>
    <x v="1"/>
    <n v="24"/>
    <s v="IPS Pto De Vista Rionegro"/>
    <s v="Antioquia"/>
    <s v="Cumple"/>
    <n v="89"/>
    <n v="9975073"/>
    <n v="210"/>
    <n v="24624771"/>
    <n v="103"/>
    <n v="9478975"/>
    <n v="8459382"/>
    <s v="NO"/>
  </r>
  <r>
    <n v="7"/>
    <x v="30"/>
    <x v="2"/>
    <s v="Julio"/>
    <s v="ALEXLOGR"/>
    <x v="2"/>
    <x v="2"/>
    <n v="64802971"/>
    <n v="1533300"/>
    <n v="18327939"/>
    <n v="44941732"/>
    <n v="34999992"/>
    <n v="1.2840497792113781"/>
    <x v="1"/>
    <n v="24"/>
    <s v="IPS Punto de Vista Bello"/>
    <s v="Antioquia"/>
    <s v="Fluctúa"/>
    <n v="96"/>
    <n v="8418436"/>
    <n v="250"/>
    <n v="32260486"/>
    <n v="189"/>
    <n v="18327939"/>
    <n v="5796110"/>
    <s v="NO"/>
  </r>
  <r>
    <n v="7"/>
    <x v="30"/>
    <x v="2"/>
    <s v="Julio"/>
    <s v="LEIDPAPA"/>
    <x v="72"/>
    <x v="72"/>
    <n v="34550139"/>
    <n v="1103100"/>
    <n v="5827589"/>
    <n v="27619450"/>
    <n v="42124992"/>
    <n v="0.65565472392255886"/>
    <x v="1"/>
    <n v="24"/>
    <s v="IPS Pto De Vista Punto Clave"/>
    <s v="Antioquia"/>
    <s v="Siempre Cumple"/>
    <n v="60"/>
    <n v="7051831"/>
    <n v="144"/>
    <n v="16441144"/>
    <n v="65"/>
    <n v="5827589"/>
    <n v="5229575"/>
    <s v="NO"/>
  </r>
  <r>
    <n v="7"/>
    <x v="30"/>
    <x v="2"/>
    <s v="Julio"/>
    <s v="YULIRIRE"/>
    <x v="57"/>
    <x v="57"/>
    <n v="40987181"/>
    <n v="792000"/>
    <n v="5663116"/>
    <n v="34532065"/>
    <n v="20416662"/>
    <n v="1.6913668355777256"/>
    <x v="1"/>
    <n v="24"/>
    <s v="IPS Punto de Vista Bello"/>
    <s v="Antioquia"/>
    <s v="Fluctúa"/>
    <n v="82"/>
    <n v="7741238"/>
    <n v="214"/>
    <n v="23551375"/>
    <n v="62"/>
    <n v="5663116"/>
    <n v="4031452"/>
    <s v="NO"/>
  </r>
  <r>
    <n v="7"/>
    <x v="30"/>
    <x v="2"/>
    <s v="Julio"/>
    <s v="ADRIMOLU"/>
    <x v="1"/>
    <x v="1"/>
    <n v="57213434"/>
    <n v="960000"/>
    <n v="11807685"/>
    <n v="44445749"/>
    <n v="43999992"/>
    <n v="1.0101308427510622"/>
    <x v="1"/>
    <n v="24"/>
    <s v="IPS Pto De Vista Molinos"/>
    <s v="Antioquia"/>
    <s v="Cumple"/>
    <n v="92"/>
    <n v="9904803"/>
    <n v="272"/>
    <n v="29212746"/>
    <n v="115"/>
    <n v="11807685"/>
    <n v="6288200"/>
    <s v="NO"/>
  </r>
  <r>
    <n v="7"/>
    <x v="30"/>
    <x v="2"/>
    <s v="Julio"/>
    <s v="LEIDCAOR"/>
    <x v="71"/>
    <x v="71"/>
    <n v="35180241"/>
    <n v="1794600"/>
    <n v="7419834"/>
    <n v="25965807"/>
    <n v="39499992"/>
    <n v="0.65736233566832114"/>
    <x v="1"/>
    <n v="24"/>
    <s v="IPS Punto de Vista Mayorca"/>
    <s v="Antioquia"/>
    <s v="Fluctúa"/>
    <n v="62"/>
    <n v="5774660"/>
    <n v="150"/>
    <n v="16055309"/>
    <n v="80"/>
    <n v="7419834"/>
    <n v="5930438"/>
    <s v="NO"/>
  </r>
  <r>
    <n v="7"/>
    <x v="30"/>
    <x v="2"/>
    <s v="Julio"/>
    <s v="LILACARA"/>
    <x v="19"/>
    <x v="17"/>
    <n v="56630487"/>
    <n v="1404000"/>
    <n v="9258170"/>
    <n v="45968317"/>
    <n v="43999992"/>
    <n v="1.044734667224485"/>
    <x v="1"/>
    <n v="24"/>
    <s v="IPS Pto De Vista Molinos"/>
    <s v="Antioquia"/>
    <s v="Cumple"/>
    <n v="88"/>
    <n v="10349434"/>
    <n v="212"/>
    <n v="29614333"/>
    <n v="92"/>
    <n v="9258170"/>
    <n v="7408550"/>
    <s v="NO"/>
  </r>
  <r>
    <n v="7"/>
    <x v="30"/>
    <x v="2"/>
    <s v="Julio"/>
    <s v="NATAVAMO"/>
    <x v="63"/>
    <x v="63"/>
    <n v="56192349"/>
    <n v="558000"/>
    <n v="12674529"/>
    <n v="42959820"/>
    <n v="43624992"/>
    <n v="0.98475250150189142"/>
    <x v="1"/>
    <n v="24"/>
    <s v="IPS Pto De Vista Molinos"/>
    <s v="Antioquia"/>
    <s v="Siempre Cumple"/>
    <n v="100"/>
    <n v="8291787"/>
    <n v="252"/>
    <n v="26995277"/>
    <n v="115"/>
    <n v="12674529"/>
    <n v="8230756"/>
    <s v="NO"/>
  </r>
  <r>
    <n v="7"/>
    <x v="30"/>
    <x v="2"/>
    <s v="Julio"/>
    <s v="SUANHECO"/>
    <x v="58"/>
    <x v="58"/>
    <n v="55309901"/>
    <n v="2050400"/>
    <n v="11431211"/>
    <n v="41828290"/>
    <n v="23833329"/>
    <n v="1.7550334659501408"/>
    <x v="1"/>
    <n v="24"/>
    <s v="IPS Pto De Vista Molinos"/>
    <s v="Antioquia"/>
    <s v="Fluctúa"/>
    <n v="91"/>
    <n v="10465996"/>
    <n v="196"/>
    <n v="25733099"/>
    <n v="109"/>
    <n v="11431211"/>
    <n v="7679595"/>
    <s v="Inicio Vacaciones"/>
  </r>
  <r>
    <n v="7"/>
    <x v="30"/>
    <x v="2"/>
    <s v="Julio"/>
    <s v="ZULYARGA"/>
    <x v="34"/>
    <x v="31"/>
    <n v="54134277"/>
    <n v="1607300"/>
    <n v="9622340"/>
    <n v="42904637"/>
    <n v="42166659"/>
    <n v="1.0175014577275379"/>
    <x v="1"/>
    <n v="24"/>
    <s v="IPS Pto De Vista Molinos"/>
    <s v="Antioquia"/>
    <n v="0"/>
    <n v="100"/>
    <n v="11254968"/>
    <n v="257"/>
    <n v="26810302"/>
    <n v="104"/>
    <n v="9622340"/>
    <n v="6446667"/>
    <s v="NO"/>
  </r>
  <r>
    <n v="7"/>
    <x v="30"/>
    <x v="2"/>
    <s v="Julio"/>
    <s v="BIBIBECA"/>
    <x v="6"/>
    <x v="6"/>
    <n v="62938600"/>
    <n v="838200"/>
    <n v="16105565"/>
    <n v="45994835"/>
    <n v="42000000"/>
    <n v="1.0951151190476192"/>
    <x v="1"/>
    <n v="24"/>
    <s v="IPS Pto De Vista Centro"/>
    <s v="Antioquia"/>
    <s v="Fluctúa"/>
    <n v="109"/>
    <n v="10986591"/>
    <n v="290"/>
    <n v="30157874"/>
    <n v="157"/>
    <n v="16105565"/>
    <n v="5688570"/>
    <s v="NO"/>
  </r>
  <r>
    <n v="7"/>
    <x v="30"/>
    <x v="2"/>
    <s v="Julio"/>
    <s v="CINDGACU"/>
    <x v="55"/>
    <x v="55"/>
    <n v="33963532"/>
    <n v="1243400"/>
    <n v="12529809"/>
    <n v="20190323"/>
    <n v="42000000"/>
    <n v="0.48072197619047619"/>
    <x v="1"/>
    <n v="24"/>
    <s v="IPS Pto De Vista San Diego"/>
    <s v="Antioquia"/>
    <s v="Siempre Cumple"/>
    <n v="49"/>
    <n v="4446164"/>
    <n v="140"/>
    <n v="11983961"/>
    <n v="127"/>
    <n v="12529809"/>
    <n v="5003598"/>
    <s v="NO"/>
  </r>
  <r>
    <n v="7"/>
    <x v="30"/>
    <x v="2"/>
    <s v="Julio"/>
    <s v="CLAUBLAR"/>
    <x v="9"/>
    <x v="8"/>
    <n v="68378234"/>
    <n v="540000"/>
    <n v="14727684"/>
    <n v="53110550"/>
    <n v="42000000"/>
    <n v="1.2645369047619048"/>
    <x v="1"/>
    <n v="24"/>
    <s v="IPS Pto De Vista Centro"/>
    <s v="Antioquia"/>
    <s v="Fluctúa"/>
    <n v="108"/>
    <n v="12929543"/>
    <n v="245"/>
    <n v="28901743"/>
    <n v="150"/>
    <n v="14727684"/>
    <n v="11819264"/>
    <s v="NO"/>
  </r>
  <r>
    <n v="7"/>
    <x v="30"/>
    <x v="2"/>
    <s v="Julio"/>
    <s v="HERIRORO"/>
    <x v="52"/>
    <x v="52"/>
    <n v="52519112"/>
    <n v="688000"/>
    <n v="10165656"/>
    <n v="41665456"/>
    <n v="40250000"/>
    <n v="1.0351666086956521"/>
    <x v="1"/>
    <n v="24"/>
    <s v="IPS Pto De Vista Centro"/>
    <s v="Antioquia"/>
    <s v="Siempre Cumple"/>
    <n v="108"/>
    <n v="10525670"/>
    <n v="260"/>
    <n v="25814444"/>
    <n v="104"/>
    <n v="10165656"/>
    <n v="6013342"/>
    <s v="NO"/>
  </r>
  <r>
    <n v="7"/>
    <x v="30"/>
    <x v="2"/>
    <s v="Julio"/>
    <s v="MARGGAPA"/>
    <x v="22"/>
    <x v="20"/>
    <n v="73976611"/>
    <n v="1915000"/>
    <n v="8126272"/>
    <n v="63935339"/>
    <n v="42749997"/>
    <n v="1.495563590331948"/>
    <x v="1"/>
    <n v="24"/>
    <s v="IPS Pto De Vista Centro"/>
    <s v="Antioquia"/>
    <s v="Fluctúa"/>
    <n v="116"/>
    <n v="19319512"/>
    <n v="222"/>
    <n v="30387037"/>
    <n v="102"/>
    <n v="8126272"/>
    <n v="16143790"/>
    <s v="NO"/>
  </r>
  <r>
    <n v="7"/>
    <x v="30"/>
    <x v="2"/>
    <s v="Julio"/>
    <s v="SANDCAAC"/>
    <x v="75"/>
    <x v="75"/>
    <n v="29257160"/>
    <n v="2435100"/>
    <n v="8451268"/>
    <n v="18370792"/>
    <n v="42000000"/>
    <n v="0.43739980952380952"/>
    <x v="1"/>
    <n v="24"/>
    <s v="IPS Pto De Vista Centro"/>
    <s v="Antioquia"/>
    <s v="Fluctúa"/>
    <n v="42"/>
    <n v="4222959"/>
    <n v="116"/>
    <n v="11010707"/>
    <n v="84"/>
    <n v="8451268"/>
    <n v="5572226"/>
    <s v="NO"/>
  </r>
  <r>
    <n v="7"/>
    <x v="30"/>
    <x v="2"/>
    <s v="Julio"/>
    <s v="YENISIGI"/>
    <x v="64"/>
    <x v="64"/>
    <n v="55957546"/>
    <n v="908000"/>
    <n v="11221358"/>
    <n v="43828188"/>
    <n v="42000000"/>
    <n v="1.0435282857142858"/>
    <x v="1"/>
    <n v="24"/>
    <s v="IPS Pto De Vista Centro"/>
    <s v="Antioquia"/>
    <s v="Fluctúa"/>
    <n v="98"/>
    <n v="9387598"/>
    <n v="221"/>
    <n v="26379199"/>
    <n v="112"/>
    <n v="11221358"/>
    <n v="8969391"/>
    <s v="NO"/>
  </r>
  <r>
    <n v="7"/>
    <x v="30"/>
    <x v="2"/>
    <s v="Julio"/>
    <s v="NATAPIDU"/>
    <x v="28"/>
    <x v="25"/>
    <n v="50615786"/>
    <n v="1193940"/>
    <n v="4231504"/>
    <n v="45190342"/>
    <n v="40000008"/>
    <n v="1.1297583240483351"/>
    <x v="1"/>
    <n v="24"/>
    <s v="IPS Pto De Vista Industriales"/>
    <s v="Antioquia"/>
    <s v="Cumple"/>
    <n v="55"/>
    <n v="9457612"/>
    <n v="134"/>
    <n v="31385374"/>
    <n v="42"/>
    <n v="4231504"/>
    <n v="5541296"/>
    <s v="NO"/>
  </r>
  <r>
    <n v="7"/>
    <x v="30"/>
    <x v="2"/>
    <s v="Julio"/>
    <s v="ALVAOSOS"/>
    <x v="36"/>
    <x v="37"/>
    <n v="56687052"/>
    <n v="2353700"/>
    <n v="9283909"/>
    <n v="45049443"/>
    <n v="43999992"/>
    <n v="1.0238511634274843"/>
    <x v="1"/>
    <n v="24"/>
    <s v="IPS Pto De Vista Punto Clave"/>
    <s v="Antioquia"/>
    <s v="Siempre Cumple"/>
    <n v="76"/>
    <n v="8885905"/>
    <n v="212"/>
    <n v="28176520"/>
    <n v="95"/>
    <n v="9283909"/>
    <n v="10340718"/>
    <s v="NO"/>
  </r>
  <r>
    <n v="7"/>
    <x v="30"/>
    <x v="2"/>
    <s v="Julio"/>
    <s v="CARORAMN"/>
    <x v="61"/>
    <x v="61"/>
    <n v="55532959"/>
    <n v="1208400"/>
    <n v="10071962"/>
    <n v="44252597"/>
    <n v="43999992"/>
    <n v="1.0057410237710953"/>
    <x v="1"/>
    <n v="24"/>
    <s v="IPS Pto De Vista Punto Clave"/>
    <s v="Antioquia"/>
    <s v="No Cumple"/>
    <n v="74"/>
    <n v="8389811"/>
    <n v="223"/>
    <n v="29494968"/>
    <n v="104"/>
    <n v="10071962"/>
    <n v="7576218"/>
    <s v="NO"/>
  </r>
  <r>
    <n v="7"/>
    <x v="30"/>
    <x v="2"/>
    <s v="Julio"/>
    <s v="DEISCACR"/>
    <x v="50"/>
    <x v="50"/>
    <n v="55650027"/>
    <n v="1260000"/>
    <n v="9329064"/>
    <n v="45060963"/>
    <n v="43999992"/>
    <n v="1.0241129816569057"/>
    <x v="1"/>
    <n v="24"/>
    <s v="IPS Pto De Vista Punto Clave"/>
    <s v="Antioquia"/>
    <s v="Fluctúa"/>
    <n v="82"/>
    <n v="8406583"/>
    <n v="200"/>
    <n v="27768044"/>
    <n v="98"/>
    <n v="9329064"/>
    <n v="10146336"/>
    <s v="NO"/>
  </r>
  <r>
    <n v="7"/>
    <x v="30"/>
    <x v="2"/>
    <s v="Julio"/>
    <s v="GENNHEPO"/>
    <x v="16"/>
    <x v="14"/>
    <n v="21556942"/>
    <n v="468000"/>
    <n v="3429342"/>
    <n v="17659600"/>
    <n v="32999994"/>
    <n v="0.53513949123748328"/>
    <x v="1"/>
    <n v="24"/>
    <s v="IPS Pto De Vista Punto Clave"/>
    <s v="Antioquia"/>
    <s v="Fluctúa"/>
    <n v="45"/>
    <n v="4015250"/>
    <n v="122"/>
    <n v="10977621"/>
    <n v="42"/>
    <n v="3429342"/>
    <n v="3134729"/>
    <s v="Regreso Vacaciones"/>
  </r>
  <r>
    <n v="7"/>
    <x v="30"/>
    <x v="2"/>
    <s v="Julio"/>
    <s v="LEIDGOVI"/>
    <x v="39"/>
    <x v="39"/>
    <n v="50962788"/>
    <n v="1306700"/>
    <n v="10184058"/>
    <n v="39472030"/>
    <n v="43999992"/>
    <n v="0.89709175401668251"/>
    <x v="1"/>
    <n v="24"/>
    <s v="IPS Pto De Vista Punto Clave"/>
    <s v="Antioquia"/>
    <s v="Fluctúa"/>
    <n v="83"/>
    <n v="9445015"/>
    <n v="220"/>
    <n v="25791232"/>
    <n v="110"/>
    <n v="10184058"/>
    <n v="5542483"/>
    <s v="NO"/>
  </r>
  <r>
    <n v="7"/>
    <x v="30"/>
    <x v="2"/>
    <s v="Julio"/>
    <s v="NOREARMA"/>
    <x v="66"/>
    <x v="66"/>
    <n v="58116184"/>
    <n v="928200"/>
    <n v="11952630"/>
    <n v="45235354"/>
    <n v="37999998"/>
    <n v="1.1904041152844271"/>
    <x v="1"/>
    <n v="24"/>
    <s v="IPS Pto De Vista San Diego"/>
    <s v="Antioquia"/>
    <s v="Fluctúa"/>
    <n v="80"/>
    <n v="8496946"/>
    <n v="208"/>
    <n v="31466267"/>
    <n v="122"/>
    <n v="11952630"/>
    <n v="6200341"/>
    <s v="NO"/>
  </r>
  <r>
    <n v="7"/>
    <x v="30"/>
    <x v="2"/>
    <s v="Julio"/>
    <s v="YENYSUPE"/>
    <x v="51"/>
    <x v="51"/>
    <n v="62299109"/>
    <n v="2052000"/>
    <n v="11041646"/>
    <n v="49205463"/>
    <n v="43999992"/>
    <n v="1.1183061806011239"/>
    <x v="1"/>
    <n v="24"/>
    <s v="IPS Pto De Vista Punto Clave"/>
    <s v="Antioquia"/>
    <s v="Cumple"/>
    <n v="100"/>
    <n v="10686122"/>
    <n v="268"/>
    <n v="30126721"/>
    <n v="122"/>
    <n v="11041646"/>
    <n v="10444620"/>
    <s v="NO"/>
  </r>
  <r>
    <n v="7"/>
    <x v="30"/>
    <x v="2"/>
    <s v="Julio"/>
    <s v="YURAUSVE"/>
    <x v="56"/>
    <x v="56"/>
    <n v="69801176"/>
    <n v="1378200"/>
    <n v="12729620"/>
    <n v="55693356"/>
    <n v="43999992"/>
    <n v="1.2657583210469674"/>
    <x v="1"/>
    <n v="24"/>
    <s v="IPS Pto De Vista Punto Clave"/>
    <s v="Antioquia"/>
    <n v="0"/>
    <n v="110"/>
    <n v="11169037"/>
    <n v="278"/>
    <n v="35477052"/>
    <n v="130"/>
    <n v="12729620"/>
    <n v="10425467"/>
    <s v="NO"/>
  </r>
  <r>
    <n v="7"/>
    <x v="30"/>
    <x v="2"/>
    <s v="Julio"/>
    <s v="ANAMLOBE"/>
    <x v="3"/>
    <x v="3"/>
    <n v="78186791"/>
    <n v="1728000"/>
    <n v="11385833"/>
    <n v="65072958"/>
    <n v="43999992"/>
    <n v="1.4789311325329333"/>
    <x v="1"/>
    <n v="24"/>
    <s v="IPS Pto De Vista Unicentro"/>
    <s v="Antioquia"/>
    <s v="Siempre Cumple"/>
    <n v="121"/>
    <n v="16503811"/>
    <n v="276"/>
    <n v="40543566"/>
    <n v="123"/>
    <n v="11385833"/>
    <n v="9753581"/>
    <s v="NO"/>
  </r>
  <r>
    <n v="7"/>
    <x v="30"/>
    <x v="2"/>
    <s v="Julio"/>
    <s v="DIANQUME"/>
    <x v="14"/>
    <x v="7"/>
    <n v="5447375"/>
    <n v="0"/>
    <n v="0"/>
    <n v="5447375"/>
    <m/>
    <m/>
    <x v="1"/>
    <n v="24"/>
    <s v="IPS Pto De Vista Molinos"/>
    <s v="Antioquia"/>
    <s v="Cumple"/>
    <n v="12"/>
    <n v="1044805"/>
    <n v="32"/>
    <n v="3869767"/>
    <n v="0"/>
    <n v="0"/>
    <n v="532803"/>
    <m/>
  </r>
  <r>
    <n v="7"/>
    <x v="30"/>
    <x v="2"/>
    <s v="Julio"/>
    <s v="ELIZVESU"/>
    <x v="15"/>
    <x v="13"/>
    <n v="74795055"/>
    <n v="1578000"/>
    <n v="11374206"/>
    <n v="61842849"/>
    <n v="43999992"/>
    <n v="1.4055195510035547"/>
    <x v="1"/>
    <n v="24"/>
    <s v="IPS Pto De Vista Unicentro"/>
    <s v="Antioquia"/>
    <s v="Fluctúa"/>
    <n v="103"/>
    <n v="13414469"/>
    <n v="271"/>
    <n v="42674824"/>
    <n v="118"/>
    <n v="11374206"/>
    <n v="7331556"/>
    <s v="NO"/>
  </r>
  <r>
    <n v="7"/>
    <x v="30"/>
    <x v="2"/>
    <s v="Julio"/>
    <s v="VIVIVAZA"/>
    <x v="33"/>
    <x v="30"/>
    <n v="86987539"/>
    <n v="3091800"/>
    <n v="16124907"/>
    <n v="67770832"/>
    <n v="43999992"/>
    <n v="1.540246461862993"/>
    <x v="1"/>
    <n v="24"/>
    <s v="IPS Pto De Vista Unicentro"/>
    <s v="Antioquia"/>
    <s v="Cumple"/>
    <n v="111"/>
    <n v="13496313"/>
    <n v="272"/>
    <n v="45478168"/>
    <n v="155"/>
    <n v="15868507"/>
    <n v="12144551"/>
    <s v="NO"/>
  </r>
  <r>
    <n v="7"/>
    <x v="30"/>
    <x v="2"/>
    <s v="Julio"/>
    <s v="ANGEGAAR"/>
    <x v="4"/>
    <x v="4"/>
    <n v="35729031"/>
    <n v="0"/>
    <n v="7685002"/>
    <n v="28044029"/>
    <n v="13125000"/>
    <n v="2.1366879238095238"/>
    <x v="1"/>
    <n v="24"/>
    <s v="IPS Pto De Vista San Diego"/>
    <s v="Antioquia"/>
    <s v="Fluctúa"/>
    <n v="55"/>
    <n v="6538090"/>
    <n v="134"/>
    <n v="17585912"/>
    <n v="74"/>
    <n v="7685002"/>
    <n v="3920027"/>
    <s v="NO"/>
  </r>
  <r>
    <n v="7"/>
    <x v="30"/>
    <x v="2"/>
    <s v="Julio"/>
    <s v="ERIKSAVA"/>
    <x v="44"/>
    <x v="44"/>
    <n v="54891855"/>
    <n v="455100"/>
    <n v="11088042"/>
    <n v="43348713"/>
    <n v="36000000"/>
    <n v="1.2041309166666667"/>
    <x v="1"/>
    <n v="24"/>
    <s v="IPS Pto De Vista San Diego"/>
    <s v="Antioquia"/>
    <s v="No Cumple"/>
    <n v="93"/>
    <n v="10357134"/>
    <n v="211"/>
    <n v="25625478"/>
    <n v="118"/>
    <n v="11088042"/>
    <n v="7821201"/>
    <s v="NO"/>
  </r>
  <r>
    <n v="7"/>
    <x v="30"/>
    <x v="2"/>
    <s v="Julio"/>
    <s v="HISNOSPI"/>
    <x v="49"/>
    <x v="49"/>
    <n v="50292307"/>
    <n v="421200"/>
    <n v="9078117"/>
    <n v="40792990"/>
    <n v="28500000"/>
    <n v="1.4313329824561403"/>
    <x v="0"/>
    <n v="24"/>
    <s v="IPS Pto De Vista San Diego"/>
    <s v="Antioquia"/>
    <s v="No Aplica"/>
    <n v="76"/>
    <n v="8092124"/>
    <n v="199"/>
    <n v="26670127"/>
    <n v="91"/>
    <n v="9078117"/>
    <n v="6451939"/>
    <m/>
  </r>
  <r>
    <n v="7"/>
    <x v="30"/>
    <x v="2"/>
    <s v="Julio"/>
    <s v="MARIMASA"/>
    <x v="23"/>
    <x v="34"/>
    <n v="30737794"/>
    <n v="221100"/>
    <n v="5474709"/>
    <n v="25041985"/>
    <n v="9000000"/>
    <n v="2.7824427777777778"/>
    <x v="1"/>
    <n v="24"/>
    <s v="IPS Pto De Vista San Diego"/>
    <s v="Antioquia"/>
    <s v="Siempre Cumple"/>
    <n v="56"/>
    <n v="5834603"/>
    <n v="118"/>
    <n v="14876099"/>
    <n v="53"/>
    <n v="5474709"/>
    <n v="4552383"/>
    <s v="Inicio Vacaciones"/>
  </r>
  <r>
    <n v="7"/>
    <x v="30"/>
    <x v="2"/>
    <s v="Julio"/>
    <s v="MARIHIRO"/>
    <x v="76"/>
    <x v="76"/>
    <n v="26486394"/>
    <n v="0"/>
    <n v="5916318"/>
    <n v="20570076"/>
    <n v="27000000"/>
    <n v="0.76185466666666668"/>
    <x v="1"/>
    <n v="24"/>
    <s v="IPS Pto De Vista Centro"/>
    <s v="Antioquia"/>
    <s v="No Cumple"/>
    <n v="47"/>
    <n v="5137683"/>
    <n v="116"/>
    <n v="12953378"/>
    <n v="66"/>
    <n v="5916318"/>
    <n v="2479015"/>
    <s v="NO"/>
  </r>
  <r>
    <n v="7"/>
    <x v="30"/>
    <x v="2"/>
    <s v="Julio"/>
    <s v="ANDRSAZA"/>
    <x v="45"/>
    <x v="45"/>
    <n v="52233155"/>
    <n v="468000"/>
    <n v="7725642"/>
    <n v="44039513"/>
    <n v="28000008"/>
    <n v="1.5728393006173427"/>
    <x v="1"/>
    <n v="24"/>
    <s v="IPS Pto De Vista Santa Bárbara"/>
    <s v="Centro"/>
    <s v="Cumple"/>
    <n v="79"/>
    <n v="8721134"/>
    <n v="223"/>
    <n v="32429424"/>
    <n v="106"/>
    <n v="7725642"/>
    <n v="3356955"/>
    <s v="NO"/>
  </r>
  <r>
    <n v="7"/>
    <x v="30"/>
    <x v="2"/>
    <s v="Julio"/>
    <s v="CAMIPUHE"/>
    <x v="53"/>
    <x v="53"/>
    <n v="37189563"/>
    <n v="1734400"/>
    <n v="6063745"/>
    <n v="29391418"/>
    <n v="28000008"/>
    <n v="1.0496932000876571"/>
    <x v="1"/>
    <n v="24"/>
    <s v="IPS Pto De Vista SSura Clle100"/>
    <s v="Centro"/>
    <s v="Cumple"/>
    <n v="67"/>
    <n v="5886988"/>
    <n v="192"/>
    <n v="21723133"/>
    <n v="87"/>
    <n v="6063745"/>
    <n v="3515697"/>
    <s v="NO"/>
  </r>
  <r>
    <n v="7"/>
    <x v="30"/>
    <x v="2"/>
    <s v="Julio"/>
    <s v="ISABMOGO"/>
    <x v="17"/>
    <x v="15"/>
    <n v="42447011"/>
    <n v="0"/>
    <n v="7616932"/>
    <n v="34830079"/>
    <n v="28000008"/>
    <n v="1.243931037448275"/>
    <x v="1"/>
    <n v="24"/>
    <s v="IPS Pto De Vista Santa Bárbara"/>
    <s v="Centro"/>
    <s v="No Cumple"/>
    <n v="75"/>
    <n v="7929575"/>
    <n v="210"/>
    <n v="22874542"/>
    <n v="102"/>
    <n v="7616932"/>
    <n v="4025962"/>
    <s v="NO"/>
  </r>
  <r>
    <n v="7"/>
    <x v="30"/>
    <x v="2"/>
    <s v="Julio"/>
    <s v="LUZNHEGO"/>
    <x v="21"/>
    <x v="19"/>
    <n v="39166234"/>
    <n v="0"/>
    <n v="3494477"/>
    <n v="35671757"/>
    <n v="30000000"/>
    <n v="1.1890585666666666"/>
    <x v="1"/>
    <n v="24"/>
    <s v="IPS Punto de Vista Mayorca"/>
    <s v="Antioquia"/>
    <s v="Siempre Cumple"/>
    <n v="57"/>
    <n v="8722767"/>
    <n v="160"/>
    <n v="23728748"/>
    <n v="49"/>
    <n v="3494477"/>
    <n v="3220242"/>
    <s v="NO"/>
  </r>
  <r>
    <n v="7"/>
    <x v="30"/>
    <x v="2"/>
    <s v="Julio"/>
    <s v="ROCIFASA"/>
    <x v="31"/>
    <x v="28"/>
    <n v="52896961"/>
    <n v="1172340"/>
    <n v="6342459"/>
    <n v="45382162"/>
    <n v="34999992"/>
    <n v="1.2966334963733706"/>
    <x v="1"/>
    <n v="24"/>
    <s v="Optica Salud Sura Chipichape"/>
    <s v="Occidente"/>
    <s v="Cumple"/>
    <n v="92"/>
    <n v="13154974"/>
    <n v="226"/>
    <n v="28829808"/>
    <n v="67"/>
    <n v="6342459"/>
    <n v="4569720"/>
    <s v="NO"/>
  </r>
  <r>
    <n v="7"/>
    <x v="30"/>
    <x v="2"/>
    <s v="Julio"/>
    <s v="MONILOSA"/>
    <x v="69"/>
    <x v="69"/>
    <n v="32879853"/>
    <n v="0"/>
    <n v="2696491"/>
    <n v="30183362"/>
    <n v="23762256"/>
    <n v="1.2702229114945989"/>
    <x v="0"/>
    <n v="24"/>
    <s v="Ferias Cali"/>
    <s v="Occidente"/>
    <s v="No Aplica"/>
    <n v="54"/>
    <n v="5484872"/>
    <n v="108"/>
    <n v="11413051"/>
    <n v="35"/>
    <n v="2696491"/>
    <n v="13285439"/>
    <m/>
  </r>
  <r>
    <n v="7"/>
    <x v="30"/>
    <x v="2"/>
    <s v="Julio"/>
    <s v="ANGISEBR"/>
    <x v="70"/>
    <x v="70"/>
    <n v="28387223"/>
    <n v="0"/>
    <n v="8189037"/>
    <n v="20198186"/>
    <n v="30000000"/>
    <n v="0.67327286666666664"/>
    <x v="1"/>
    <n v="24"/>
    <s v="Punto de Vista Tequendama"/>
    <s v="Occidente"/>
    <s v="No Cumple"/>
    <n v="47"/>
    <n v="4380659"/>
    <n v="160"/>
    <n v="14019751"/>
    <n v="91"/>
    <n v="8189037"/>
    <n v="1797776"/>
    <s v="NO"/>
  </r>
  <r>
    <n v="7"/>
    <x v="30"/>
    <x v="2"/>
    <s v="Julio"/>
    <s v="HEIDVAVI"/>
    <x v="73"/>
    <x v="73"/>
    <n v="22610216"/>
    <n v="0"/>
    <n v="5363518"/>
    <n v="17246698"/>
    <n v="30000000"/>
    <n v="0.57488993333333338"/>
    <x v="1"/>
    <n v="24"/>
    <s v="Punto de Vista Cali Norte"/>
    <s v="Occidente"/>
    <s v="Siempre Cumple"/>
    <n v="37"/>
    <n v="3522933"/>
    <n v="124"/>
    <n v="12146278"/>
    <n v="62"/>
    <n v="5363518"/>
    <n v="1577487"/>
    <s v="NO"/>
  </r>
  <r>
    <n v="7"/>
    <x v="30"/>
    <x v="2"/>
    <s v="Julio"/>
    <s v="MONIARGI"/>
    <x v="67"/>
    <x v="67"/>
    <n v="42874023"/>
    <n v="0"/>
    <n v="8896260"/>
    <n v="33977763"/>
    <n v="30000000"/>
    <n v="1.1325921000000001"/>
    <x v="0"/>
    <n v="24"/>
    <s v="Punto de Vista Cali Norte"/>
    <s v="Occidente"/>
    <s v="No Aplica"/>
    <n v="63"/>
    <n v="7792126"/>
    <n v="200"/>
    <n v="24379862"/>
    <n v="92"/>
    <n v="8896260"/>
    <n v="1805775"/>
    <m/>
  </r>
  <r>
    <n v="7"/>
    <x v="30"/>
    <x v="2"/>
    <s v="Julio"/>
    <s v="PAOLPACA"/>
    <x v="47"/>
    <x v="47"/>
    <n v="40705268"/>
    <n v="0"/>
    <n v="7827126"/>
    <n v="32878142"/>
    <n v="30000000"/>
    <n v="1.0959380666666667"/>
    <x v="1"/>
    <n v="24"/>
    <s v="Punto de Vista Tequendama"/>
    <s v="Occidente"/>
    <s v="Siempre Cumple"/>
    <n v="54"/>
    <n v="6754503"/>
    <n v="189"/>
    <n v="22924869"/>
    <n v="82"/>
    <n v="7827126"/>
    <n v="3198770"/>
    <s v="NO"/>
  </r>
  <r>
    <n v="7"/>
    <x v="30"/>
    <x v="2"/>
    <s v="Julio"/>
    <s v="TATIRITR"/>
    <x v="60"/>
    <x v="60"/>
    <n v="44235303"/>
    <n v="234000"/>
    <n v="9470622"/>
    <n v="34530681"/>
    <n v="30000000"/>
    <n v="1.1510227"/>
    <x v="1"/>
    <n v="24"/>
    <s v="Punto de Vista Cali Norte"/>
    <s v="Occidente"/>
    <s v="No Cumple"/>
    <n v="79"/>
    <n v="7818712"/>
    <n v="220"/>
    <n v="24619589"/>
    <n v="104"/>
    <n v="9470622"/>
    <n v="2326380"/>
    <s v="NO"/>
  </r>
  <r>
    <n v="7"/>
    <x v="30"/>
    <x v="2"/>
    <s v="Julio"/>
    <s v="ANAKBEZA"/>
    <x v="37"/>
    <x v="7"/>
    <n v="189157"/>
    <n v="0"/>
    <n v="0"/>
    <n v="189157"/>
    <m/>
    <m/>
    <x v="0"/>
    <n v="24"/>
    <s v=""/>
    <s v=""/>
    <s v="No Aplica"/>
    <n v="0"/>
    <n v="0"/>
    <n v="2"/>
    <n v="189157"/>
    <n v="0"/>
    <n v="0"/>
    <n v="0"/>
    <m/>
  </r>
  <r>
    <n v="7"/>
    <x v="30"/>
    <x v="2"/>
    <s v="Julio"/>
    <s v="CAROVABE"/>
    <x v="37"/>
    <x v="7"/>
    <n v="1"/>
    <n v="0"/>
    <n v="0"/>
    <n v="1"/>
    <m/>
    <m/>
    <x v="0"/>
    <n v="24"/>
    <s v=""/>
    <s v=""/>
    <s v="No Aplica"/>
    <n v="0"/>
    <n v="0"/>
    <n v="0"/>
    <n v="0"/>
    <n v="0"/>
    <n v="0"/>
    <n v="1"/>
    <m/>
  </r>
  <r>
    <n v="7"/>
    <x v="30"/>
    <x v="2"/>
    <s v="Julio"/>
    <s v="DARWHERI"/>
    <x v="37"/>
    <x v="7"/>
    <n v="46283"/>
    <n v="0"/>
    <n v="46283"/>
    <n v="0"/>
    <m/>
    <m/>
    <x v="0"/>
    <n v="24"/>
    <s v=""/>
    <s v=""/>
    <s v="No Aplica"/>
    <n v="0"/>
    <n v="0"/>
    <n v="0"/>
    <n v="0"/>
    <n v="1"/>
    <n v="46283"/>
    <n v="0"/>
    <m/>
  </r>
  <r>
    <n v="7"/>
    <x v="30"/>
    <x v="2"/>
    <s v="Julio"/>
    <s v="EMMAARMA"/>
    <x v="37"/>
    <x v="7"/>
    <n v="90400"/>
    <n v="0"/>
    <n v="90400"/>
    <n v="0"/>
    <m/>
    <m/>
    <x v="0"/>
    <n v="24"/>
    <s v=""/>
    <s v=""/>
    <s v="No Aplica"/>
    <n v="0"/>
    <n v="0"/>
    <n v="0"/>
    <n v="0"/>
    <n v="0"/>
    <n v="0"/>
    <n v="90400"/>
    <m/>
  </r>
  <r>
    <n v="7"/>
    <x v="30"/>
    <x v="2"/>
    <s v="Julio"/>
    <s v="MARLJAGI"/>
    <x v="37"/>
    <x v="7"/>
    <n v="115000"/>
    <n v="0"/>
    <n v="115000"/>
    <n v="0"/>
    <m/>
    <m/>
    <x v="0"/>
    <n v="24"/>
    <s v=""/>
    <s v=""/>
    <s v="No Aplica"/>
    <n v="0"/>
    <n v="0"/>
    <n v="0"/>
    <n v="0"/>
    <n v="0"/>
    <n v="0"/>
    <n v="115000"/>
    <m/>
  </r>
  <r>
    <n v="7"/>
    <x v="30"/>
    <x v="2"/>
    <s v="Julio"/>
    <s v="LEYDBADI"/>
    <x v="37"/>
    <x v="7"/>
    <n v="127600"/>
    <n v="0"/>
    <n v="127600"/>
    <n v="0"/>
    <m/>
    <m/>
    <x v="0"/>
    <n v="24"/>
    <s v=""/>
    <s v=""/>
    <s v="No Aplica"/>
    <n v="0"/>
    <n v="0"/>
    <n v="0"/>
    <n v="0"/>
    <n v="0"/>
    <n v="0"/>
    <n v="127600"/>
    <m/>
  </r>
  <r>
    <n v="7"/>
    <x v="30"/>
    <x v="2"/>
    <s v="Julio"/>
    <s v="OSCADESU"/>
    <x v="37"/>
    <x v="7"/>
    <n v="471296"/>
    <n v="0"/>
    <n v="471296"/>
    <n v="0"/>
    <m/>
    <m/>
    <x v="0"/>
    <n v="24"/>
    <s v=""/>
    <s v=""/>
    <s v="No Aplica"/>
    <n v="0"/>
    <n v="0"/>
    <n v="0"/>
    <n v="0"/>
    <n v="4"/>
    <n v="471296"/>
    <n v="0"/>
    <m/>
  </r>
  <r>
    <n v="7"/>
    <x v="30"/>
    <x v="2"/>
    <s v="Julio"/>
    <s v="PAULESVE"/>
    <x v="37"/>
    <x v="7"/>
    <n v="46283"/>
    <n v="0"/>
    <n v="46283"/>
    <n v="0"/>
    <m/>
    <m/>
    <x v="0"/>
    <n v="24"/>
    <s v=""/>
    <s v=""/>
    <s v="No Aplica"/>
    <n v="0"/>
    <n v="0"/>
    <n v="0"/>
    <n v="0"/>
    <n v="1"/>
    <n v="46283"/>
    <n v="0"/>
    <m/>
  </r>
  <r>
    <n v="7"/>
    <x v="30"/>
    <x v="2"/>
    <s v="Julio"/>
    <s v="(en blanco)"/>
    <x v="37"/>
    <x v="7"/>
    <n v="-3470800"/>
    <n v="0"/>
    <n v="0"/>
    <n v="-3470800"/>
    <m/>
    <m/>
    <x v="0"/>
    <n v="24"/>
    <s v=""/>
    <s v=""/>
    <s v="No Aplica"/>
    <n v="4"/>
    <n v="-528040"/>
    <n v="12"/>
    <n v="-2942760"/>
    <n v="0"/>
    <n v="0"/>
    <n v="0"/>
    <m/>
  </r>
  <r>
    <n v="8"/>
    <x v="31"/>
    <x v="2"/>
    <s v="Agosto"/>
    <s v="DERLARMO"/>
    <x v="11"/>
    <x v="10"/>
    <n v="29502411"/>
    <n v="421200"/>
    <n v="7356956"/>
    <n v="21724255"/>
    <n v="25000000"/>
    <n v="0.86897020000000003"/>
    <x v="1"/>
    <n v="25"/>
    <s v="IPS Pto De Vista Olaya"/>
    <s v="Centro"/>
    <s v="Cumple"/>
    <n v="74"/>
    <n v="5094853"/>
    <n v="170"/>
    <n v="14892710"/>
    <n v="96"/>
    <n v="7356956"/>
    <n v="2157892"/>
    <s v="NO"/>
  </r>
  <r>
    <n v="8"/>
    <x v="31"/>
    <x v="2"/>
    <s v="Agosto"/>
    <s v="LOREBECR"/>
    <x v="68"/>
    <x v="68"/>
    <n v="37295477"/>
    <n v="1126000"/>
    <n v="7775649"/>
    <n v="28393828"/>
    <n v="25000000"/>
    <n v="1.1357531199999999"/>
    <x v="1"/>
    <n v="25"/>
    <s v="IPS Pto De Vista Olaya"/>
    <s v="Centro"/>
    <s v="Fluctúa"/>
    <n v="85"/>
    <n v="6763355"/>
    <n v="228"/>
    <n v="19156999"/>
    <n v="113"/>
    <n v="7775649"/>
    <n v="3599474"/>
    <s v="NO"/>
  </r>
  <r>
    <n v="8"/>
    <x v="31"/>
    <x v="2"/>
    <s v="Agosto"/>
    <s v="RAULMOGA"/>
    <x v="30"/>
    <x v="27"/>
    <n v="34750453"/>
    <n v="971100"/>
    <n v="7636571"/>
    <n v="26142782"/>
    <n v="25000000"/>
    <n v="1.0457112799999999"/>
    <x v="0"/>
    <n v="25"/>
    <s v="IPS Pto De Vista Olaya"/>
    <s v="Centro"/>
    <s v="No Aplica"/>
    <n v="86"/>
    <n v="6327548"/>
    <n v="218"/>
    <n v="18701417"/>
    <n v="113"/>
    <n v="7636571"/>
    <n v="2084917"/>
    <m/>
  </r>
  <r>
    <n v="8"/>
    <x v="31"/>
    <x v="2"/>
    <s v="Agosto"/>
    <s v="PAULGOBA"/>
    <x v="35"/>
    <x v="36"/>
    <n v="16001471"/>
    <n v="0"/>
    <n v="3714717"/>
    <n v="12286754"/>
    <n v="42240000"/>
    <n v="0.29087959280303033"/>
    <x v="1"/>
    <n v="25"/>
    <s v="Ferias Empresariales Antioquia"/>
    <s v="Antioquia"/>
    <s v="Fluctúa"/>
    <n v="38"/>
    <n v="-741190"/>
    <n v="90"/>
    <n v="-4400552"/>
    <n v="57"/>
    <n v="3714717"/>
    <n v="17428496"/>
    <s v="NO"/>
  </r>
  <r>
    <n v="8"/>
    <x v="31"/>
    <x v="2"/>
    <s v="Agosto"/>
    <s v="VANELOBE"/>
    <x v="74"/>
    <x v="74"/>
    <n v="22673072"/>
    <n v="1438200"/>
    <n v="5747892"/>
    <n v="15486980"/>
    <n v="28800000"/>
    <n v="0.53774236111111107"/>
    <x v="1"/>
    <n v="25"/>
    <s v="IPS Pto De Vista San Diego"/>
    <s v="Antioquia"/>
    <s v="Siempre Cumple"/>
    <n v="33"/>
    <n v="3831991"/>
    <n v="86"/>
    <n v="10026527"/>
    <n v="60"/>
    <n v="5747892"/>
    <n v="3066662"/>
    <s v="NO"/>
  </r>
  <r>
    <n v="8"/>
    <x v="31"/>
    <x v="2"/>
    <s v="Agosto"/>
    <s v="DIANPAAL"/>
    <x v="12"/>
    <x v="11"/>
    <n v="49937747"/>
    <n v="910200"/>
    <n v="10135966"/>
    <n v="38891581"/>
    <n v="35000000"/>
    <n v="1.1111880285714286"/>
    <x v="1"/>
    <n v="25"/>
    <s v="IPS Pto De Vista Rionegro"/>
    <s v="Antioquia"/>
    <s v="Cumple"/>
    <n v="80"/>
    <n v="9501425"/>
    <n v="207"/>
    <n v="24772984"/>
    <n v="106"/>
    <n v="10135966"/>
    <n v="5527372"/>
    <s v="NO"/>
  </r>
  <r>
    <n v="8"/>
    <x v="31"/>
    <x v="2"/>
    <s v="Agosto"/>
    <s v="JAQUVEGU"/>
    <x v="18"/>
    <x v="16"/>
    <n v="20817459"/>
    <n v="1702200"/>
    <n v="5305607"/>
    <n v="13809652"/>
    <n v="14000000"/>
    <n v="0.98640371428571427"/>
    <x v="0"/>
    <n v="25"/>
    <s v="IPS Pto De Vista Rionegro"/>
    <s v="Antioquia"/>
    <s v="No Aplica"/>
    <n v="36"/>
    <n v="3458040"/>
    <n v="92"/>
    <n v="8928666"/>
    <n v="57"/>
    <n v="5305607"/>
    <n v="3125146"/>
    <m/>
  </r>
  <r>
    <n v="8"/>
    <x v="31"/>
    <x v="2"/>
    <s v="Agosto"/>
    <s v="MARIOCOC"/>
    <x v="24"/>
    <x v="21"/>
    <n v="55788972"/>
    <n v="3247700"/>
    <n v="11087944"/>
    <n v="41453328"/>
    <n v="35000000"/>
    <n v="1.1843808"/>
    <x v="1"/>
    <n v="25"/>
    <s v="IPS Pto De Vista Rionegro"/>
    <s v="Antioquia"/>
    <s v="Cumple"/>
    <n v="84"/>
    <n v="9505997"/>
    <n v="256"/>
    <n v="29397502"/>
    <n v="112"/>
    <n v="11087944"/>
    <n v="5797529"/>
    <s v="NO"/>
  </r>
  <r>
    <n v="8"/>
    <x v="31"/>
    <x v="2"/>
    <s v="Agosto"/>
    <s v="ALEXLOGR"/>
    <x v="2"/>
    <x v="2"/>
    <n v="35193809"/>
    <n v="630000"/>
    <n v="15950913"/>
    <n v="18612896"/>
    <n v="9800000"/>
    <n v="1.8992751020408163"/>
    <x v="1"/>
    <n v="25"/>
    <s v="IPS Punto de Vista Bello"/>
    <s v="Antioquia"/>
    <s v="Fluctúa"/>
    <n v="41"/>
    <n v="3774531"/>
    <n v="104"/>
    <n v="11445034"/>
    <n v="163"/>
    <n v="15950913"/>
    <n v="4023331"/>
    <s v="Inicio Vacaciones"/>
  </r>
  <r>
    <n v="8"/>
    <x v="31"/>
    <x v="2"/>
    <s v="Agosto"/>
    <s v="LEIDPAPA"/>
    <x v="72"/>
    <x v="72"/>
    <n v="49714687"/>
    <n v="1599300"/>
    <n v="11365853"/>
    <n v="36749534"/>
    <n v="36000000"/>
    <n v="1.0208203888888889"/>
    <x v="1"/>
    <n v="25"/>
    <s v="IPS Pto De Vista Punto Clave"/>
    <s v="Antioquia"/>
    <s v="Siempre Cumple"/>
    <n v="94"/>
    <n v="10343993"/>
    <n v="238"/>
    <n v="21779970"/>
    <n v="119"/>
    <n v="11365853"/>
    <n v="6224871"/>
    <s v="NO"/>
  </r>
  <r>
    <n v="8"/>
    <x v="31"/>
    <x v="2"/>
    <s v="Agosto"/>
    <s v="YULIRIRE"/>
    <x v="57"/>
    <x v="57"/>
    <n v="39244688"/>
    <n v="1886800"/>
    <n v="46283"/>
    <n v="37311605"/>
    <n v="35000000"/>
    <n v="1.066045857142857"/>
    <x v="1"/>
    <n v="25"/>
    <s v="IPS Punto de Vista Bello"/>
    <s v="Antioquia"/>
    <s v="Fluctúa"/>
    <n v="86"/>
    <n v="8715949"/>
    <n v="224"/>
    <n v="25133026"/>
    <n v="1"/>
    <n v="46283"/>
    <n v="5349430"/>
    <s v="NO"/>
  </r>
  <r>
    <n v="8"/>
    <x v="31"/>
    <x v="2"/>
    <s v="Agosto"/>
    <s v="ADRIMOLU"/>
    <x v="1"/>
    <x v="1"/>
    <n v="35692101"/>
    <n v="324000"/>
    <n v="11403218"/>
    <n v="23964883"/>
    <n v="44000000"/>
    <n v="0.5446564318181818"/>
    <x v="1"/>
    <n v="25"/>
    <s v="IPS Pto De Vista Molinos"/>
    <s v="Antioquia"/>
    <s v="Cumple"/>
    <n v="68"/>
    <n v="5677833"/>
    <n v="146"/>
    <n v="14994435"/>
    <n v="118"/>
    <n v="11403218"/>
    <n v="3616615"/>
    <s v="NO"/>
  </r>
  <r>
    <n v="8"/>
    <x v="31"/>
    <x v="2"/>
    <s v="Agosto"/>
    <s v="LEIDCAOR"/>
    <x v="71"/>
    <x v="71"/>
    <n v="37700401"/>
    <n v="408000"/>
    <n v="7613435"/>
    <n v="29678966"/>
    <n v="44000000"/>
    <n v="0.67452195454545449"/>
    <x v="1"/>
    <n v="25"/>
    <s v="IPS Punto de Vista Mayorca"/>
    <s v="Antioquia"/>
    <s v="Fluctúa"/>
    <n v="75"/>
    <n v="7137645"/>
    <n v="168"/>
    <n v="18910795"/>
    <n v="85"/>
    <n v="7613435"/>
    <n v="4038526"/>
    <s v="NO"/>
  </r>
  <r>
    <n v="8"/>
    <x v="31"/>
    <x v="2"/>
    <s v="Agosto"/>
    <s v="LILACARA"/>
    <x v="19"/>
    <x v="17"/>
    <n v="62782098"/>
    <n v="1177380"/>
    <n v="12200186"/>
    <n v="49404532"/>
    <n v="44000000"/>
    <n v="1.1228302727272728"/>
    <x v="1"/>
    <n v="25"/>
    <s v="IPS Pto De Vista Molinos"/>
    <s v="Antioquia"/>
    <s v="Cumple"/>
    <n v="98"/>
    <n v="11749729"/>
    <n v="261"/>
    <n v="32276831"/>
    <n v="122"/>
    <n v="12200186"/>
    <n v="6555352"/>
    <s v="NO"/>
  </r>
  <r>
    <n v="8"/>
    <x v="31"/>
    <x v="2"/>
    <s v="Agosto"/>
    <s v="NATAVAMO"/>
    <x v="63"/>
    <x v="63"/>
    <n v="48999947"/>
    <n v="221100"/>
    <n v="11943145"/>
    <n v="36835702"/>
    <n v="44000000"/>
    <n v="0.83717504545454546"/>
    <x v="1"/>
    <n v="25"/>
    <s v="IPS Pto De Vista Molinos"/>
    <s v="Antioquia"/>
    <s v="Siempre Cumple"/>
    <n v="88"/>
    <n v="8691212"/>
    <n v="210"/>
    <n v="23102778"/>
    <n v="119"/>
    <n v="11943145"/>
    <n v="5262812"/>
    <s v="NO"/>
  </r>
  <r>
    <n v="8"/>
    <x v="31"/>
    <x v="2"/>
    <s v="Agosto"/>
    <s v="SUANHECO"/>
    <x v="58"/>
    <x v="58"/>
    <n v="31113988"/>
    <n v="793800"/>
    <n v="5355728"/>
    <n v="24964460"/>
    <n v="31680000"/>
    <n v="0.78801957070707074"/>
    <x v="1"/>
    <n v="25"/>
    <s v="IPS Pto De Vista Molinos"/>
    <s v="Antioquia"/>
    <s v="Fluctúa"/>
    <n v="56"/>
    <n v="5704898"/>
    <n v="138"/>
    <n v="15600136"/>
    <n v="58"/>
    <n v="5355728"/>
    <n v="4453226"/>
    <s v="Regreso Vacaciones"/>
  </r>
  <r>
    <n v="8"/>
    <x v="31"/>
    <x v="2"/>
    <s v="Agosto"/>
    <s v="ZULYARGA"/>
    <x v="34"/>
    <x v="31"/>
    <n v="52587404"/>
    <n v="838200"/>
    <n v="14143846"/>
    <n v="37605358"/>
    <n v="44000000"/>
    <n v="0.85466722727272726"/>
    <x v="1"/>
    <n v="25"/>
    <s v="IPS Pto De Vista Molinos"/>
    <s v="Antioquia"/>
    <n v="0"/>
    <n v="90"/>
    <n v="8985981"/>
    <n v="250"/>
    <n v="23075589"/>
    <n v="146"/>
    <n v="14143846"/>
    <n v="6381988"/>
    <s v="NO"/>
  </r>
  <r>
    <n v="8"/>
    <x v="31"/>
    <x v="2"/>
    <s v="Agosto"/>
    <s v="BIBIBECA"/>
    <x v="6"/>
    <x v="6"/>
    <n v="60255873"/>
    <n v="1661100"/>
    <n v="14205819"/>
    <n v="44388954"/>
    <n v="42000000"/>
    <n v="1.056879857142857"/>
    <x v="1"/>
    <n v="25"/>
    <s v="IPS Pto De Vista Centro"/>
    <s v="Antioquia"/>
    <s v="Fluctúa"/>
    <n v="101"/>
    <n v="10528635"/>
    <n v="278"/>
    <n v="30769336"/>
    <n v="143"/>
    <n v="14205819"/>
    <n v="4752083"/>
    <s v="NO"/>
  </r>
  <r>
    <n v="8"/>
    <x v="31"/>
    <x v="2"/>
    <s v="Agosto"/>
    <s v="CINDGACU"/>
    <x v="55"/>
    <x v="55"/>
    <n v="34704531"/>
    <n v="1936200"/>
    <n v="9101936"/>
    <n v="23666395"/>
    <n v="40040000"/>
    <n v="0.5910688061938062"/>
    <x v="1"/>
    <n v="25"/>
    <s v="IPS Pto De Vista San Diego"/>
    <s v="Antioquia"/>
    <s v="Siempre Cumple"/>
    <n v="54"/>
    <n v="5453632"/>
    <n v="162"/>
    <n v="14599867"/>
    <n v="94"/>
    <n v="9101936"/>
    <n v="5549096"/>
    <s v="NO"/>
  </r>
  <r>
    <n v="8"/>
    <x v="31"/>
    <x v="2"/>
    <s v="Agosto"/>
    <s v="CLAUBLAR"/>
    <x v="9"/>
    <x v="8"/>
    <n v="61562076"/>
    <n v="0"/>
    <n v="13402752"/>
    <n v="48159324"/>
    <n v="42000000"/>
    <n v="1.1466505714285715"/>
    <x v="1"/>
    <n v="25"/>
    <s v="IPS Pto De Vista Centro"/>
    <s v="Antioquia"/>
    <s v="Fluctúa"/>
    <n v="87"/>
    <n v="9608293"/>
    <n v="228"/>
    <n v="31539682"/>
    <n v="128"/>
    <n v="13402752"/>
    <n v="7011349"/>
    <s v="NO"/>
  </r>
  <r>
    <n v="8"/>
    <x v="31"/>
    <x v="2"/>
    <s v="Agosto"/>
    <s v="HERIRORO"/>
    <x v="52"/>
    <x v="52"/>
    <n v="54768883"/>
    <n v="910200"/>
    <n v="11057450"/>
    <n v="42801233"/>
    <n v="42000000"/>
    <n v="1.0190769761904761"/>
    <x v="1"/>
    <n v="25"/>
    <s v="IPS Pto De Vista Centro"/>
    <s v="Antioquia"/>
    <s v="Siempre Cumple"/>
    <n v="106"/>
    <n v="10561102"/>
    <n v="250"/>
    <n v="25238782"/>
    <n v="112"/>
    <n v="11057450"/>
    <n v="7911549"/>
    <s v="NO"/>
  </r>
  <r>
    <n v="8"/>
    <x v="31"/>
    <x v="2"/>
    <s v="Agosto"/>
    <s v="MARGGAPA"/>
    <x v="22"/>
    <x v="20"/>
    <n v="63351060"/>
    <n v="1888380"/>
    <n v="16057926"/>
    <n v="45404754"/>
    <n v="42000000"/>
    <n v="1.0810655714285715"/>
    <x v="1"/>
    <n v="25"/>
    <s v="IPS Pto De Vista Centro"/>
    <s v="Antioquia"/>
    <s v="Fluctúa"/>
    <n v="94"/>
    <n v="11475423"/>
    <n v="207"/>
    <n v="26863912"/>
    <n v="160"/>
    <n v="16057926"/>
    <n v="8953799"/>
    <s v="NO"/>
  </r>
  <r>
    <n v="8"/>
    <x v="31"/>
    <x v="2"/>
    <s v="Agosto"/>
    <s v="SANDCAAC"/>
    <x v="75"/>
    <x v="75"/>
    <n v="46821871"/>
    <n v="1187400"/>
    <n v="10052432"/>
    <n v="35582039"/>
    <n v="42080000"/>
    <n v="0.84558077471482884"/>
    <x v="1"/>
    <n v="25"/>
    <s v="IPS Pto De Vista Centro"/>
    <s v="Antioquia"/>
    <s v="Fluctúa"/>
    <n v="86"/>
    <n v="8213043"/>
    <n v="174"/>
    <n v="18376965"/>
    <n v="100"/>
    <n v="10052432"/>
    <n v="10179431"/>
    <s v="NO"/>
  </r>
  <r>
    <n v="8"/>
    <x v="31"/>
    <x v="2"/>
    <s v="Agosto"/>
    <s v="YENISIGI"/>
    <x v="64"/>
    <x v="64"/>
    <n v="36319137"/>
    <n v="1038000"/>
    <n v="10329454"/>
    <n v="24951683"/>
    <n v="42000000"/>
    <n v="0.59408769047619048"/>
    <x v="1"/>
    <n v="25"/>
    <s v="IPS Pto De Vista Centro"/>
    <s v="Antioquia"/>
    <s v="Fluctúa"/>
    <n v="60"/>
    <n v="6145784"/>
    <n v="146"/>
    <n v="15827835"/>
    <n v="116"/>
    <n v="10329454"/>
    <n v="4016064"/>
    <s v="NO"/>
  </r>
  <r>
    <n v="8"/>
    <x v="31"/>
    <x v="2"/>
    <s v="Agosto"/>
    <s v="NATAPIDU"/>
    <x v="28"/>
    <x v="25"/>
    <n v="67580505"/>
    <n v="1439370"/>
    <n v="6749635"/>
    <n v="59391500"/>
    <n v="40000000"/>
    <n v="1.4847874999999999"/>
    <x v="1"/>
    <n v="25"/>
    <s v="IPS Pto De Vista Industriales"/>
    <s v="Antioquia"/>
    <s v="Cumple"/>
    <n v="66"/>
    <n v="12985259"/>
    <n v="190"/>
    <n v="39669915"/>
    <n v="67"/>
    <n v="6749635"/>
    <n v="8175696"/>
    <s v="NO"/>
  </r>
  <r>
    <n v="8"/>
    <x v="31"/>
    <x v="2"/>
    <s v="Agosto"/>
    <s v="ALVAOSOS"/>
    <x v="36"/>
    <x v="37"/>
    <n v="58272760"/>
    <n v="1505390"/>
    <n v="10784154"/>
    <n v="45983216"/>
    <n v="44000000"/>
    <n v="1.0450730909090908"/>
    <x v="1"/>
    <n v="25"/>
    <s v="IPS Pto De Vista Punto Clave"/>
    <s v="Antioquia"/>
    <s v="Siempre Cumple"/>
    <n v="77"/>
    <n v="7844761"/>
    <n v="194"/>
    <n v="27798566"/>
    <n v="110"/>
    <n v="10784154"/>
    <n v="11845279"/>
    <s v="NO"/>
  </r>
  <r>
    <n v="8"/>
    <x v="31"/>
    <x v="2"/>
    <s v="Agosto"/>
    <s v="CARORAMN"/>
    <x v="61"/>
    <x v="61"/>
    <n v="62996909"/>
    <n v="1170000"/>
    <n v="11809378"/>
    <n v="50017531"/>
    <n v="44000000"/>
    <n v="1.1367620681818182"/>
    <x v="1"/>
    <n v="25"/>
    <s v="IPS Pto De Vista Punto Clave"/>
    <s v="Antioquia"/>
    <s v="No Cumple"/>
    <n v="98"/>
    <n v="9872247"/>
    <n v="244"/>
    <n v="33278750"/>
    <n v="116"/>
    <n v="11809378"/>
    <n v="8036534"/>
    <s v="NO"/>
  </r>
  <r>
    <n v="8"/>
    <x v="31"/>
    <x v="2"/>
    <s v="Agosto"/>
    <s v="DEISCACR"/>
    <x v="50"/>
    <x v="50"/>
    <n v="57717338"/>
    <n v="2136390"/>
    <n v="11751807"/>
    <n v="43829141"/>
    <n v="44000000"/>
    <n v="0.99611684090909092"/>
    <x v="1"/>
    <n v="25"/>
    <s v="IPS Pto De Vista Punto Clave"/>
    <s v="Antioquia"/>
    <s v="Fluctúa"/>
    <n v="94"/>
    <n v="9576648"/>
    <n v="220"/>
    <n v="26415240"/>
    <n v="123"/>
    <n v="11751807"/>
    <n v="9973643"/>
    <s v="NO"/>
  </r>
  <r>
    <n v="8"/>
    <x v="31"/>
    <x v="2"/>
    <s v="Agosto"/>
    <s v="GENNHEPO"/>
    <x v="16"/>
    <x v="14"/>
    <n v="63400573"/>
    <n v="3705300"/>
    <n v="11801478"/>
    <n v="47893795"/>
    <n v="44000000"/>
    <n v="1.0884953409090909"/>
    <x v="1"/>
    <n v="25"/>
    <s v="IPS Pto De Vista Punto Clave"/>
    <s v="Antioquia"/>
    <s v="Fluctúa"/>
    <n v="105"/>
    <n v="10175449"/>
    <n v="282"/>
    <n v="30149685"/>
    <n v="124"/>
    <n v="11801478"/>
    <n v="11273961"/>
    <s v="NO"/>
  </r>
  <r>
    <n v="8"/>
    <x v="31"/>
    <x v="2"/>
    <s v="Agosto"/>
    <s v="LEIDGOVI"/>
    <x v="39"/>
    <x v="39"/>
    <n v="28997669"/>
    <n v="324000"/>
    <n v="5927606"/>
    <n v="22746063"/>
    <n v="12320000"/>
    <n v="1.8462713474025974"/>
    <x v="1"/>
    <n v="25"/>
    <s v="IPS Pto De Vista Punto Clave"/>
    <s v="Antioquia"/>
    <s v="Fluctúa"/>
    <n v="39"/>
    <n v="3920759"/>
    <n v="112"/>
    <n v="17039642"/>
    <n v="58"/>
    <n v="5927606"/>
    <n v="2109662"/>
    <s v="Inicio Vacaciones"/>
  </r>
  <r>
    <n v="8"/>
    <x v="31"/>
    <x v="2"/>
    <s v="Agosto"/>
    <s v="NOREARMA"/>
    <x v="66"/>
    <x v="66"/>
    <n v="55564255"/>
    <n v="468000"/>
    <n v="11488107"/>
    <n v="43608148"/>
    <n v="36000000"/>
    <n v="1.2113374444444445"/>
    <x v="1"/>
    <n v="25"/>
    <s v="IPS Pto De Vista San Diego"/>
    <s v="Antioquia"/>
    <s v="Fluctúa"/>
    <n v="84"/>
    <n v="10348479"/>
    <n v="202"/>
    <n v="29226420"/>
    <n v="111"/>
    <n v="11488107"/>
    <n v="4501249"/>
    <s v="NO"/>
  </r>
  <r>
    <n v="8"/>
    <x v="31"/>
    <x v="2"/>
    <s v="Agosto"/>
    <s v="YENYSUPE"/>
    <x v="51"/>
    <x v="51"/>
    <n v="60822018"/>
    <n v="2571300"/>
    <n v="13171340"/>
    <n v="45079378"/>
    <n v="44000000"/>
    <n v="1.0245313181818181"/>
    <x v="1"/>
    <n v="25"/>
    <s v="IPS Pto De Vista Punto Clave"/>
    <s v="Antioquia"/>
    <s v="Cumple"/>
    <n v="90"/>
    <n v="8762316"/>
    <n v="238"/>
    <n v="26667003"/>
    <n v="130"/>
    <n v="13171340"/>
    <n v="12221359"/>
    <s v="NO"/>
  </r>
  <r>
    <n v="8"/>
    <x v="31"/>
    <x v="2"/>
    <s v="Agosto"/>
    <s v="YURAUSVE"/>
    <x v="56"/>
    <x v="56"/>
    <n v="54144891"/>
    <n v="0"/>
    <n v="10273912"/>
    <n v="43870979"/>
    <n v="42240000"/>
    <n v="1.0386121922348486"/>
    <x v="1"/>
    <n v="25"/>
    <s v="IPS Pto De Vista Punto Clave"/>
    <s v="Antioquia"/>
    <n v="0"/>
    <n v="86"/>
    <n v="8346482"/>
    <n v="234"/>
    <n v="27489262"/>
    <n v="102"/>
    <n v="10273912"/>
    <n v="8035235"/>
    <s v="NO"/>
  </r>
  <r>
    <n v="8"/>
    <x v="31"/>
    <x v="2"/>
    <s v="Agosto"/>
    <s v="ANAMLOBE"/>
    <x v="3"/>
    <x v="3"/>
    <n v="76084928"/>
    <n v="792000"/>
    <n v="12964986"/>
    <n v="62327942"/>
    <n v="44000000"/>
    <n v="1.4165441363636364"/>
    <x v="1"/>
    <n v="25"/>
    <s v="IPS Pto De Vista Unicentro"/>
    <s v="Antioquia"/>
    <s v="Siempre Cumple"/>
    <n v="110"/>
    <n v="14808238"/>
    <n v="262"/>
    <n v="39624722"/>
    <n v="130"/>
    <n v="12964986"/>
    <n v="8686982"/>
    <s v="NO"/>
  </r>
  <r>
    <n v="8"/>
    <x v="31"/>
    <x v="2"/>
    <s v="Agosto"/>
    <s v="DIANQUME"/>
    <x v="14"/>
    <x v="7"/>
    <n v="1844524"/>
    <n v="248000"/>
    <n v="0"/>
    <n v="1596524"/>
    <m/>
    <m/>
    <x v="1"/>
    <n v="25"/>
    <s v="IPS Pto De Vista Molinos"/>
    <s v="Antioquia"/>
    <s v="Cumple"/>
    <n v="3"/>
    <n v="237423"/>
    <n v="10"/>
    <n v="1359101"/>
    <n v="0"/>
    <n v="0"/>
    <n v="248000"/>
    <m/>
  </r>
  <r>
    <n v="8"/>
    <x v="31"/>
    <x v="2"/>
    <s v="Agosto"/>
    <s v="ELIZVESU"/>
    <x v="15"/>
    <x v="13"/>
    <n v="76156140"/>
    <n v="2559600"/>
    <n v="15669490"/>
    <n v="57927050"/>
    <n v="44000000"/>
    <n v="1.3165238636363636"/>
    <x v="1"/>
    <n v="25"/>
    <s v="IPS Pto De Vista Unicentro"/>
    <s v="Antioquia"/>
    <s v="Fluctúa"/>
    <n v="114"/>
    <n v="13656687"/>
    <n v="270"/>
    <n v="38628957"/>
    <n v="152"/>
    <n v="15669490"/>
    <n v="8201006"/>
    <s v="NO"/>
  </r>
  <r>
    <n v="8"/>
    <x v="31"/>
    <x v="2"/>
    <s v="Agosto"/>
    <s v="VIVIVAZA"/>
    <x v="33"/>
    <x v="30"/>
    <n v="81320497"/>
    <n v="2418900"/>
    <n v="15326722"/>
    <n v="63574875"/>
    <n v="44000000"/>
    <n v="1.4448835227272727"/>
    <x v="1"/>
    <n v="25"/>
    <s v="IPS Pto De Vista Unicentro"/>
    <s v="Antioquia"/>
    <s v="Cumple"/>
    <n v="114"/>
    <n v="13325352"/>
    <n v="289"/>
    <n v="42684788"/>
    <n v="150"/>
    <n v="14979422"/>
    <n v="10330935"/>
    <s v="NO"/>
  </r>
  <r>
    <n v="8"/>
    <x v="31"/>
    <x v="2"/>
    <s v="Agosto"/>
    <s v="ANGEGAAR"/>
    <x v="4"/>
    <x v="4"/>
    <n v="23096837"/>
    <n v="0"/>
    <n v="5591884"/>
    <n v="17504953"/>
    <n v="14760000"/>
    <n v="1.1859724254742547"/>
    <x v="1"/>
    <n v="25"/>
    <s v="IPS Pto De Vista San Diego"/>
    <s v="Antioquia"/>
    <s v="Fluctúa"/>
    <n v="31"/>
    <n v="3602327"/>
    <n v="77"/>
    <n v="10925484"/>
    <n v="52"/>
    <n v="5591884"/>
    <n v="2977142"/>
    <s v="NO"/>
  </r>
  <r>
    <n v="8"/>
    <x v="31"/>
    <x v="2"/>
    <s v="Agosto"/>
    <s v="ERIKSAVA"/>
    <x v="44"/>
    <x v="44"/>
    <n v="46621671"/>
    <n v="468000"/>
    <n v="8406566"/>
    <n v="37747105"/>
    <n v="36000000"/>
    <n v="1.0485306944444444"/>
    <x v="1"/>
    <n v="25"/>
    <s v="IPS Pto De Vista San Diego"/>
    <s v="Antioquia"/>
    <s v="No Cumple"/>
    <n v="76"/>
    <n v="9086207"/>
    <n v="166"/>
    <n v="22206565"/>
    <n v="88"/>
    <n v="8406566"/>
    <n v="6922333"/>
    <s v="NO"/>
  </r>
  <r>
    <n v="8"/>
    <x v="31"/>
    <x v="2"/>
    <s v="Agosto"/>
    <s v="HISNOSPI"/>
    <x v="49"/>
    <x v="7"/>
    <n v="8715396"/>
    <n v="0"/>
    <n v="823723"/>
    <n v="7891673"/>
    <m/>
    <m/>
    <x v="0"/>
    <n v="25"/>
    <s v="IPS Pto De Vista San Diego"/>
    <s v="Antioquia"/>
    <s v="No Aplica"/>
    <n v="20"/>
    <n v="2026250"/>
    <n v="46"/>
    <n v="4202303"/>
    <n v="9"/>
    <n v="823723"/>
    <n v="1663120"/>
    <m/>
  </r>
  <r>
    <n v="8"/>
    <x v="31"/>
    <x v="2"/>
    <s v="Agosto"/>
    <s v="MARIMASA"/>
    <x v="23"/>
    <x v="34"/>
    <n v="44974828"/>
    <n v="648000"/>
    <n v="6758553"/>
    <n v="37568275"/>
    <n v="36000000"/>
    <n v="1.0435631944444443"/>
    <x v="1"/>
    <n v="25"/>
    <s v="IPS Pto De Vista San Diego"/>
    <s v="Antioquia"/>
    <s v="Siempre Cumple"/>
    <n v="64"/>
    <n v="7781836"/>
    <n v="174"/>
    <n v="26632823"/>
    <n v="69"/>
    <n v="6758553"/>
    <n v="3801616"/>
    <s v="NO"/>
  </r>
  <r>
    <n v="8"/>
    <x v="31"/>
    <x v="2"/>
    <s v="Agosto"/>
    <s v="MARIHIRO"/>
    <x v="76"/>
    <x v="76"/>
    <n v="36150160"/>
    <n v="468000"/>
    <n v="8043300"/>
    <n v="27638860"/>
    <n v="36960000"/>
    <n v="0.74780465367965365"/>
    <x v="1"/>
    <n v="25"/>
    <s v="IPS Pto De Vista Centro"/>
    <s v="Antioquia"/>
    <s v="No Cumple"/>
    <n v="62"/>
    <n v="6819544"/>
    <n v="141"/>
    <n v="15723361"/>
    <n v="92"/>
    <n v="8043300"/>
    <n v="5563955"/>
    <s v="NO"/>
  </r>
  <r>
    <n v="8"/>
    <x v="31"/>
    <x v="2"/>
    <s v="Agosto"/>
    <s v="ANDRSAZA"/>
    <x v="45"/>
    <x v="45"/>
    <n v="54381564"/>
    <n v="712800"/>
    <n v="7965410"/>
    <n v="45703354"/>
    <n v="28000000"/>
    <n v="1.632262642857143"/>
    <x v="1"/>
    <n v="25"/>
    <s v="IPS Pto De Vista Santa Bárbara"/>
    <s v="Centro"/>
    <s v="Cumple"/>
    <n v="92"/>
    <n v="10584045"/>
    <n v="240"/>
    <n v="31784599"/>
    <n v="110"/>
    <n v="7965410"/>
    <n v="4047510"/>
    <s v="NO"/>
  </r>
  <r>
    <n v="8"/>
    <x v="31"/>
    <x v="2"/>
    <s v="Agosto"/>
    <s v="CAMIPUHE"/>
    <x v="53"/>
    <x v="53"/>
    <n v="41184101"/>
    <n v="324000"/>
    <n v="7655311"/>
    <n v="33204790"/>
    <n v="28000000"/>
    <n v="1.1858853571428571"/>
    <x v="1"/>
    <n v="25"/>
    <s v="IPS Pto De Vista SSura Clle100"/>
    <s v="Centro"/>
    <s v="Cumple"/>
    <n v="75"/>
    <n v="7545994"/>
    <n v="196"/>
    <n v="24515072"/>
    <n v="105"/>
    <n v="7655311"/>
    <n v="1467724"/>
    <s v="NO"/>
  </r>
  <r>
    <n v="8"/>
    <x v="31"/>
    <x v="2"/>
    <s v="Agosto"/>
    <s v="ISABMOGO"/>
    <x v="17"/>
    <x v="15"/>
    <n v="41685579"/>
    <n v="993600"/>
    <n v="6392692"/>
    <n v="34299287"/>
    <n v="28000000"/>
    <n v="1.2249745357142856"/>
    <x v="1"/>
    <n v="25"/>
    <s v="IPS Pto De Vista Santa Bárbara"/>
    <s v="Centro"/>
    <s v="No Cumple"/>
    <n v="93"/>
    <n v="9014004"/>
    <n v="211"/>
    <n v="22251650"/>
    <n v="92"/>
    <n v="6392692"/>
    <n v="4027233"/>
    <s v="NO"/>
  </r>
  <r>
    <n v="8"/>
    <x v="31"/>
    <x v="2"/>
    <s v="Agosto"/>
    <s v="LUZNHEGO"/>
    <x v="21"/>
    <x v="19"/>
    <n v="39224807"/>
    <n v="0"/>
    <n v="3871400"/>
    <n v="35353407"/>
    <n v="30000000"/>
    <n v="1.1784469"/>
    <x v="1"/>
    <n v="25"/>
    <s v="IPS Punto de Vista Mayorca"/>
    <s v="Antioquia"/>
    <s v="Siempre Cumple"/>
    <n v="61"/>
    <n v="9971921"/>
    <n v="180"/>
    <n v="21763193"/>
    <n v="56"/>
    <n v="3871400"/>
    <n v="3618293"/>
    <s v="NO"/>
  </r>
  <r>
    <n v="8"/>
    <x v="31"/>
    <x v="2"/>
    <s v="Agosto"/>
    <s v="ROCIFASA"/>
    <x v="31"/>
    <x v="28"/>
    <n v="60692941"/>
    <n v="1407060"/>
    <n v="7245879"/>
    <n v="52040002"/>
    <n v="35000000"/>
    <n v="1.4868572"/>
    <x v="1"/>
    <n v="25"/>
    <s v="Optica Salud Sura Chipichape"/>
    <s v="Occidente"/>
    <s v="Cumple"/>
    <n v="92"/>
    <n v="13736109"/>
    <n v="253"/>
    <n v="34059342"/>
    <n v="81"/>
    <n v="7245879"/>
    <n v="5651611"/>
    <s v="NO"/>
  </r>
  <r>
    <n v="8"/>
    <x v="31"/>
    <x v="2"/>
    <s v="Agosto"/>
    <s v="MONILOSA"/>
    <x v="69"/>
    <x v="69"/>
    <n v="35547657"/>
    <n v="0"/>
    <n v="1593376"/>
    <n v="33954281"/>
    <n v="9200349"/>
    <n v="3.6905427174556094"/>
    <x v="0"/>
    <n v="25"/>
    <s v="Ferias Cali"/>
    <s v="Occidente"/>
    <s v="No Aplica"/>
    <n v="82"/>
    <n v="8761372"/>
    <n v="208"/>
    <n v="20243274"/>
    <n v="20"/>
    <n v="1593376"/>
    <n v="4949635"/>
    <m/>
  </r>
  <r>
    <n v="8"/>
    <x v="31"/>
    <x v="2"/>
    <s v="Agosto"/>
    <s v="ANGISEBR"/>
    <x v="70"/>
    <x v="70"/>
    <n v="40381932"/>
    <n v="0"/>
    <n v="9150028"/>
    <n v="31231904"/>
    <n v="30000000"/>
    <n v="1.0410634666666667"/>
    <x v="1"/>
    <n v="25"/>
    <s v="Punto de Vista Tequendama"/>
    <s v="Occidente"/>
    <s v="No Cumple"/>
    <n v="63"/>
    <n v="7077319"/>
    <n v="220"/>
    <n v="21985570"/>
    <n v="98"/>
    <n v="9150028"/>
    <n v="2169015"/>
    <s v="NO"/>
  </r>
  <r>
    <n v="8"/>
    <x v="31"/>
    <x v="2"/>
    <s v="Agosto"/>
    <s v="HEIDVAVI"/>
    <x v="73"/>
    <x v="73"/>
    <n v="24104971"/>
    <n v="210600"/>
    <n v="5153890"/>
    <n v="18740481"/>
    <n v="27156176"/>
    <n v="0.69010014517507912"/>
    <x v="1"/>
    <n v="25"/>
    <s v="Punto de Vista Cali Norte"/>
    <s v="Occidente"/>
    <s v="Siempre Cumple"/>
    <n v="31"/>
    <n v="3725140"/>
    <n v="115"/>
    <n v="14031838"/>
    <n v="56"/>
    <n v="5153890"/>
    <n v="1194103"/>
    <s v="NO"/>
  </r>
  <r>
    <n v="8"/>
    <x v="31"/>
    <x v="2"/>
    <s v="Agosto"/>
    <s v="MONIARGI"/>
    <x v="67"/>
    <x v="67"/>
    <n v="20014229"/>
    <n v="0"/>
    <n v="7031849"/>
    <n v="12982380"/>
    <n v="30000000"/>
    <n v="0.43274600000000002"/>
    <x v="0"/>
    <n v="25"/>
    <s v="Punto de Vista Cali Norte"/>
    <s v="Occidente"/>
    <s v="No Aplica"/>
    <n v="19"/>
    <n v="2591829"/>
    <n v="96"/>
    <n v="8479779"/>
    <n v="71"/>
    <n v="7031849"/>
    <n v="1910772"/>
    <m/>
  </r>
  <r>
    <n v="8"/>
    <x v="31"/>
    <x v="2"/>
    <s v="Agosto"/>
    <s v="PAOLPACA"/>
    <x v="47"/>
    <x v="47"/>
    <n v="42395027"/>
    <n v="0"/>
    <n v="8840157"/>
    <n v="33554870"/>
    <n v="30000000"/>
    <n v="1.1184956666666668"/>
    <x v="1"/>
    <n v="25"/>
    <s v="Punto de Vista Tequendama"/>
    <s v="Occidente"/>
    <s v="Siempre Cumple"/>
    <n v="64"/>
    <n v="7249828"/>
    <n v="206"/>
    <n v="23030852"/>
    <n v="81"/>
    <n v="8840157"/>
    <n v="3274190"/>
    <s v="NO"/>
  </r>
  <r>
    <n v="8"/>
    <x v="31"/>
    <x v="2"/>
    <s v="Agosto"/>
    <s v="TATIRITR"/>
    <x v="60"/>
    <x v="60"/>
    <n v="42285862"/>
    <n v="0"/>
    <n v="9252641"/>
    <n v="33033221"/>
    <n v="30000000"/>
    <n v="1.1011073666666666"/>
    <x v="1"/>
    <n v="25"/>
    <s v="Punto de Vista Cali Norte"/>
    <s v="Occidente"/>
    <s v="No Cumple"/>
    <n v="66"/>
    <n v="7985083"/>
    <n v="208"/>
    <n v="21685239"/>
    <n v="99"/>
    <n v="9252641"/>
    <n v="3362899"/>
    <s v="NO"/>
  </r>
  <r>
    <n v="8"/>
    <x v="31"/>
    <x v="2"/>
    <s v="Agosto"/>
    <s v="ANAKBEZA"/>
    <x v="37"/>
    <x v="7"/>
    <n v="259234"/>
    <n v="0"/>
    <n v="0"/>
    <n v="259234"/>
    <m/>
    <m/>
    <x v="0"/>
    <n v="25"/>
    <s v=""/>
    <s v=""/>
    <s v="No Aplica"/>
    <n v="1"/>
    <n v="39285"/>
    <n v="2"/>
    <n v="219949"/>
    <n v="0"/>
    <n v="0"/>
    <n v="0"/>
    <m/>
  </r>
  <r>
    <n v="8"/>
    <x v="31"/>
    <x v="2"/>
    <s v="Agosto"/>
    <s v="CARORICA"/>
    <x v="37"/>
    <x v="7"/>
    <n v="281438"/>
    <n v="0"/>
    <n v="0"/>
    <n v="281438"/>
    <m/>
    <m/>
    <x v="0"/>
    <n v="25"/>
    <s v=""/>
    <s v=""/>
    <s v="No Aplica"/>
    <n v="1"/>
    <n v="128403"/>
    <n v="2"/>
    <n v="22035"/>
    <n v="0"/>
    <n v="0"/>
    <n v="131000"/>
    <m/>
  </r>
  <r>
    <n v="8"/>
    <x v="31"/>
    <x v="2"/>
    <s v="Agosto"/>
    <s v="DANYLESE"/>
    <x v="37"/>
    <x v="7"/>
    <n v="5906690"/>
    <n v="0"/>
    <n v="3024535"/>
    <n v="2882155"/>
    <m/>
    <m/>
    <x v="0"/>
    <n v="25"/>
    <s v=""/>
    <s v=""/>
    <s v="No Aplica"/>
    <n v="9"/>
    <n v="1366407"/>
    <n v="16"/>
    <n v="830612"/>
    <n v="33"/>
    <n v="3024535"/>
    <n v="685136"/>
    <m/>
  </r>
  <r>
    <n v="8"/>
    <x v="31"/>
    <x v="2"/>
    <s v="Agosto"/>
    <s v="DIANPOPA"/>
    <x v="37"/>
    <x v="7"/>
    <n v="90427"/>
    <n v="0"/>
    <n v="0"/>
    <n v="90427"/>
    <m/>
    <m/>
    <x v="0"/>
    <n v="25"/>
    <s v=""/>
    <s v=""/>
    <s v="No Aplica"/>
    <n v="1"/>
    <n v="66207"/>
    <n v="2"/>
    <n v="24220"/>
    <n v="0"/>
    <n v="0"/>
    <n v="0"/>
    <m/>
  </r>
  <r>
    <n v="8"/>
    <x v="31"/>
    <x v="2"/>
    <s v="Agosto"/>
    <s v="MILEQUOL"/>
    <x v="37"/>
    <x v="7"/>
    <n v="5785950"/>
    <n v="0"/>
    <n v="1833257"/>
    <n v="3952693"/>
    <m/>
    <m/>
    <x v="0"/>
    <n v="25"/>
    <s v=""/>
    <s v=""/>
    <s v="No Aplica"/>
    <n v="10"/>
    <n v="781562"/>
    <n v="20"/>
    <n v="2881930"/>
    <n v="19"/>
    <n v="1833257"/>
    <n v="289201"/>
    <m/>
  </r>
  <r>
    <n v="9"/>
    <x v="32"/>
    <x v="2"/>
    <s v="Septiembre"/>
    <s v="DERLARMO"/>
    <x v="11"/>
    <x v="10"/>
    <n v="33230138"/>
    <n v="1282200"/>
    <n v="6072549"/>
    <n v="25875389"/>
    <n v="25000000"/>
    <n v="1.0350155599999999"/>
    <x v="1"/>
    <n v="25"/>
    <s v="IPS Pto De Vista Olaya"/>
    <s v="Centro"/>
    <s v="Cumple"/>
    <n v="83"/>
    <n v="5827171"/>
    <n v="212"/>
    <n v="18948836"/>
    <n v="85"/>
    <n v="6072549"/>
    <n v="2381582"/>
    <s v="NO"/>
  </r>
  <r>
    <n v="9"/>
    <x v="32"/>
    <x v="2"/>
    <s v="Septiembre"/>
    <s v="LOREBECR"/>
    <x v="68"/>
    <x v="68"/>
    <n v="34303868"/>
    <n v="486000"/>
    <n v="7773840"/>
    <n v="26044028"/>
    <n v="25000000"/>
    <n v="1.0417611200000001"/>
    <x v="1"/>
    <n v="25"/>
    <s v="IPS Pto De Vista Olaya"/>
    <s v="Centro"/>
    <s v="Fluctúa"/>
    <n v="76"/>
    <n v="6269008"/>
    <n v="192"/>
    <n v="18207290"/>
    <n v="110"/>
    <n v="7773840"/>
    <n v="2053730"/>
    <s v="NO"/>
  </r>
  <r>
    <n v="9"/>
    <x v="32"/>
    <x v="2"/>
    <s v="Septiembre"/>
    <s v="RAULMOGA"/>
    <x v="30"/>
    <x v="27"/>
    <n v="35927610"/>
    <n v="1337400"/>
    <n v="6496771"/>
    <n v="28093439"/>
    <n v="25000000"/>
    <n v="1.1237375599999999"/>
    <x v="0"/>
    <n v="25"/>
    <s v="IPS Pto De Vista Olaya"/>
    <s v="Centro"/>
    <s v="No Aplica"/>
    <n v="84"/>
    <n v="5678232"/>
    <n v="204"/>
    <n v="19641337"/>
    <n v="95"/>
    <n v="6496771"/>
    <n v="4111270"/>
    <m/>
  </r>
  <r>
    <n v="9"/>
    <x v="32"/>
    <x v="2"/>
    <s v="Septiembre"/>
    <s v="PAULGOBA"/>
    <x v="35"/>
    <x v="36"/>
    <n v="54507473"/>
    <n v="0"/>
    <n v="6436493"/>
    <n v="48070980"/>
    <n v="44000000"/>
    <n v="1.0925222727272728"/>
    <x v="1"/>
    <n v="25"/>
    <s v="Ferias Empresariales Antioquia"/>
    <s v="Antioquia"/>
    <s v="Fluctúa"/>
    <n v="3"/>
    <n v="214824"/>
    <n v="8"/>
    <n v="803016"/>
    <n v="79"/>
    <n v="6436493"/>
    <n v="47053140"/>
    <s v="NO"/>
  </r>
  <r>
    <n v="9"/>
    <x v="32"/>
    <x v="2"/>
    <s v="Septiembre"/>
    <s v="VANELOBE"/>
    <x v="74"/>
    <x v="74"/>
    <n v="24233471"/>
    <n v="0"/>
    <n v="686568"/>
    <n v="23546903"/>
    <n v="14080000"/>
    <n v="1.6723652698863636"/>
    <x v="1"/>
    <n v="25"/>
    <s v="IPS Pto De Vista San Diego"/>
    <s v="Antioquia"/>
    <s v="Siempre Cumple"/>
    <n v="7"/>
    <n v="485976"/>
    <n v="28"/>
    <n v="2466006"/>
    <n v="6"/>
    <n v="686568"/>
    <n v="20594921"/>
    <s v="NO"/>
  </r>
  <r>
    <n v="9"/>
    <x v="32"/>
    <x v="2"/>
    <s v="Septiembre"/>
    <s v="CINDGACU"/>
    <x v="55"/>
    <x v="55"/>
    <n v="43802640"/>
    <n v="2754200"/>
    <n v="8593841"/>
    <n v="32454599"/>
    <n v="29480000"/>
    <n v="1.1009022727272728"/>
    <x v="1"/>
    <n v="25"/>
    <s v="IPS Pto De Vista San Diego"/>
    <s v="Antioquia"/>
    <s v="Siempre Cumple"/>
    <n v="71"/>
    <n v="7556633"/>
    <n v="164"/>
    <n v="21126564"/>
    <n v="93"/>
    <n v="8593841"/>
    <n v="6525602"/>
    <s v="NO"/>
  </r>
  <r>
    <n v="9"/>
    <x v="32"/>
    <x v="2"/>
    <s v="Septiembre"/>
    <s v="DIANPAAL"/>
    <x v="12"/>
    <x v="11"/>
    <n v="52141747"/>
    <n v="5288350"/>
    <n v="10813616"/>
    <n v="36039781"/>
    <n v="35000000"/>
    <n v="1.0297080285714286"/>
    <x v="1"/>
    <n v="25"/>
    <s v="IPS Pto De Vista Rionegro"/>
    <s v="Antioquia"/>
    <s v="Cumple"/>
    <n v="75"/>
    <n v="8217296"/>
    <n v="204"/>
    <n v="24013200"/>
    <n v="110"/>
    <n v="10813616"/>
    <n v="9097635"/>
    <s v="NO"/>
  </r>
  <r>
    <n v="9"/>
    <x v="32"/>
    <x v="2"/>
    <s v="Septiembre"/>
    <s v="MARIGOOR"/>
    <x v="77"/>
    <x v="77"/>
    <n v="9520790"/>
    <n v="468000"/>
    <n v="2697167"/>
    <n v="6355623"/>
    <n v="19600000"/>
    <n v="0.32426647959183674"/>
    <x v="1"/>
    <n v="25"/>
    <s v="IPS Pto De Vista Rionegro"/>
    <s v="Antioquia"/>
    <s v="No Cumple"/>
    <n v="10"/>
    <n v="1049955"/>
    <n v="30"/>
    <n v="4513622"/>
    <n v="25"/>
    <n v="2697167"/>
    <n v="1260046"/>
    <s v="NO"/>
  </r>
  <r>
    <n v="9"/>
    <x v="32"/>
    <x v="2"/>
    <s v="Septiembre"/>
    <s v="MARIOCOC"/>
    <x v="24"/>
    <x v="21"/>
    <n v="57556401"/>
    <n v="3005200"/>
    <n v="11331301"/>
    <n v="43219900"/>
    <n v="35000000"/>
    <n v="1.2348542857142857"/>
    <x v="1"/>
    <n v="25"/>
    <s v="IPS Pto De Vista Rionegro"/>
    <s v="Antioquia"/>
    <s v="Cumple"/>
    <n v="98"/>
    <n v="11737698"/>
    <n v="231"/>
    <n v="27812114"/>
    <n v="122"/>
    <n v="11331301"/>
    <n v="6675288"/>
    <s v="NO"/>
  </r>
  <r>
    <n v="9"/>
    <x v="32"/>
    <x v="2"/>
    <s v="Septiembre"/>
    <s v="ALEXLOGR"/>
    <x v="2"/>
    <x v="2"/>
    <n v="57920854"/>
    <n v="0"/>
    <n v="22106999"/>
    <n v="35813855"/>
    <n v="35000000"/>
    <n v="1.023253"/>
    <x v="1"/>
    <n v="25"/>
    <s v="IPS Punto de Vista Bello"/>
    <s v="Antioquia"/>
    <s v="Fluctúa"/>
    <n v="72"/>
    <n v="8192989"/>
    <n v="170"/>
    <n v="23091579"/>
    <n v="233"/>
    <n v="22106999"/>
    <n v="4529287"/>
    <s v="NO"/>
  </r>
  <r>
    <n v="9"/>
    <x v="32"/>
    <x v="2"/>
    <s v="Septiembre"/>
    <s v="YULIRIRE"/>
    <x v="57"/>
    <x v="57"/>
    <n v="25994883"/>
    <n v="0"/>
    <n v="46283"/>
    <n v="25948600"/>
    <n v="35000000"/>
    <n v="0.7413885714285714"/>
    <x v="1"/>
    <n v="25"/>
    <s v="IPS Punto de Vista Bello"/>
    <s v="Antioquia"/>
    <s v="Fluctúa"/>
    <n v="56"/>
    <n v="4909682"/>
    <n v="162"/>
    <n v="17832005"/>
    <n v="1"/>
    <n v="46283"/>
    <n v="3206913"/>
    <s v="NO"/>
  </r>
  <r>
    <n v="9"/>
    <x v="32"/>
    <x v="2"/>
    <s v="Septiembre"/>
    <s v="ADRIMOLU"/>
    <x v="1"/>
    <x v="1"/>
    <n v="56754592"/>
    <n v="567900"/>
    <n v="11629665"/>
    <n v="44557027"/>
    <n v="44000000"/>
    <n v="1.0126597045454546"/>
    <x v="1"/>
    <n v="25"/>
    <s v="IPS Pto De Vista Molinos"/>
    <s v="Antioquia"/>
    <s v="Cumple"/>
    <n v="117"/>
    <n v="11247818"/>
    <n v="273"/>
    <n v="27804018"/>
    <n v="117"/>
    <n v="11629665"/>
    <n v="6073091"/>
    <s v="NO"/>
  </r>
  <r>
    <n v="9"/>
    <x v="32"/>
    <x v="2"/>
    <s v="Septiembre"/>
    <s v="LILACARA"/>
    <x v="19"/>
    <x v="17"/>
    <n v="35087520"/>
    <n v="1873800"/>
    <n v="8523741"/>
    <n v="24689979"/>
    <n v="19360000"/>
    <n v="1.275308832644628"/>
    <x v="1"/>
    <n v="25"/>
    <s v="IPS Pto De Vista Molinos"/>
    <s v="Antioquia"/>
    <s v="Cumple"/>
    <n v="64"/>
    <n v="6312567"/>
    <n v="156"/>
    <n v="15555596"/>
    <n v="87"/>
    <n v="8523741"/>
    <n v="4695616"/>
    <s v="Inicio Vacaciones"/>
  </r>
  <r>
    <n v="9"/>
    <x v="32"/>
    <x v="2"/>
    <s v="Septiembre"/>
    <s v="MILEQUOL"/>
    <x v="78"/>
    <x v="78"/>
    <n v="29259683"/>
    <n v="783900"/>
    <n v="7060748"/>
    <n v="21415035"/>
    <n v="44000000"/>
    <n v="0.4867053409090909"/>
    <x v="1"/>
    <n v="25"/>
    <s v="IPS Punto de Vista Mayorca"/>
    <s v="Antioquia"/>
    <s v="Siempre Cumple"/>
    <n v="60"/>
    <n v="6001003"/>
    <n v="116"/>
    <n v="12250207"/>
    <n v="76"/>
    <n v="7060748"/>
    <n v="3947725"/>
    <s v="NO"/>
  </r>
  <r>
    <n v="9"/>
    <x v="32"/>
    <x v="2"/>
    <s v="Septiembre"/>
    <s v="NATAVAMO"/>
    <x v="63"/>
    <x v="63"/>
    <n v="46920106"/>
    <n v="1260000"/>
    <n v="12362631"/>
    <n v="33297475"/>
    <n v="44000000"/>
    <n v="0.75676079545454544"/>
    <x v="1"/>
    <n v="25"/>
    <s v="IPS Pto De Vista Molinos"/>
    <s v="Antioquia"/>
    <s v="Siempre Cumple"/>
    <n v="91"/>
    <n v="7665569"/>
    <n v="239"/>
    <n v="21979537"/>
    <n v="127"/>
    <n v="12362631"/>
    <n v="4912369"/>
    <s v="NO"/>
  </r>
  <r>
    <n v="9"/>
    <x v="32"/>
    <x v="2"/>
    <s v="Septiembre"/>
    <s v="SUANHECO"/>
    <x v="58"/>
    <x v="58"/>
    <n v="61549915"/>
    <n v="1330200"/>
    <n v="13609674"/>
    <n v="46610041"/>
    <n v="44000000"/>
    <n v="1.0593191136363636"/>
    <x v="1"/>
    <n v="25"/>
    <s v="IPS Pto De Vista Molinos"/>
    <s v="Antioquia"/>
    <s v="Fluctúa"/>
    <n v="118"/>
    <n v="13272340"/>
    <n v="252"/>
    <n v="28538664"/>
    <n v="138"/>
    <n v="13609674"/>
    <n v="6129237"/>
    <s v="NO"/>
  </r>
  <r>
    <n v="9"/>
    <x v="32"/>
    <x v="2"/>
    <s v="Septiembre"/>
    <s v="ZULYARGA"/>
    <x v="34"/>
    <x v="31"/>
    <n v="62882162"/>
    <n v="222300"/>
    <n v="15421707"/>
    <n v="47238155"/>
    <n v="44000000"/>
    <n v="1.0735944318181818"/>
    <x v="1"/>
    <n v="25"/>
    <s v="IPS Pto De Vista Molinos"/>
    <s v="Antioquia"/>
    <n v="0"/>
    <n v="108"/>
    <n v="12611550"/>
    <n v="260"/>
    <n v="29009224"/>
    <n v="153"/>
    <n v="15421707"/>
    <n v="5839681"/>
    <s v="NO"/>
  </r>
  <r>
    <n v="9"/>
    <x v="32"/>
    <x v="2"/>
    <s v="Septiembre"/>
    <s v="BIBIBECA"/>
    <x v="6"/>
    <x v="6"/>
    <n v="61702216"/>
    <n v="234000"/>
    <n v="17283410"/>
    <n v="44184806"/>
    <n v="42000000"/>
    <n v="1.0520191904761904"/>
    <x v="1"/>
    <n v="25"/>
    <s v="IPS Pto De Vista Centro"/>
    <s v="Antioquia"/>
    <s v="Fluctúa"/>
    <n v="108"/>
    <n v="9928172"/>
    <n v="274"/>
    <n v="30460981"/>
    <n v="170"/>
    <n v="17283410"/>
    <n v="4029653"/>
    <s v="NO"/>
  </r>
  <r>
    <n v="9"/>
    <x v="32"/>
    <x v="2"/>
    <s v="Septiembre"/>
    <s v="CLAUBLAR"/>
    <x v="9"/>
    <x v="8"/>
    <n v="63786435"/>
    <n v="468000"/>
    <n v="15466183"/>
    <n v="47852252"/>
    <n v="42000000"/>
    <n v="1.1393393333333333"/>
    <x v="1"/>
    <n v="25"/>
    <s v="IPS Pto De Vista Centro"/>
    <s v="Antioquia"/>
    <s v="Fluctúa"/>
    <n v="106"/>
    <n v="11768030"/>
    <n v="238"/>
    <n v="28157803"/>
    <n v="159"/>
    <n v="15466183"/>
    <n v="8394419"/>
    <s v="NO"/>
  </r>
  <r>
    <n v="9"/>
    <x v="32"/>
    <x v="2"/>
    <s v="Septiembre"/>
    <s v="HERIRORO"/>
    <x v="52"/>
    <x v="52"/>
    <n v="33792831"/>
    <n v="567000"/>
    <n v="10607262"/>
    <n v="22618569"/>
    <n v="42000000"/>
    <n v="0.53853735714285711"/>
    <x v="1"/>
    <n v="25"/>
    <s v="IPS Pto De Vista Centro"/>
    <s v="Antioquia"/>
    <s v="Siempre Cumple"/>
    <n v="66"/>
    <n v="5641071"/>
    <n v="151"/>
    <n v="13588384"/>
    <n v="110"/>
    <n v="10607262"/>
    <n v="3956114"/>
    <s v="NO"/>
  </r>
  <r>
    <n v="9"/>
    <x v="32"/>
    <x v="2"/>
    <s v="Septiembre"/>
    <s v="MARGGAPA"/>
    <x v="22"/>
    <x v="20"/>
    <n v="59031961"/>
    <n v="1126400"/>
    <n v="13623331"/>
    <n v="44282230"/>
    <n v="42000000"/>
    <n v="1.0543388095238095"/>
    <x v="1"/>
    <n v="25"/>
    <s v="IPS Pto De Vista Centro"/>
    <s v="Antioquia"/>
    <s v="Fluctúa"/>
    <n v="92"/>
    <n v="10380748"/>
    <n v="246"/>
    <n v="27756883"/>
    <n v="149"/>
    <n v="13623331"/>
    <n v="7270999"/>
    <s v="NO"/>
  </r>
  <r>
    <n v="9"/>
    <x v="32"/>
    <x v="2"/>
    <s v="Septiembre"/>
    <s v="MARIHIRO"/>
    <x v="76"/>
    <x v="76"/>
    <n v="44704760"/>
    <n v="0"/>
    <n v="10982267"/>
    <n v="33722493"/>
    <n v="42000000"/>
    <n v="0.80291650000000003"/>
    <x v="1"/>
    <n v="25"/>
    <s v="IPS Pto De Vista Centro"/>
    <s v="Antioquia"/>
    <s v="No Cumple"/>
    <n v="77"/>
    <n v="7334214"/>
    <n v="170"/>
    <n v="20827799"/>
    <n v="107"/>
    <n v="10982267"/>
    <n v="5560480"/>
    <s v="NO"/>
  </r>
  <r>
    <n v="9"/>
    <x v="32"/>
    <x v="2"/>
    <s v="Septiembre"/>
    <s v="SANDCAAC"/>
    <x v="75"/>
    <x v="75"/>
    <n v="54846631"/>
    <n v="923100"/>
    <n v="11701683"/>
    <n v="42221848"/>
    <n v="42000000"/>
    <n v="1.0052820952380952"/>
    <x v="1"/>
    <n v="25"/>
    <s v="IPS Pto De Vista Centro"/>
    <s v="Antioquia"/>
    <s v="Fluctúa"/>
    <n v="86"/>
    <n v="8416958"/>
    <n v="214"/>
    <n v="29517721"/>
    <n v="115"/>
    <n v="11701683"/>
    <n v="5210269"/>
    <s v="NO"/>
  </r>
  <r>
    <n v="9"/>
    <x v="32"/>
    <x v="2"/>
    <s v="Septiembre"/>
    <s v="YENISIGI"/>
    <x v="64"/>
    <x v="64"/>
    <n v="53978478"/>
    <n v="2293500"/>
    <n v="9438110"/>
    <n v="42246868"/>
    <n v="42000000"/>
    <n v="1.0058778095238095"/>
    <x v="1"/>
    <n v="25"/>
    <s v="IPS Pto De Vista Centro"/>
    <s v="Antioquia"/>
    <s v="Fluctúa"/>
    <n v="88"/>
    <n v="8102752"/>
    <n v="227"/>
    <n v="29505621"/>
    <n v="108"/>
    <n v="9438110"/>
    <n v="6931995"/>
    <s v="NO"/>
  </r>
  <r>
    <n v="9"/>
    <x v="32"/>
    <x v="2"/>
    <s v="Septiembre"/>
    <s v="NATAPIDU"/>
    <x v="28"/>
    <x v="25"/>
    <n v="69138480"/>
    <n v="765990"/>
    <n v="5905706"/>
    <n v="62466784"/>
    <n v="40000000"/>
    <n v="1.5616696000000001"/>
    <x v="1"/>
    <n v="25"/>
    <s v="IPS Pto De Vista Industriales"/>
    <s v="Antioquia"/>
    <s v="Cumple"/>
    <n v="73"/>
    <n v="16543237"/>
    <n v="200"/>
    <n v="39713879"/>
    <n v="64"/>
    <n v="5905706"/>
    <n v="6975658"/>
    <s v="NO"/>
  </r>
  <r>
    <n v="9"/>
    <x v="32"/>
    <x v="2"/>
    <s v="Septiembre"/>
    <s v="ALVAOSOS"/>
    <x v="36"/>
    <x v="37"/>
    <n v="61592119"/>
    <n v="879200"/>
    <n v="13729218"/>
    <n v="46983701"/>
    <n v="44000000"/>
    <n v="1.0678113863636363"/>
    <x v="1"/>
    <n v="25"/>
    <s v="IPS Pto De Vista Punto Clave"/>
    <s v="Antioquia"/>
    <s v="Siempre Cumple"/>
    <n v="89"/>
    <n v="9105211"/>
    <n v="211"/>
    <n v="28093025"/>
    <n v="128"/>
    <n v="13729218"/>
    <n v="10664665"/>
    <s v="NO"/>
  </r>
  <r>
    <n v="9"/>
    <x v="32"/>
    <x v="2"/>
    <s v="Septiembre"/>
    <s v="CARORAMN"/>
    <x v="61"/>
    <x v="61"/>
    <n v="56524114"/>
    <n v="1468200"/>
    <n v="10313986"/>
    <n v="44741928"/>
    <n v="44000000"/>
    <n v="1.0168619999999999"/>
    <x v="1"/>
    <n v="25"/>
    <s v="IPS Pto De Vista Punto Clave"/>
    <s v="Antioquia"/>
    <s v="No Cumple"/>
    <n v="89"/>
    <n v="8438338"/>
    <n v="214"/>
    <n v="29055820"/>
    <n v="104"/>
    <n v="10313986"/>
    <n v="8715970"/>
    <s v="NO"/>
  </r>
  <r>
    <n v="9"/>
    <x v="32"/>
    <x v="2"/>
    <s v="Septiembre"/>
    <s v="DEISCACR"/>
    <x v="50"/>
    <x v="7"/>
    <n v="3265630"/>
    <n v="0"/>
    <n v="1993327"/>
    <n v="1272303"/>
    <m/>
    <m/>
    <x v="1"/>
    <n v="25"/>
    <s v="IPS Pto De Vista Punto Clave"/>
    <s v="Antioquia"/>
    <s v="Fluctúa"/>
    <n v="3"/>
    <n v="367605"/>
    <n v="8"/>
    <n v="772778"/>
    <n v="19"/>
    <n v="1993327"/>
    <n v="131920"/>
    <s v="NO"/>
  </r>
  <r>
    <n v="9"/>
    <x v="32"/>
    <x v="2"/>
    <s v="Septiembre"/>
    <s v="GENNHEPO"/>
    <x v="16"/>
    <x v="14"/>
    <n v="57363222"/>
    <n v="1602000"/>
    <n v="11108927"/>
    <n v="44652295"/>
    <n v="44000000"/>
    <n v="1.0148248863636364"/>
    <x v="1"/>
    <n v="25"/>
    <s v="IPS Pto De Vista Punto Clave"/>
    <s v="Antioquia"/>
    <s v="Fluctúa"/>
    <n v="98"/>
    <n v="9628914"/>
    <n v="256"/>
    <n v="26726648"/>
    <n v="109"/>
    <n v="11108927"/>
    <n v="9898733"/>
    <s v="NO"/>
  </r>
  <r>
    <n v="9"/>
    <x v="32"/>
    <x v="2"/>
    <s v="Septiembre"/>
    <s v="LEIDGOVI"/>
    <x v="39"/>
    <x v="39"/>
    <n v="56137447"/>
    <n v="468000"/>
    <n v="8947172"/>
    <n v="46722275"/>
    <n v="44000000"/>
    <n v="1.0618698863636364"/>
    <x v="1"/>
    <n v="25"/>
    <s v="IPS Pto De Vista Punto Clave"/>
    <s v="Antioquia"/>
    <s v="Fluctúa"/>
    <n v="92"/>
    <n v="10890221"/>
    <n v="212"/>
    <n v="29918432"/>
    <n v="86"/>
    <n v="8947172"/>
    <n v="6381622"/>
    <s v="NO"/>
  </r>
  <r>
    <n v="9"/>
    <x v="32"/>
    <x v="2"/>
    <s v="Septiembre"/>
    <s v="LEIDPAPA"/>
    <x v="72"/>
    <x v="72"/>
    <n v="61613928"/>
    <n v="1396200"/>
    <n v="13908705"/>
    <n v="46309023"/>
    <n v="44000000"/>
    <n v="1.0524777954545455"/>
    <x v="1"/>
    <n v="25"/>
    <s v="IPS Pto De Vista Punto Clave"/>
    <s v="Antioquia"/>
    <s v="Siempre Cumple"/>
    <n v="118"/>
    <n v="11164204"/>
    <n v="276"/>
    <n v="29269565"/>
    <n v="137"/>
    <n v="13908705"/>
    <n v="7271454"/>
    <s v="NO"/>
  </r>
  <r>
    <n v="9"/>
    <x v="32"/>
    <x v="2"/>
    <s v="Septiembre"/>
    <s v="LEIDCAOR"/>
    <x v="71"/>
    <x v="71"/>
    <n v="34343320"/>
    <n v="2646000"/>
    <n v="8084165"/>
    <n v="23613155"/>
    <n v="40480000"/>
    <n v="0.58332892786561263"/>
    <x v="1"/>
    <n v="25"/>
    <s v="IPS Punto de Vista Mayorca"/>
    <s v="Antioquia"/>
    <s v="Fluctúa"/>
    <n v="53"/>
    <n v="5342527"/>
    <n v="132"/>
    <n v="13202787"/>
    <n v="87"/>
    <n v="8084165"/>
    <n v="7713841"/>
    <s v="NO"/>
  </r>
  <r>
    <n v="9"/>
    <x v="32"/>
    <x v="2"/>
    <s v="Septiembre"/>
    <s v="YENYSUPE"/>
    <x v="51"/>
    <x v="51"/>
    <n v="58213229"/>
    <n v="162000"/>
    <n v="12688416"/>
    <n v="45362813"/>
    <n v="44000000"/>
    <n v="1.0309730227272726"/>
    <x v="1"/>
    <n v="25"/>
    <s v="IPS Pto De Vista Punto Clave"/>
    <s v="Antioquia"/>
    <s v="Cumple"/>
    <n v="97"/>
    <n v="9383631"/>
    <n v="228"/>
    <n v="25955102"/>
    <n v="122"/>
    <n v="12688416"/>
    <n v="10186080"/>
    <s v="NO"/>
  </r>
  <r>
    <n v="9"/>
    <x v="32"/>
    <x v="2"/>
    <s v="Septiembre"/>
    <s v="YURAUSVE"/>
    <x v="56"/>
    <x v="56"/>
    <n v="19222963"/>
    <n v="0"/>
    <n v="3547645"/>
    <n v="15675318"/>
    <n v="14080000"/>
    <n v="1.1133038352272728"/>
    <x v="1"/>
    <n v="25"/>
    <s v="IPS Pto De Vista Punto Clave"/>
    <s v="Antioquia"/>
    <n v="0"/>
    <n v="30"/>
    <n v="2610421"/>
    <n v="80"/>
    <n v="10669086"/>
    <n v="39"/>
    <n v="3547645"/>
    <n v="2395811"/>
    <s v="Inicio Vacaciones"/>
  </r>
  <r>
    <n v="9"/>
    <x v="32"/>
    <x v="2"/>
    <s v="Septiembre"/>
    <s v="ANAMLOBE"/>
    <x v="3"/>
    <x v="3"/>
    <n v="80423643"/>
    <n v="1404000"/>
    <n v="13381081"/>
    <n v="65638562"/>
    <n v="44000000"/>
    <n v="1.4917855"/>
    <x v="1"/>
    <n v="25"/>
    <s v="IPS Pto De Vista Unicentro"/>
    <s v="Antioquia"/>
    <s v="Siempre Cumple"/>
    <n v="131"/>
    <n v="16640829"/>
    <n v="284"/>
    <n v="40689664"/>
    <n v="131"/>
    <n v="13381081"/>
    <n v="9712069"/>
    <s v="NO"/>
  </r>
  <r>
    <n v="9"/>
    <x v="32"/>
    <x v="2"/>
    <s v="Septiembre"/>
    <s v="ELIZVESU"/>
    <x v="15"/>
    <x v="13"/>
    <n v="66078473"/>
    <n v="1885800"/>
    <n v="13005961"/>
    <n v="51186712"/>
    <n v="44000000"/>
    <n v="1.1633343636363636"/>
    <x v="1"/>
    <n v="25"/>
    <s v="IPS Pto De Vista Unicentro"/>
    <s v="Antioquia"/>
    <s v="Fluctúa"/>
    <n v="101"/>
    <n v="11726332"/>
    <n v="244"/>
    <n v="34930290"/>
    <n v="141"/>
    <n v="13005961"/>
    <n v="6415890"/>
    <s v="NO"/>
  </r>
  <r>
    <n v="9"/>
    <x v="32"/>
    <x v="2"/>
    <s v="Septiembre"/>
    <s v="VIVIVAZA"/>
    <x v="33"/>
    <x v="30"/>
    <n v="88159876"/>
    <n v="1674000"/>
    <n v="18363273"/>
    <n v="68122603"/>
    <n v="44000000"/>
    <n v="1.5482409772727272"/>
    <x v="1"/>
    <n v="25"/>
    <s v="IPS Pto De Vista Unicentro"/>
    <s v="Antioquia"/>
    <s v="Cumple"/>
    <n v="141"/>
    <n v="14724572"/>
    <n v="326"/>
    <n v="43296207"/>
    <n v="183"/>
    <n v="18363273"/>
    <n v="11775824"/>
    <s v="NO"/>
  </r>
  <r>
    <n v="9"/>
    <x v="32"/>
    <x v="2"/>
    <s v="Septiembre"/>
    <s v="DIANQUME"/>
    <x v="14"/>
    <x v="7"/>
    <n v="681441"/>
    <n v="0"/>
    <n v="0"/>
    <n v="681441"/>
    <m/>
    <m/>
    <x v="1"/>
    <n v="25"/>
    <s v="IPS Pto De Vista Molinos"/>
    <s v="Antioquia"/>
    <s v="Cumple"/>
    <n v="1"/>
    <n v="316891"/>
    <n v="2"/>
    <n v="219949"/>
    <n v="0"/>
    <n v="0"/>
    <n v="144601"/>
    <m/>
  </r>
  <r>
    <n v="9"/>
    <x v="32"/>
    <x v="2"/>
    <s v="Septiembre"/>
    <s v="ANGEGAAR"/>
    <x v="4"/>
    <x v="4"/>
    <n v="36506871"/>
    <n v="923100"/>
    <n v="8751767"/>
    <n v="26832004"/>
    <n v="36000000"/>
    <n v="0.74533344444444449"/>
    <x v="1"/>
    <n v="25"/>
    <s v="IPS Pto De Vista San Diego"/>
    <s v="Antioquia"/>
    <s v="Fluctúa"/>
    <n v="59"/>
    <n v="6266642"/>
    <n v="142"/>
    <n v="17731363"/>
    <n v="93"/>
    <n v="8751767"/>
    <n v="3757099"/>
    <s v="NO"/>
  </r>
  <r>
    <n v="9"/>
    <x v="32"/>
    <x v="2"/>
    <s v="Septiembre"/>
    <s v="ERIKSAVA"/>
    <x v="44"/>
    <x v="44"/>
    <n v="46643188"/>
    <n v="243000"/>
    <n v="8928095"/>
    <n v="37472093"/>
    <n v="36000000"/>
    <n v="1.0408914722222222"/>
    <x v="1"/>
    <n v="25"/>
    <s v="IPS Pto De Vista San Diego"/>
    <s v="Antioquia"/>
    <s v="No Cumple"/>
    <n v="72"/>
    <n v="6762542"/>
    <n v="186"/>
    <n v="25645386"/>
    <n v="89"/>
    <n v="8928095"/>
    <n v="5307165"/>
    <s v="NO"/>
  </r>
  <r>
    <n v="9"/>
    <x v="32"/>
    <x v="2"/>
    <s v="Septiembre"/>
    <s v="MARIMASA"/>
    <x v="23"/>
    <x v="34"/>
    <n v="53279263"/>
    <n v="0"/>
    <n v="10161705"/>
    <n v="43117558"/>
    <n v="36000000"/>
    <n v="1.1977099444444443"/>
    <x v="1"/>
    <n v="25"/>
    <s v="IPS Pto De Vista San Diego"/>
    <s v="Antioquia"/>
    <s v="Siempre Cumple"/>
    <n v="79"/>
    <n v="8876959"/>
    <n v="208"/>
    <n v="27408158"/>
    <n v="109"/>
    <n v="10161705"/>
    <n v="6832441"/>
    <s v="NO"/>
  </r>
  <r>
    <n v="9"/>
    <x v="32"/>
    <x v="2"/>
    <s v="Septiembre"/>
    <s v="NOREARMA"/>
    <x v="66"/>
    <x v="66"/>
    <n v="50286731"/>
    <n v="954000"/>
    <n v="10668786"/>
    <n v="38663945"/>
    <n v="36000000"/>
    <n v="1.0739984722222222"/>
    <x v="1"/>
    <n v="25"/>
    <s v="IPS Pto De Vista San Diego"/>
    <s v="Antioquia"/>
    <s v="Fluctúa"/>
    <n v="75"/>
    <n v="8655470"/>
    <n v="167"/>
    <n v="27677609"/>
    <n v="106"/>
    <n v="10668786"/>
    <n v="3284866"/>
    <s v="NO"/>
  </r>
  <r>
    <n v="9"/>
    <x v="32"/>
    <x v="2"/>
    <s v="Septiembre"/>
    <s v="HISNOSPI"/>
    <x v="49"/>
    <x v="7"/>
    <n v="1347799"/>
    <n v="0"/>
    <n v="0"/>
    <n v="1347799"/>
    <m/>
    <m/>
    <x v="0"/>
    <n v="25"/>
    <s v="IPS Pto De Vista San Diego"/>
    <s v="Antioquia"/>
    <s v="No Aplica"/>
    <n v="4"/>
    <n v="417120"/>
    <n v="12"/>
    <n v="546291"/>
    <n v="0"/>
    <n v="0"/>
    <n v="384388"/>
    <m/>
  </r>
  <r>
    <n v="9"/>
    <x v="32"/>
    <x v="2"/>
    <s v="Septiembre"/>
    <s v="ANDRSAZA"/>
    <x v="45"/>
    <x v="45"/>
    <n v="60514611"/>
    <n v="1145100"/>
    <n v="9313035"/>
    <n v="50056476"/>
    <n v="28000000"/>
    <n v="1.7877312857142857"/>
    <x v="1"/>
    <n v="25"/>
    <s v="IPS Pto De Vista Santa Bárbara"/>
    <s v="Centro"/>
    <s v="Cumple"/>
    <n v="85"/>
    <n v="9415128"/>
    <n v="267"/>
    <n v="37886876"/>
    <n v="117"/>
    <n v="9313035"/>
    <n v="3899572"/>
    <s v="NO"/>
  </r>
  <r>
    <n v="9"/>
    <x v="32"/>
    <x v="2"/>
    <s v="Septiembre"/>
    <s v="CAMIPUHE"/>
    <x v="53"/>
    <x v="53"/>
    <n v="39036191"/>
    <n v="2333850"/>
    <n v="6247859"/>
    <n v="30454482"/>
    <n v="28000000"/>
    <n v="1.0876600714285714"/>
    <x v="1"/>
    <n v="25"/>
    <s v="IPS Pto De Vista SSura Clle100"/>
    <s v="Centro"/>
    <s v="Cumple"/>
    <n v="68"/>
    <n v="6283908"/>
    <n v="194"/>
    <n v="22203044"/>
    <n v="81"/>
    <n v="6247859"/>
    <n v="4301380"/>
    <s v="NO"/>
  </r>
  <r>
    <n v="9"/>
    <x v="32"/>
    <x v="2"/>
    <s v="Septiembre"/>
    <s v="ISABMOGO"/>
    <x v="17"/>
    <x v="15"/>
    <n v="43335247"/>
    <n v="2582400"/>
    <n v="7818770"/>
    <n v="32934077"/>
    <n v="28000000"/>
    <n v="1.1762170357142858"/>
    <x v="1"/>
    <n v="25"/>
    <s v="IPS Pto De Vista Santa Bárbara"/>
    <s v="Centro"/>
    <s v="No Cumple"/>
    <n v="66"/>
    <n v="7180531"/>
    <n v="197"/>
    <n v="22666016"/>
    <n v="104"/>
    <n v="7818770"/>
    <n v="5669930"/>
    <s v="NO"/>
  </r>
  <r>
    <n v="9"/>
    <x v="32"/>
    <x v="2"/>
    <s v="Septiembre"/>
    <s v="LUZNHEGO"/>
    <x v="21"/>
    <x v="19"/>
    <n v="39511438"/>
    <n v="0"/>
    <n v="3569771"/>
    <n v="35941667"/>
    <n v="30000000"/>
    <n v="1.1980555666666666"/>
    <x v="1"/>
    <n v="25"/>
    <s v="IPS Punto de Vista Mayorca"/>
    <s v="Antioquia"/>
    <s v="Siempre Cumple"/>
    <n v="56"/>
    <n v="10153828"/>
    <n v="179"/>
    <n v="22813419"/>
    <n v="51"/>
    <n v="3569771"/>
    <n v="2974420"/>
    <s v="NO"/>
  </r>
  <r>
    <n v="9"/>
    <x v="32"/>
    <x v="2"/>
    <s v="Septiembre"/>
    <s v="ROCIFASA"/>
    <x v="31"/>
    <x v="28"/>
    <n v="59329892"/>
    <n v="1467720"/>
    <n v="7536559"/>
    <n v="50325613"/>
    <n v="35000000"/>
    <n v="1.4378746571428571"/>
    <x v="1"/>
    <n v="25"/>
    <s v="Optica Salud Sura Chipichape"/>
    <s v="Occidente"/>
    <s v="Cumple"/>
    <n v="95"/>
    <n v="14664603"/>
    <n v="261"/>
    <n v="32808937"/>
    <n v="79"/>
    <n v="7536559"/>
    <n v="4319793"/>
    <s v="NO"/>
  </r>
  <r>
    <n v="9"/>
    <x v="32"/>
    <x v="2"/>
    <s v="Septiembre"/>
    <s v="HEIDVAVI"/>
    <x v="73"/>
    <x v="73"/>
    <n v="28823486"/>
    <n v="0"/>
    <n v="1685942"/>
    <n v="27137544"/>
    <n v="35518950"/>
    <n v="0.76403001777924173"/>
    <x v="1"/>
    <n v="25"/>
    <s v="Punto de Vista Cali Norte"/>
    <s v="Occidente"/>
    <s v="Siempre Cumple"/>
    <n v="34"/>
    <n v="3483286"/>
    <n v="94"/>
    <n v="10269169"/>
    <n v="22"/>
    <n v="1685942"/>
    <n v="13385089"/>
    <s v="NO"/>
  </r>
  <r>
    <n v="9"/>
    <x v="32"/>
    <x v="2"/>
    <s v="Septiembre"/>
    <s v="ANGISEBR"/>
    <x v="70"/>
    <x v="70"/>
    <n v="38887810"/>
    <n v="0"/>
    <n v="9163350"/>
    <n v="29724460"/>
    <n v="30000000"/>
    <n v="0.99081533333333338"/>
    <x v="1"/>
    <n v="25"/>
    <s v="Punto de Vista Tequendama"/>
    <s v="Occidente"/>
    <s v="No Cumple"/>
    <n v="55"/>
    <n v="6898417"/>
    <n v="146"/>
    <n v="20213234"/>
    <n v="102"/>
    <n v="9163350"/>
    <n v="2612809"/>
    <s v="NO"/>
  </r>
  <r>
    <n v="9"/>
    <x v="32"/>
    <x v="2"/>
    <s v="Septiembre"/>
    <s v="DANYLESE"/>
    <x v="79"/>
    <x v="79"/>
    <n v="28822219"/>
    <n v="221100"/>
    <n v="9054754"/>
    <n v="19546365"/>
    <n v="30000000"/>
    <n v="0.6515455"/>
    <x v="1"/>
    <n v="25"/>
    <s v="Punto de Vista Cali Norte"/>
    <s v="Occidente"/>
    <s v="Cumple"/>
    <n v="48"/>
    <n v="5942324"/>
    <n v="142"/>
    <n v="11933768"/>
    <n v="92"/>
    <n v="9054754"/>
    <n v="1891373"/>
    <s v="NO"/>
  </r>
  <r>
    <n v="9"/>
    <x v="32"/>
    <x v="2"/>
    <s v="Septiembre"/>
    <s v="MONIARGI"/>
    <x v="67"/>
    <x v="67"/>
    <n v="15162477"/>
    <n v="0"/>
    <n v="4775160"/>
    <n v="10387317"/>
    <n v="30000000"/>
    <n v="0.34624389999999999"/>
    <x v="0"/>
    <n v="25"/>
    <s v="Punto de Vista Cali Norte"/>
    <s v="Occidente"/>
    <s v="No Aplica"/>
    <n v="21"/>
    <n v="1883047"/>
    <n v="92"/>
    <n v="7573400"/>
    <n v="54"/>
    <n v="4775160"/>
    <n v="930870"/>
    <m/>
  </r>
  <r>
    <n v="9"/>
    <x v="32"/>
    <x v="2"/>
    <s v="Septiembre"/>
    <s v="PAOLPACA"/>
    <x v="47"/>
    <x v="47"/>
    <n v="42030763"/>
    <n v="234000"/>
    <n v="9572220"/>
    <n v="32224543"/>
    <n v="30000000"/>
    <n v="1.0741514333333333"/>
    <x v="1"/>
    <n v="25"/>
    <s v="Punto de Vista Tequendama"/>
    <s v="Occidente"/>
    <s v="Siempre Cumple"/>
    <n v="61"/>
    <n v="7628207"/>
    <n v="178"/>
    <n v="22064019"/>
    <n v="102"/>
    <n v="9572220"/>
    <n v="2766317"/>
    <s v="NO"/>
  </r>
  <r>
    <n v="9"/>
    <x v="32"/>
    <x v="2"/>
    <s v="Septiembre"/>
    <s v="TATIRITR"/>
    <x v="60"/>
    <x v="60"/>
    <n v="28319084"/>
    <n v="0"/>
    <n v="7437221"/>
    <n v="20881863"/>
    <n v="19200000"/>
    <n v="1.0875970312500001"/>
    <x v="1"/>
    <n v="25"/>
    <s v="Punto de Vista Cali Norte"/>
    <s v="Occidente"/>
    <s v="No Cumple"/>
    <n v="40"/>
    <n v="4868712"/>
    <n v="122"/>
    <n v="14018589"/>
    <n v="83"/>
    <n v="7437221"/>
    <n v="1994562"/>
    <s v="Inicio Vacaciones"/>
  </r>
  <r>
    <n v="9"/>
    <x v="32"/>
    <x v="2"/>
    <s v="Septiembre"/>
    <s v="ANAKBEZA"/>
    <x v="37"/>
    <x v="7"/>
    <n v="271310"/>
    <n v="0"/>
    <n v="0"/>
    <n v="271310"/>
    <m/>
    <m/>
    <x v="0"/>
    <n v="25"/>
    <s v=""/>
    <s v=""/>
    <s v="No Aplica"/>
    <n v="0"/>
    <n v="0"/>
    <n v="2"/>
    <n v="271310"/>
    <n v="0"/>
    <n v="0"/>
    <n v="0"/>
    <m/>
  </r>
  <r>
    <n v="9"/>
    <x v="32"/>
    <x v="2"/>
    <s v="Septiembre"/>
    <s v="CAROVABE"/>
    <x v="37"/>
    <x v="7"/>
    <n v="249130"/>
    <n v="0"/>
    <n v="0"/>
    <n v="249130"/>
    <m/>
    <m/>
    <x v="0"/>
    <n v="25"/>
    <s v=""/>
    <s v=""/>
    <s v="No Aplica"/>
    <n v="1"/>
    <n v="77000"/>
    <n v="2"/>
    <n v="172130"/>
    <n v="0"/>
    <n v="0"/>
    <n v="0"/>
    <m/>
  </r>
  <r>
    <n v="9"/>
    <x v="32"/>
    <x v="2"/>
    <s v="Septiembre"/>
    <s v="JAQUVEGU"/>
    <x v="37"/>
    <x v="7"/>
    <n v="825017"/>
    <n v="0"/>
    <n v="0"/>
    <n v="825017"/>
    <m/>
    <m/>
    <x v="0"/>
    <n v="25"/>
    <s v=""/>
    <s v=""/>
    <s v="No Aplica"/>
    <n v="2"/>
    <n v="195714"/>
    <n v="4"/>
    <n v="386301"/>
    <n v="0"/>
    <n v="0"/>
    <n v="243002"/>
    <m/>
  </r>
  <r>
    <n v="9"/>
    <x v="32"/>
    <x v="2"/>
    <s v="Septiembre"/>
    <s v="MONILOSA"/>
    <x v="37"/>
    <x v="7"/>
    <n v="2581735"/>
    <n v="0"/>
    <n v="0"/>
    <n v="2581735"/>
    <m/>
    <m/>
    <x v="0"/>
    <n v="25"/>
    <s v=""/>
    <s v=""/>
    <s v="No Aplica"/>
    <n v="4"/>
    <n v="399326"/>
    <n v="10"/>
    <n v="1727309"/>
    <n v="0"/>
    <n v="0"/>
    <n v="455100"/>
    <m/>
  </r>
  <r>
    <n v="9"/>
    <x v="32"/>
    <x v="2"/>
    <s v="Septiembre"/>
    <s v="OSCADESU"/>
    <x v="37"/>
    <x v="7"/>
    <n v="112660"/>
    <n v="0"/>
    <n v="112659"/>
    <n v="1"/>
    <m/>
    <m/>
    <x v="0"/>
    <n v="25"/>
    <s v=""/>
    <s v=""/>
    <s v="No Aplica"/>
    <n v="0"/>
    <n v="0"/>
    <n v="0"/>
    <n v="0"/>
    <n v="1"/>
    <n v="112659"/>
    <n v="1"/>
    <m/>
  </r>
  <r>
    <n v="9"/>
    <x v="32"/>
    <x v="2"/>
    <s v="Septiembre"/>
    <s v="(en blanco)"/>
    <x v="37"/>
    <x v="7"/>
    <n v="-199593"/>
    <n v="0"/>
    <n v="0"/>
    <n v="-199593"/>
    <m/>
    <m/>
    <x v="0"/>
    <n v="25"/>
    <s v=""/>
    <s v=""/>
    <s v="No Aplica"/>
    <n v="3"/>
    <n v="-36413"/>
    <n v="6"/>
    <n v="-101536"/>
    <n v="0"/>
    <n v="0"/>
    <n v="-61644"/>
    <m/>
  </r>
  <r>
    <n v="10"/>
    <x v="33"/>
    <x v="2"/>
    <s v="Octubre"/>
    <s v="DERLARMO"/>
    <x v="11"/>
    <x v="10"/>
    <n v="21209985"/>
    <n v="468000"/>
    <n v="5433002"/>
    <n v="15308983"/>
    <n v="24999988"/>
    <n v="0.61235961393261473"/>
    <x v="1"/>
    <n v="26"/>
    <s v="IPS Pto De Vista Olaya"/>
    <s v="Centro"/>
    <s v="Cumple"/>
    <n v="43"/>
    <n v="3113725"/>
    <n v="146"/>
    <n v="11844524"/>
    <n v="72"/>
    <n v="5103202"/>
    <n v="1148534"/>
    <s v="NO"/>
  </r>
  <r>
    <n v="10"/>
    <x v="33"/>
    <x v="2"/>
    <s v="Octubre"/>
    <s v="LOREBECR"/>
    <x v="68"/>
    <x v="68"/>
    <n v="34133012"/>
    <n v="0"/>
    <n v="5713347"/>
    <n v="28419665"/>
    <n v="24999988"/>
    <n v="1.13678714565783"/>
    <x v="1"/>
    <n v="26"/>
    <s v="IPS Pto De Vista Olaya"/>
    <s v="Centro"/>
    <s v="Fluctúa"/>
    <n v="73"/>
    <n v="5907070"/>
    <n v="174"/>
    <n v="20190485"/>
    <n v="79"/>
    <n v="5713347"/>
    <n v="2322110"/>
    <s v="NO"/>
  </r>
  <r>
    <n v="10"/>
    <x v="33"/>
    <x v="2"/>
    <s v="Octubre"/>
    <s v="RAULMOGA"/>
    <x v="30"/>
    <x v="27"/>
    <n v="26385550"/>
    <n v="0"/>
    <n v="4464837"/>
    <n v="21920713"/>
    <n v="17307684"/>
    <n v="1.2665306923791768"/>
    <x v="0"/>
    <n v="26"/>
    <s v="IPS Pto De Vista Olaya"/>
    <s v="Centro"/>
    <s v="No Aplica"/>
    <n v="62"/>
    <n v="4513157"/>
    <n v="156"/>
    <n v="15907917"/>
    <n v="57"/>
    <n v="4464837"/>
    <n v="1499639"/>
    <m/>
  </r>
  <r>
    <n v="10"/>
    <x v="33"/>
    <x v="2"/>
    <s v="Octubre"/>
    <s v="PAULGOBA"/>
    <x v="35"/>
    <x v="36"/>
    <n v="17307163"/>
    <n v="0"/>
    <n v="3102539"/>
    <n v="14204624"/>
    <n v="13538464"/>
    <n v="1.0492049910536381"/>
    <x v="1"/>
    <n v="26"/>
    <s v="Ferias Empresariales Antioquia"/>
    <s v="Antioquia"/>
    <s v="Fluctúa"/>
    <n v="4"/>
    <n v="520756"/>
    <n v="8"/>
    <n v="1387282"/>
    <n v="37"/>
    <n v="3102539"/>
    <n v="12296586"/>
    <s v="NO"/>
  </r>
  <r>
    <n v="10"/>
    <x v="33"/>
    <x v="2"/>
    <s v="Octubre"/>
    <s v="VANELOBE"/>
    <x v="74"/>
    <x v="74"/>
    <n v="27586471"/>
    <n v="1414000"/>
    <n v="3350097"/>
    <n v="22822374"/>
    <n v="13538464"/>
    <n v="1.6857432275921405"/>
    <x v="1"/>
    <n v="26"/>
    <s v="IPS Pto De Vista San Diego"/>
    <s v="Antioquia"/>
    <s v="Siempre Cumple"/>
    <n v="9"/>
    <n v="992858"/>
    <n v="32"/>
    <n v="2865810"/>
    <n v="45"/>
    <n v="3350097"/>
    <n v="20377706"/>
    <s v="NO"/>
  </r>
  <r>
    <n v="10"/>
    <x v="33"/>
    <x v="2"/>
    <s v="Octubre"/>
    <s v="DIANPAAL"/>
    <x v="12"/>
    <x v="11"/>
    <n v="49280735"/>
    <n v="1583100"/>
    <n v="10320848"/>
    <n v="37376787"/>
    <n v="35000004"/>
    <n v="1.0679080779533625"/>
    <x v="1"/>
    <n v="26"/>
    <s v="IPS Pto De Vista Rionegro"/>
    <s v="Antioquia"/>
    <s v="Cumple"/>
    <n v="84"/>
    <n v="8648808"/>
    <n v="213"/>
    <n v="24980042"/>
    <n v="107"/>
    <n v="10320848"/>
    <n v="5331037"/>
    <s v="NO"/>
  </r>
  <r>
    <n v="10"/>
    <x v="33"/>
    <x v="2"/>
    <s v="Octubre"/>
    <s v="MARIGOOR"/>
    <x v="77"/>
    <x v="77"/>
    <n v="34004862"/>
    <n v="2332200"/>
    <n v="5603399"/>
    <n v="26069263"/>
    <n v="35000004"/>
    <n v="0.74483600059017141"/>
    <x v="1"/>
    <n v="26"/>
    <s v="IPS Pto De Vista Rionegro"/>
    <s v="Antioquia"/>
    <s v="No Cumple"/>
    <n v="50"/>
    <n v="5419057"/>
    <n v="130"/>
    <n v="17654076"/>
    <n v="61"/>
    <n v="5603399"/>
    <n v="5328330"/>
    <s v="NO"/>
  </r>
  <r>
    <n v="10"/>
    <x v="33"/>
    <x v="2"/>
    <s v="Octubre"/>
    <s v="MARIOCOC"/>
    <x v="24"/>
    <x v="21"/>
    <n v="53454327"/>
    <n v="1956000"/>
    <n v="7185799"/>
    <n v="44312528"/>
    <n v="35000004"/>
    <n v="1.2660720838774762"/>
    <x v="1"/>
    <n v="26"/>
    <s v="IPS Pto De Vista Rionegro"/>
    <s v="Antioquia"/>
    <s v="Cumple"/>
    <n v="92"/>
    <n v="9806587"/>
    <n v="258"/>
    <n v="31295572"/>
    <n v="82"/>
    <n v="7185799"/>
    <n v="5166369"/>
    <s v="NO"/>
  </r>
  <r>
    <n v="10"/>
    <x v="33"/>
    <x v="2"/>
    <s v="Octubre"/>
    <s v="ALEXLOGR"/>
    <x v="2"/>
    <x v="2"/>
    <n v="47811892"/>
    <n v="1171100"/>
    <n v="8573861"/>
    <n v="38066931"/>
    <n v="35000004"/>
    <n v="1.0876264756998313"/>
    <x v="1"/>
    <n v="26"/>
    <s v="IPS Punto de Vista Bello"/>
    <s v="Antioquia"/>
    <s v="Fluctúa"/>
    <n v="85"/>
    <n v="8783526"/>
    <n v="192"/>
    <n v="24117341"/>
    <n v="89"/>
    <n v="8573861"/>
    <n v="6337164"/>
    <s v="NO"/>
  </r>
  <r>
    <n v="10"/>
    <x v="33"/>
    <x v="2"/>
    <s v="Octubre"/>
    <s v="YULIRIRE"/>
    <x v="57"/>
    <x v="57"/>
    <n v="44816021"/>
    <n v="221100"/>
    <n v="6036652"/>
    <n v="38558269"/>
    <n v="35000004"/>
    <n v="1.1016647026668911"/>
    <x v="1"/>
    <n v="26"/>
    <s v="IPS Punto de Vista Bello"/>
    <s v="Antioquia"/>
    <s v="Fluctúa"/>
    <n v="83"/>
    <n v="8177361"/>
    <n v="218"/>
    <n v="26859540"/>
    <n v="68"/>
    <n v="6036652"/>
    <n v="3742468"/>
    <s v="NO"/>
  </r>
  <r>
    <n v="10"/>
    <x v="33"/>
    <x v="2"/>
    <s v="Octubre"/>
    <s v="ADRIMOLU"/>
    <x v="1"/>
    <x v="1"/>
    <n v="35743053"/>
    <n v="689100"/>
    <n v="3991623"/>
    <n v="31062330"/>
    <n v="28769236"/>
    <n v="1.079706461443745"/>
    <x v="1"/>
    <n v="26"/>
    <s v="IPS Pto De Vista Molinos"/>
    <s v="Antioquia"/>
    <s v="Cumple"/>
    <n v="61"/>
    <n v="5928144"/>
    <n v="161"/>
    <n v="21502373"/>
    <n v="43"/>
    <n v="3991623"/>
    <n v="4320913"/>
    <s v="NO"/>
  </r>
  <r>
    <n v="10"/>
    <x v="33"/>
    <x v="2"/>
    <s v="Octubre"/>
    <s v="ASTRTAAR"/>
    <x v="80"/>
    <x v="80"/>
    <n v="21222606"/>
    <n v="442200"/>
    <n v="4592850"/>
    <n v="16187556"/>
    <n v="13538464"/>
    <n v="1.1956715326051759"/>
    <x v="1"/>
    <n v="26"/>
    <s v="IPS Pto De Vista Molinos"/>
    <s v="Antioquia"/>
    <s v="Fluctúa"/>
    <n v="42"/>
    <n v="4250113"/>
    <n v="98"/>
    <n v="9425834"/>
    <n v="48"/>
    <n v="4592850"/>
    <n v="2953809"/>
    <s v="NO"/>
  </r>
  <r>
    <n v="10"/>
    <x v="33"/>
    <x v="2"/>
    <s v="Octubre"/>
    <s v="LILACARA"/>
    <x v="19"/>
    <x v="17"/>
    <n v="47790947"/>
    <n v="604200"/>
    <n v="8104372"/>
    <n v="39082375"/>
    <n v="37230776"/>
    <n v="1.0497330219493679"/>
    <x v="1"/>
    <n v="26"/>
    <s v="IPS Pto De Vista Molinos"/>
    <s v="Antioquia"/>
    <s v="Cumple"/>
    <n v="78"/>
    <n v="8737901"/>
    <n v="194"/>
    <n v="26052923"/>
    <n v="80"/>
    <n v="8104372"/>
    <n v="4895751"/>
    <s v="Regreso Vacaciones"/>
  </r>
  <r>
    <n v="10"/>
    <x v="33"/>
    <x v="2"/>
    <s v="Octubre"/>
    <s v="LIZEGASA"/>
    <x v="81"/>
    <x v="81"/>
    <n v="22500319"/>
    <n v="140000"/>
    <n v="5065161"/>
    <n v="17295158"/>
    <n v="37230776"/>
    <n v="0.46453928330690719"/>
    <x v="1"/>
    <n v="26"/>
    <s v="IPS Punto de Vista Mayorca"/>
    <s v="Antioquia"/>
    <s v="Cumple"/>
    <n v="37"/>
    <n v="3799196"/>
    <n v="104"/>
    <n v="11479713"/>
    <n v="55"/>
    <n v="5065161"/>
    <n v="2156249"/>
    <s v="NO"/>
  </r>
  <r>
    <n v="10"/>
    <x v="33"/>
    <x v="2"/>
    <s v="Octubre"/>
    <s v="SUANHECO"/>
    <x v="58"/>
    <x v="58"/>
    <n v="55981504"/>
    <n v="468000"/>
    <n v="10577122"/>
    <n v="44936382"/>
    <n v="44000008"/>
    <n v="1.0212812234034139"/>
    <x v="1"/>
    <n v="26"/>
    <s v="IPS Pto De Vista Molinos"/>
    <s v="Antioquia"/>
    <s v="Fluctúa"/>
    <n v="90"/>
    <n v="9028166"/>
    <n v="244"/>
    <n v="29432531"/>
    <n v="112"/>
    <n v="10577122"/>
    <n v="6943685"/>
    <s v="NO"/>
  </r>
  <r>
    <n v="10"/>
    <x v="33"/>
    <x v="2"/>
    <s v="Octubre"/>
    <s v="ZULYARGA"/>
    <x v="34"/>
    <x v="31"/>
    <n v="24205093"/>
    <n v="648000"/>
    <n v="3582301"/>
    <n v="19974792"/>
    <n v="13538464"/>
    <n v="1.4754105044708175"/>
    <x v="1"/>
    <n v="26"/>
    <s v="IPS Pto De Vista Molinos"/>
    <s v="Antioquia"/>
    <n v="0"/>
    <n v="54"/>
    <n v="5190641"/>
    <n v="120"/>
    <n v="11442269"/>
    <n v="35"/>
    <n v="3582301"/>
    <n v="3989882"/>
    <s v="NO"/>
  </r>
  <r>
    <n v="10"/>
    <x v="33"/>
    <x v="2"/>
    <s v="Octubre"/>
    <s v="BIBIBECA"/>
    <x v="6"/>
    <x v="6"/>
    <n v="59719491"/>
    <n v="1094100"/>
    <n v="13533361"/>
    <n v="45092030"/>
    <n v="37153855"/>
    <n v="1.2136568331872963"/>
    <x v="1"/>
    <n v="26"/>
    <s v="IPS Pto De Vista Centro"/>
    <s v="Antioquia"/>
    <s v="Fluctúa"/>
    <n v="100"/>
    <n v="10941505"/>
    <n v="276"/>
    <n v="30274179"/>
    <n v="127"/>
    <n v="13533361"/>
    <n v="4970446"/>
    <s v="Inicio Vacaciones"/>
  </r>
  <r>
    <n v="10"/>
    <x v="33"/>
    <x v="2"/>
    <s v="Octubre"/>
    <s v="CLAUBLAR"/>
    <x v="9"/>
    <x v="8"/>
    <n v="61840803"/>
    <n v="1963200"/>
    <n v="10868367"/>
    <n v="49009236"/>
    <n v="42000010"/>
    <n v="1.1668862935985016"/>
    <x v="1"/>
    <n v="26"/>
    <s v="IPS Pto De Vista Centro"/>
    <s v="Antioquia"/>
    <s v="Fluctúa"/>
    <n v="102"/>
    <n v="11011276"/>
    <n v="232"/>
    <n v="29105028"/>
    <n v="113"/>
    <n v="10868367"/>
    <n v="10856132"/>
    <s v="NO"/>
  </r>
  <r>
    <n v="10"/>
    <x v="33"/>
    <x v="2"/>
    <s v="Octubre"/>
    <s v="HERIRORO"/>
    <x v="52"/>
    <x v="52"/>
    <n v="57124175"/>
    <n v="1512240"/>
    <n v="10489750"/>
    <n v="45122185"/>
    <n v="42000010"/>
    <n v="1.0743374823005996"/>
    <x v="1"/>
    <n v="26"/>
    <s v="IPS Pto De Vista Centro"/>
    <s v="Antioquia"/>
    <s v="Siempre Cumple"/>
    <n v="119"/>
    <n v="10271226"/>
    <n v="280"/>
    <n v="28936117"/>
    <n v="106"/>
    <n v="10489750"/>
    <n v="7427082"/>
    <s v="NO"/>
  </r>
  <r>
    <n v="10"/>
    <x v="33"/>
    <x v="2"/>
    <s v="Octubre"/>
    <s v="MARGGAPA"/>
    <x v="22"/>
    <x v="20"/>
    <n v="58849348"/>
    <n v="1365300"/>
    <n v="11222938"/>
    <n v="46261110"/>
    <n v="42000010"/>
    <n v="1.1014547377488719"/>
    <x v="1"/>
    <n v="26"/>
    <s v="IPS Pto De Vista Centro"/>
    <s v="Antioquia"/>
    <s v="Fluctúa"/>
    <n v="95"/>
    <n v="10834984"/>
    <n v="233"/>
    <n v="28939585"/>
    <n v="118"/>
    <n v="11222938"/>
    <n v="7851841"/>
    <s v="NO"/>
  </r>
  <r>
    <n v="10"/>
    <x v="33"/>
    <x v="2"/>
    <s v="Octubre"/>
    <s v="MARIHIRO"/>
    <x v="76"/>
    <x v="76"/>
    <n v="56518550"/>
    <n v="1617300"/>
    <n v="10025565"/>
    <n v="44875685"/>
    <n v="42000010"/>
    <n v="1.0684684360789438"/>
    <x v="1"/>
    <n v="26"/>
    <s v="IPS Pto De Vista Centro"/>
    <s v="Antioquia"/>
    <s v="No Cumple"/>
    <n v="92"/>
    <n v="10602683"/>
    <n v="236"/>
    <n v="27595138"/>
    <n v="109"/>
    <n v="10025565"/>
    <n v="8295164"/>
    <s v="NO"/>
  </r>
  <r>
    <n v="10"/>
    <x v="33"/>
    <x v="2"/>
    <s v="Octubre"/>
    <s v="NATAVAMO"/>
    <x v="63"/>
    <x v="63"/>
    <n v="49367957"/>
    <n v="2278200"/>
    <n v="10086185"/>
    <n v="37003572"/>
    <n v="43769239"/>
    <n v="0.84542415736311982"/>
    <x v="1"/>
    <n v="26"/>
    <s v="IPS Pto De Vista Molinos"/>
    <s v="Antioquia"/>
    <s v="Siempre Cumple"/>
    <n v="91"/>
    <n v="8384997"/>
    <n v="242"/>
    <n v="23154419"/>
    <n v="89"/>
    <n v="10086185"/>
    <n v="7742356"/>
    <s v="NO"/>
  </r>
  <r>
    <n v="10"/>
    <x v="33"/>
    <x v="2"/>
    <s v="Octubre"/>
    <s v="SANDCAAC"/>
    <x v="75"/>
    <x v="75"/>
    <n v="42995030"/>
    <n v="1357700"/>
    <n v="9055769"/>
    <n v="32581561"/>
    <n v="42000010"/>
    <n v="0.77575126767826963"/>
    <x v="1"/>
    <n v="26"/>
    <s v="IPS Pto De Vista Centro"/>
    <s v="Antioquia"/>
    <s v="Fluctúa"/>
    <n v="78"/>
    <n v="8044941"/>
    <n v="180"/>
    <n v="19990649"/>
    <n v="95"/>
    <n v="9055769"/>
    <n v="5903671"/>
    <s v="NO"/>
  </r>
  <r>
    <n v="10"/>
    <x v="33"/>
    <x v="2"/>
    <s v="Octubre"/>
    <s v="YENISIGI"/>
    <x v="64"/>
    <x v="64"/>
    <n v="37455127"/>
    <n v="1026000"/>
    <n v="9606197"/>
    <n v="26822930"/>
    <n v="42000010"/>
    <n v="0.63864103841880038"/>
    <x v="1"/>
    <n v="26"/>
    <s v="IPS Pto De Vista Centro"/>
    <s v="Antioquia"/>
    <s v="Fluctúa"/>
    <n v="68"/>
    <n v="5647181"/>
    <n v="170"/>
    <n v="17552147"/>
    <n v="101"/>
    <n v="9606197"/>
    <n v="4649602"/>
    <s v="NO"/>
  </r>
  <r>
    <n v="10"/>
    <x v="33"/>
    <x v="2"/>
    <s v="Octubre"/>
    <s v="NATAPIDU"/>
    <x v="28"/>
    <x v="25"/>
    <n v="41714539"/>
    <n v="198990"/>
    <n v="5190239"/>
    <n v="36325310"/>
    <n v="16923082"/>
    <n v="2.1464949469606069"/>
    <x v="1"/>
    <n v="26"/>
    <s v="IPS Pto De Vista Industriales"/>
    <s v="Antioquia"/>
    <s v="Cumple"/>
    <n v="35"/>
    <n v="6589068"/>
    <n v="128"/>
    <n v="24707596"/>
    <n v="53"/>
    <n v="5190239"/>
    <n v="5227636"/>
    <s v="Inicio Vacaciones"/>
  </r>
  <r>
    <n v="10"/>
    <x v="33"/>
    <x v="2"/>
    <s v="Octubre"/>
    <s v="ALVAOSOS"/>
    <x v="36"/>
    <x v="37"/>
    <n v="58379443"/>
    <n v="799800"/>
    <n v="9863462"/>
    <n v="47716181"/>
    <n v="44000008"/>
    <n v="1.0844584619166433"/>
    <x v="1"/>
    <n v="26"/>
    <s v="IPS Pto De Vista Punto Clave"/>
    <s v="Antioquia"/>
    <s v="Siempre Cumple"/>
    <n v="87"/>
    <n v="9326376"/>
    <n v="220"/>
    <n v="28479585"/>
    <n v="96"/>
    <n v="9863462"/>
    <n v="10710020"/>
    <s v="NO"/>
  </r>
  <r>
    <n v="10"/>
    <x v="33"/>
    <x v="2"/>
    <s v="Octubre"/>
    <s v="CARORAMN"/>
    <x v="61"/>
    <x v="61"/>
    <n v="57313112"/>
    <n v="864000"/>
    <n v="9267204"/>
    <n v="47181908"/>
    <n v="44000008"/>
    <n v="1.0723158959425643"/>
    <x v="1"/>
    <n v="26"/>
    <s v="IPS Pto De Vista Punto Clave"/>
    <s v="Antioquia"/>
    <s v="No Cumple"/>
    <n v="96"/>
    <n v="9793883"/>
    <n v="256"/>
    <n v="28723179"/>
    <n v="96"/>
    <n v="9267204"/>
    <n v="9528846"/>
    <s v="NO"/>
  </r>
  <r>
    <n v="10"/>
    <x v="33"/>
    <x v="2"/>
    <s v="Octubre"/>
    <s v="CINDGACU"/>
    <x v="55"/>
    <x v="55"/>
    <n v="16957780"/>
    <n v="442200"/>
    <n v="1653656"/>
    <n v="14861924"/>
    <n v="25384620"/>
    <n v="0.58546962688431026"/>
    <x v="1"/>
    <n v="26"/>
    <s v="IPS Pto De Vista San Diego"/>
    <s v="Antioquia"/>
    <s v="Siempre Cumple"/>
    <n v="37"/>
    <n v="3796539"/>
    <n v="88"/>
    <n v="9672940"/>
    <n v="16"/>
    <n v="1653656"/>
    <n v="1834645"/>
    <s v="Inicio Vacaciones"/>
  </r>
  <r>
    <n v="10"/>
    <x v="33"/>
    <x v="2"/>
    <s v="Octubre"/>
    <s v="GENNHEPO"/>
    <x v="16"/>
    <x v="14"/>
    <n v="58592700"/>
    <n v="3742200"/>
    <n v="9754591"/>
    <n v="45095909"/>
    <n v="44000008"/>
    <n v="1.0249068363805751"/>
    <x v="1"/>
    <n v="26"/>
    <s v="IPS Pto De Vista Punto Clave"/>
    <s v="Antioquia"/>
    <s v="Fluctúa"/>
    <n v="100"/>
    <n v="9755973"/>
    <n v="254"/>
    <n v="27976834"/>
    <n v="96"/>
    <n v="9647062"/>
    <n v="11212831"/>
    <s v="NO"/>
  </r>
  <r>
    <n v="10"/>
    <x v="33"/>
    <x v="2"/>
    <s v="Octubre"/>
    <s v="LEIDGOVI"/>
    <x v="39"/>
    <x v="39"/>
    <n v="57116544"/>
    <n v="766200"/>
    <n v="8684376"/>
    <n v="47665968"/>
    <n v="44000008"/>
    <n v="1.0833172575786805"/>
    <x v="1"/>
    <n v="26"/>
    <s v="IPS Pto De Vista Punto Clave"/>
    <s v="Antioquia"/>
    <s v="Fluctúa"/>
    <n v="84"/>
    <n v="10889959"/>
    <n v="233"/>
    <n v="29735079"/>
    <n v="90"/>
    <n v="8684376"/>
    <n v="7807130"/>
    <s v="NO"/>
  </r>
  <r>
    <n v="10"/>
    <x v="33"/>
    <x v="2"/>
    <s v="Octubre"/>
    <s v="LEIDPAPA"/>
    <x v="72"/>
    <x v="72"/>
    <n v="61566824"/>
    <n v="887250"/>
    <n v="13463033"/>
    <n v="47216541"/>
    <n v="44000008"/>
    <n v="1.0731030094358165"/>
    <x v="1"/>
    <n v="26"/>
    <s v="IPS Pto De Vista Punto Clave"/>
    <s v="Antioquia"/>
    <s v="Siempre Cumple"/>
    <n v="109"/>
    <n v="9751195"/>
    <n v="308"/>
    <n v="31575564"/>
    <n v="133"/>
    <n v="13463033"/>
    <n v="6777032"/>
    <s v="NO"/>
  </r>
  <r>
    <n v="10"/>
    <x v="33"/>
    <x v="2"/>
    <s v="Octubre"/>
    <s v="YENYSUPE"/>
    <x v="51"/>
    <x v="51"/>
    <n v="59490430"/>
    <n v="1067100"/>
    <n v="11476366"/>
    <n v="46946964"/>
    <n v="44000008"/>
    <n v="1.0669762605497708"/>
    <x v="1"/>
    <n v="26"/>
    <s v="IPS Pto De Vista Punto Clave"/>
    <s v="Antioquia"/>
    <s v="Cumple"/>
    <n v="99"/>
    <n v="9047905"/>
    <n v="218"/>
    <n v="29219725"/>
    <n v="112"/>
    <n v="11476366"/>
    <n v="9746434"/>
    <s v="NO"/>
  </r>
  <r>
    <n v="10"/>
    <x v="33"/>
    <x v="2"/>
    <s v="Octubre"/>
    <s v="YURAUSVE"/>
    <x v="56"/>
    <x v="56"/>
    <n v="72312305"/>
    <n v="486000"/>
    <n v="10158544"/>
    <n v="61667761"/>
    <n v="41692318"/>
    <n v="1.4791156730599628"/>
    <x v="1"/>
    <n v="26"/>
    <s v="IPS Pto De Vista Punto Clave"/>
    <s v="Antioquia"/>
    <n v="0"/>
    <n v="84"/>
    <n v="12304915"/>
    <n v="234"/>
    <n v="40668077"/>
    <n v="98"/>
    <n v="10158544"/>
    <n v="9180769"/>
    <s v="NO"/>
  </r>
  <r>
    <n v="10"/>
    <x v="33"/>
    <x v="2"/>
    <s v="Octubre"/>
    <s v="ANAMLOBE"/>
    <x v="3"/>
    <x v="3"/>
    <n v="88790448"/>
    <n v="1971000"/>
    <n v="12864079"/>
    <n v="73955369"/>
    <n v="44000008"/>
    <n v="1.6808035353084481"/>
    <x v="1"/>
    <n v="26"/>
    <s v="IPS Pto De Vista Unicentro"/>
    <s v="Antioquia"/>
    <s v="Siempre Cumple"/>
    <n v="113"/>
    <n v="14716650"/>
    <n v="292"/>
    <n v="49326483"/>
    <n v="115"/>
    <n v="11385179"/>
    <n v="13362136"/>
    <s v="NO"/>
  </r>
  <r>
    <n v="10"/>
    <x v="33"/>
    <x v="2"/>
    <s v="Octubre"/>
    <s v="ELIZVESU"/>
    <x v="15"/>
    <x v="13"/>
    <n v="74550137"/>
    <n v="2009400"/>
    <n v="11827552"/>
    <n v="60713185"/>
    <n v="44000008"/>
    <n v="1.3798448627554796"/>
    <x v="1"/>
    <n v="26"/>
    <s v="IPS Pto De Vista Unicentro"/>
    <s v="Antioquia"/>
    <s v="Fluctúa"/>
    <n v="107"/>
    <n v="13764024"/>
    <n v="268"/>
    <n v="41582945"/>
    <n v="124"/>
    <n v="11827552"/>
    <n v="7375616"/>
    <s v="NO"/>
  </r>
  <r>
    <n v="10"/>
    <x v="33"/>
    <x v="2"/>
    <s v="Octubre"/>
    <s v="VIVIVAZA"/>
    <x v="33"/>
    <x v="30"/>
    <n v="73440772"/>
    <n v="1764000"/>
    <n v="11599549"/>
    <n v="60077223"/>
    <n v="44000008"/>
    <n v="1.3653911835652393"/>
    <x v="1"/>
    <n v="26"/>
    <s v="IPS Pto De Vista Unicentro"/>
    <s v="Antioquia"/>
    <s v="Cumple"/>
    <n v="116"/>
    <n v="13902282"/>
    <n v="268"/>
    <n v="38258652"/>
    <n v="114"/>
    <n v="11206949"/>
    <n v="10072889"/>
    <s v="NO"/>
  </r>
  <r>
    <n v="10"/>
    <x v="33"/>
    <x v="2"/>
    <s v="Octubre"/>
    <s v="ANGEGAAR"/>
    <x v="4"/>
    <x v="4"/>
    <n v="26940269"/>
    <n v="0"/>
    <n v="5046422"/>
    <n v="21893847"/>
    <n v="14358457"/>
    <n v="1.5248049981972296"/>
    <x v="1"/>
    <n v="26"/>
    <s v="IPS Pto De Vista San Diego"/>
    <s v="Antioquia"/>
    <s v="Fluctúa"/>
    <n v="38"/>
    <n v="4614568"/>
    <n v="102"/>
    <n v="13521364"/>
    <n v="44"/>
    <n v="5046422"/>
    <n v="3757915"/>
    <s v="NO"/>
  </r>
  <r>
    <n v="10"/>
    <x v="33"/>
    <x v="2"/>
    <s v="Octubre"/>
    <s v="ERIKSAVA"/>
    <x v="44"/>
    <x v="44"/>
    <n v="45691102"/>
    <n v="2030100"/>
    <n v="6384226"/>
    <n v="37276776"/>
    <n v="35999990"/>
    <n v="1.0354662876295244"/>
    <x v="1"/>
    <n v="26"/>
    <s v="IPS Pto De Vista San Diego"/>
    <s v="Antioquia"/>
    <s v="No Cumple"/>
    <n v="82"/>
    <n v="7946718"/>
    <n v="174"/>
    <n v="23255007"/>
    <n v="70"/>
    <n v="6384226"/>
    <n v="8105151"/>
    <s v="NO"/>
  </r>
  <r>
    <n v="10"/>
    <x v="33"/>
    <x v="2"/>
    <s v="Octubre"/>
    <s v="MARIMASA"/>
    <x v="23"/>
    <x v="34"/>
    <n v="46719046"/>
    <n v="2048100"/>
    <n v="6417187"/>
    <n v="38253759"/>
    <n v="35999990"/>
    <n v="1.0626047118346422"/>
    <x v="1"/>
    <n v="26"/>
    <s v="IPS Pto De Vista San Diego"/>
    <s v="Antioquia"/>
    <s v="Siempre Cumple"/>
    <n v="80"/>
    <n v="8990252"/>
    <n v="204"/>
    <n v="23475150"/>
    <n v="67"/>
    <n v="6417187"/>
    <n v="7836457"/>
    <s v="NO"/>
  </r>
  <r>
    <n v="10"/>
    <x v="33"/>
    <x v="2"/>
    <s v="Octubre"/>
    <s v="NOREARMA"/>
    <x v="66"/>
    <x v="66"/>
    <n v="51771331"/>
    <n v="421200"/>
    <n v="7875103"/>
    <n v="43475028"/>
    <n v="35999990"/>
    <n v="1.2076400021222229"/>
    <x v="1"/>
    <n v="26"/>
    <s v="IPS Pto De Vista San Diego"/>
    <s v="Antioquia"/>
    <s v="Fluctúa"/>
    <n v="73"/>
    <n v="8923189"/>
    <n v="180"/>
    <n v="30628542"/>
    <n v="83"/>
    <n v="7875103"/>
    <n v="4344497"/>
    <s v="NO"/>
  </r>
  <r>
    <n v="10"/>
    <x v="33"/>
    <x v="2"/>
    <s v="Octubre"/>
    <s v="VIVIRUAL"/>
    <x v="82"/>
    <x v="82"/>
    <n v="24007981"/>
    <n v="0"/>
    <n v="4513718"/>
    <n v="19494263"/>
    <n v="35999990"/>
    <n v="0.54150745597429328"/>
    <x v="1"/>
    <n v="26"/>
    <s v="IPS Pto De Vista San Diego"/>
    <s v="Antioquia"/>
    <s v="Fluctúa"/>
    <n v="45"/>
    <n v="5240267"/>
    <n v="104"/>
    <n v="11941673"/>
    <n v="46"/>
    <n v="4513718"/>
    <n v="2312323"/>
    <s v="NO"/>
  </r>
  <r>
    <n v="10"/>
    <x v="33"/>
    <x v="2"/>
    <s v="Octubre"/>
    <s v="ANDRSAZA"/>
    <x v="45"/>
    <x v="45"/>
    <n v="66397880"/>
    <n v="1311000"/>
    <n v="8465944"/>
    <n v="56620936"/>
    <n v="27999998"/>
    <n v="2.0221764301554592"/>
    <x v="1"/>
    <n v="26"/>
    <s v="IPS Pto De Vista Santa Bárbara"/>
    <s v="Centro"/>
    <s v="Cumple"/>
    <n v="108"/>
    <n v="11582565"/>
    <n v="308"/>
    <n v="41806912"/>
    <n v="104"/>
    <n v="8465944"/>
    <n v="4542459"/>
    <s v="NO"/>
  </r>
  <r>
    <n v="10"/>
    <x v="33"/>
    <x v="2"/>
    <s v="Octubre"/>
    <s v="CAMIPUHE"/>
    <x v="53"/>
    <x v="53"/>
    <n v="37261371"/>
    <n v="1741200"/>
    <n v="6866469"/>
    <n v="28653702"/>
    <n v="27999998"/>
    <n v="1.0233465730961837"/>
    <x v="1"/>
    <n v="26"/>
    <s v="IPS Pto De Vista SSura Clle100"/>
    <s v="Centro"/>
    <s v="Cumple"/>
    <n v="60"/>
    <n v="5895999"/>
    <n v="166"/>
    <n v="19887938"/>
    <n v="83"/>
    <n v="6866469"/>
    <n v="4610965"/>
    <s v="NO"/>
  </r>
  <r>
    <n v="10"/>
    <x v="33"/>
    <x v="2"/>
    <s v="Octubre"/>
    <s v="ISABMOGO"/>
    <x v="17"/>
    <x v="15"/>
    <n v="47343624"/>
    <n v="2240400"/>
    <n v="7602709"/>
    <n v="37500515"/>
    <n v="27999998"/>
    <n v="1.3393042028074431"/>
    <x v="1"/>
    <n v="26"/>
    <s v="IPS Pto De Vista Santa Bárbara"/>
    <s v="Centro"/>
    <s v="No Cumple"/>
    <n v="81"/>
    <n v="8677455"/>
    <n v="209"/>
    <n v="24446498"/>
    <n v="89"/>
    <n v="7602709"/>
    <n v="6616962"/>
    <s v="NO"/>
  </r>
  <r>
    <n v="10"/>
    <x v="33"/>
    <x v="2"/>
    <s v="Octubre"/>
    <s v="LUZNHEGO"/>
    <x v="21"/>
    <x v="19"/>
    <n v="40397919"/>
    <n v="0"/>
    <n v="3822408"/>
    <n v="36575511"/>
    <n v="29999996"/>
    <n v="1.2191838625578484"/>
    <x v="1"/>
    <n v="26"/>
    <s v="IPS Punto de Vista Mayorca"/>
    <s v="Antioquia"/>
    <s v="Siempre Cumple"/>
    <n v="64"/>
    <n v="9817652"/>
    <n v="160"/>
    <n v="24350767"/>
    <n v="52"/>
    <n v="3822408"/>
    <n v="2407092"/>
    <s v="NO"/>
  </r>
  <r>
    <n v="10"/>
    <x v="33"/>
    <x v="2"/>
    <s v="Octubre"/>
    <s v="ROCIFASA"/>
    <x v="31"/>
    <x v="28"/>
    <n v="79243612"/>
    <n v="2957049"/>
    <n v="5647425"/>
    <n v="70639138"/>
    <n v="43470147"/>
    <n v="1.6250034305151992"/>
    <x v="1"/>
    <n v="26"/>
    <s v="Optica Salud Sura Chipichape"/>
    <s v="Occidente"/>
    <s v="Cumple"/>
    <n v="150"/>
    <n v="22543160"/>
    <n v="335"/>
    <n v="45407542"/>
    <n v="67"/>
    <n v="5647425"/>
    <n v="5645485"/>
    <s v="NO"/>
  </r>
  <r>
    <n v="10"/>
    <x v="33"/>
    <x v="2"/>
    <s v="Octubre"/>
    <s v="HEIDVAVI"/>
    <x v="73"/>
    <x v="73"/>
    <n v="52535166"/>
    <n v="0"/>
    <n v="1247608"/>
    <n v="51287558"/>
    <n v="50788008"/>
    <n v="1.0098359833289781"/>
    <x v="1"/>
    <n v="26"/>
    <s v="Punto de Vista Cali Norte"/>
    <s v="Occidente"/>
    <s v="Siempre Cumple"/>
    <n v="134"/>
    <n v="12514908"/>
    <n v="292"/>
    <n v="30513272"/>
    <n v="14"/>
    <n v="1247608"/>
    <n v="8259378"/>
    <s v="NO"/>
  </r>
  <r>
    <n v="10"/>
    <x v="33"/>
    <x v="2"/>
    <s v="Octubre"/>
    <s v="ANGISEBR"/>
    <x v="70"/>
    <x v="70"/>
    <n v="39673751"/>
    <n v="0"/>
    <n v="8054025"/>
    <n v="31619726"/>
    <n v="29999996"/>
    <n v="1.053991007198801"/>
    <x v="1"/>
    <n v="26"/>
    <s v="Punto de Vista Tequendama"/>
    <s v="Occidente"/>
    <s v="No Cumple"/>
    <n v="65"/>
    <n v="6867834"/>
    <n v="204"/>
    <n v="21119080"/>
    <n v="89"/>
    <n v="8054025"/>
    <n v="3632812"/>
    <s v="NO"/>
  </r>
  <r>
    <n v="10"/>
    <x v="33"/>
    <x v="2"/>
    <s v="Octubre"/>
    <s v="DANYLESE"/>
    <x v="79"/>
    <x v="79"/>
    <n v="38291155"/>
    <n v="0"/>
    <n v="8355879"/>
    <n v="29935276"/>
    <n v="29999996"/>
    <n v="0.99784266637902219"/>
    <x v="1"/>
    <n v="26"/>
    <s v="Punto de Vista Cali Norte"/>
    <s v="Occidente"/>
    <s v="Cumple"/>
    <n v="59"/>
    <n v="6835220"/>
    <n v="194"/>
    <n v="21202184"/>
    <n v="85"/>
    <n v="8355879"/>
    <n v="1897872"/>
    <s v="NO"/>
  </r>
  <r>
    <n v="10"/>
    <x v="33"/>
    <x v="2"/>
    <s v="Octubre"/>
    <s v="MONIARGI"/>
    <x v="67"/>
    <x v="67"/>
    <n v="38700514"/>
    <n v="0"/>
    <n v="4867272"/>
    <n v="33833242"/>
    <n v="32115384"/>
    <n v="1.0534901902465186"/>
    <x v="0"/>
    <n v="26"/>
    <s v="Punto de Vista Cali Norte"/>
    <s v="Occidente"/>
    <s v="No Aplica"/>
    <n v="55"/>
    <n v="7249363"/>
    <n v="168"/>
    <n v="24225282"/>
    <n v="50"/>
    <n v="4867272"/>
    <n v="2358597"/>
    <m/>
  </r>
  <r>
    <n v="10"/>
    <x v="33"/>
    <x v="2"/>
    <s v="Octubre"/>
    <s v="PAOLPACA"/>
    <x v="47"/>
    <x v="47"/>
    <n v="43696434"/>
    <n v="676200"/>
    <n v="8671508"/>
    <n v="34348726"/>
    <n v="29999996"/>
    <n v="1.1449576859943582"/>
    <x v="1"/>
    <n v="26"/>
    <s v="Punto de Vista Tequendama"/>
    <s v="Occidente"/>
    <s v="Siempre Cumple"/>
    <n v="63"/>
    <n v="7140981"/>
    <n v="228"/>
    <n v="23638129"/>
    <n v="92"/>
    <n v="8671508"/>
    <n v="4245816"/>
    <s v="NO"/>
  </r>
  <r>
    <n v="10"/>
    <x v="33"/>
    <x v="2"/>
    <s v="Octubre"/>
    <s v="TATIRITR"/>
    <x v="60"/>
    <x v="60"/>
    <n v="25861925"/>
    <n v="596970"/>
    <n v="5723282"/>
    <n v="19541673"/>
    <n v="29999996"/>
    <n v="0.65138918685189162"/>
    <x v="1"/>
    <n v="26"/>
    <s v="Punto de Vista Cali Norte"/>
    <s v="Occidente"/>
    <s v="No Cumple"/>
    <n v="35"/>
    <n v="4739661"/>
    <n v="114"/>
    <n v="13160141"/>
    <n v="64"/>
    <n v="5723282"/>
    <n v="2238841"/>
    <s v="NO"/>
  </r>
  <r>
    <n v="10"/>
    <x v="33"/>
    <x v="2"/>
    <s v="Octubre"/>
    <s v="LEIDCAOR"/>
    <x v="71"/>
    <x v="71"/>
    <n v="34931697"/>
    <n v="0"/>
    <n v="6115447"/>
    <n v="28816250"/>
    <n v="16769232"/>
    <n v="1.7184001032366896"/>
    <x v="1"/>
    <n v="26"/>
    <s v="IPS Punto de Vista Mayorca"/>
    <s v="Antioquia"/>
    <s v="Fluctúa"/>
    <n v="71"/>
    <n v="7047524"/>
    <n v="152"/>
    <n v="18867241"/>
    <n v="65"/>
    <n v="6115447"/>
    <n v="2901485"/>
    <s v="NO"/>
  </r>
  <r>
    <n v="10"/>
    <x v="33"/>
    <x v="2"/>
    <s v="Octubre"/>
    <s v="MILEQUOL"/>
    <x v="78"/>
    <x v="78"/>
    <n v="27782498"/>
    <n v="442200"/>
    <n v="4271015"/>
    <n v="23069283"/>
    <n v="18461540"/>
    <n v="1.2495860583678284"/>
    <x v="1"/>
    <n v="26"/>
    <s v="IPS Punto de Vista Mayorca"/>
    <s v="Antioquia"/>
    <s v="Siempre Cumple"/>
    <n v="60"/>
    <n v="5416101"/>
    <n v="130"/>
    <n v="15763172"/>
    <n v="49"/>
    <n v="4271015"/>
    <n v="2332210"/>
    <s v="NO"/>
  </r>
  <r>
    <n v="10"/>
    <x v="33"/>
    <x v="2"/>
    <s v="Octubre"/>
    <s v="ANAKBEZA"/>
    <x v="37"/>
    <x v="7"/>
    <n v="827755"/>
    <n v="0"/>
    <n v="0"/>
    <n v="827755"/>
    <m/>
    <m/>
    <x v="0"/>
    <n v="26"/>
    <s v=""/>
    <s v=""/>
    <s v="No Aplica"/>
    <n v="1"/>
    <n v="67267"/>
    <n v="2"/>
    <n v="561055"/>
    <n v="0"/>
    <n v="0"/>
    <n v="199433"/>
    <m/>
  </r>
  <r>
    <n v="10"/>
    <x v="33"/>
    <x v="2"/>
    <s v="Octubre"/>
    <s v="ALEJIRRA"/>
    <x v="37"/>
    <x v="7"/>
    <n v="109600"/>
    <n v="0"/>
    <n v="109600"/>
    <n v="0"/>
    <m/>
    <m/>
    <x v="0"/>
    <n v="26"/>
    <s v=""/>
    <s v=""/>
    <s v="No Aplica"/>
    <n v="0"/>
    <n v="0"/>
    <n v="0"/>
    <n v="0"/>
    <n v="0"/>
    <n v="0"/>
    <n v="109600"/>
    <m/>
  </r>
  <r>
    <n v="10"/>
    <x v="33"/>
    <x v="2"/>
    <s v="Octubre"/>
    <s v="CAROGOCE"/>
    <x v="37"/>
    <x v="7"/>
    <n v="147800"/>
    <n v="0"/>
    <n v="0"/>
    <n v="147800"/>
    <m/>
    <m/>
    <x v="0"/>
    <n v="26"/>
    <s v=""/>
    <s v=""/>
    <s v="No Aplica"/>
    <n v="0"/>
    <n v="0"/>
    <n v="0"/>
    <n v="0"/>
    <n v="0"/>
    <n v="0"/>
    <n v="147800"/>
    <m/>
  </r>
  <r>
    <n v="10"/>
    <x v="33"/>
    <x v="2"/>
    <s v="Octubre"/>
    <s v="CHRIVERO"/>
    <x v="37"/>
    <x v="7"/>
    <n v="615769"/>
    <n v="0"/>
    <n v="0"/>
    <n v="615769"/>
    <m/>
    <m/>
    <x v="0"/>
    <n v="26"/>
    <s v=""/>
    <s v=""/>
    <s v="No Aplica"/>
    <n v="0"/>
    <n v="0"/>
    <n v="2"/>
    <n v="615769"/>
    <n v="0"/>
    <n v="0"/>
    <n v="0"/>
    <m/>
  </r>
  <r>
    <n v="10"/>
    <x v="33"/>
    <x v="2"/>
    <s v="Octubre"/>
    <s v="DARWHERI"/>
    <x v="37"/>
    <x v="7"/>
    <n v="1103334"/>
    <n v="0"/>
    <n v="797986"/>
    <n v="305348"/>
    <m/>
    <m/>
    <x v="0"/>
    <n v="26"/>
    <s v=""/>
    <s v=""/>
    <s v="No Aplica"/>
    <n v="2"/>
    <n v="192689"/>
    <n v="0"/>
    <n v="0"/>
    <n v="14"/>
    <n v="797986"/>
    <n v="112659"/>
    <m/>
  </r>
  <r>
    <n v="10"/>
    <x v="33"/>
    <x v="2"/>
    <s v="Octubre"/>
    <s v="DEISCACR"/>
    <x v="37"/>
    <x v="7"/>
    <n v="1150893"/>
    <n v="0"/>
    <n v="0"/>
    <n v="1150893"/>
    <m/>
    <m/>
    <x v="0"/>
    <n v="26"/>
    <s v=""/>
    <s v=""/>
    <s v="No Aplica"/>
    <n v="1"/>
    <n v="110000"/>
    <n v="2"/>
    <n v="268897"/>
    <n v="0"/>
    <n v="0"/>
    <n v="771996"/>
    <m/>
  </r>
  <r>
    <n v="10"/>
    <x v="33"/>
    <x v="2"/>
    <s v="Octubre"/>
    <s v="HISNOSPI"/>
    <x v="37"/>
    <x v="7"/>
    <n v="726422"/>
    <n v="0"/>
    <n v="0"/>
    <n v="726422"/>
    <m/>
    <m/>
    <x v="0"/>
    <n v="26"/>
    <s v=""/>
    <s v=""/>
    <s v="No Aplica"/>
    <n v="2"/>
    <n v="165673"/>
    <n v="4"/>
    <n v="416149"/>
    <n v="0"/>
    <n v="0"/>
    <n v="144600"/>
    <m/>
  </r>
  <r>
    <n v="10"/>
    <x v="33"/>
    <x v="2"/>
    <s v="Octubre"/>
    <s v="JAQUVEGU"/>
    <x v="37"/>
    <x v="7"/>
    <n v="183886"/>
    <n v="0"/>
    <n v="0"/>
    <n v="183886"/>
    <m/>
    <m/>
    <x v="0"/>
    <n v="26"/>
    <s v=""/>
    <s v=""/>
    <s v="No Aplica"/>
    <n v="1"/>
    <n v="39285"/>
    <n v="0"/>
    <n v="0"/>
    <n v="0"/>
    <n v="0"/>
    <n v="144601"/>
    <m/>
  </r>
  <r>
    <n v="10"/>
    <x v="33"/>
    <x v="2"/>
    <s v="Octubre"/>
    <s v="JENNLORA"/>
    <x v="37"/>
    <x v="7"/>
    <n v="109600"/>
    <n v="0"/>
    <n v="109600"/>
    <n v="0"/>
    <m/>
    <m/>
    <x v="0"/>
    <n v="26"/>
    <s v=""/>
    <s v=""/>
    <s v="No Aplica"/>
    <n v="0"/>
    <n v="0"/>
    <n v="0"/>
    <n v="0"/>
    <n v="0"/>
    <n v="0"/>
    <n v="109600"/>
    <m/>
  </r>
  <r>
    <n v="10"/>
    <x v="33"/>
    <x v="2"/>
    <s v="Octubre"/>
    <s v="LISERARA"/>
    <x v="37"/>
    <x v="7"/>
    <n v="109600"/>
    <n v="0"/>
    <n v="109600"/>
    <n v="0"/>
    <m/>
    <m/>
    <x v="0"/>
    <n v="26"/>
    <s v=""/>
    <s v=""/>
    <s v="No Aplica"/>
    <n v="0"/>
    <n v="0"/>
    <n v="0"/>
    <n v="0"/>
    <n v="0"/>
    <n v="0"/>
    <n v="109600"/>
    <m/>
  </r>
  <r>
    <n v="10"/>
    <x v="33"/>
    <x v="2"/>
    <s v="Octubre"/>
    <s v="MONILOSA"/>
    <x v="37"/>
    <x v="7"/>
    <n v="141671"/>
    <n v="0"/>
    <n v="141671"/>
    <n v="0"/>
    <m/>
    <m/>
    <x v="0"/>
    <n v="26"/>
    <s v=""/>
    <s v=""/>
    <s v="No Aplica"/>
    <n v="0"/>
    <n v="0"/>
    <n v="0"/>
    <n v="0"/>
    <n v="1"/>
    <n v="141671"/>
    <n v="0"/>
    <m/>
  </r>
  <r>
    <n v="10"/>
    <x v="33"/>
    <x v="2"/>
    <s v="Octubre"/>
    <s v="(en blanco)"/>
    <x v="37"/>
    <x v="7"/>
    <n v="7228308"/>
    <n v="0"/>
    <n v="0"/>
    <n v="7228308"/>
    <m/>
    <m/>
    <x v="0"/>
    <n v="26"/>
    <s v=""/>
    <s v=""/>
    <s v="No Aplica"/>
    <n v="11"/>
    <n v="826013"/>
    <n v="26"/>
    <n v="5358848"/>
    <n v="0"/>
    <n v="0"/>
    <n v="1043447"/>
    <m/>
  </r>
  <r>
    <n v="11"/>
    <x v="34"/>
    <x v="2"/>
    <s v="Noviembre"/>
    <s v="DERLARMO"/>
    <x v="11"/>
    <x v="10"/>
    <n v="31580391"/>
    <n v="0"/>
    <n v="6304527"/>
    <n v="25275864"/>
    <n v="25000008"/>
    <n v="1.0110342364690443"/>
    <x v="1"/>
    <n v="24"/>
    <s v="IPS Pto De Vista Olaya"/>
    <s v="Centro"/>
    <s v="Cumple"/>
    <n v="65"/>
    <n v="5084418"/>
    <n v="180"/>
    <n v="18724316"/>
    <n v="85"/>
    <n v="6304527"/>
    <n v="1467130"/>
    <s v="NO"/>
  </r>
  <r>
    <n v="11"/>
    <x v="34"/>
    <x v="2"/>
    <s v="Noviembre"/>
    <s v="LOREBECR"/>
    <x v="68"/>
    <x v="68"/>
    <n v="32304860"/>
    <n v="234000"/>
    <n v="6760695"/>
    <n v="25310165"/>
    <n v="25000008"/>
    <n v="1.0124062760299917"/>
    <x v="1"/>
    <n v="24"/>
    <s v="IPS Pto De Vista Olaya"/>
    <s v="Centro"/>
    <s v="Fluctúa"/>
    <n v="68"/>
    <n v="5301750"/>
    <n v="188"/>
    <n v="18645726"/>
    <n v="89"/>
    <n v="6760695"/>
    <n v="1596689"/>
    <s v="NO"/>
  </r>
  <r>
    <n v="11"/>
    <x v="34"/>
    <x v="2"/>
    <s v="Noviembre"/>
    <s v="RAULMOGA"/>
    <x v="30"/>
    <x v="27"/>
    <n v="32372918"/>
    <n v="0"/>
    <n v="6790385"/>
    <n v="25582533"/>
    <n v="25000008"/>
    <n v="1.0233009925436825"/>
    <x v="0"/>
    <n v="24"/>
    <s v="IPS Pto De Vista Olaya"/>
    <s v="Centro"/>
    <s v="No Aplica"/>
    <n v="65"/>
    <n v="4778978"/>
    <n v="152"/>
    <n v="19149924"/>
    <n v="87"/>
    <n v="6790385"/>
    <n v="1653631"/>
    <m/>
  </r>
  <r>
    <n v="11"/>
    <x v="34"/>
    <x v="2"/>
    <s v="Noviembre"/>
    <s v="PAULGOBA"/>
    <x v="35"/>
    <x v="36"/>
    <n v="28612038"/>
    <n v="0"/>
    <n v="3825456"/>
    <n v="24786582"/>
    <n v="14666664"/>
    <n v="1.6899945345444609"/>
    <x v="1"/>
    <n v="24"/>
    <s v="Ferias Empresariales Antioquia"/>
    <s v="Antioquia"/>
    <s v="Fluctúa"/>
    <n v="26"/>
    <n v="2283979"/>
    <n v="76"/>
    <n v="10011048"/>
    <n v="40"/>
    <n v="3825456"/>
    <n v="12491555"/>
    <s v="NO"/>
  </r>
  <r>
    <n v="11"/>
    <x v="34"/>
    <x v="2"/>
    <s v="Noviembre"/>
    <s v="VANELOBE"/>
    <x v="74"/>
    <x v="74"/>
    <n v="15258143"/>
    <n v="0"/>
    <n v="4219651"/>
    <n v="11038492"/>
    <n v="7333332"/>
    <n v="1.5052491827725787"/>
    <x v="1"/>
    <n v="24"/>
    <s v="IPS Pto De Vista San Diego"/>
    <s v="Antioquia"/>
    <s v="Siempre Cumple"/>
    <n v="25"/>
    <n v="3057402"/>
    <n v="58"/>
    <n v="7116288"/>
    <n v="47"/>
    <n v="4219651"/>
    <n v="864802"/>
    <s v="NO"/>
  </r>
  <r>
    <n v="11"/>
    <x v="34"/>
    <x v="2"/>
    <s v="Noviembre"/>
    <s v="DIANPAAL"/>
    <x v="12"/>
    <x v="11"/>
    <n v="49826431"/>
    <n v="1632900"/>
    <n v="10750740"/>
    <n v="37442791"/>
    <n v="32083326"/>
    <n v="1.1670482979227279"/>
    <x v="1"/>
    <n v="24"/>
    <s v="IPS Pto De Vista Rionegro"/>
    <s v="Antioquia"/>
    <s v="Cumple"/>
    <n v="80"/>
    <n v="8842251"/>
    <n v="198"/>
    <n v="25965145"/>
    <n v="106"/>
    <n v="10750740"/>
    <n v="4268295"/>
    <s v="NO"/>
  </r>
  <r>
    <n v="11"/>
    <x v="34"/>
    <x v="2"/>
    <s v="Noviembre"/>
    <s v="MARIGOOR"/>
    <x v="77"/>
    <x v="77"/>
    <n v="43671015"/>
    <n v="468000"/>
    <n v="7747429"/>
    <n v="35455586"/>
    <n v="32083326"/>
    <n v="1.1051094266224144"/>
    <x v="1"/>
    <n v="24"/>
    <s v="IPS Pto De Vista Rionegro"/>
    <s v="Antioquia"/>
    <s v="No Cumple"/>
    <n v="67"/>
    <n v="8462134"/>
    <n v="152"/>
    <n v="22431558"/>
    <n v="77"/>
    <n v="7747429"/>
    <n v="5029894"/>
    <s v="NO"/>
  </r>
  <r>
    <n v="11"/>
    <x v="34"/>
    <x v="2"/>
    <s v="Noviembre"/>
    <s v="MARIOCOC"/>
    <x v="24"/>
    <x v="21"/>
    <n v="61537443"/>
    <n v="2277300"/>
    <n v="12262474"/>
    <n v="46997669"/>
    <n v="32083326"/>
    <n v="1.4648627452153806"/>
    <x v="1"/>
    <n v="24"/>
    <s v="IPS Pto De Vista Rionegro"/>
    <s v="Antioquia"/>
    <s v="Cumple"/>
    <n v="92"/>
    <n v="9852569"/>
    <n v="234"/>
    <n v="33100829"/>
    <n v="119"/>
    <n v="12262474"/>
    <n v="6321571"/>
    <s v="NO"/>
  </r>
  <r>
    <n v="11"/>
    <x v="34"/>
    <x v="2"/>
    <s v="Noviembre"/>
    <s v="ALEXLOGR"/>
    <x v="2"/>
    <x v="2"/>
    <n v="41914075"/>
    <n v="1278000"/>
    <n v="11065915"/>
    <n v="29570160"/>
    <n v="32083326"/>
    <n v="0.92166753534218993"/>
    <x v="1"/>
    <n v="24"/>
    <s v="IPS Punto de Vista Bello"/>
    <s v="Antioquia"/>
    <s v="Fluctúa"/>
    <n v="68"/>
    <n v="6491403"/>
    <n v="166"/>
    <n v="19197207"/>
    <n v="107"/>
    <n v="11065915"/>
    <n v="5159550"/>
    <s v="NO"/>
  </r>
  <r>
    <n v="11"/>
    <x v="34"/>
    <x v="2"/>
    <s v="Noviembre"/>
    <s v="CINDGACU"/>
    <x v="55"/>
    <x v="55"/>
    <n v="42940375"/>
    <n v="1536400"/>
    <n v="9717838"/>
    <n v="31686137"/>
    <n v="39583326"/>
    <n v="0.80049203040694461"/>
    <x v="1"/>
    <n v="24"/>
    <s v="IPS Pto De Vista San Diego"/>
    <s v="Antioquia"/>
    <s v="Siempre Cumple"/>
    <n v="60"/>
    <n v="6561873"/>
    <n v="174"/>
    <n v="21287057"/>
    <n v="92"/>
    <n v="9717838"/>
    <n v="5373607"/>
    <s v="NO"/>
  </r>
  <r>
    <n v="11"/>
    <x v="34"/>
    <x v="2"/>
    <s v="Noviembre"/>
    <s v="YULIRIRE"/>
    <x v="57"/>
    <x v="57"/>
    <n v="40136644"/>
    <n v="324000"/>
    <n v="10842178"/>
    <n v="28970466"/>
    <n v="29166660"/>
    <n v="0.99327334703390791"/>
    <x v="1"/>
    <n v="24"/>
    <s v="IPS Punto de Vista Bello"/>
    <s v="Antioquia"/>
    <s v="Fluctúa"/>
    <n v="71"/>
    <n v="6067464"/>
    <n v="158"/>
    <n v="18770842"/>
    <n v="110"/>
    <n v="10842178"/>
    <n v="4456160"/>
    <s v="Inicio Vacaciones"/>
  </r>
  <r>
    <n v="11"/>
    <x v="34"/>
    <x v="2"/>
    <s v="Noviembre"/>
    <s v="ADRIMOLU"/>
    <x v="1"/>
    <x v="1"/>
    <n v="55350284"/>
    <n v="0"/>
    <n v="13311880"/>
    <n v="42038404"/>
    <n v="40333326"/>
    <n v="1.0422746688433282"/>
    <x v="1"/>
    <n v="24"/>
    <s v="IPS Pto De Vista Molinos"/>
    <s v="Antioquia"/>
    <s v="Cumple"/>
    <n v="87"/>
    <n v="9899047"/>
    <n v="211"/>
    <n v="28269236"/>
    <n v="126"/>
    <n v="13311880"/>
    <n v="3870121"/>
    <s v="NO"/>
  </r>
  <r>
    <n v="11"/>
    <x v="34"/>
    <x v="2"/>
    <s v="Noviembre"/>
    <s v="ASTRTAAR"/>
    <x v="80"/>
    <x v="80"/>
    <n v="30416908"/>
    <n v="766200"/>
    <n v="8256542"/>
    <n v="21394166"/>
    <n v="36666660"/>
    <n v="0.58347736063224742"/>
    <x v="1"/>
    <n v="24"/>
    <s v="IPS Pto De Vista Molinos"/>
    <s v="Antioquia"/>
    <s v="Fluctúa"/>
    <n v="49"/>
    <n v="4584025"/>
    <n v="116"/>
    <n v="14124325"/>
    <n v="88"/>
    <n v="8256542"/>
    <n v="3452016"/>
    <s v="NO"/>
  </r>
  <r>
    <n v="11"/>
    <x v="34"/>
    <x v="2"/>
    <s v="Noviembre"/>
    <s v="LILACARA"/>
    <x v="19"/>
    <x v="17"/>
    <n v="55601482"/>
    <n v="984400"/>
    <n v="13256116"/>
    <n v="41360966"/>
    <n v="40333326"/>
    <n v="1.0254786823184381"/>
    <x v="1"/>
    <n v="24"/>
    <s v="IPS Pto De Vista Molinos"/>
    <s v="Antioquia"/>
    <s v="Cumple"/>
    <n v="81"/>
    <n v="9167634"/>
    <n v="198"/>
    <n v="27550321"/>
    <n v="128"/>
    <n v="13256116"/>
    <n v="5627411"/>
    <s v="NO"/>
  </r>
  <r>
    <n v="11"/>
    <x v="34"/>
    <x v="2"/>
    <s v="Noviembre"/>
    <s v="LIZEGASA"/>
    <x v="81"/>
    <x v="81"/>
    <n v="33490181"/>
    <n v="1467450"/>
    <n v="8827176"/>
    <n v="23195555"/>
    <n v="40333326"/>
    <n v="0.57509650952167946"/>
    <x v="1"/>
    <n v="24"/>
    <s v="IPS Punto de Vista Mayorca"/>
    <s v="Antioquia"/>
    <s v="Cumple"/>
    <n v="55"/>
    <n v="5555955"/>
    <n v="122"/>
    <n v="13430727"/>
    <n v="88"/>
    <n v="8827176"/>
    <n v="5676323"/>
    <s v="NO"/>
  </r>
  <r>
    <n v="11"/>
    <x v="34"/>
    <x v="2"/>
    <s v="Noviembre"/>
    <s v="SUANHECO"/>
    <x v="58"/>
    <x v="58"/>
    <n v="60703224"/>
    <n v="0"/>
    <n v="13798077"/>
    <n v="46905147"/>
    <n v="40333326"/>
    <n v="1.1629377403688455"/>
    <x v="1"/>
    <n v="24"/>
    <s v="IPS Pto De Vista Molinos"/>
    <s v="Antioquia"/>
    <s v="Fluctúa"/>
    <n v="111"/>
    <n v="12190761"/>
    <n v="242"/>
    <n v="29212762"/>
    <n v="141"/>
    <n v="13798077"/>
    <n v="5501624"/>
    <s v="NO"/>
  </r>
  <r>
    <n v="11"/>
    <x v="34"/>
    <x v="2"/>
    <s v="Noviembre"/>
    <s v="ZULYARGA"/>
    <x v="34"/>
    <x v="31"/>
    <n v="46383624"/>
    <n v="221100"/>
    <n v="11607878"/>
    <n v="34554646"/>
    <n v="40333326"/>
    <n v="0.85672691609910867"/>
    <x v="1"/>
    <n v="24"/>
    <s v="IPS Pto De Vista Molinos"/>
    <s v="Antioquia"/>
    <n v="0"/>
    <n v="76"/>
    <n v="9120434"/>
    <n v="178"/>
    <n v="21288915"/>
    <n v="118"/>
    <n v="11607878"/>
    <n v="4366397"/>
    <s v="NO"/>
  </r>
  <r>
    <n v="11"/>
    <x v="34"/>
    <x v="2"/>
    <s v="Noviembre"/>
    <s v="BIBIBECA"/>
    <x v="6"/>
    <x v="6"/>
    <n v="18848492"/>
    <n v="0"/>
    <n v="4740165"/>
    <n v="14108327"/>
    <n v="12250000"/>
    <n v="1.1517001632653061"/>
    <x v="1"/>
    <n v="24"/>
    <s v="IPS Pto De Vista Centro"/>
    <s v="Antioquia"/>
    <s v="Fluctúa"/>
    <n v="32"/>
    <n v="2975082"/>
    <n v="92"/>
    <n v="9696919"/>
    <n v="45"/>
    <n v="4740165"/>
    <n v="1436326"/>
    <s v="Regreso Vacaciones"/>
  </r>
  <r>
    <n v="11"/>
    <x v="34"/>
    <x v="2"/>
    <s v="Noviembre"/>
    <s v="CLAUBLAR"/>
    <x v="9"/>
    <x v="8"/>
    <n v="56374022"/>
    <n v="1396200"/>
    <n v="11368222"/>
    <n v="43609600"/>
    <n v="38500000"/>
    <n v="1.132716883116883"/>
    <x v="1"/>
    <n v="24"/>
    <s v="IPS Pto De Vista Centro"/>
    <s v="Antioquia"/>
    <s v="Fluctúa"/>
    <n v="82"/>
    <n v="8391793"/>
    <n v="208"/>
    <n v="30125206"/>
    <n v="110"/>
    <n v="11368222"/>
    <n v="6488801"/>
    <s v="NO"/>
  </r>
  <r>
    <n v="11"/>
    <x v="34"/>
    <x v="2"/>
    <s v="Noviembre"/>
    <s v="HERIRORO"/>
    <x v="52"/>
    <x v="52"/>
    <n v="35582559"/>
    <n v="1468200"/>
    <n v="12189236"/>
    <n v="21925123"/>
    <n v="38500000"/>
    <n v="0.56948371428571432"/>
    <x v="1"/>
    <n v="24"/>
    <s v="IPS Pto De Vista Centro"/>
    <s v="Antioquia"/>
    <s v="Siempre Cumple"/>
    <n v="61"/>
    <n v="4955733"/>
    <n v="135"/>
    <n v="13744653"/>
    <n v="116"/>
    <n v="12189236"/>
    <n v="4692937"/>
    <s v="NO"/>
  </r>
  <r>
    <n v="11"/>
    <x v="34"/>
    <x v="2"/>
    <s v="Noviembre"/>
    <s v="MARGGAPA"/>
    <x v="22"/>
    <x v="20"/>
    <n v="60990792"/>
    <n v="1968900"/>
    <n v="13570050"/>
    <n v="45451842"/>
    <n v="38500000"/>
    <n v="1.1805673246753248"/>
    <x v="1"/>
    <n v="24"/>
    <s v="IPS Pto De Vista Centro"/>
    <s v="Antioquia"/>
    <s v="Fluctúa"/>
    <n v="84"/>
    <n v="10007967"/>
    <n v="220"/>
    <n v="31382320"/>
    <n v="136"/>
    <n v="13570050"/>
    <n v="6030455"/>
    <s v="NO"/>
  </r>
  <r>
    <n v="11"/>
    <x v="34"/>
    <x v="2"/>
    <s v="Noviembre"/>
    <s v="MARIHIRO"/>
    <x v="76"/>
    <x v="76"/>
    <n v="50188331"/>
    <n v="324000"/>
    <n v="11641852"/>
    <n v="38222479"/>
    <n v="38500000"/>
    <n v="0.99279166233766236"/>
    <x v="1"/>
    <n v="24"/>
    <s v="IPS Pto De Vista Centro"/>
    <s v="Antioquia"/>
    <s v="No Cumple"/>
    <n v="81"/>
    <n v="8583635"/>
    <n v="204"/>
    <n v="24380156"/>
    <n v="120"/>
    <n v="11641852"/>
    <n v="5582688"/>
    <s v="NO"/>
  </r>
  <r>
    <n v="11"/>
    <x v="34"/>
    <x v="2"/>
    <s v="Noviembre"/>
    <s v="NATAVAMO"/>
    <x v="63"/>
    <x v="63"/>
    <n v="31700848"/>
    <n v="1000200"/>
    <n v="9446689"/>
    <n v="21253959"/>
    <n v="39083331"/>
    <n v="0.5438113501635774"/>
    <x v="1"/>
    <n v="24"/>
    <s v="IPS Pto De Vista Molinos"/>
    <s v="Antioquia"/>
    <s v="Siempre Cumple"/>
    <n v="53"/>
    <n v="4355876"/>
    <n v="144"/>
    <n v="14828385"/>
    <n v="97"/>
    <n v="9446689"/>
    <n v="3069898"/>
    <s v="NO"/>
  </r>
  <r>
    <n v="11"/>
    <x v="34"/>
    <x v="2"/>
    <s v="Noviembre"/>
    <s v="SANDCAAC"/>
    <x v="75"/>
    <x v="75"/>
    <n v="39106889"/>
    <n v="689000"/>
    <n v="10970077"/>
    <n v="27447812"/>
    <n v="38500000"/>
    <n v="0.7129301818181818"/>
    <x v="1"/>
    <n v="24"/>
    <s v="IPS Pto De Vista Centro"/>
    <s v="Antioquia"/>
    <s v="Fluctúa"/>
    <n v="60"/>
    <n v="6407929"/>
    <n v="150"/>
    <n v="16481683"/>
    <n v="107"/>
    <n v="10970077"/>
    <n v="5247200"/>
    <s v="NO"/>
  </r>
  <r>
    <n v="11"/>
    <x v="34"/>
    <x v="2"/>
    <s v="Noviembre"/>
    <s v="YENISIGI"/>
    <x v="64"/>
    <x v="64"/>
    <n v="49634230"/>
    <n v="1566400"/>
    <n v="8926288"/>
    <n v="39141542"/>
    <n v="38500000"/>
    <n v="1.0166634285714287"/>
    <x v="1"/>
    <n v="24"/>
    <s v="IPS Pto De Vista Centro"/>
    <s v="Antioquia"/>
    <s v="Fluctúa"/>
    <n v="96"/>
    <n v="9508025"/>
    <n v="220"/>
    <n v="24541309"/>
    <n v="94"/>
    <n v="8926288"/>
    <n v="6658608"/>
    <s v="NO"/>
  </r>
  <r>
    <n v="11"/>
    <x v="34"/>
    <x v="2"/>
    <s v="Noviembre"/>
    <s v="NATAPIDU"/>
    <x v="28"/>
    <x v="25"/>
    <n v="39795495"/>
    <n v="0"/>
    <n v="5713462"/>
    <n v="34082033"/>
    <n v="30000006"/>
    <n v="1.1360675394531587"/>
    <x v="1"/>
    <n v="24"/>
    <s v="IPS Pto De Vista Industriales"/>
    <s v="Antioquia"/>
    <s v="Cumple"/>
    <n v="35"/>
    <n v="5695866"/>
    <n v="108"/>
    <n v="25458700"/>
    <n v="54"/>
    <n v="5713462"/>
    <n v="2927467"/>
    <s v="Regreso Vacaciones"/>
  </r>
  <r>
    <n v="11"/>
    <x v="34"/>
    <x v="2"/>
    <s v="Noviembre"/>
    <s v="ALVAOSOS"/>
    <x v="36"/>
    <x v="37"/>
    <n v="27395406"/>
    <n v="468000"/>
    <n v="5915413"/>
    <n v="21011993"/>
    <n v="10999998"/>
    <n v="1.9101815291239144"/>
    <x v="1"/>
    <n v="24"/>
    <s v="IPS Pto De Vista Punto Clave"/>
    <s v="Antioquia"/>
    <s v="Siempre Cumple"/>
    <n v="37"/>
    <n v="4013302"/>
    <n v="74"/>
    <n v="13131045"/>
    <n v="51"/>
    <n v="5915413"/>
    <n v="4335646"/>
    <s v="Inicio Vacaciones"/>
  </r>
  <r>
    <n v="11"/>
    <x v="34"/>
    <x v="2"/>
    <s v="Noviembre"/>
    <s v="CARORAMN"/>
    <x v="61"/>
    <x v="61"/>
    <n v="52334496"/>
    <n v="1260000"/>
    <n v="11599637"/>
    <n v="39474859"/>
    <n v="40333326"/>
    <n v="0.9787156903450015"/>
    <x v="1"/>
    <n v="24"/>
    <s v="IPS Pto De Vista Punto Clave"/>
    <s v="Antioquia"/>
    <s v="No Cumple"/>
    <n v="83"/>
    <n v="7767530"/>
    <n v="216"/>
    <n v="24584142"/>
    <n v="115"/>
    <n v="11599637"/>
    <n v="8383187"/>
    <s v="NO"/>
  </r>
  <r>
    <n v="11"/>
    <x v="34"/>
    <x v="2"/>
    <s v="Noviembre"/>
    <s v="GENNHEPO"/>
    <x v="16"/>
    <x v="14"/>
    <n v="54051835"/>
    <n v="1375800"/>
    <n v="11275094"/>
    <n v="41400941"/>
    <n v="40333326"/>
    <n v="1.0264697982011204"/>
    <x v="1"/>
    <n v="24"/>
    <s v="IPS Pto De Vista Punto Clave"/>
    <s v="Antioquia"/>
    <s v="Fluctúa"/>
    <n v="79"/>
    <n v="7614905"/>
    <n v="226"/>
    <n v="25781114"/>
    <n v="112"/>
    <n v="11275094"/>
    <n v="9380722"/>
    <s v="NO"/>
  </r>
  <r>
    <n v="11"/>
    <x v="34"/>
    <x v="2"/>
    <s v="Noviembre"/>
    <s v="LEIDGOVI"/>
    <x v="39"/>
    <x v="39"/>
    <n v="44609773"/>
    <n v="954000"/>
    <n v="9516003"/>
    <n v="34139770"/>
    <n v="40333326"/>
    <n v="0.84644073241071172"/>
    <x v="1"/>
    <n v="24"/>
    <s v="IPS Pto De Vista Punto Clave"/>
    <s v="Antioquia"/>
    <s v="Fluctúa"/>
    <n v="66"/>
    <n v="7999808"/>
    <n v="148"/>
    <n v="18827052"/>
    <n v="97"/>
    <n v="9516003"/>
    <n v="8266910"/>
    <s v="NO"/>
  </r>
  <r>
    <n v="11"/>
    <x v="34"/>
    <x v="2"/>
    <s v="Noviembre"/>
    <s v="LEIDPAPA"/>
    <x v="72"/>
    <x v="72"/>
    <n v="59415234"/>
    <n v="2394000"/>
    <n v="15137347"/>
    <n v="41883887"/>
    <n v="40333326"/>
    <n v="1.0384436681467826"/>
    <x v="1"/>
    <n v="24"/>
    <s v="IPS Pto De Vista Punto Clave"/>
    <s v="Antioquia"/>
    <s v="Siempre Cumple"/>
    <n v="100"/>
    <n v="9815265"/>
    <n v="256"/>
    <n v="26489622"/>
    <n v="151"/>
    <n v="15137347"/>
    <n v="7973000"/>
    <s v="NO"/>
  </r>
  <r>
    <n v="11"/>
    <x v="34"/>
    <x v="2"/>
    <s v="Noviembre"/>
    <s v="YENYSUPE"/>
    <x v="51"/>
    <x v="51"/>
    <n v="43045664"/>
    <n v="1260200"/>
    <n v="11992365"/>
    <n v="29793099"/>
    <n v="40333326"/>
    <n v="0.73867201033705976"/>
    <x v="1"/>
    <n v="24"/>
    <s v="IPS Pto De Vista Punto Clave"/>
    <s v="Antioquia"/>
    <s v="Cumple"/>
    <n v="53"/>
    <n v="4792434"/>
    <n v="146"/>
    <n v="18524314"/>
    <n v="111"/>
    <n v="11992365"/>
    <n v="7736551"/>
    <s v="NO"/>
  </r>
  <r>
    <n v="11"/>
    <x v="34"/>
    <x v="2"/>
    <s v="Noviembre"/>
    <s v="YURAUSVE"/>
    <x v="56"/>
    <x v="56"/>
    <n v="57329611"/>
    <n v="0"/>
    <n v="11591284"/>
    <n v="45738327"/>
    <n v="39666662"/>
    <n v="1.1530672028818558"/>
    <x v="1"/>
    <n v="24"/>
    <s v="IPS Pto De Vista Punto Clave"/>
    <s v="Antioquia"/>
    <n v="0"/>
    <n v="67"/>
    <n v="8704326"/>
    <n v="188"/>
    <n v="30472426"/>
    <n v="116"/>
    <n v="11591284"/>
    <n v="6561575"/>
    <s v="NO"/>
  </r>
  <r>
    <n v="11"/>
    <x v="34"/>
    <x v="2"/>
    <s v="Noviembre"/>
    <s v="ANAMLOBE"/>
    <x v="3"/>
    <x v="3"/>
    <n v="71901395"/>
    <n v="1326600"/>
    <n v="11523460"/>
    <n v="59051335"/>
    <n v="40333326"/>
    <n v="1.4640829521473135"/>
    <x v="1"/>
    <n v="24"/>
    <s v="IPS Pto De Vista Unicentro"/>
    <s v="Antioquia"/>
    <s v="Siempre Cumple"/>
    <n v="99"/>
    <n v="14576666"/>
    <n v="238"/>
    <n v="39176007"/>
    <n v="114"/>
    <n v="11026860"/>
    <n v="7121862"/>
    <s v="NO"/>
  </r>
  <r>
    <n v="11"/>
    <x v="34"/>
    <x v="2"/>
    <s v="Noviembre"/>
    <s v="ELIZVESU"/>
    <x v="15"/>
    <x v="13"/>
    <n v="64945850"/>
    <n v="1234200"/>
    <n v="12313883"/>
    <n v="51397767"/>
    <n v="27499995"/>
    <n v="1.869010048910918"/>
    <x v="1"/>
    <n v="24"/>
    <s v="IPS Pto De Vista Unicentro"/>
    <s v="Antioquia"/>
    <s v="Fluctúa"/>
    <n v="81"/>
    <n v="11577822"/>
    <n v="214"/>
    <n v="34460353"/>
    <n v="107"/>
    <n v="10877283"/>
    <n v="8030392"/>
    <s v="Inicio Vacaciones"/>
  </r>
  <r>
    <n v="11"/>
    <x v="34"/>
    <x v="2"/>
    <s v="Noviembre"/>
    <s v="VIVIVAZA"/>
    <x v="33"/>
    <x v="30"/>
    <n v="76543441"/>
    <n v="1728000"/>
    <n v="14979925"/>
    <n v="59835516"/>
    <n v="40333326"/>
    <n v="1.4835254598145464"/>
    <x v="1"/>
    <n v="24"/>
    <s v="IPS Pto De Vista Unicentro"/>
    <s v="Antioquia"/>
    <s v="Cumple"/>
    <n v="97"/>
    <n v="11967092"/>
    <n v="237"/>
    <n v="40505531"/>
    <n v="143"/>
    <n v="13771325"/>
    <n v="10299493"/>
    <s v="NO"/>
  </r>
  <r>
    <n v="11"/>
    <x v="34"/>
    <x v="2"/>
    <s v="Noviembre"/>
    <s v="ANGEGAAR"/>
    <x v="4"/>
    <x v="4"/>
    <n v="20294530"/>
    <n v="0"/>
    <n v="4991673"/>
    <n v="15302857"/>
    <n v="12929999"/>
    <n v="1.1835157141156778"/>
    <x v="1"/>
    <n v="24"/>
    <s v="IPS Pto De Vista San Diego"/>
    <s v="Antioquia"/>
    <s v="Fluctúa"/>
    <n v="27"/>
    <n v="3887053"/>
    <n v="64"/>
    <n v="9367466"/>
    <n v="49"/>
    <n v="4991673"/>
    <n v="2048338"/>
    <s v="NO"/>
  </r>
  <r>
    <n v="11"/>
    <x v="34"/>
    <x v="2"/>
    <s v="Noviembre"/>
    <s v="ERIKSAVA"/>
    <x v="44"/>
    <x v="44"/>
    <n v="32887032"/>
    <n v="2233800"/>
    <n v="6999851"/>
    <n v="23653381"/>
    <n v="33000000"/>
    <n v="0.71676912121212122"/>
    <x v="1"/>
    <n v="24"/>
    <s v="IPS Pto De Vista San Diego"/>
    <s v="Antioquia"/>
    <s v="No Cumple"/>
    <n v="48"/>
    <n v="5618543"/>
    <n v="102"/>
    <n v="12560858"/>
    <n v="70"/>
    <n v="6892322"/>
    <n v="7815309"/>
    <s v="NO"/>
  </r>
  <r>
    <n v="11"/>
    <x v="34"/>
    <x v="2"/>
    <s v="Noviembre"/>
    <s v="MARIMASA"/>
    <x v="23"/>
    <x v="34"/>
    <n v="43548255"/>
    <n v="1864200"/>
    <n v="8106065"/>
    <n v="33577990"/>
    <n v="33000000"/>
    <n v="1.0175148484848484"/>
    <x v="1"/>
    <n v="24"/>
    <s v="IPS Pto De Vista San Diego"/>
    <s v="Antioquia"/>
    <s v="Siempre Cumple"/>
    <n v="61"/>
    <n v="6132374"/>
    <n v="145"/>
    <n v="23211990"/>
    <n v="81"/>
    <n v="8106065"/>
    <n v="6097826"/>
    <s v="NO"/>
  </r>
  <r>
    <n v="11"/>
    <x v="34"/>
    <x v="2"/>
    <s v="Noviembre"/>
    <s v="NOREARMA"/>
    <x v="66"/>
    <x v="66"/>
    <n v="45002969"/>
    <n v="2251600"/>
    <n v="8366492"/>
    <n v="34384877"/>
    <n v="33000000"/>
    <n v="1.0419659696969696"/>
    <x v="1"/>
    <n v="24"/>
    <s v="IPS Pto De Vista San Diego"/>
    <s v="Antioquia"/>
    <s v="Fluctúa"/>
    <n v="59"/>
    <n v="8210645"/>
    <n v="156"/>
    <n v="24516126"/>
    <n v="86"/>
    <n v="8366492"/>
    <n v="3909706"/>
    <s v="NO"/>
  </r>
  <r>
    <n v="11"/>
    <x v="34"/>
    <x v="2"/>
    <s v="Noviembre"/>
    <s v="VIVIRUAL"/>
    <x v="82"/>
    <x v="82"/>
    <n v="41074195"/>
    <n v="468000"/>
    <n v="7354249"/>
    <n v="33251946"/>
    <n v="33000000"/>
    <n v="1.0076347272727273"/>
    <x v="1"/>
    <n v="24"/>
    <s v="IPS Pto De Vista San Diego"/>
    <s v="Antioquia"/>
    <s v="Fluctúa"/>
    <n v="52"/>
    <n v="7075108"/>
    <n v="138"/>
    <n v="22097225"/>
    <n v="73"/>
    <n v="7354249"/>
    <n v="4547613"/>
    <s v="NO"/>
  </r>
  <r>
    <n v="11"/>
    <x v="34"/>
    <x v="2"/>
    <s v="Noviembre"/>
    <s v="ANDRSAZA"/>
    <x v="45"/>
    <x v="45"/>
    <n v="47170254"/>
    <n v="0"/>
    <n v="10079300"/>
    <n v="37090954"/>
    <n v="28000008"/>
    <n v="1.3246765500924143"/>
    <x v="1"/>
    <n v="24"/>
    <s v="IPS Pto De Vista Santa Bárbara"/>
    <s v="Centro"/>
    <s v="Cumple"/>
    <n v="70"/>
    <n v="6650150"/>
    <n v="222"/>
    <n v="27741620"/>
    <n v="128"/>
    <n v="10079300"/>
    <n v="2699184"/>
    <s v="NO"/>
  </r>
  <r>
    <n v="11"/>
    <x v="34"/>
    <x v="2"/>
    <s v="Noviembre"/>
    <s v="CHRIVERO"/>
    <x v="83"/>
    <x v="83"/>
    <n v="17775734"/>
    <n v="486000"/>
    <n v="2587782"/>
    <n v="14701952"/>
    <n v="28000008"/>
    <n v="0.52506956426583873"/>
    <x v="1"/>
    <n v="24"/>
    <s v="IPS Pto De Vista Santa Bárbara"/>
    <s v="Centro"/>
    <s v="Fluctúa"/>
    <n v="27"/>
    <n v="3210369"/>
    <n v="76"/>
    <n v="10147605"/>
    <n v="30"/>
    <n v="2587782"/>
    <n v="1829978"/>
    <s v="NO"/>
  </r>
  <r>
    <n v="11"/>
    <x v="34"/>
    <x v="2"/>
    <s v="Noviembre"/>
    <s v="ISABMOGO"/>
    <x v="17"/>
    <x v="15"/>
    <n v="41084488"/>
    <n v="2134200"/>
    <n v="8039802"/>
    <n v="30910486"/>
    <n v="28000008"/>
    <n v="1.1039456131583962"/>
    <x v="1"/>
    <n v="24"/>
    <s v="IPS Pto De Vista Santa Bárbara"/>
    <s v="Centro"/>
    <s v="No Cumple"/>
    <n v="60"/>
    <n v="6586190"/>
    <n v="158"/>
    <n v="20973900"/>
    <n v="104"/>
    <n v="8039802"/>
    <n v="5484596"/>
    <s v="NO"/>
  </r>
  <r>
    <n v="11"/>
    <x v="34"/>
    <x v="2"/>
    <s v="Noviembre"/>
    <s v="CAMIPUHE"/>
    <x v="53"/>
    <x v="53"/>
    <n v="26513247"/>
    <n v="1251990"/>
    <n v="3813489"/>
    <n v="21447768"/>
    <n v="30000000"/>
    <n v="0.71492560000000005"/>
    <x v="1"/>
    <n v="24"/>
    <s v="IPS Pto De Vista SSura Clle100"/>
    <s v="Centro"/>
    <s v="Cumple"/>
    <n v="28"/>
    <n v="3103841"/>
    <n v="122"/>
    <n v="14837921"/>
    <n v="51"/>
    <n v="3813489"/>
    <n v="4757996"/>
    <s v="NO"/>
  </r>
  <r>
    <n v="11"/>
    <x v="34"/>
    <x v="2"/>
    <s v="Noviembre"/>
    <s v="ROCIFASA"/>
    <x v="31"/>
    <x v="28"/>
    <n v="57847441"/>
    <n v="1517400"/>
    <n v="7609032"/>
    <n v="48721009"/>
    <n v="34999992"/>
    <n v="1.3920291467495192"/>
    <x v="1"/>
    <n v="24"/>
    <s v="Optica Salud Sura Chipichape"/>
    <s v="Occidente"/>
    <s v="Cumple"/>
    <n v="98"/>
    <n v="11913714"/>
    <n v="268"/>
    <n v="33961556"/>
    <n v="82"/>
    <n v="7609032"/>
    <n v="4363139"/>
    <s v="NO"/>
  </r>
  <r>
    <n v="11"/>
    <x v="34"/>
    <x v="2"/>
    <s v="Noviembre"/>
    <s v="HEIDVAVI"/>
    <x v="73"/>
    <x v="73"/>
    <n v="22153865"/>
    <n v="0"/>
    <n v="419369"/>
    <n v="21734496"/>
    <n v="42073200"/>
    <n v="0.51658766150423552"/>
    <x v="1"/>
    <n v="24"/>
    <s v="Punto de Vista Cali Norte"/>
    <s v="Occidente"/>
    <s v="Siempre Cumple"/>
    <n v="22"/>
    <n v="2090623"/>
    <n v="53"/>
    <n v="5997844"/>
    <n v="7"/>
    <n v="419369"/>
    <n v="13646029"/>
    <s v="NO"/>
  </r>
  <r>
    <n v="11"/>
    <x v="34"/>
    <x v="2"/>
    <s v="Noviembre"/>
    <s v="ANGISEBR"/>
    <x v="70"/>
    <x v="70"/>
    <n v="29269993"/>
    <n v="0"/>
    <n v="8172329"/>
    <n v="21097664"/>
    <n v="18750000"/>
    <n v="1.1252087466666667"/>
    <x v="1"/>
    <n v="24"/>
    <s v="Punto de Vista Tequendama"/>
    <s v="Occidente"/>
    <s v="No Cumple"/>
    <n v="43"/>
    <n v="5127075"/>
    <n v="114"/>
    <n v="13786207"/>
    <n v="85"/>
    <n v="8172329"/>
    <n v="2184382"/>
    <s v="NO"/>
  </r>
  <r>
    <n v="11"/>
    <x v="34"/>
    <x v="2"/>
    <s v="Noviembre"/>
    <s v="AURACAMO"/>
    <x v="84"/>
    <x v="84"/>
    <n v="11973184"/>
    <n v="455100"/>
    <n v="4402187"/>
    <n v="7115897"/>
    <n v="30000000"/>
    <n v="0.23719656666666666"/>
    <x v="1"/>
    <n v="24"/>
    <s v="Punto de Vista Tequendama"/>
    <s v="Occidente"/>
    <s v="Siempre Cumple"/>
    <n v="17"/>
    <n v="2008441"/>
    <n v="50"/>
    <n v="5041075"/>
    <n v="43"/>
    <n v="4402187"/>
    <n v="521481"/>
    <s v="NO"/>
  </r>
  <r>
    <n v="11"/>
    <x v="34"/>
    <x v="2"/>
    <s v="Noviembre"/>
    <s v="DANYLESE"/>
    <x v="79"/>
    <x v="79"/>
    <n v="27070595"/>
    <n v="0"/>
    <n v="8922973"/>
    <n v="18147622"/>
    <n v="30000000"/>
    <n v="0.60492073333333329"/>
    <x v="1"/>
    <n v="24"/>
    <s v="Punto de Vista Cali Norte"/>
    <s v="Occidente"/>
    <s v="Cumple"/>
    <n v="41"/>
    <n v="4915731"/>
    <n v="118"/>
    <n v="11323509"/>
    <n v="101"/>
    <n v="8866573"/>
    <n v="1964782"/>
    <s v="NO"/>
  </r>
  <r>
    <n v="11"/>
    <x v="34"/>
    <x v="2"/>
    <s v="Noviembre"/>
    <s v="PAOLPACA"/>
    <x v="47"/>
    <x v="47"/>
    <n v="32304813"/>
    <n v="439900"/>
    <n v="8336570"/>
    <n v="23528343"/>
    <n v="18750000"/>
    <n v="1.25484496"/>
    <x v="1"/>
    <n v="24"/>
    <s v="Punto de Vista Tequendama"/>
    <s v="Occidente"/>
    <s v="Siempre Cumple"/>
    <n v="52"/>
    <n v="5577000"/>
    <n v="160"/>
    <n v="16308987"/>
    <n v="76"/>
    <n v="7012770"/>
    <n v="3406056"/>
    <s v="NO"/>
  </r>
  <r>
    <n v="11"/>
    <x v="34"/>
    <x v="2"/>
    <s v="Noviembre"/>
    <s v="TATIRITR"/>
    <x v="60"/>
    <x v="60"/>
    <n v="44752059"/>
    <n v="0"/>
    <n v="12879079"/>
    <n v="31872980"/>
    <n v="30000000"/>
    <n v="1.0624326666666666"/>
    <x v="1"/>
    <n v="24"/>
    <s v="Punto de Vista Cali Norte"/>
    <s v="Occidente"/>
    <s v="No Cumple"/>
    <n v="58"/>
    <n v="7196651"/>
    <n v="174"/>
    <n v="21939225"/>
    <n v="127"/>
    <n v="12879079"/>
    <n v="2737104"/>
    <s v="NO"/>
  </r>
  <r>
    <n v="11"/>
    <x v="34"/>
    <x v="2"/>
    <s v="Noviembre"/>
    <s v="LEIDCAOR"/>
    <x v="71"/>
    <x v="71"/>
    <n v="40557251"/>
    <n v="941100"/>
    <n v="8621612"/>
    <n v="30994539"/>
    <n v="15000000"/>
    <n v="2.0663026000000002"/>
    <x v="1"/>
    <n v="24"/>
    <s v="IPS Punto de Vista Mayorca"/>
    <s v="Antioquia"/>
    <s v="Fluctúa"/>
    <n v="79"/>
    <n v="7850102"/>
    <n v="174"/>
    <n v="19253350"/>
    <n v="100"/>
    <n v="8621612"/>
    <n v="4832187"/>
    <s v="NO"/>
  </r>
  <r>
    <n v="11"/>
    <x v="34"/>
    <x v="2"/>
    <s v="Noviembre"/>
    <s v="LUZNHEGO"/>
    <x v="21"/>
    <x v="19"/>
    <n v="16492689"/>
    <n v="0"/>
    <n v="1283731"/>
    <n v="15208958"/>
    <n v="3125000"/>
    <n v="4.8668665600000001"/>
    <x v="1"/>
    <n v="24"/>
    <s v="IPS Punto de Vista Mayorca"/>
    <s v="Antioquia"/>
    <s v="Siempre Cumple"/>
    <n v="21"/>
    <n v="3173717"/>
    <n v="94"/>
    <n v="11484195"/>
    <n v="21"/>
    <n v="1283731"/>
    <n v="551046"/>
    <s v="NO"/>
  </r>
  <r>
    <n v="11"/>
    <x v="34"/>
    <x v="2"/>
    <s v="Noviembre"/>
    <s v="MAKEBEVA"/>
    <x v="85"/>
    <x v="85"/>
    <n v="21555813"/>
    <n v="221100"/>
    <n v="5464663"/>
    <n v="15870050"/>
    <n v="15000000"/>
    <n v="1.0580033333333334"/>
    <x v="1"/>
    <n v="24"/>
    <s v="IPS Punto de Vista Mayorca"/>
    <s v="Antioquia"/>
    <s v="Cumple"/>
    <n v="43"/>
    <n v="3111739"/>
    <n v="96"/>
    <n v="11103458"/>
    <n v="53"/>
    <n v="5464663"/>
    <n v="1875953"/>
    <s v="NO"/>
  </r>
  <r>
    <n v="11"/>
    <x v="34"/>
    <x v="2"/>
    <s v="Noviembre"/>
    <s v="MILEQUOL"/>
    <x v="78"/>
    <x v="78"/>
    <n v="44096230"/>
    <n v="0"/>
    <n v="9605069"/>
    <n v="34491161"/>
    <n v="15000000"/>
    <n v="2.2994107333333331"/>
    <x v="1"/>
    <n v="24"/>
    <s v="IPS Punto de Vista Mayorca"/>
    <s v="Antioquia"/>
    <s v="Siempre Cumple"/>
    <n v="84"/>
    <n v="8168133"/>
    <n v="194"/>
    <n v="22968378"/>
    <n v="103"/>
    <n v="9605069"/>
    <n v="3354650"/>
    <s v="NO"/>
  </r>
  <r>
    <n v="11"/>
    <x v="34"/>
    <x v="2"/>
    <s v="Noviembre"/>
    <s v="ANGEROPI"/>
    <x v="37"/>
    <x v="7"/>
    <n v="73601"/>
    <n v="0"/>
    <n v="73601"/>
    <n v="0"/>
    <m/>
    <m/>
    <x v="0"/>
    <n v="24"/>
    <s v=""/>
    <s v=""/>
    <s v="No Aplica"/>
    <n v="0"/>
    <n v="0"/>
    <n v="0"/>
    <n v="0"/>
    <n v="1"/>
    <n v="73601"/>
    <n v="0"/>
    <m/>
  </r>
  <r>
    <n v="11"/>
    <x v="34"/>
    <x v="2"/>
    <s v="Noviembre"/>
    <s v="DARWHERI"/>
    <x v="37"/>
    <x v="7"/>
    <n v="727321"/>
    <n v="0"/>
    <n v="868878"/>
    <n v="-141557"/>
    <m/>
    <m/>
    <x v="0"/>
    <n v="24"/>
    <s v=""/>
    <s v=""/>
    <s v="No Aplica"/>
    <n v="0"/>
    <n v="0"/>
    <n v="2"/>
    <n v="-141557"/>
    <n v="12"/>
    <n v="868878"/>
    <n v="0"/>
    <m/>
  </r>
  <r>
    <n v="11"/>
    <x v="34"/>
    <x v="2"/>
    <s v="Noviembre"/>
    <s v="DEISCACR"/>
    <x v="37"/>
    <x v="7"/>
    <n v="468000"/>
    <n v="0"/>
    <n v="0"/>
    <n v="468000"/>
    <m/>
    <m/>
    <x v="0"/>
    <n v="24"/>
    <s v=""/>
    <s v=""/>
    <s v="No Aplica"/>
    <n v="0"/>
    <n v="0"/>
    <n v="0"/>
    <n v="0"/>
    <n v="0"/>
    <n v="0"/>
    <n v="468000"/>
    <m/>
  </r>
  <r>
    <n v="11"/>
    <x v="34"/>
    <x v="2"/>
    <s v="Noviembre"/>
    <s v="EMMAARMA"/>
    <x v="37"/>
    <x v="7"/>
    <n v="361200"/>
    <n v="0"/>
    <n v="361200"/>
    <n v="0"/>
    <m/>
    <m/>
    <x v="0"/>
    <n v="24"/>
    <s v=""/>
    <s v=""/>
    <s v="No Aplica"/>
    <n v="0"/>
    <n v="0"/>
    <n v="0"/>
    <n v="0"/>
    <n v="0"/>
    <n v="0"/>
    <n v="361200"/>
    <m/>
  </r>
  <r>
    <n v="11"/>
    <x v="34"/>
    <x v="2"/>
    <s v="Noviembre"/>
    <s v="HISNOSPI"/>
    <x v="37"/>
    <x v="7"/>
    <n v="217091"/>
    <n v="0"/>
    <n v="0"/>
    <n v="217091"/>
    <m/>
    <m/>
    <x v="0"/>
    <n v="24"/>
    <s v=""/>
    <s v=""/>
    <s v="No Aplica"/>
    <n v="1"/>
    <n v="85714"/>
    <n v="2"/>
    <n v="131377"/>
    <n v="0"/>
    <n v="0"/>
    <n v="0"/>
    <m/>
  </r>
  <r>
    <n v="11"/>
    <x v="34"/>
    <x v="2"/>
    <s v="Noviembre"/>
    <s v="SANDRIVI"/>
    <x v="37"/>
    <x v="7"/>
    <n v="190600"/>
    <n v="0"/>
    <n v="190600"/>
    <n v="0"/>
    <m/>
    <m/>
    <x v="0"/>
    <n v="24"/>
    <s v=""/>
    <s v=""/>
    <s v="No Aplica"/>
    <n v="0"/>
    <n v="0"/>
    <n v="0"/>
    <n v="0"/>
    <n v="0"/>
    <n v="0"/>
    <n v="190600"/>
    <m/>
  </r>
  <r>
    <n v="11"/>
    <x v="34"/>
    <x v="2"/>
    <s v="Noviembre"/>
    <s v="ANAUROCA"/>
    <x v="37"/>
    <x v="7"/>
    <n v="207600"/>
    <n v="0"/>
    <n v="207600"/>
    <n v="0"/>
    <m/>
    <m/>
    <x v="0"/>
    <n v="24"/>
    <s v=""/>
    <s v=""/>
    <s v="No Aplica"/>
    <n v="0"/>
    <n v="0"/>
    <n v="0"/>
    <n v="0"/>
    <n v="0"/>
    <n v="0"/>
    <n v="207600"/>
    <m/>
  </r>
  <r>
    <n v="11"/>
    <x v="34"/>
    <x v="2"/>
    <s v="Noviembre"/>
    <s v="ALEJVAVA"/>
    <x v="37"/>
    <x v="7"/>
    <n v="109600"/>
    <n v="0"/>
    <n v="109600"/>
    <n v="0"/>
    <m/>
    <m/>
    <x v="0"/>
    <n v="24"/>
    <s v=""/>
    <s v=""/>
    <s v="No Aplica"/>
    <n v="0"/>
    <n v="0"/>
    <n v="0"/>
    <n v="0"/>
    <n v="0"/>
    <n v="0"/>
    <n v="109600"/>
    <m/>
  </r>
  <r>
    <n v="11"/>
    <x v="34"/>
    <x v="2"/>
    <s v="Noviembre"/>
    <s v="ALEJIRRA"/>
    <x v="37"/>
    <x v="7"/>
    <n v="109600"/>
    <n v="0"/>
    <n v="109600"/>
    <n v="0"/>
    <m/>
    <m/>
    <x v="0"/>
    <n v="24"/>
    <s v=""/>
    <s v=""/>
    <s v="No Aplica"/>
    <n v="0"/>
    <n v="0"/>
    <n v="0"/>
    <n v="0"/>
    <n v="0"/>
    <n v="0"/>
    <n v="109600"/>
    <m/>
  </r>
  <r>
    <n v="11"/>
    <x v="34"/>
    <x v="2"/>
    <s v="Noviembre"/>
    <s v="JHONLOCR"/>
    <x v="37"/>
    <x v="7"/>
    <n v="205225"/>
    <n v="0"/>
    <n v="205225"/>
    <n v="0"/>
    <m/>
    <m/>
    <x v="0"/>
    <n v="24"/>
    <s v=""/>
    <s v=""/>
    <s v="No Aplica"/>
    <n v="0"/>
    <n v="0"/>
    <n v="0"/>
    <n v="0"/>
    <n v="3"/>
    <n v="205225"/>
    <n v="0"/>
    <m/>
  </r>
  <r>
    <n v="11"/>
    <x v="34"/>
    <x v="2"/>
    <s v="Noviembre"/>
    <s v="MONIARGI"/>
    <x v="37"/>
    <x v="7"/>
    <n v="4424036"/>
    <n v="0"/>
    <n v="2631356"/>
    <n v="1792680"/>
    <m/>
    <m/>
    <x v="0"/>
    <n v="24"/>
    <s v=""/>
    <s v=""/>
    <s v="No Aplica"/>
    <n v="3"/>
    <n v="400790"/>
    <n v="12"/>
    <n v="1247286"/>
    <n v="28"/>
    <n v="2631356"/>
    <n v="144604"/>
    <m/>
  </r>
  <r>
    <n v="11"/>
    <x v="34"/>
    <x v="2"/>
    <s v="Noviembre"/>
    <s v="JOSEVAPR"/>
    <x v="37"/>
    <x v="7"/>
    <n v="6128887"/>
    <n v="0"/>
    <n v="0"/>
    <n v="6128887"/>
    <m/>
    <m/>
    <x v="0"/>
    <n v="24"/>
    <s v=""/>
    <s v=""/>
    <s v="No Aplica"/>
    <n v="10"/>
    <n v="1494606"/>
    <n v="38"/>
    <n v="3856276"/>
    <n v="0"/>
    <n v="0"/>
    <n v="778005"/>
    <m/>
  </r>
  <r>
    <n v="11"/>
    <x v="34"/>
    <x v="2"/>
    <s v="Noviembre"/>
    <s v="ALEXDERI"/>
    <x v="37"/>
    <x v="7"/>
    <n v="46283"/>
    <n v="0"/>
    <n v="46283"/>
    <n v="0"/>
    <m/>
    <m/>
    <x v="0"/>
    <n v="24"/>
    <s v=""/>
    <s v=""/>
    <s v="No Aplica"/>
    <n v="0"/>
    <n v="0"/>
    <n v="0"/>
    <n v="0"/>
    <n v="1"/>
    <n v="46283"/>
    <n v="0"/>
    <m/>
  </r>
  <r>
    <n v="11"/>
    <x v="34"/>
    <x v="2"/>
    <s v="Noviembre"/>
    <s v="(en blanco)"/>
    <x v="37"/>
    <x v="7"/>
    <n v="-112659"/>
    <n v="0"/>
    <n v="0"/>
    <n v="-112659"/>
    <m/>
    <m/>
    <x v="0"/>
    <n v="24"/>
    <s v=""/>
    <s v=""/>
    <s v="No Aplica"/>
    <n v="2"/>
    <n v="0"/>
    <n v="48"/>
    <n v="0"/>
    <n v="0"/>
    <n v="0"/>
    <n v="-112659"/>
    <m/>
  </r>
  <r>
    <n v="12"/>
    <x v="35"/>
    <x v="2"/>
    <s v="Diciembre"/>
    <s v="DERLARMO"/>
    <x v="11"/>
    <x v="10"/>
    <n v="35530889"/>
    <n v="897300"/>
    <n v="6169064"/>
    <n v="28464525"/>
    <n v="23958341"/>
    <n v="1.1880841415522052"/>
    <x v="1"/>
    <n v="24"/>
    <s v="IPS Pto De Vista Olaya"/>
    <s v="Centro"/>
    <s v="Cumple"/>
    <n v="77"/>
    <n v="5902124"/>
    <n v="204"/>
    <n v="21064495"/>
    <n v="84"/>
    <n v="6169064"/>
    <n v="2395206"/>
    <s v="NO"/>
  </r>
  <r>
    <n v="12"/>
    <x v="35"/>
    <x v="2"/>
    <s v="Diciembre"/>
    <s v="LOREBECR"/>
    <x v="68"/>
    <x v="68"/>
    <n v="33255365"/>
    <n v="0"/>
    <n v="5919364"/>
    <n v="27336001"/>
    <n v="23958341"/>
    <n v="1.1409805461905731"/>
    <x v="1"/>
    <n v="24"/>
    <s v="IPS Pto De Vista Olaya"/>
    <s v="Centro"/>
    <s v="Fluctúa"/>
    <n v="67"/>
    <n v="5793435"/>
    <n v="184"/>
    <n v="19425783"/>
    <n v="74"/>
    <n v="5919364"/>
    <n v="2116783"/>
    <s v="NO"/>
  </r>
  <r>
    <n v="12"/>
    <x v="35"/>
    <x v="2"/>
    <s v="Diciembre"/>
    <s v="RAULMOGA"/>
    <x v="30"/>
    <x v="27"/>
    <n v="30997462"/>
    <n v="1400100"/>
    <n v="5598920"/>
    <n v="23998442"/>
    <n v="23958341"/>
    <n v="1.0016737803339555"/>
    <x v="0"/>
    <n v="24"/>
    <s v="IPS Pto De Vista Olaya"/>
    <s v="Centro"/>
    <s v="No Aplica"/>
    <n v="70"/>
    <n v="5180910"/>
    <n v="156"/>
    <n v="16453526"/>
    <n v="76"/>
    <n v="5466920"/>
    <n v="3896106"/>
    <m/>
  </r>
  <r>
    <n v="12"/>
    <x v="35"/>
    <x v="2"/>
    <s v="Diciembre"/>
    <s v="PAULGOBA"/>
    <x v="35"/>
    <x v="7"/>
    <n v="8603206"/>
    <n v="923100"/>
    <n v="234237"/>
    <n v="7445869"/>
    <m/>
    <m/>
    <x v="1"/>
    <n v="24"/>
    <s v="Ferias Empresariales Antioquia"/>
    <s v="Antioquia"/>
    <s v="Fluctúa"/>
    <n v="15"/>
    <n v="1464396"/>
    <n v="28"/>
    <n v="4451876"/>
    <n v="3"/>
    <n v="234237"/>
    <n v="2452697"/>
    <s v="NO"/>
  </r>
  <r>
    <n v="12"/>
    <x v="35"/>
    <x v="2"/>
    <s v="Diciembre"/>
    <s v="VANELOBE"/>
    <x v="74"/>
    <x v="7"/>
    <n v="22408839"/>
    <n v="0"/>
    <n v="2119195"/>
    <n v="20289644"/>
    <m/>
    <m/>
    <x v="1"/>
    <n v="24"/>
    <s v="IPS Pto De Vista San Diego"/>
    <s v="Antioquia"/>
    <s v="Siempre Cumple"/>
    <n v="34"/>
    <n v="2586383"/>
    <n v="76"/>
    <n v="12602940"/>
    <n v="29"/>
    <n v="2119195"/>
    <n v="5100321"/>
    <s v="NO"/>
  </r>
  <r>
    <n v="12"/>
    <x v="35"/>
    <x v="2"/>
    <s v="Diciembre"/>
    <s v="DIANPAAL"/>
    <x v="12"/>
    <x v="11"/>
    <n v="51248383"/>
    <n v="2753940"/>
    <n v="9300053"/>
    <n v="39194390"/>
    <n v="33541659"/>
    <n v="1.1685286646077941"/>
    <x v="1"/>
    <n v="24"/>
    <s v="IPS Pto De Vista Rionegro"/>
    <s v="Antioquia"/>
    <s v="Cumple"/>
    <n v="77"/>
    <n v="8334856"/>
    <n v="208"/>
    <n v="28076456"/>
    <n v="97"/>
    <n v="9300053"/>
    <n v="5537018"/>
    <s v="NO"/>
  </r>
  <r>
    <n v="12"/>
    <x v="35"/>
    <x v="2"/>
    <s v="Diciembre"/>
    <s v="MARIGOOR"/>
    <x v="77"/>
    <x v="77"/>
    <n v="45264049"/>
    <n v="1864200"/>
    <n v="7249973"/>
    <n v="36149876"/>
    <n v="33541659"/>
    <n v="1.0777605246061324"/>
    <x v="1"/>
    <n v="24"/>
    <s v="IPS Pto De Vista Rionegro"/>
    <s v="Antioquia"/>
    <s v="No Cumple"/>
    <n v="62"/>
    <n v="8164609"/>
    <n v="150"/>
    <n v="22724741"/>
    <n v="79"/>
    <n v="7022255"/>
    <n v="7352444"/>
    <s v="NO"/>
  </r>
  <r>
    <n v="12"/>
    <x v="35"/>
    <x v="2"/>
    <s v="Diciembre"/>
    <s v="MARIOCOC"/>
    <x v="24"/>
    <x v="21"/>
    <n v="37772629"/>
    <n v="2838150"/>
    <n v="3943646"/>
    <n v="30990833"/>
    <n v="17499996"/>
    <n v="1.7709051476354623"/>
    <x v="1"/>
    <n v="24"/>
    <s v="IPS Pto De Vista Rionegro"/>
    <s v="Antioquia"/>
    <s v="Cumple"/>
    <n v="60"/>
    <n v="6467291"/>
    <n v="168"/>
    <n v="21744599"/>
    <n v="42"/>
    <n v="3943646"/>
    <n v="5617093"/>
    <s v="Inicio Vacaciones"/>
  </r>
  <r>
    <n v="12"/>
    <x v="35"/>
    <x v="2"/>
    <s v="Diciembre"/>
    <s v="ALEXLOGR"/>
    <x v="2"/>
    <x v="2"/>
    <n v="47203643"/>
    <n v="1110000"/>
    <n v="10199184"/>
    <n v="35894459"/>
    <n v="33541659"/>
    <n v="1.0701456060953931"/>
    <x v="1"/>
    <n v="24"/>
    <s v="IPS Punto de Vista Bello"/>
    <s v="Antioquia"/>
    <s v="Fluctúa"/>
    <n v="84"/>
    <n v="7467942"/>
    <n v="194"/>
    <n v="23511019"/>
    <n v="102"/>
    <n v="10199184"/>
    <n v="6025498"/>
    <s v="NO"/>
  </r>
  <r>
    <n v="12"/>
    <x v="35"/>
    <x v="2"/>
    <s v="Diciembre"/>
    <s v="YULIRIRE"/>
    <x v="57"/>
    <x v="57"/>
    <n v="17597903"/>
    <n v="397980"/>
    <n v="2470720"/>
    <n v="14729203"/>
    <n v="11666664"/>
    <n v="1.2625034028579207"/>
    <x v="1"/>
    <n v="24"/>
    <s v="IPS Punto de Vista Bello"/>
    <s v="Antioquia"/>
    <s v="Fluctúa"/>
    <n v="31"/>
    <n v="2597723"/>
    <n v="100"/>
    <n v="9987665"/>
    <n v="26"/>
    <n v="2470720"/>
    <n v="2541795"/>
    <s v="Regreso Vacaciones"/>
  </r>
  <r>
    <n v="12"/>
    <x v="35"/>
    <x v="2"/>
    <s v="Diciembre"/>
    <s v="ADRIMOLU"/>
    <x v="1"/>
    <x v="1"/>
    <n v="55591763"/>
    <n v="468000"/>
    <n v="11489685"/>
    <n v="43634078"/>
    <n v="42166659"/>
    <n v="1.0348004569202411"/>
    <x v="1"/>
    <n v="24"/>
    <s v="IPS Pto De Vista Molinos"/>
    <s v="Antioquia"/>
    <s v="Cumple"/>
    <n v="99"/>
    <n v="9769559"/>
    <n v="230"/>
    <n v="28948533"/>
    <n v="109"/>
    <n v="11489685"/>
    <n v="5383986"/>
    <s v="NO"/>
  </r>
  <r>
    <n v="12"/>
    <x v="35"/>
    <x v="2"/>
    <s v="Diciembre"/>
    <s v="ASTRTAAR"/>
    <x v="80"/>
    <x v="80"/>
    <n v="36187958"/>
    <n v="874800"/>
    <n v="8150768"/>
    <n v="27162390"/>
    <n v="42166659"/>
    <n v="0.64416746890001408"/>
    <x v="1"/>
    <n v="24"/>
    <s v="IPS Pto De Vista Molinos"/>
    <s v="Antioquia"/>
    <s v="Fluctúa"/>
    <n v="65"/>
    <n v="6248922"/>
    <n v="126"/>
    <n v="17384394"/>
    <n v="76"/>
    <n v="8150768"/>
    <n v="4403874"/>
    <s v="NO"/>
  </r>
  <r>
    <n v="12"/>
    <x v="35"/>
    <x v="2"/>
    <s v="Diciembre"/>
    <s v="JUANVALN"/>
    <x v="86"/>
    <x v="86"/>
    <n v="4256797"/>
    <n v="324000"/>
    <n v="1367605"/>
    <n v="2565192"/>
    <n v="18333330"/>
    <n v="0.13991958907628893"/>
    <x v="1"/>
    <n v="24"/>
    <s v="IPS Pto De Vista Molinos"/>
    <s v="Antioquia"/>
    <s v="Cumple"/>
    <n v="6"/>
    <n v="572615"/>
    <n v="14"/>
    <n v="1330116"/>
    <n v="11"/>
    <n v="1367605"/>
    <n v="986461"/>
    <s v="NO"/>
  </r>
  <r>
    <n v="12"/>
    <x v="35"/>
    <x v="2"/>
    <s v="Diciembre"/>
    <s v="LILACARA"/>
    <x v="19"/>
    <x v="17"/>
    <n v="55321547"/>
    <n v="1000200"/>
    <n v="9316646"/>
    <n v="45004701"/>
    <n v="40333326"/>
    <n v="1.1158192359340759"/>
    <x v="1"/>
    <n v="24"/>
    <s v="IPS Pto De Vista Molinos"/>
    <s v="Antioquia"/>
    <s v="Cumple"/>
    <n v="89"/>
    <n v="9282893"/>
    <n v="221"/>
    <n v="29399024"/>
    <n v="100"/>
    <n v="9316646"/>
    <n v="7322984"/>
    <s v="NO"/>
  </r>
  <r>
    <n v="12"/>
    <x v="35"/>
    <x v="2"/>
    <s v="Diciembre"/>
    <s v="LIZEGASA"/>
    <x v="81"/>
    <x v="81"/>
    <n v="40458746"/>
    <n v="442200"/>
    <n v="8804148"/>
    <n v="31212398"/>
    <n v="42166659"/>
    <n v="0.74021510691658066"/>
    <x v="1"/>
    <n v="24"/>
    <s v="IPS Punto de Vista Mayorca"/>
    <s v="Antioquia"/>
    <s v="Cumple"/>
    <n v="70"/>
    <n v="6912233"/>
    <n v="156"/>
    <n v="18448986"/>
    <n v="96"/>
    <n v="8804148"/>
    <n v="6293379"/>
    <s v="NO"/>
  </r>
  <r>
    <n v="12"/>
    <x v="35"/>
    <x v="2"/>
    <s v="Diciembre"/>
    <s v="SUANHECO"/>
    <x v="58"/>
    <x v="58"/>
    <n v="68336861"/>
    <n v="2183100"/>
    <n v="14180308"/>
    <n v="51973453"/>
    <n v="42166659"/>
    <n v="1.2325722320091805"/>
    <x v="1"/>
    <n v="24"/>
    <s v="IPS Pto De Vista Molinos"/>
    <s v="Antioquia"/>
    <s v="Fluctúa"/>
    <n v="113"/>
    <n v="12064419"/>
    <n v="242"/>
    <n v="32029819"/>
    <n v="138"/>
    <n v="14180308"/>
    <n v="10062315"/>
    <s v="NO"/>
  </r>
  <r>
    <n v="12"/>
    <x v="35"/>
    <x v="2"/>
    <s v="Diciembre"/>
    <s v="ZULYARGA"/>
    <x v="34"/>
    <x v="31"/>
    <n v="40417586"/>
    <n v="923100"/>
    <n v="8515838"/>
    <n v="30978648"/>
    <n v="25666662"/>
    <n v="1.206960531135681"/>
    <x v="1"/>
    <n v="24"/>
    <s v="IPS Pto De Vista Molinos"/>
    <s v="Antioquia"/>
    <n v="0"/>
    <n v="72"/>
    <n v="7087420"/>
    <n v="174"/>
    <n v="17966957"/>
    <n v="88"/>
    <n v="8515838"/>
    <n v="6847371"/>
    <s v="Inicio Vacaciones"/>
  </r>
  <r>
    <n v="12"/>
    <x v="35"/>
    <x v="2"/>
    <s v="Diciembre"/>
    <s v="BIBIBECA"/>
    <x v="6"/>
    <x v="6"/>
    <n v="58990595"/>
    <n v="604200"/>
    <n v="13771999"/>
    <n v="44614396"/>
    <n v="40250000"/>
    <n v="1.1084321987577639"/>
    <x v="1"/>
    <n v="24"/>
    <s v="IPS Pto De Vista Centro"/>
    <s v="Antioquia"/>
    <s v="Fluctúa"/>
    <n v="106"/>
    <n v="9092984"/>
    <n v="256"/>
    <n v="30009479"/>
    <n v="135"/>
    <n v="13771999"/>
    <n v="6116133"/>
    <s v="NO"/>
  </r>
  <r>
    <n v="12"/>
    <x v="35"/>
    <x v="2"/>
    <s v="Diciembre"/>
    <s v="CLAUBLAR"/>
    <x v="9"/>
    <x v="8"/>
    <n v="63018874"/>
    <n v="2784900"/>
    <n v="14091578"/>
    <n v="46142396"/>
    <n v="40250000"/>
    <n v="1.1463949316770186"/>
    <x v="1"/>
    <n v="24"/>
    <s v="IPS Pto De Vista Centro"/>
    <s v="Antioquia"/>
    <s v="Fluctúa"/>
    <n v="92"/>
    <n v="9040083"/>
    <n v="214"/>
    <n v="28888322"/>
    <n v="138"/>
    <n v="14091578"/>
    <n v="10998891"/>
    <s v="NO"/>
  </r>
  <r>
    <n v="12"/>
    <x v="35"/>
    <x v="2"/>
    <s v="Diciembre"/>
    <s v="HERIRORO"/>
    <x v="52"/>
    <x v="52"/>
    <n v="54225241"/>
    <n v="468000"/>
    <n v="9881073"/>
    <n v="43876168"/>
    <n v="40250000"/>
    <n v="1.0900911304347827"/>
    <x v="1"/>
    <n v="24"/>
    <s v="IPS Pto De Vista Centro"/>
    <s v="Antioquia"/>
    <s v="Siempre Cumple"/>
    <n v="112"/>
    <n v="9556159"/>
    <n v="244"/>
    <n v="27876494"/>
    <n v="109"/>
    <n v="9881073"/>
    <n v="6911515"/>
    <s v="NO"/>
  </r>
  <r>
    <n v="12"/>
    <x v="35"/>
    <x v="2"/>
    <s v="Diciembre"/>
    <s v="MARGGAPA"/>
    <x v="22"/>
    <x v="20"/>
    <n v="59708409"/>
    <n v="234000"/>
    <n v="11290445"/>
    <n v="48183964"/>
    <n v="40250000"/>
    <n v="1.1971171180124223"/>
    <x v="1"/>
    <n v="24"/>
    <s v="IPS Pto De Vista Centro"/>
    <s v="Antioquia"/>
    <s v="Fluctúa"/>
    <n v="106"/>
    <n v="11076765"/>
    <n v="224"/>
    <n v="32542023"/>
    <n v="123"/>
    <n v="11290445"/>
    <n v="4799176"/>
    <s v="NO"/>
  </r>
  <r>
    <n v="12"/>
    <x v="35"/>
    <x v="2"/>
    <s v="Diciembre"/>
    <s v="MARIHIRO"/>
    <x v="76"/>
    <x v="76"/>
    <n v="55743984"/>
    <n v="468000"/>
    <n v="12035486"/>
    <n v="43240498"/>
    <n v="40250000"/>
    <n v="1.0742980869565217"/>
    <x v="1"/>
    <n v="24"/>
    <s v="IPS Pto De Vista Centro"/>
    <s v="Antioquia"/>
    <s v="No Cumple"/>
    <n v="90"/>
    <n v="9382932"/>
    <n v="225"/>
    <n v="28722750"/>
    <n v="130"/>
    <n v="12035486"/>
    <n v="5602816"/>
    <s v="NO"/>
  </r>
  <r>
    <n v="12"/>
    <x v="35"/>
    <x v="2"/>
    <s v="Diciembre"/>
    <s v="SANDCAAC"/>
    <x v="75"/>
    <x v="75"/>
    <n v="55493822"/>
    <n v="1740000"/>
    <n v="9708469"/>
    <n v="44045353"/>
    <n v="40250000"/>
    <n v="1.0942944844720497"/>
    <x v="1"/>
    <n v="24"/>
    <s v="IPS Pto De Vista Centro"/>
    <s v="Antioquia"/>
    <s v="Fluctúa"/>
    <n v="92"/>
    <n v="8645283"/>
    <n v="203"/>
    <n v="28291438"/>
    <n v="91"/>
    <n v="9708469"/>
    <n v="8848632"/>
    <s v="NO"/>
  </r>
  <r>
    <n v="12"/>
    <x v="35"/>
    <x v="2"/>
    <s v="Diciembre"/>
    <s v="YENISIGI"/>
    <x v="64"/>
    <x v="64"/>
    <n v="54643726"/>
    <n v="0"/>
    <n v="11096507"/>
    <n v="43547219"/>
    <n v="40250000"/>
    <n v="1.0819184844720497"/>
    <x v="1"/>
    <n v="24"/>
    <s v="IPS Pto De Vista Centro"/>
    <s v="Antioquia"/>
    <s v="Fluctúa"/>
    <n v="98"/>
    <n v="9689625"/>
    <n v="224"/>
    <n v="27546292"/>
    <n v="113"/>
    <n v="11096507"/>
    <n v="6311302"/>
    <s v="NO"/>
  </r>
  <r>
    <n v="12"/>
    <x v="35"/>
    <x v="2"/>
    <s v="Diciembre"/>
    <s v="NATAPIDU"/>
    <x v="28"/>
    <x v="25"/>
    <n v="54539056"/>
    <n v="596970"/>
    <n v="5123637"/>
    <n v="48818449"/>
    <n v="38333341"/>
    <n v="1.2735245018168388"/>
    <x v="1"/>
    <n v="24"/>
    <s v="IPS Pto De Vista Industriales"/>
    <s v="Antioquia"/>
    <s v="Cumple"/>
    <n v="50"/>
    <n v="9180776"/>
    <n v="165"/>
    <n v="32081925"/>
    <n v="63"/>
    <n v="5123637"/>
    <n v="8152718"/>
    <s v="NO"/>
  </r>
  <r>
    <n v="12"/>
    <x v="35"/>
    <x v="2"/>
    <s v="Diciembre"/>
    <s v="ALVAOSOS"/>
    <x v="36"/>
    <x v="37"/>
    <n v="52315252"/>
    <n v="0"/>
    <n v="9084327"/>
    <n v="43230925"/>
    <n v="42166659"/>
    <n v="1.0252395144704256"/>
    <x v="1"/>
    <n v="24"/>
    <s v="IPS Pto De Vista Punto Clave"/>
    <s v="Antioquia"/>
    <s v="Siempre Cumple"/>
    <n v="64"/>
    <n v="6045710"/>
    <n v="187"/>
    <n v="26609763"/>
    <n v="89"/>
    <n v="9084327"/>
    <n v="10575452"/>
    <s v="NO"/>
  </r>
  <r>
    <n v="12"/>
    <x v="35"/>
    <x v="2"/>
    <s v="Diciembre"/>
    <s v="CARORAMN"/>
    <x v="61"/>
    <x v="61"/>
    <n v="34998030"/>
    <n v="954000"/>
    <n v="5982242"/>
    <n v="28061788"/>
    <n v="27499995"/>
    <n v="1.0204288400779709"/>
    <x v="1"/>
    <n v="24"/>
    <s v="IPS Pto De Vista Punto Clave"/>
    <s v="Antioquia"/>
    <s v="No Cumple"/>
    <n v="57"/>
    <n v="5101688"/>
    <n v="138"/>
    <n v="17538848"/>
    <n v="58"/>
    <n v="5982242"/>
    <n v="6375252"/>
    <s v="Inicio Vacaciones"/>
  </r>
  <r>
    <n v="12"/>
    <x v="35"/>
    <x v="2"/>
    <s v="Diciembre"/>
    <s v="CINDGACU"/>
    <x v="55"/>
    <x v="55"/>
    <n v="33988800"/>
    <n v="0"/>
    <n v="11153853"/>
    <n v="22834947"/>
    <n v="36541659"/>
    <n v="0.62490175938645809"/>
    <x v="1"/>
    <n v="24"/>
    <s v="IPS Pto De Vista San Diego"/>
    <s v="Antioquia"/>
    <s v="Siempre Cumple"/>
    <n v="61"/>
    <n v="5172985"/>
    <n v="154"/>
    <n v="14120841"/>
    <n v="115"/>
    <n v="11153853"/>
    <n v="3541121"/>
    <s v="NO"/>
  </r>
  <r>
    <n v="12"/>
    <x v="35"/>
    <x v="2"/>
    <s v="Diciembre"/>
    <s v="GENNHEPO"/>
    <x v="16"/>
    <x v="14"/>
    <n v="57357192"/>
    <n v="1840100"/>
    <n v="9444659"/>
    <n v="46072433"/>
    <n v="42166659"/>
    <n v="1.0926270682246844"/>
    <x v="1"/>
    <n v="24"/>
    <s v="IPS Pto De Vista Punto Clave"/>
    <s v="Antioquia"/>
    <s v="Fluctúa"/>
    <n v="99"/>
    <n v="9164230"/>
    <n v="269"/>
    <n v="30459189"/>
    <n v="91"/>
    <n v="9444659"/>
    <n v="8289114"/>
    <s v="NO"/>
  </r>
  <r>
    <n v="12"/>
    <x v="35"/>
    <x v="2"/>
    <s v="Diciembre"/>
    <s v="LEIDGOVI"/>
    <x v="39"/>
    <x v="39"/>
    <n v="32191938"/>
    <n v="942000"/>
    <n v="8908227"/>
    <n v="22341711"/>
    <n v="42166659"/>
    <n v="0.52984304495169987"/>
    <x v="1"/>
    <n v="24"/>
    <s v="IPS Pto De Vista Punto Clave"/>
    <s v="Antioquia"/>
    <s v="Fluctúa"/>
    <n v="52"/>
    <n v="4395350"/>
    <n v="122"/>
    <n v="12769597"/>
    <n v="81"/>
    <n v="8908227"/>
    <n v="6118764"/>
    <s v="NO"/>
  </r>
  <r>
    <n v="12"/>
    <x v="35"/>
    <x v="2"/>
    <s v="Diciembre"/>
    <s v="LEIDPAPA"/>
    <x v="72"/>
    <x v="72"/>
    <n v="57406600"/>
    <n v="936000"/>
    <n v="12649356"/>
    <n v="43821244"/>
    <n v="41833327"/>
    <n v="1.0475199354811058"/>
    <x v="1"/>
    <n v="24"/>
    <s v="IPS Pto De Vista Punto Clave"/>
    <s v="Antioquia"/>
    <s v="Siempre Cumple"/>
    <n v="96"/>
    <n v="8716244"/>
    <n v="258"/>
    <n v="29027192"/>
    <n v="124"/>
    <n v="12649356"/>
    <n v="7013808"/>
    <s v="NO"/>
  </r>
  <r>
    <n v="12"/>
    <x v="35"/>
    <x v="2"/>
    <s v="Diciembre"/>
    <s v="YENYSUPE"/>
    <x v="51"/>
    <x v="51"/>
    <n v="59257538"/>
    <n v="840000"/>
    <n v="12782673"/>
    <n v="45634865"/>
    <n v="42166659"/>
    <n v="1.0822499596185697"/>
    <x v="1"/>
    <n v="24"/>
    <s v="IPS Pto De Vista Punto Clave"/>
    <s v="Antioquia"/>
    <s v="Cumple"/>
    <n v="99"/>
    <n v="9803327"/>
    <n v="226"/>
    <n v="29464117"/>
    <n v="117"/>
    <n v="12782673"/>
    <n v="7207421"/>
    <s v="NO"/>
  </r>
  <r>
    <n v="12"/>
    <x v="35"/>
    <x v="2"/>
    <s v="Diciembre"/>
    <s v="YURAUSVE"/>
    <x v="56"/>
    <x v="56"/>
    <n v="58193090"/>
    <n v="640000"/>
    <n v="11530022"/>
    <n v="46023068"/>
    <n v="42166659"/>
    <n v="1.0914563565493771"/>
    <x v="1"/>
    <n v="24"/>
    <s v="IPS Pto De Vista Punto Clave"/>
    <s v="Antioquia"/>
    <n v="0"/>
    <n v="83"/>
    <n v="7742076"/>
    <n v="239"/>
    <n v="31194770"/>
    <n v="110"/>
    <n v="11124504"/>
    <n v="8131740"/>
    <s v="NO"/>
  </r>
  <r>
    <n v="12"/>
    <x v="35"/>
    <x v="2"/>
    <s v="Diciembre"/>
    <s v="ANAMLOBE"/>
    <x v="3"/>
    <x v="3"/>
    <n v="70727093"/>
    <n v="2804100"/>
    <n v="11439189"/>
    <n v="56483804"/>
    <n v="42166659"/>
    <n v="1.3395370973071403"/>
    <x v="1"/>
    <n v="24"/>
    <s v="IPS Pto De Vista Unicentro"/>
    <s v="Antioquia"/>
    <s v="Siempre Cumple"/>
    <n v="83"/>
    <n v="9244184"/>
    <n v="224"/>
    <n v="41430369"/>
    <n v="113"/>
    <n v="11193589"/>
    <n v="8858951"/>
    <s v="NO"/>
  </r>
  <r>
    <n v="12"/>
    <x v="35"/>
    <x v="2"/>
    <s v="Diciembre"/>
    <s v="ELIZVESU"/>
    <x v="15"/>
    <x v="13"/>
    <n v="18734883"/>
    <n v="567000"/>
    <n v="4143904"/>
    <n v="14023979"/>
    <n v="27499995"/>
    <n v="0.50996296544781194"/>
    <x v="1"/>
    <n v="24"/>
    <s v="IPS Pto De Vista Unicentro"/>
    <s v="Antioquia"/>
    <s v="Fluctúa"/>
    <n v="31"/>
    <n v="2633550"/>
    <n v="82"/>
    <n v="10022223"/>
    <n v="38"/>
    <n v="4143904"/>
    <n v="1935206"/>
    <s v="Regreso Vacaciones"/>
  </r>
  <r>
    <n v="12"/>
    <x v="35"/>
    <x v="2"/>
    <s v="Diciembre"/>
    <s v="VIVIVAZA"/>
    <x v="33"/>
    <x v="30"/>
    <n v="77488844"/>
    <n v="1733100"/>
    <n v="11378236"/>
    <n v="64377508"/>
    <n v="42166659"/>
    <n v="1.5267395977471205"/>
    <x v="1"/>
    <n v="24"/>
    <s v="IPS Pto De Vista Unicentro"/>
    <s v="Antioquia"/>
    <s v="Cumple"/>
    <n v="104"/>
    <n v="11760230"/>
    <n v="247"/>
    <n v="45203064"/>
    <n v="110"/>
    <n v="11222036"/>
    <n v="9303514"/>
    <s v="NO"/>
  </r>
  <r>
    <n v="12"/>
    <x v="35"/>
    <x v="2"/>
    <s v="Diciembre"/>
    <s v="ANGEGAAR"/>
    <x v="4"/>
    <x v="4"/>
    <n v="21887657"/>
    <n v="0"/>
    <n v="5058049"/>
    <n v="16829608"/>
    <n v="15270000"/>
    <n v="1.1021354289456451"/>
    <x v="1"/>
    <n v="24"/>
    <s v="IPS Pto De Vista San Diego"/>
    <s v="Antioquia"/>
    <s v="Fluctúa"/>
    <n v="33"/>
    <n v="3817650"/>
    <n v="73"/>
    <n v="10199258"/>
    <n v="49"/>
    <n v="5058049"/>
    <n v="2812700"/>
    <s v="NO"/>
  </r>
  <r>
    <n v="12"/>
    <x v="35"/>
    <x v="2"/>
    <s v="Diciembre"/>
    <s v="ERIKSAVA"/>
    <x v="44"/>
    <x v="44"/>
    <n v="45912025"/>
    <n v="945000"/>
    <n v="7202532"/>
    <n v="37764493"/>
    <n v="34500000"/>
    <n v="1.0946229855072465"/>
    <x v="1"/>
    <n v="24"/>
    <s v="IPS Pto De Vista San Diego"/>
    <s v="Antioquia"/>
    <s v="No Cumple"/>
    <n v="68"/>
    <n v="7412284"/>
    <n v="151"/>
    <n v="24242479"/>
    <n v="72"/>
    <n v="7202532"/>
    <n v="7054730"/>
    <s v="NO"/>
  </r>
  <r>
    <n v="12"/>
    <x v="35"/>
    <x v="2"/>
    <s v="Diciembre"/>
    <s v="MARIMASA"/>
    <x v="23"/>
    <x v="34"/>
    <n v="48129831"/>
    <n v="221100"/>
    <n v="7028462"/>
    <n v="40880269"/>
    <n v="34500000"/>
    <n v="1.1849353333333332"/>
    <x v="1"/>
    <n v="24"/>
    <s v="IPS Pto De Vista San Diego"/>
    <s v="Antioquia"/>
    <s v="Siempre Cumple"/>
    <n v="78"/>
    <n v="9170437"/>
    <n v="176"/>
    <n v="26087795"/>
    <n v="70"/>
    <n v="7028462"/>
    <n v="5843137"/>
    <s v="NO"/>
  </r>
  <r>
    <n v="12"/>
    <x v="35"/>
    <x v="2"/>
    <s v="Diciembre"/>
    <s v="NATAVAMO"/>
    <x v="63"/>
    <x v="63"/>
    <n v="38804047"/>
    <n v="630000"/>
    <n v="7658700"/>
    <n v="30515347"/>
    <n v="36708327"/>
    <n v="0.83129222968946526"/>
    <x v="1"/>
    <n v="24"/>
    <s v="IPS Pto De Vista Molinos"/>
    <s v="Antioquia"/>
    <s v="Siempre Cumple"/>
    <n v="66"/>
    <n v="5827351"/>
    <n v="154"/>
    <n v="20316465"/>
    <n v="76"/>
    <n v="7658700"/>
    <n v="5001531"/>
    <s v="NO"/>
  </r>
  <r>
    <n v="12"/>
    <x v="35"/>
    <x v="2"/>
    <s v="Diciembre"/>
    <s v="NOREARMA"/>
    <x v="66"/>
    <x v="66"/>
    <n v="43438226"/>
    <n v="468000"/>
    <n v="9460802"/>
    <n v="33509424"/>
    <n v="30000000"/>
    <n v="1.1169808000000001"/>
    <x v="1"/>
    <n v="24"/>
    <s v="IPS Pto De Vista San Diego"/>
    <s v="Antioquia"/>
    <s v="Fluctúa"/>
    <n v="61"/>
    <n v="5693145"/>
    <n v="146"/>
    <n v="23147017"/>
    <n v="94"/>
    <n v="9460802"/>
    <n v="5137262"/>
    <s v="Inicio Vacaciones"/>
  </r>
  <r>
    <n v="12"/>
    <x v="35"/>
    <x v="2"/>
    <s v="Diciembre"/>
    <s v="VIVIRUAL"/>
    <x v="82"/>
    <x v="82"/>
    <n v="27067045"/>
    <n v="954000"/>
    <n v="5162356"/>
    <n v="20950689"/>
    <n v="34500000"/>
    <n v="0.60726634782608691"/>
    <x v="1"/>
    <n v="24"/>
    <s v="IPS Pto De Vista San Diego"/>
    <s v="Antioquia"/>
    <s v="Fluctúa"/>
    <n v="47"/>
    <n v="5644413"/>
    <n v="98"/>
    <n v="11842229"/>
    <n v="50"/>
    <n v="5162356"/>
    <n v="4418047"/>
    <s v="NO"/>
  </r>
  <r>
    <n v="12"/>
    <x v="35"/>
    <x v="2"/>
    <s v="Diciembre"/>
    <s v="ANDRSAZA"/>
    <x v="45"/>
    <x v="45"/>
    <n v="59161100"/>
    <n v="842400"/>
    <n v="8602197"/>
    <n v="49716503"/>
    <n v="26833341"/>
    <n v="1.8527884023089036"/>
    <x v="1"/>
    <n v="24"/>
    <s v="IPS Pto De Vista Santa Bárbara"/>
    <s v="Centro"/>
    <s v="Cumple"/>
    <n v="84"/>
    <n v="9084178"/>
    <n v="232"/>
    <n v="36126522"/>
    <n v="99"/>
    <n v="8602197"/>
    <n v="5348203"/>
    <s v="NO"/>
  </r>
  <r>
    <n v="12"/>
    <x v="35"/>
    <x v="2"/>
    <s v="Diciembre"/>
    <s v="CHRIVERO"/>
    <x v="83"/>
    <x v="83"/>
    <n v="26067777"/>
    <n v="1175400"/>
    <n v="5010298"/>
    <n v="19882079"/>
    <n v="26833341"/>
    <n v="0.74094683177916609"/>
    <x v="1"/>
    <n v="24"/>
    <s v="IPS Pto De Vista Santa Bárbara"/>
    <s v="Centro"/>
    <s v="Fluctúa"/>
    <n v="40"/>
    <n v="4359138"/>
    <n v="118"/>
    <n v="13043550"/>
    <n v="66"/>
    <n v="5010298"/>
    <n v="3654791"/>
    <s v="NO"/>
  </r>
  <r>
    <n v="12"/>
    <x v="35"/>
    <x v="2"/>
    <s v="Diciembre"/>
    <s v="ISABMOGO"/>
    <x v="17"/>
    <x v="15"/>
    <n v="33952545"/>
    <n v="1577400"/>
    <n v="4475449"/>
    <n v="27899696"/>
    <n v="26833341"/>
    <n v="1.039739926533934"/>
    <x v="1"/>
    <n v="24"/>
    <s v="IPS Pto De Vista Santa Bárbara"/>
    <s v="Centro"/>
    <s v="No Cumple"/>
    <n v="66"/>
    <n v="6485247"/>
    <n v="176"/>
    <n v="19880645"/>
    <n v="59"/>
    <n v="4475449"/>
    <n v="3111204"/>
    <s v="NO"/>
  </r>
  <r>
    <n v="12"/>
    <x v="35"/>
    <x v="2"/>
    <s v="Diciembre"/>
    <s v="CAMIPUHE"/>
    <x v="53"/>
    <x v="53"/>
    <n v="34709705"/>
    <n v="0"/>
    <n v="2765576"/>
    <n v="31944129"/>
    <n v="28750000"/>
    <n v="1.1111001391304347"/>
    <x v="1"/>
    <n v="24"/>
    <s v="IPS Pto De Vista SSura Clle100"/>
    <s v="Centro"/>
    <s v="Cumple"/>
    <n v="44"/>
    <n v="6407330"/>
    <n v="125"/>
    <n v="22087353"/>
    <n v="38"/>
    <n v="2765576"/>
    <n v="3449446"/>
    <s v="NO"/>
  </r>
  <r>
    <n v="12"/>
    <x v="35"/>
    <x v="2"/>
    <s v="Diciembre"/>
    <s v="ROCIFASA"/>
    <x v="31"/>
    <x v="28"/>
    <n v="55036374"/>
    <n v="4932540"/>
    <n v="5842151"/>
    <n v="44261683"/>
    <n v="33541659"/>
    <n v="1.3196032730521767"/>
    <x v="1"/>
    <n v="24"/>
    <s v="Optica Salud Sura Chipichape"/>
    <s v="Occidente"/>
    <s v="Cumple"/>
    <n v="75"/>
    <n v="12186725"/>
    <n v="212"/>
    <n v="28368798"/>
    <n v="63"/>
    <n v="5842151"/>
    <n v="8638700"/>
    <s v="NO"/>
  </r>
  <r>
    <n v="12"/>
    <x v="35"/>
    <x v="2"/>
    <s v="Diciembre"/>
    <s v="TATIRITR"/>
    <x v="60"/>
    <x v="60"/>
    <n v="44311120"/>
    <n v="572400"/>
    <n v="8368595"/>
    <n v="35370125"/>
    <n v="28958333"/>
    <n v="1.2214144025486551"/>
    <x v="1"/>
    <n v="24"/>
    <s v="Punto de Vista Cali Norte"/>
    <s v="Occidente"/>
    <s v="No Cumple"/>
    <n v="59"/>
    <n v="6902023"/>
    <n v="182"/>
    <n v="26007210"/>
    <n v="84"/>
    <n v="8368595"/>
    <n v="3033292"/>
    <s v="NO"/>
  </r>
  <r>
    <n v="12"/>
    <x v="35"/>
    <x v="2"/>
    <s v="Diciembre"/>
    <s v="HEIDVAVI"/>
    <x v="73"/>
    <x v="73"/>
    <n v="23631197"/>
    <n v="0"/>
    <n v="4220216"/>
    <n v="19410981"/>
    <n v="17333328"/>
    <n v="1.1198646330352717"/>
    <x v="1"/>
    <n v="24"/>
    <s v="Punto de Vista Cali Norte"/>
    <s v="Occidente"/>
    <s v="Siempre Cumple"/>
    <n v="45"/>
    <n v="3960638"/>
    <n v="116"/>
    <n v="9955243"/>
    <n v="50"/>
    <n v="4220216"/>
    <n v="5495100"/>
    <s v="NO"/>
  </r>
  <r>
    <n v="12"/>
    <x v="35"/>
    <x v="2"/>
    <s v="Diciembre"/>
    <s v="DANYLESE"/>
    <x v="79"/>
    <x v="79"/>
    <n v="43554868"/>
    <n v="221100"/>
    <n v="8859349"/>
    <n v="34474419"/>
    <n v="28750000"/>
    <n v="1.1991102260869566"/>
    <x v="1"/>
    <n v="24"/>
    <s v="Punto de Vista Cali Norte"/>
    <s v="Occidente"/>
    <s v="Cumple"/>
    <n v="69"/>
    <n v="7461921"/>
    <n v="192"/>
    <n v="23940195"/>
    <n v="99"/>
    <n v="8859349"/>
    <n v="3293403"/>
    <s v="NO"/>
  </r>
  <r>
    <n v="12"/>
    <x v="35"/>
    <x v="2"/>
    <s v="Diciembre"/>
    <s v="JOSEVAPR"/>
    <x v="87"/>
    <x v="87"/>
    <n v="48979386"/>
    <n v="0"/>
    <n v="11890657"/>
    <n v="37088729"/>
    <n v="28958333"/>
    <n v="1.2807618794907842"/>
    <x v="1"/>
    <n v="24"/>
    <s v="Punto de Vista Cali Norte"/>
    <s v="Occidente"/>
    <s v="Fluctúa"/>
    <n v="72"/>
    <n v="6776423"/>
    <n v="218"/>
    <n v="26457102"/>
    <n v="125"/>
    <n v="11890657"/>
    <n v="3855204"/>
    <s v="NO"/>
  </r>
  <r>
    <n v="12"/>
    <x v="35"/>
    <x v="2"/>
    <s v="Diciembre"/>
    <s v="LEIDCAOR"/>
    <x v="71"/>
    <x v="71"/>
    <n v="35014143"/>
    <n v="636000"/>
    <n v="7029590"/>
    <n v="27348553"/>
    <n v="24725000"/>
    <n v="1.1061093225480283"/>
    <x v="1"/>
    <n v="24"/>
    <s v="IPS Punto de Vista Mayorca"/>
    <s v="Antioquia"/>
    <s v="Fluctúa"/>
    <n v="60"/>
    <n v="5563175"/>
    <n v="142"/>
    <n v="18236936"/>
    <n v="68"/>
    <n v="7029590"/>
    <n v="4184442"/>
    <s v="NO"/>
  </r>
  <r>
    <n v="12"/>
    <x v="35"/>
    <x v="2"/>
    <s v="Diciembre"/>
    <s v="LUZNHEGO"/>
    <x v="21"/>
    <x v="19"/>
    <n v="33075066"/>
    <n v="0"/>
    <n v="6336137"/>
    <n v="26738929"/>
    <n v="24725000"/>
    <n v="1.0814531445904954"/>
    <x v="1"/>
    <n v="24"/>
    <s v="IPS Punto de Vista Mayorca"/>
    <s v="Antioquia"/>
    <s v="Siempre Cumple"/>
    <n v="53"/>
    <n v="7046705"/>
    <n v="134"/>
    <n v="18232559"/>
    <n v="73"/>
    <n v="6336137"/>
    <n v="1459665"/>
    <s v="Inicio Vacaciones"/>
  </r>
  <r>
    <n v="12"/>
    <x v="35"/>
    <x v="2"/>
    <s v="Diciembre"/>
    <s v="MAKEBEVA"/>
    <x v="85"/>
    <x v="85"/>
    <n v="28245251"/>
    <n v="0"/>
    <n v="6379257"/>
    <n v="21865994"/>
    <n v="24725000"/>
    <n v="0.88436780586450958"/>
    <x v="1"/>
    <n v="24"/>
    <s v="IPS Punto de Vista Mayorca"/>
    <s v="Antioquia"/>
    <s v="Cumple"/>
    <n v="47"/>
    <n v="4111683"/>
    <n v="114"/>
    <n v="14278973"/>
    <n v="65"/>
    <n v="6379257"/>
    <n v="3475338"/>
    <s v="NO"/>
  </r>
  <r>
    <n v="12"/>
    <x v="35"/>
    <x v="2"/>
    <s v="Diciembre"/>
    <s v="MILEQUOL"/>
    <x v="78"/>
    <x v="78"/>
    <n v="33015518"/>
    <n v="884400"/>
    <n v="5905253"/>
    <n v="26225865"/>
    <n v="24725000"/>
    <n v="1.0607023255813954"/>
    <x v="1"/>
    <n v="24"/>
    <s v="IPS Punto de Vista Mayorca"/>
    <s v="Antioquia"/>
    <s v="Siempre Cumple"/>
    <n v="58"/>
    <n v="5925398"/>
    <n v="126"/>
    <n v="16269597"/>
    <n v="57"/>
    <n v="5905253"/>
    <n v="4915270"/>
    <s v="NO"/>
  </r>
  <r>
    <n v="12"/>
    <x v="35"/>
    <x v="2"/>
    <s v="Diciembre"/>
    <s v="ANGISEBR"/>
    <x v="70"/>
    <x v="70"/>
    <n v="35652242"/>
    <n v="0"/>
    <n v="7390372"/>
    <n v="28261870"/>
    <n v="24916659"/>
    <n v="1.1342560011757596"/>
    <x v="1"/>
    <n v="24"/>
    <s v="Punto de Vista Tequendama"/>
    <s v="Occidente"/>
    <s v="No Cumple"/>
    <n v="58"/>
    <n v="5294607"/>
    <n v="180"/>
    <n v="20967569"/>
    <n v="80"/>
    <n v="7390372"/>
    <n v="1999694"/>
    <s v="NO"/>
  </r>
  <r>
    <n v="12"/>
    <x v="35"/>
    <x v="2"/>
    <s v="Diciembre"/>
    <s v="AURACAMO"/>
    <x v="84"/>
    <x v="84"/>
    <n v="36319885"/>
    <n v="0"/>
    <n v="9501554"/>
    <n v="26818331"/>
    <n v="24916659"/>
    <n v="1.0763213077644158"/>
    <x v="1"/>
    <n v="24"/>
    <s v="Punto de Vista Tequendama"/>
    <s v="Occidente"/>
    <s v="Siempre Cumple"/>
    <n v="71"/>
    <n v="6457898"/>
    <n v="182"/>
    <n v="18322879"/>
    <n v="94"/>
    <n v="9501554"/>
    <n v="2037554"/>
    <s v="NO"/>
  </r>
  <r>
    <n v="12"/>
    <x v="35"/>
    <x v="2"/>
    <s v="Diciembre"/>
    <s v="PAOLPACA"/>
    <x v="47"/>
    <x v="47"/>
    <n v="24433870"/>
    <n v="0"/>
    <n v="2437448"/>
    <n v="21996422"/>
    <n v="7583331"/>
    <n v="2.9006279694239905"/>
    <x v="1"/>
    <n v="24"/>
    <s v="Punto de Vista Tequendama"/>
    <s v="Occidente"/>
    <s v="Siempre Cumple"/>
    <n v="46"/>
    <n v="4902893"/>
    <n v="124"/>
    <n v="15196602"/>
    <n v="29"/>
    <n v="2437448"/>
    <n v="1896927"/>
    <s v="NO"/>
  </r>
  <r>
    <n v="12"/>
    <x v="35"/>
    <x v="2"/>
    <s v="Diciembre"/>
    <s v="DIANQUME"/>
    <x v="14"/>
    <x v="7"/>
    <n v="1229515"/>
    <n v="0"/>
    <n v="0"/>
    <n v="1229515"/>
    <m/>
    <m/>
    <x v="1"/>
    <n v="24"/>
    <s v="IPS Pto De Vista Molinos"/>
    <s v="Antioquia"/>
    <s v="Cumple"/>
    <n v="0"/>
    <n v="0"/>
    <n v="2"/>
    <n v="284215"/>
    <n v="0"/>
    <n v="0"/>
    <n v="945300"/>
    <m/>
  </r>
  <r>
    <n v="12"/>
    <x v="35"/>
    <x v="2"/>
    <s v="Diciembre"/>
    <s v="ALEJIRRA"/>
    <x v="37"/>
    <x v="7"/>
    <n v="98000"/>
    <n v="0"/>
    <n v="98000"/>
    <n v="0"/>
    <m/>
    <m/>
    <x v="0"/>
    <n v="24"/>
    <s v=""/>
    <s v=""/>
    <s v="No Aplica"/>
    <n v="0"/>
    <n v="0"/>
    <n v="0"/>
    <n v="0"/>
    <n v="0"/>
    <n v="0"/>
    <n v="98000"/>
    <m/>
  </r>
  <r>
    <n v="12"/>
    <x v="35"/>
    <x v="2"/>
    <s v="Diciembre"/>
    <s v="ALEJVAVA"/>
    <x v="37"/>
    <x v="7"/>
    <n v="196000"/>
    <n v="0"/>
    <n v="196000"/>
    <n v="0"/>
    <m/>
    <m/>
    <x v="0"/>
    <n v="24"/>
    <s v=""/>
    <s v=""/>
    <s v="No Aplica"/>
    <n v="0"/>
    <n v="0"/>
    <n v="0"/>
    <n v="0"/>
    <n v="0"/>
    <n v="0"/>
    <n v="196000"/>
    <m/>
  </r>
  <r>
    <n v="12"/>
    <x v="35"/>
    <x v="2"/>
    <s v="Diciembre"/>
    <s v="ALEXDERI"/>
    <x v="37"/>
    <x v="7"/>
    <n v="141671"/>
    <n v="0"/>
    <n v="141671"/>
    <n v="0"/>
    <m/>
    <m/>
    <x v="0"/>
    <n v="24"/>
    <s v=""/>
    <s v=""/>
    <s v="No Aplica"/>
    <n v="0"/>
    <n v="0"/>
    <n v="0"/>
    <n v="0"/>
    <n v="1"/>
    <n v="141671"/>
    <n v="0"/>
    <m/>
  </r>
  <r>
    <n v="12"/>
    <x v="35"/>
    <x v="2"/>
    <s v="Diciembre"/>
    <s v="ANAKBEZA"/>
    <x v="37"/>
    <x v="7"/>
    <n v="407150"/>
    <n v="0"/>
    <n v="0"/>
    <n v="407150"/>
    <m/>
    <m/>
    <x v="0"/>
    <n v="24"/>
    <s v=""/>
    <s v=""/>
    <s v="No Aplica"/>
    <n v="0"/>
    <n v="0"/>
    <n v="0"/>
    <n v="0"/>
    <n v="0"/>
    <n v="0"/>
    <n v="407150"/>
    <m/>
  </r>
  <r>
    <n v="12"/>
    <x v="35"/>
    <x v="2"/>
    <s v="Diciembre"/>
    <s v="ANAUROCA"/>
    <x v="37"/>
    <x v="7"/>
    <n v="92600"/>
    <n v="0"/>
    <n v="92600"/>
    <n v="0"/>
    <m/>
    <m/>
    <x v="0"/>
    <n v="24"/>
    <s v=""/>
    <s v=""/>
    <s v="No Aplica"/>
    <n v="0"/>
    <n v="0"/>
    <n v="0"/>
    <n v="0"/>
    <n v="0"/>
    <n v="0"/>
    <n v="92600"/>
    <m/>
  </r>
  <r>
    <n v="12"/>
    <x v="35"/>
    <x v="2"/>
    <s v="Diciembre"/>
    <s v="DARWHERI"/>
    <x v="37"/>
    <x v="7"/>
    <n v="141671"/>
    <n v="0"/>
    <n v="141671"/>
    <n v="0"/>
    <m/>
    <m/>
    <x v="0"/>
    <n v="24"/>
    <s v=""/>
    <s v=""/>
    <s v="No Aplica"/>
    <n v="0"/>
    <n v="0"/>
    <n v="0"/>
    <n v="0"/>
    <n v="1"/>
    <n v="141671"/>
    <n v="0"/>
    <m/>
  </r>
  <r>
    <n v="12"/>
    <x v="35"/>
    <x v="2"/>
    <s v="Diciembre"/>
    <s v="DIANGUAV"/>
    <x v="37"/>
    <x v="7"/>
    <n v="141671"/>
    <n v="0"/>
    <n v="141671"/>
    <n v="0"/>
    <m/>
    <m/>
    <x v="0"/>
    <n v="24"/>
    <s v=""/>
    <s v=""/>
    <s v="No Aplica"/>
    <n v="0"/>
    <n v="0"/>
    <n v="0"/>
    <n v="0"/>
    <n v="1"/>
    <n v="141671"/>
    <n v="0"/>
    <m/>
  </r>
  <r>
    <n v="12"/>
    <x v="35"/>
    <x v="2"/>
    <s v="Diciembre"/>
    <s v="DORYMOCR"/>
    <x v="37"/>
    <x v="7"/>
    <n v="936000"/>
    <n v="936000"/>
    <n v="0"/>
    <n v="0"/>
    <m/>
    <m/>
    <x v="0"/>
    <n v="24"/>
    <s v=""/>
    <s v=""/>
    <s v="No Aplica"/>
    <n v="0"/>
    <n v="0"/>
    <n v="0"/>
    <n v="0"/>
    <n v="0"/>
    <n v="0"/>
    <n v="936000"/>
    <m/>
  </r>
  <r>
    <n v="12"/>
    <x v="35"/>
    <x v="2"/>
    <s v="Diciembre"/>
    <s v="ESTEAREC"/>
    <x v="37"/>
    <x v="7"/>
    <n v="147577"/>
    <n v="0"/>
    <n v="0"/>
    <n v="147577"/>
    <m/>
    <m/>
    <x v="0"/>
    <n v="24"/>
    <s v=""/>
    <s v=""/>
    <s v="No Aplica"/>
    <n v="0"/>
    <n v="0"/>
    <n v="2"/>
    <n v="147577"/>
    <n v="0"/>
    <n v="0"/>
    <n v="0"/>
    <m/>
  </r>
  <r>
    <n v="12"/>
    <x v="35"/>
    <x v="2"/>
    <s v="Diciembre"/>
    <s v="MONIARGI"/>
    <x v="37"/>
    <x v="7"/>
    <n v="201435"/>
    <n v="0"/>
    <n v="134285"/>
    <n v="67150"/>
    <m/>
    <m/>
    <x v="0"/>
    <n v="24"/>
    <s v=""/>
    <s v=""/>
    <s v="No Aplica"/>
    <n v="0"/>
    <n v="0"/>
    <n v="2"/>
    <n v="67150"/>
    <n v="1"/>
    <n v="134285"/>
    <n v="0"/>
    <m/>
  </r>
  <r>
    <n v="12"/>
    <x v="35"/>
    <x v="2"/>
    <s v="Diciembre"/>
    <s v="YANEARNA"/>
    <x v="37"/>
    <x v="7"/>
    <n v="86270"/>
    <n v="0"/>
    <n v="0"/>
    <n v="86270"/>
    <m/>
    <m/>
    <x v="0"/>
    <n v="24"/>
    <s v=""/>
    <s v=""/>
    <s v="No Aplica"/>
    <n v="0"/>
    <n v="0"/>
    <n v="2"/>
    <n v="86270"/>
    <n v="0"/>
    <n v="0"/>
    <n v="0"/>
    <m/>
  </r>
  <r>
    <n v="12"/>
    <x v="35"/>
    <x v="2"/>
    <s v="Diciembre"/>
    <s v="(en blanco)"/>
    <x v="37"/>
    <x v="7"/>
    <n v="24551871"/>
    <n v="0"/>
    <n v="0"/>
    <n v="24551871"/>
    <m/>
    <m/>
    <x v="0"/>
    <n v="24"/>
    <s v=""/>
    <s v=""/>
    <s v="No Aplica"/>
    <n v="87"/>
    <n v="5974352"/>
    <n v="128"/>
    <n v="14208507"/>
    <n v="0"/>
    <n v="0"/>
    <n v="4369012"/>
    <m/>
  </r>
  <r>
    <n v="1"/>
    <x v="36"/>
    <x v="3"/>
    <s v="Enero"/>
    <s v="DERLARMO"/>
    <x v="11"/>
    <x v="10"/>
    <n v="37339206"/>
    <n v="468000"/>
    <n v="7220929"/>
    <n v="29650277"/>
    <n v="28000000"/>
    <n v="1.0589384642857143"/>
    <x v="1"/>
    <n v="25"/>
    <s v="IPS Pto De Vista Olaya"/>
    <s v="Centro"/>
    <s v="Cumple"/>
    <n v="72"/>
    <n v="5655997"/>
    <n v="202"/>
    <n v="23295092"/>
    <n v="91"/>
    <n v="7220929"/>
    <n v="1167188"/>
    <m/>
  </r>
  <r>
    <n v="1"/>
    <x v="36"/>
    <x v="3"/>
    <s v="Enero"/>
    <s v="LOREBECR"/>
    <x v="68"/>
    <x v="68"/>
    <n v="38740268"/>
    <n v="0"/>
    <n v="7944864"/>
    <n v="30795404"/>
    <n v="28000000"/>
    <n v="1.0998358571428573"/>
    <x v="1"/>
    <n v="25"/>
    <s v="IPS Pto De Vista Olaya"/>
    <s v="Centro"/>
    <s v="Fluctúa"/>
    <n v="76"/>
    <n v="6278738"/>
    <n v="212"/>
    <n v="21946527"/>
    <n v="104"/>
    <n v="7944864"/>
    <n v="2570139"/>
    <m/>
  </r>
  <r>
    <n v="1"/>
    <x v="36"/>
    <x v="3"/>
    <s v="Enero"/>
    <s v="RAULMOGA"/>
    <x v="30"/>
    <x v="27"/>
    <n v="11474983"/>
    <n v="0"/>
    <n v="1438271"/>
    <n v="10036712"/>
    <n v="6720000"/>
    <n v="1.4935583333333333"/>
    <x v="0"/>
    <n v="25"/>
    <s v="IPS Pto De Vista Olaya"/>
    <s v="Centro"/>
    <s v="No Aplica"/>
    <n v="29"/>
    <n v="2409944"/>
    <n v="76"/>
    <n v="6820703"/>
    <n v="19"/>
    <n v="1438271"/>
    <n v="806065"/>
    <m/>
  </r>
  <r>
    <n v="1"/>
    <x v="36"/>
    <x v="3"/>
    <s v="Enero"/>
    <s v="PAULGOBA"/>
    <x v="35"/>
    <x v="7"/>
    <n v="486000"/>
    <n v="486000"/>
    <n v="0"/>
    <n v="0"/>
    <m/>
    <m/>
    <x v="1"/>
    <n v="25"/>
    <s v="Ferias Empresariales Antioquia"/>
    <s v="Antioquia"/>
    <s v="Fluctúa"/>
    <n v="0"/>
    <n v="0"/>
    <n v="0"/>
    <n v="0"/>
    <n v="0"/>
    <n v="0"/>
    <n v="486000"/>
    <m/>
  </r>
  <r>
    <n v="1"/>
    <x v="36"/>
    <x v="3"/>
    <s v="Enero"/>
    <s v="VANELOBE"/>
    <x v="74"/>
    <x v="74"/>
    <n v="19889152"/>
    <n v="0"/>
    <n v="4404783"/>
    <n v="15484369"/>
    <n v="22400000"/>
    <n v="0.69126647321428569"/>
    <x v="1"/>
    <n v="25"/>
    <s v="IPS Pto De Vista San Diego"/>
    <s v="Antioquia"/>
    <s v="Siempre Cumple"/>
    <n v="40"/>
    <n v="3941998"/>
    <n v="92"/>
    <n v="9039210"/>
    <n v="51"/>
    <n v="4404783"/>
    <n v="2503161"/>
    <m/>
  </r>
  <r>
    <n v="1"/>
    <x v="36"/>
    <x v="3"/>
    <s v="Enero"/>
    <s v="DIANPAAL"/>
    <x v="12"/>
    <x v="11"/>
    <n v="41338131"/>
    <n v="2322900"/>
    <n v="7331897"/>
    <n v="31683334"/>
    <n v="16000000"/>
    <n v="1.9802083749999999"/>
    <x v="1"/>
    <n v="25"/>
    <s v="IPS Pto De Vista Rionegro"/>
    <s v="Antioquia"/>
    <s v="Cumple"/>
    <n v="74"/>
    <n v="8704817"/>
    <n v="174"/>
    <n v="19929828"/>
    <n v="71"/>
    <n v="7331897"/>
    <n v="5371589"/>
    <m/>
  </r>
  <r>
    <n v="1"/>
    <x v="36"/>
    <x v="3"/>
    <s v="Enero"/>
    <s v="MARIGOOR"/>
    <x v="77"/>
    <x v="77"/>
    <n v="50288339"/>
    <n v="1884900"/>
    <n v="6804724"/>
    <n v="41598715"/>
    <n v="36800000"/>
    <n v="1.1303998641304347"/>
    <x v="1"/>
    <n v="25"/>
    <s v="IPS Pto De Vista Rionegro"/>
    <s v="Antioquia"/>
    <s v="No Cumple"/>
    <n v="69"/>
    <n v="10421960"/>
    <n v="157"/>
    <n v="25164151"/>
    <n v="74"/>
    <n v="6804724"/>
    <n v="7897504"/>
    <m/>
  </r>
  <r>
    <n v="1"/>
    <x v="36"/>
    <x v="3"/>
    <s v="Enero"/>
    <s v="MARIOCOC"/>
    <x v="24"/>
    <x v="21"/>
    <n v="31697169"/>
    <n v="1544100"/>
    <n v="4974643"/>
    <n v="25178426"/>
    <n v="22400000"/>
    <n v="1.124036875"/>
    <x v="1"/>
    <n v="25"/>
    <s v="IPS Pto De Vista Rionegro"/>
    <s v="Antioquia"/>
    <s v="Cumple"/>
    <n v="43"/>
    <n v="5427563"/>
    <n v="126"/>
    <n v="16523993"/>
    <n v="55"/>
    <n v="4974643"/>
    <n v="4770970"/>
    <m/>
  </r>
  <r>
    <n v="1"/>
    <x v="36"/>
    <x v="3"/>
    <s v="Enero"/>
    <s v="ALEXLOGR"/>
    <x v="2"/>
    <x v="2"/>
    <n v="54018464"/>
    <n v="1812600"/>
    <n v="11975433"/>
    <n v="40230431"/>
    <n v="34040000"/>
    <n v="1.1818575499412456"/>
    <x v="1"/>
    <n v="25"/>
    <s v="IPS Punto de Vista Bello"/>
    <s v="Antioquia"/>
    <s v="Fluctúa"/>
    <n v="79"/>
    <n v="8837006"/>
    <n v="186"/>
    <n v="26227615"/>
    <n v="123"/>
    <n v="11975433"/>
    <n v="6978410"/>
    <m/>
  </r>
  <r>
    <n v="1"/>
    <x v="36"/>
    <x v="3"/>
    <s v="Enero"/>
    <s v="YULIRIRE"/>
    <x v="57"/>
    <x v="57"/>
    <n v="27082204"/>
    <n v="421200"/>
    <n v="7733995"/>
    <n v="18927009"/>
    <n v="34040000"/>
    <n v="0.55602259106933016"/>
    <x v="1"/>
    <n v="25"/>
    <s v="IPS Punto de Vista Bello"/>
    <s v="Antioquia"/>
    <s v="Fluctúa"/>
    <n v="35"/>
    <n v="3186715"/>
    <n v="128"/>
    <n v="14293290"/>
    <n v="77"/>
    <n v="7733995"/>
    <n v="1868204"/>
    <m/>
  </r>
  <r>
    <n v="1"/>
    <x v="36"/>
    <x v="3"/>
    <s v="Enero"/>
    <s v="ADRIMOLU"/>
    <x v="1"/>
    <x v="1"/>
    <n v="50719664"/>
    <n v="1602990"/>
    <n v="7234702"/>
    <n v="41881972"/>
    <n v="41400000"/>
    <n v="1.0116418357487922"/>
    <x v="1"/>
    <n v="25"/>
    <s v="IPS Pto De Vista Molinos"/>
    <s v="Antioquia"/>
    <s v="Cumple"/>
    <n v="91"/>
    <n v="10149919"/>
    <n v="202"/>
    <n v="25490157"/>
    <n v="76"/>
    <n v="7234702"/>
    <n v="7844886"/>
    <m/>
  </r>
  <r>
    <n v="1"/>
    <x v="36"/>
    <x v="3"/>
    <s v="Enero"/>
    <s v="ASTRTAAR"/>
    <x v="80"/>
    <x v="80"/>
    <n v="40926951"/>
    <n v="324000"/>
    <n v="9550546"/>
    <n v="31052405"/>
    <n v="39600000"/>
    <n v="0.7841516414141414"/>
    <x v="1"/>
    <n v="25"/>
    <s v="IPS Pto De Vista Molinos"/>
    <s v="Antioquia"/>
    <s v="Fluctúa"/>
    <n v="72"/>
    <n v="6208231"/>
    <n v="174"/>
    <n v="20582587"/>
    <n v="98"/>
    <n v="9550546"/>
    <n v="4585587"/>
    <m/>
  </r>
  <r>
    <n v="1"/>
    <x v="36"/>
    <x v="3"/>
    <s v="Enero"/>
    <s v="JUANVALN"/>
    <x v="86"/>
    <x v="86"/>
    <n v="27653424"/>
    <n v="1656000"/>
    <n v="6840508"/>
    <n v="19156916"/>
    <n v="38800000"/>
    <n v="0.49373494845360827"/>
    <x v="1"/>
    <n v="25"/>
    <s v="IPS Pto De Vista Molinos"/>
    <s v="Antioquia"/>
    <s v="Cumple"/>
    <n v="46"/>
    <n v="4301903"/>
    <n v="112"/>
    <n v="12299648"/>
    <n v="68"/>
    <n v="6840508"/>
    <n v="4211365"/>
    <m/>
  </r>
  <r>
    <n v="1"/>
    <x v="36"/>
    <x v="3"/>
    <s v="Enero"/>
    <s v="LILACARA"/>
    <x v="19"/>
    <x v="17"/>
    <n v="50462553"/>
    <n v="221100"/>
    <n v="8338496"/>
    <n v="41902957"/>
    <n v="41400000"/>
    <n v="1.0121487198067634"/>
    <x v="1"/>
    <n v="25"/>
    <s v="IPS Pto De Vista Molinos"/>
    <s v="Antioquia"/>
    <s v="Cumple"/>
    <n v="85"/>
    <n v="9599771"/>
    <n v="219"/>
    <n v="28671053"/>
    <n v="88"/>
    <n v="8338496"/>
    <n v="3853233"/>
    <m/>
  </r>
  <r>
    <n v="1"/>
    <x v="36"/>
    <x v="3"/>
    <s v="Enero"/>
    <s v="LIZEGASA"/>
    <x v="81"/>
    <x v="81"/>
    <n v="42493607"/>
    <n v="468000"/>
    <n v="8098615"/>
    <n v="33926992"/>
    <n v="31500000"/>
    <n v="1.077047365079365"/>
    <x v="1"/>
    <n v="25"/>
    <s v="IPS Punto de Vista Mayorca"/>
    <s v="Antioquia"/>
    <s v="Cumple"/>
    <n v="65"/>
    <n v="7997401"/>
    <n v="164"/>
    <n v="20778988"/>
    <n v="89"/>
    <n v="8098615"/>
    <n v="5618603"/>
    <m/>
  </r>
  <r>
    <n v="1"/>
    <x v="36"/>
    <x v="3"/>
    <s v="Enero"/>
    <s v="SUANHECO"/>
    <x v="58"/>
    <x v="58"/>
    <n v="57923521"/>
    <n v="0"/>
    <n v="10857755"/>
    <n v="47065766"/>
    <n v="41400000"/>
    <n v="1.1368542512077295"/>
    <x v="1"/>
    <n v="25"/>
    <s v="IPS Pto De Vista Molinos"/>
    <s v="Antioquia"/>
    <s v="Fluctúa"/>
    <n v="87"/>
    <n v="9553587"/>
    <n v="226"/>
    <n v="32062937"/>
    <n v="-207"/>
    <n v="10857755"/>
    <n v="5449242"/>
    <m/>
  </r>
  <r>
    <n v="1"/>
    <x v="36"/>
    <x v="3"/>
    <s v="Enero"/>
    <s v="ZULYARGA"/>
    <x v="34"/>
    <x v="31"/>
    <n v="49631063"/>
    <n v="0"/>
    <n v="9322290"/>
    <n v="40308773"/>
    <n v="39600000"/>
    <n v="1.0178983080808082"/>
    <x v="1"/>
    <n v="25"/>
    <s v="IPS Pto De Vista Molinos"/>
    <s v="Antioquia"/>
    <n v="0"/>
    <n v="95"/>
    <n v="9293592"/>
    <n v="224"/>
    <n v="25628912"/>
    <n v="96"/>
    <n v="9322290"/>
    <n v="5386269"/>
    <m/>
  </r>
  <r>
    <n v="1"/>
    <x v="36"/>
    <x v="3"/>
    <s v="Enero"/>
    <s v="BIBIBECA"/>
    <x v="6"/>
    <x v="6"/>
    <n v="62929606"/>
    <n v="2906190"/>
    <n v="12236535"/>
    <n v="47786881"/>
    <n v="40480000"/>
    <n v="1.1805059535573124"/>
    <x v="1"/>
    <n v="25"/>
    <s v="IPS Pto De Vista Centro"/>
    <s v="Antioquia"/>
    <s v="Fluctúa"/>
    <n v="96"/>
    <n v="10422098"/>
    <n v="264"/>
    <n v="32122950"/>
    <n v="119"/>
    <n v="12236535"/>
    <n v="8148023"/>
    <m/>
  </r>
  <r>
    <n v="1"/>
    <x v="36"/>
    <x v="3"/>
    <s v="Enero"/>
    <s v="CLAUBLAR"/>
    <x v="9"/>
    <x v="8"/>
    <n v="65277768"/>
    <n v="442200"/>
    <n v="12553856"/>
    <n v="52281712"/>
    <n v="40480000"/>
    <n v="1.2915442687747036"/>
    <x v="1"/>
    <n v="25"/>
    <s v="IPS Pto De Vista Centro"/>
    <s v="Antioquia"/>
    <s v="Fluctúa"/>
    <n v="87"/>
    <n v="10580834"/>
    <n v="242"/>
    <n v="34808536"/>
    <n v="128"/>
    <n v="12553856"/>
    <n v="7334542"/>
    <m/>
  </r>
  <r>
    <n v="1"/>
    <x v="36"/>
    <x v="3"/>
    <s v="Enero"/>
    <s v="HERIRORO"/>
    <x v="52"/>
    <x v="52"/>
    <n v="56596530"/>
    <n v="1890000"/>
    <n v="9279909"/>
    <n v="45426621"/>
    <n v="40480000"/>
    <n v="1.1221991353754941"/>
    <x v="1"/>
    <n v="25"/>
    <s v="IPS Pto De Vista Centro"/>
    <s v="Antioquia"/>
    <s v="Siempre Cumple"/>
    <n v="89"/>
    <n v="8716540"/>
    <n v="235"/>
    <n v="29919635"/>
    <n v="93"/>
    <n v="8961509"/>
    <n v="8998846"/>
    <m/>
  </r>
  <r>
    <n v="1"/>
    <x v="36"/>
    <x v="3"/>
    <s v="Enero"/>
    <s v="MARGGAPA"/>
    <x v="22"/>
    <x v="20"/>
    <n v="57583370"/>
    <n v="720000"/>
    <n v="10673075"/>
    <n v="46190295"/>
    <n v="40480000"/>
    <n v="1.1410645998023716"/>
    <x v="1"/>
    <n v="25"/>
    <s v="IPS Pto De Vista Centro"/>
    <s v="Antioquia"/>
    <s v="Fluctúa"/>
    <n v="101"/>
    <n v="12850337"/>
    <n v="248"/>
    <n v="26163723"/>
    <n v="115"/>
    <n v="10673075"/>
    <n v="7896235"/>
    <m/>
  </r>
  <r>
    <n v="1"/>
    <x v="36"/>
    <x v="3"/>
    <s v="Enero"/>
    <s v="MARIHIRO"/>
    <x v="76"/>
    <x v="76"/>
    <n v="30196722"/>
    <n v="1702200"/>
    <n v="7968231"/>
    <n v="20526291"/>
    <n v="40480000"/>
    <n v="0.50707240612648219"/>
    <x v="1"/>
    <n v="25"/>
    <s v="IPS Pto De Vista Centro"/>
    <s v="Antioquia"/>
    <s v="No Cumple"/>
    <n v="34"/>
    <n v="3710230"/>
    <n v="110"/>
    <n v="12442498"/>
    <n v="81"/>
    <n v="7968231"/>
    <n v="6075763"/>
    <m/>
  </r>
  <r>
    <n v="1"/>
    <x v="36"/>
    <x v="3"/>
    <s v="Enero"/>
    <s v="SANDCAAC"/>
    <x v="75"/>
    <x v="75"/>
    <n v="57122103"/>
    <n v="1940400"/>
    <n v="9405034"/>
    <n v="45776669"/>
    <n v="40480000"/>
    <n v="1.1308465662055336"/>
    <x v="1"/>
    <n v="25"/>
    <s v="IPS Pto De Vista Centro"/>
    <s v="Antioquia"/>
    <s v="Fluctúa"/>
    <n v="81"/>
    <n v="8704487"/>
    <n v="204"/>
    <n v="31609151"/>
    <n v="90"/>
    <n v="9405034"/>
    <n v="7403431"/>
    <m/>
  </r>
  <r>
    <n v="1"/>
    <x v="36"/>
    <x v="3"/>
    <s v="Enero"/>
    <s v="YENISIGI"/>
    <x v="64"/>
    <x v="64"/>
    <n v="30053419"/>
    <n v="1197000"/>
    <n v="7580696"/>
    <n v="21275723"/>
    <n v="40480000"/>
    <n v="0.52558604249011853"/>
    <x v="1"/>
    <n v="25"/>
    <s v="IPS Pto De Vista Centro"/>
    <s v="Antioquia"/>
    <s v="Fluctúa"/>
    <n v="43"/>
    <n v="4619837"/>
    <n v="110"/>
    <n v="14301209"/>
    <n v="72"/>
    <n v="7580696"/>
    <n v="3551677"/>
    <m/>
  </r>
  <r>
    <n v="1"/>
    <x v="36"/>
    <x v="3"/>
    <s v="Enero"/>
    <s v="NATAPIDU"/>
    <x v="28"/>
    <x v="25"/>
    <n v="46474200"/>
    <n v="421200"/>
    <n v="4971580"/>
    <n v="41081420"/>
    <n v="36800000"/>
    <n v="1.1163429347826086"/>
    <x v="1"/>
    <n v="25"/>
    <s v="IPS Pto De Vista Industriales"/>
    <s v="Antioquia"/>
    <s v="Cumple"/>
    <n v="39"/>
    <n v="8390831"/>
    <n v="126"/>
    <n v="28020254"/>
    <n v="50"/>
    <n v="4971580"/>
    <n v="5091535"/>
    <m/>
  </r>
  <r>
    <n v="1"/>
    <x v="36"/>
    <x v="3"/>
    <s v="Enero"/>
    <s v="ALVAOSOS"/>
    <x v="36"/>
    <x v="37"/>
    <n v="37016520"/>
    <n v="1605900"/>
    <n v="10290168"/>
    <n v="25120452"/>
    <n v="42320000"/>
    <n v="0.59358345935727785"/>
    <x v="1"/>
    <n v="25"/>
    <s v="IPS Pto De Vista Punto Clave"/>
    <s v="Antioquia"/>
    <s v="Siempre Cumple"/>
    <n v="41"/>
    <n v="3759718"/>
    <n v="106"/>
    <n v="15839653"/>
    <n v="100"/>
    <n v="10290168"/>
    <n v="7126981"/>
    <m/>
  </r>
  <r>
    <n v="1"/>
    <x v="36"/>
    <x v="3"/>
    <s v="Enero"/>
    <s v="CARORAMN"/>
    <x v="61"/>
    <x v="61"/>
    <n v="32105444"/>
    <n v="889200"/>
    <n v="3690444"/>
    <n v="27525800"/>
    <n v="23920000"/>
    <n v="1.1507441471571906"/>
    <x v="1"/>
    <n v="25"/>
    <s v="IPS Pto De Vista Punto Clave"/>
    <s v="Antioquia"/>
    <s v="No Cumple"/>
    <n v="50"/>
    <n v="4528155"/>
    <n v="147"/>
    <n v="19754085"/>
    <n v="38"/>
    <n v="3690444"/>
    <n v="4132760"/>
    <m/>
  </r>
  <r>
    <n v="1"/>
    <x v="36"/>
    <x v="3"/>
    <s v="Enero"/>
    <s v="CINDGACU"/>
    <x v="55"/>
    <x v="55"/>
    <n v="53263561"/>
    <n v="810000"/>
    <n v="11950596"/>
    <n v="40502965"/>
    <n v="39200000"/>
    <n v="1.0332389030612246"/>
    <x v="1"/>
    <n v="25"/>
    <s v="IPS Pto De Vista San Diego"/>
    <s v="Antioquia"/>
    <s v="Siempre Cumple"/>
    <n v="92"/>
    <n v="8292139"/>
    <n v="250"/>
    <n v="26951128"/>
    <n v="110"/>
    <n v="11950596"/>
    <n v="6069698"/>
    <m/>
  </r>
  <r>
    <n v="1"/>
    <x v="36"/>
    <x v="3"/>
    <s v="Enero"/>
    <s v="GENNHEPO"/>
    <x v="16"/>
    <x v="14"/>
    <n v="55197426"/>
    <n v="1510400"/>
    <n v="10328099"/>
    <n v="43358927"/>
    <n v="42320000"/>
    <n v="1.0245493147448015"/>
    <x v="1"/>
    <n v="25"/>
    <s v="IPS Pto De Vista Punto Clave"/>
    <s v="Antioquia"/>
    <s v="Fluctúa"/>
    <n v="91"/>
    <n v="9102233"/>
    <n v="256"/>
    <n v="27641841"/>
    <n v="101"/>
    <n v="10328099"/>
    <n v="8125253"/>
    <m/>
  </r>
  <r>
    <n v="1"/>
    <x v="36"/>
    <x v="3"/>
    <s v="Enero"/>
    <s v="LEIDGOVI"/>
    <x v="39"/>
    <x v="39"/>
    <n v="61382022"/>
    <n v="1564200"/>
    <n v="8295713"/>
    <n v="51522109"/>
    <n v="42320000"/>
    <n v="1.2174411389413988"/>
    <x v="1"/>
    <n v="25"/>
    <s v="IPS Pto De Vista Punto Clave"/>
    <s v="Antioquia"/>
    <s v="Fluctúa"/>
    <n v="99"/>
    <n v="8856240"/>
    <n v="270"/>
    <n v="35018553"/>
    <n v="83"/>
    <n v="8295713"/>
    <n v="9211516"/>
    <m/>
  </r>
  <r>
    <n v="1"/>
    <x v="36"/>
    <x v="3"/>
    <s v="Enero"/>
    <s v="LEIDPAPA"/>
    <x v="72"/>
    <x v="72"/>
    <n v="59504566"/>
    <n v="453000"/>
    <n v="14105686"/>
    <n v="44945880"/>
    <n v="42320000"/>
    <n v="1.0620482041587902"/>
    <x v="1"/>
    <n v="25"/>
    <s v="IPS Pto De Vista Punto Clave"/>
    <s v="Antioquia"/>
    <s v="Siempre Cumple"/>
    <n v="94"/>
    <n v="9934403"/>
    <n v="257"/>
    <n v="29505090"/>
    <n v="130"/>
    <n v="14105686"/>
    <n v="5959387"/>
    <m/>
  </r>
  <r>
    <n v="1"/>
    <x v="36"/>
    <x v="3"/>
    <s v="Enero"/>
    <s v="YENYSUPE"/>
    <x v="51"/>
    <x v="51"/>
    <n v="57743482"/>
    <n v="1422000"/>
    <n v="10817229"/>
    <n v="45504253"/>
    <n v="42320000"/>
    <n v="1.0752422731568998"/>
    <x v="1"/>
    <n v="25"/>
    <s v="IPS Pto De Vista Punto Clave"/>
    <s v="Antioquia"/>
    <s v="Cumple"/>
    <n v="90"/>
    <n v="9614756"/>
    <n v="226"/>
    <n v="26820658"/>
    <n v="101"/>
    <n v="10817229"/>
    <n v="10490839"/>
    <m/>
  </r>
  <r>
    <n v="1"/>
    <x v="36"/>
    <x v="3"/>
    <s v="Enero"/>
    <s v="YURAUSVE"/>
    <x v="56"/>
    <x v="56"/>
    <n v="68543572"/>
    <n v="707000"/>
    <n v="13578515"/>
    <n v="54258057"/>
    <n v="42080000"/>
    <n v="1.2894024952471483"/>
    <x v="1"/>
    <n v="25"/>
    <s v="IPS Pto De Vista Punto Clave"/>
    <s v="Antioquia"/>
    <n v="0"/>
    <n v="109"/>
    <n v="10844836"/>
    <n v="268"/>
    <n v="34588070"/>
    <n v="131"/>
    <n v="13578515"/>
    <n v="9532151"/>
    <m/>
  </r>
  <r>
    <n v="1"/>
    <x v="36"/>
    <x v="3"/>
    <s v="Enero"/>
    <s v="ANAMLOBE"/>
    <x v="3"/>
    <x v="3"/>
    <n v="70199260"/>
    <n v="0"/>
    <n v="8466319"/>
    <n v="61732941"/>
    <n v="41400000"/>
    <n v="1.4911338405797101"/>
    <x v="1"/>
    <n v="25"/>
    <s v="IPS Pto De Vista Unicentro"/>
    <s v="Antioquia"/>
    <s v="Siempre Cumple"/>
    <n v="91"/>
    <n v="11034805"/>
    <n v="212"/>
    <n v="42240483"/>
    <n v="75"/>
    <n v="8209919"/>
    <n v="8714053"/>
    <m/>
  </r>
  <r>
    <n v="1"/>
    <x v="36"/>
    <x v="3"/>
    <s v="Enero"/>
    <s v="ELIZVESU"/>
    <x v="15"/>
    <x v="13"/>
    <n v="63805713"/>
    <n v="1841000"/>
    <n v="8225836"/>
    <n v="53738877"/>
    <n v="41400000"/>
    <n v="1.2980405072463768"/>
    <x v="1"/>
    <n v="25"/>
    <s v="IPS Pto De Vista Unicentro"/>
    <s v="Antioquia"/>
    <s v="Fluctúa"/>
    <n v="87"/>
    <n v="10185129"/>
    <n v="218"/>
    <n v="39972305"/>
    <n v="88"/>
    <n v="8225836"/>
    <n v="5422443"/>
    <m/>
  </r>
  <r>
    <n v="1"/>
    <x v="36"/>
    <x v="3"/>
    <s v="Enero"/>
    <s v="VIVIVAZA"/>
    <x v="33"/>
    <x v="30"/>
    <n v="76978398"/>
    <n v="1527300"/>
    <n v="14279579"/>
    <n v="61171519"/>
    <n v="41400000"/>
    <n v="1.477572922705314"/>
    <x v="1"/>
    <n v="25"/>
    <s v="IPS Pto De Vista Unicentro"/>
    <s v="Antioquia"/>
    <s v="Cumple"/>
    <n v="123"/>
    <n v="12568012"/>
    <n v="263"/>
    <n v="41138884"/>
    <n v="135"/>
    <n v="13428379"/>
    <n v="9843123"/>
    <m/>
  </r>
  <r>
    <n v="1"/>
    <x v="36"/>
    <x v="3"/>
    <s v="Enero"/>
    <s v="ANGEGAAR"/>
    <x v="4"/>
    <x v="4"/>
    <n v="8148197"/>
    <n v="453600"/>
    <n v="988875"/>
    <n v="6705722"/>
    <n v="4000000"/>
    <n v="1.6764304999999999"/>
    <x v="1"/>
    <n v="25"/>
    <s v="IPS Pto De Vista San Diego"/>
    <s v="Antioquia"/>
    <s v="Fluctúa"/>
    <n v="9"/>
    <n v="1032491"/>
    <n v="32"/>
    <n v="4549569"/>
    <n v="9"/>
    <n v="988875"/>
    <n v="1577262"/>
    <m/>
  </r>
  <r>
    <n v="1"/>
    <x v="36"/>
    <x v="3"/>
    <s v="Enero"/>
    <s v="ERIKSAVA"/>
    <x v="44"/>
    <x v="44"/>
    <n v="29467892"/>
    <n v="442200"/>
    <n v="6349684"/>
    <n v="22676008"/>
    <n v="16000000"/>
    <n v="1.4172505"/>
    <x v="1"/>
    <n v="25"/>
    <s v="IPS Pto De Vista San Diego"/>
    <s v="Antioquia"/>
    <s v="No Cumple"/>
    <n v="40"/>
    <n v="4420179"/>
    <n v="106"/>
    <n v="14675797"/>
    <n v="68"/>
    <n v="6349684"/>
    <n v="4022232"/>
    <m/>
  </r>
  <r>
    <n v="1"/>
    <x v="36"/>
    <x v="3"/>
    <s v="Enero"/>
    <s v="MARIMASA"/>
    <x v="23"/>
    <x v="34"/>
    <n v="48092808"/>
    <n v="396000"/>
    <n v="8631544"/>
    <n v="39065264"/>
    <n v="36800000"/>
    <n v="1.0615560869565217"/>
    <x v="1"/>
    <n v="25"/>
    <s v="IPS Pto De Vista San Diego"/>
    <s v="Antioquia"/>
    <s v="Siempre Cumple"/>
    <n v="73"/>
    <n v="7425662"/>
    <n v="172"/>
    <n v="25097930"/>
    <n v="78"/>
    <n v="8631544"/>
    <n v="6937672"/>
    <m/>
  </r>
  <r>
    <n v="1"/>
    <x v="36"/>
    <x v="3"/>
    <s v="Enero"/>
    <s v="NATAVAMO"/>
    <x v="63"/>
    <x v="63"/>
    <n v="37670258"/>
    <n v="0"/>
    <n v="6712384"/>
    <n v="30957874"/>
    <n v="36800000"/>
    <n v="0.84124657608695652"/>
    <x v="1"/>
    <n v="25"/>
    <s v="IPS Pto De Vista Molinos"/>
    <s v="Antioquia"/>
    <s v="Siempre Cumple"/>
    <n v="65"/>
    <n v="7069754"/>
    <n v="186"/>
    <n v="19069147"/>
    <n v="62"/>
    <n v="6712384"/>
    <n v="4818973"/>
    <m/>
  </r>
  <r>
    <n v="1"/>
    <x v="36"/>
    <x v="3"/>
    <s v="Enero"/>
    <s v="NOREARMA"/>
    <x v="66"/>
    <x v="66"/>
    <n v="18254096"/>
    <n v="162000"/>
    <n v="2113777"/>
    <n v="15978319"/>
    <n v="14400000"/>
    <n v="1.1096054861111111"/>
    <x v="1"/>
    <n v="25"/>
    <s v="IPS Pto De Vista San Diego"/>
    <s v="Antioquia"/>
    <s v="Fluctúa"/>
    <n v="34"/>
    <n v="3448664"/>
    <n v="76"/>
    <n v="11251584"/>
    <n v="23"/>
    <n v="2113777"/>
    <n v="1440071"/>
    <m/>
  </r>
  <r>
    <n v="1"/>
    <x v="36"/>
    <x v="3"/>
    <s v="Enero"/>
    <s v="VIVIRUAL"/>
    <x v="82"/>
    <x v="82"/>
    <n v="46688441"/>
    <n v="910200"/>
    <n v="7109853"/>
    <n v="38668388"/>
    <n v="36800000"/>
    <n v="1.0507714130434782"/>
    <x v="1"/>
    <n v="25"/>
    <s v="IPS Pto De Vista San Diego"/>
    <s v="Antioquia"/>
    <s v="Fluctúa"/>
    <n v="69"/>
    <n v="8202546"/>
    <n v="174"/>
    <n v="25744093"/>
    <n v="75"/>
    <n v="7109853"/>
    <n v="5631949"/>
    <m/>
  </r>
  <r>
    <n v="1"/>
    <x v="36"/>
    <x v="3"/>
    <s v="Enero"/>
    <s v="ANDRSAZA"/>
    <x v="45"/>
    <x v="45"/>
    <n v="54940302"/>
    <n v="1342800"/>
    <n v="7513755"/>
    <n v="46083747"/>
    <n v="32160000"/>
    <n v="1.4329523320895523"/>
    <x v="1"/>
    <n v="25"/>
    <s v="IPS Pto De Vista Santa Bárbara"/>
    <s v="Centro"/>
    <s v="Cumple"/>
    <n v="86"/>
    <n v="10563648"/>
    <n v="246"/>
    <n v="32336176"/>
    <n v="97"/>
    <n v="7513755"/>
    <n v="4526723"/>
    <m/>
  </r>
  <r>
    <n v="1"/>
    <x v="36"/>
    <x v="3"/>
    <s v="Enero"/>
    <s v="CHRIVERO"/>
    <x v="83"/>
    <x v="83"/>
    <n v="32321764"/>
    <n v="2654400"/>
    <n v="4804961"/>
    <n v="24862403"/>
    <n v="33500000"/>
    <n v="0.74216128358208955"/>
    <x v="1"/>
    <n v="25"/>
    <s v="IPS Pto De Vista Santa Bárbara"/>
    <s v="Centro"/>
    <s v="Fluctúa"/>
    <n v="45"/>
    <n v="4754765"/>
    <n v="141"/>
    <n v="19055391"/>
    <n v="67"/>
    <n v="4804961"/>
    <n v="3706647"/>
    <m/>
  </r>
  <r>
    <n v="1"/>
    <x v="36"/>
    <x v="3"/>
    <s v="Enero"/>
    <s v="ISABMOGO"/>
    <x v="17"/>
    <x v="15"/>
    <n v="43341642"/>
    <n v="814200"/>
    <n v="8242615"/>
    <n v="34284827"/>
    <n v="33500000"/>
    <n v="1.0234276716417909"/>
    <x v="1"/>
    <n v="25"/>
    <s v="IPS Pto De Vista Santa Bárbara"/>
    <s v="Centro"/>
    <s v="No Cumple"/>
    <n v="74"/>
    <n v="7861317"/>
    <n v="224"/>
    <n v="21963500"/>
    <n v="101"/>
    <n v="8022415"/>
    <n v="5494410"/>
    <m/>
  </r>
  <r>
    <n v="1"/>
    <x v="36"/>
    <x v="3"/>
    <s v="Enero"/>
    <s v="CAMIPUHE"/>
    <x v="53"/>
    <x v="53"/>
    <n v="44881047"/>
    <n v="0"/>
    <n v="3194991"/>
    <n v="41686056"/>
    <n v="30000000"/>
    <n v="1.3895352000000001"/>
    <x v="1"/>
    <n v="25"/>
    <s v="IPS Pto De Vista SSura Clle100"/>
    <s v="Centro"/>
    <s v="Cumple"/>
    <n v="64"/>
    <n v="10872030"/>
    <n v="161"/>
    <n v="27284412"/>
    <n v="45"/>
    <n v="3194991"/>
    <n v="3529614"/>
    <m/>
  </r>
  <r>
    <n v="1"/>
    <x v="36"/>
    <x v="3"/>
    <s v="Enero"/>
    <s v="ROCIFASA"/>
    <x v="31"/>
    <x v="28"/>
    <n v="31353778"/>
    <n v="2212272"/>
    <n v="3727246"/>
    <n v="25414260"/>
    <n v="13320000"/>
    <n v="1.9079774774774774"/>
    <x v="1"/>
    <n v="25"/>
    <s v="Optica Salud Sura Chipichape"/>
    <s v="Occidente"/>
    <s v="Cumple"/>
    <n v="46"/>
    <n v="5474375"/>
    <n v="141"/>
    <n v="15883638"/>
    <n v="42"/>
    <n v="3727246"/>
    <n v="6268519"/>
    <m/>
  </r>
  <r>
    <n v="1"/>
    <x v="36"/>
    <x v="3"/>
    <s v="Enero"/>
    <s v="TATIRITR"/>
    <x v="60"/>
    <x v="60"/>
    <n v="45183666"/>
    <n v="0"/>
    <n v="9025629"/>
    <n v="36158037"/>
    <n v="31000000"/>
    <n v="1.1663882903225806"/>
    <x v="1"/>
    <n v="25"/>
    <s v="Punto de Vista Cali Norte"/>
    <s v="Occidente"/>
    <s v="No Cumple"/>
    <n v="69"/>
    <n v="9210947"/>
    <n v="193"/>
    <n v="24137482"/>
    <n v="97"/>
    <n v="9025629"/>
    <n v="2809608"/>
    <m/>
  </r>
  <r>
    <n v="1"/>
    <x v="36"/>
    <x v="3"/>
    <s v="Enero"/>
    <s v="HEIDVAVI"/>
    <x v="73"/>
    <x v="73"/>
    <n v="30011191"/>
    <n v="684405"/>
    <n v="3963740"/>
    <n v="25363046"/>
    <n v="23680000"/>
    <n v="1.0710745777027026"/>
    <x v="1"/>
    <n v="25"/>
    <s v="Punto de Vista Cali Norte"/>
    <s v="Occidente"/>
    <s v="Siempre Cumple"/>
    <n v="43"/>
    <n v="4972557"/>
    <n v="126"/>
    <n v="15179080"/>
    <n v="40"/>
    <n v="3963740"/>
    <n v="5895814"/>
    <m/>
  </r>
  <r>
    <n v="1"/>
    <x v="36"/>
    <x v="3"/>
    <s v="Enero"/>
    <s v="DANYLESE"/>
    <x v="79"/>
    <x v="79"/>
    <n v="40437486"/>
    <n v="0"/>
    <n v="7021124"/>
    <n v="33416362"/>
    <n v="31000000"/>
    <n v="1.0779471612903226"/>
    <x v="1"/>
    <n v="25"/>
    <s v="Punto de Vista Cali Norte"/>
    <s v="Occidente"/>
    <s v="Cumple"/>
    <n v="75"/>
    <n v="7635394"/>
    <n v="198"/>
    <n v="22705871"/>
    <n v="74"/>
    <n v="7021124"/>
    <n v="3075097"/>
    <m/>
  </r>
  <r>
    <n v="1"/>
    <x v="36"/>
    <x v="3"/>
    <s v="Enero"/>
    <s v="JOSEVAPR"/>
    <x v="87"/>
    <x v="87"/>
    <n v="58512552"/>
    <n v="0"/>
    <n v="11624473"/>
    <n v="46888079"/>
    <n v="31000000"/>
    <n v="1.5125186774193549"/>
    <x v="1"/>
    <n v="25"/>
    <s v="Punto de Vista Cali Norte"/>
    <s v="Occidente"/>
    <s v="Fluctúa"/>
    <n v="88"/>
    <n v="8935375"/>
    <n v="269"/>
    <n v="35566694"/>
    <n v="129"/>
    <n v="11624473"/>
    <n v="2386010"/>
    <m/>
  </r>
  <r>
    <n v="1"/>
    <x v="36"/>
    <x v="3"/>
    <s v="Enero"/>
    <s v="LEIDCAOR"/>
    <x v="71"/>
    <x v="71"/>
    <n v="32692464"/>
    <n v="698100"/>
    <n v="5412736"/>
    <n v="26581628"/>
    <n v="26220000"/>
    <n v="1.0137920671243326"/>
    <x v="1"/>
    <n v="25"/>
    <s v="IPS Punto de Vista Mayorca"/>
    <s v="Antioquia"/>
    <s v="Fluctúa"/>
    <n v="66"/>
    <n v="6116937"/>
    <n v="146"/>
    <n v="18118199"/>
    <n v="56"/>
    <n v="5412736"/>
    <n v="3044592"/>
    <m/>
  </r>
  <r>
    <n v="1"/>
    <x v="36"/>
    <x v="3"/>
    <s v="Enero"/>
    <s v="LUZNHEGO"/>
    <x v="21"/>
    <x v="19"/>
    <n v="32583796"/>
    <n v="455100"/>
    <n v="4742198"/>
    <n v="27386498"/>
    <n v="26220000"/>
    <n v="1.0444888634630054"/>
    <x v="1"/>
    <n v="25"/>
    <s v="IPS Punto de Vista Mayorca"/>
    <s v="Antioquia"/>
    <s v="Siempre Cumple"/>
    <n v="68"/>
    <n v="7597121"/>
    <n v="156"/>
    <n v="17414764"/>
    <n v="58"/>
    <n v="4742198"/>
    <n v="2829713"/>
    <m/>
  </r>
  <r>
    <n v="1"/>
    <x v="36"/>
    <x v="3"/>
    <s v="Enero"/>
    <s v="MAKEBEVA"/>
    <x v="85"/>
    <x v="85"/>
    <n v="33006396"/>
    <n v="468000"/>
    <n v="5440053"/>
    <n v="27098343"/>
    <n v="26220000"/>
    <n v="1.0334989702517163"/>
    <x v="1"/>
    <n v="25"/>
    <s v="IPS Punto de Vista Mayorca"/>
    <s v="Antioquia"/>
    <s v="Cumple"/>
    <n v="52"/>
    <n v="5455972"/>
    <n v="120"/>
    <n v="16726917"/>
    <n v="57"/>
    <n v="5440053"/>
    <n v="5383454"/>
    <m/>
  </r>
  <r>
    <n v="1"/>
    <x v="36"/>
    <x v="3"/>
    <s v="Enero"/>
    <s v="MILEQUOL"/>
    <x v="78"/>
    <x v="78"/>
    <n v="33791266"/>
    <n v="468000"/>
    <n v="4954648"/>
    <n v="28368618"/>
    <n v="26220000"/>
    <n v="1.0819457665903891"/>
    <x v="1"/>
    <n v="25"/>
    <s v="IPS Punto de Vista Mayorca"/>
    <s v="Antioquia"/>
    <s v="Siempre Cumple"/>
    <n v="64"/>
    <n v="6511295"/>
    <n v="172"/>
    <n v="18505880"/>
    <n v="62"/>
    <n v="4954648"/>
    <n v="3819443"/>
    <m/>
  </r>
  <r>
    <n v="1"/>
    <x v="36"/>
    <x v="3"/>
    <s v="Enero"/>
    <s v="ANGISEBR"/>
    <x v="70"/>
    <x v="70"/>
    <n v="39684716"/>
    <n v="221100"/>
    <n v="8615631"/>
    <n v="30847985"/>
    <n v="28500000"/>
    <n v="1.0823854385964913"/>
    <x v="1"/>
    <n v="25"/>
    <s v="Punto de Vista Tequendama"/>
    <s v="Occidente"/>
    <s v="No Cumple"/>
    <n v="56"/>
    <n v="6312309"/>
    <n v="172"/>
    <n v="21517797"/>
    <n v="99"/>
    <n v="8615631"/>
    <n v="3238979"/>
    <m/>
  </r>
  <r>
    <n v="1"/>
    <x v="36"/>
    <x v="3"/>
    <s v="Enero"/>
    <s v="AURACAMO"/>
    <x v="84"/>
    <x v="84"/>
    <n v="39105151"/>
    <n v="1340970"/>
    <n v="7778134"/>
    <n v="29986047"/>
    <n v="28500000"/>
    <n v="1.0521419999999999"/>
    <x v="1"/>
    <n v="25"/>
    <s v="Punto de Vista Tequendama"/>
    <s v="Occidente"/>
    <s v="Siempre Cumple"/>
    <n v="72"/>
    <n v="7048787"/>
    <n v="186"/>
    <n v="17607660"/>
    <n v="78"/>
    <n v="7778134"/>
    <n v="6670570"/>
    <m/>
  </r>
  <r>
    <n v="1"/>
    <x v="36"/>
    <x v="3"/>
    <s v="Enero"/>
    <s v="PAOLPACA"/>
    <x v="47"/>
    <x v="47"/>
    <n v="39441854"/>
    <n v="0"/>
    <n v="6141071"/>
    <n v="33300783"/>
    <n v="28500000"/>
    <n v="1.1684485263157895"/>
    <x v="1"/>
    <n v="25"/>
    <s v="Punto de Vista Tequendama"/>
    <s v="Occidente"/>
    <s v="Siempre Cumple"/>
    <n v="70"/>
    <n v="7616817"/>
    <n v="162"/>
    <n v="24447707"/>
    <n v="65"/>
    <n v="6141071"/>
    <n v="1236259"/>
    <m/>
  </r>
  <r>
    <n v="1"/>
    <x v="36"/>
    <x v="3"/>
    <s v="Enero"/>
    <s v="ANAUROCA"/>
    <x v="37"/>
    <x v="7"/>
    <n v="92600"/>
    <n v="0"/>
    <n v="92600"/>
    <n v="0"/>
    <m/>
    <m/>
    <x v="0"/>
    <n v="25"/>
    <s v=""/>
    <s v=""/>
    <s v="No Aplica"/>
    <n v="0"/>
    <n v="0"/>
    <n v="0"/>
    <n v="0"/>
    <n v="0"/>
    <n v="0"/>
    <n v="92600"/>
    <m/>
  </r>
  <r>
    <n v="1"/>
    <x v="36"/>
    <x v="3"/>
    <s v="Enero"/>
    <s v="CINDALVA"/>
    <x v="37"/>
    <x v="7"/>
    <n v="151380"/>
    <n v="0"/>
    <n v="0"/>
    <n v="151380"/>
    <m/>
    <m/>
    <x v="0"/>
    <n v="25"/>
    <s v=""/>
    <s v=""/>
    <s v="No Aplica"/>
    <n v="0"/>
    <n v="0"/>
    <n v="2"/>
    <n v="151380"/>
    <n v="0"/>
    <n v="0"/>
    <n v="0"/>
    <m/>
  </r>
  <r>
    <n v="1"/>
    <x v="36"/>
    <x v="3"/>
    <s v="Enero"/>
    <s v="DARWHERI"/>
    <x v="37"/>
    <x v="7"/>
    <n v="861383"/>
    <n v="0"/>
    <n v="588358"/>
    <n v="273025"/>
    <m/>
    <m/>
    <x v="0"/>
    <n v="25"/>
    <s v=""/>
    <s v=""/>
    <s v="No Aplica"/>
    <n v="1"/>
    <n v="273025"/>
    <n v="0"/>
    <n v="0"/>
    <n v="8"/>
    <n v="588358"/>
    <n v="0"/>
    <m/>
  </r>
  <r>
    <n v="1"/>
    <x v="36"/>
    <x v="3"/>
    <s v="Enero"/>
    <s v="DIANGUAV"/>
    <x v="37"/>
    <x v="7"/>
    <n v="375908"/>
    <n v="0"/>
    <n v="375908"/>
    <n v="0"/>
    <m/>
    <m/>
    <x v="0"/>
    <n v="25"/>
    <s v=""/>
    <s v=""/>
    <s v="No Aplica"/>
    <n v="0"/>
    <n v="0"/>
    <n v="0"/>
    <n v="0"/>
    <n v="4"/>
    <n v="375908"/>
    <n v="0"/>
    <m/>
  </r>
  <r>
    <n v="1"/>
    <x v="36"/>
    <x v="3"/>
    <s v="Enero"/>
    <s v="ESTESESE"/>
    <x v="37"/>
    <x v="7"/>
    <n v="1766315"/>
    <n v="0"/>
    <n v="1766315"/>
    <n v="0"/>
    <m/>
    <m/>
    <x v="0"/>
    <n v="25"/>
    <s v=""/>
    <s v=""/>
    <s v="No Aplica"/>
    <n v="0"/>
    <n v="0"/>
    <n v="0"/>
    <n v="0"/>
    <n v="17"/>
    <n v="1766315"/>
    <n v="0"/>
    <m/>
  </r>
  <r>
    <n v="1"/>
    <x v="36"/>
    <x v="3"/>
    <s v="Enero"/>
    <s v="ESTEAREC"/>
    <x v="37"/>
    <x v="7"/>
    <n v="620889"/>
    <n v="0"/>
    <n v="0"/>
    <n v="620889"/>
    <m/>
    <m/>
    <x v="0"/>
    <n v="25"/>
    <s v=""/>
    <s v=""/>
    <s v="No Aplica"/>
    <n v="1"/>
    <n v="212143"/>
    <n v="4"/>
    <n v="408746"/>
    <n v="0"/>
    <n v="0"/>
    <n v="0"/>
    <m/>
  </r>
  <r>
    <n v="1"/>
    <x v="36"/>
    <x v="3"/>
    <s v="Enero"/>
    <s v="JAQUVEGU"/>
    <x v="37"/>
    <x v="7"/>
    <n v="450000"/>
    <n v="450000"/>
    <n v="0"/>
    <n v="0"/>
    <m/>
    <m/>
    <x v="0"/>
    <n v="25"/>
    <s v=""/>
    <s v=""/>
    <s v="No Aplica"/>
    <n v="0"/>
    <n v="0"/>
    <n v="0"/>
    <n v="0"/>
    <n v="0"/>
    <n v="0"/>
    <n v="450000"/>
    <m/>
  </r>
  <r>
    <n v="1"/>
    <x v="36"/>
    <x v="3"/>
    <s v="Enero"/>
    <s v="MONIARGI"/>
    <x v="37"/>
    <x v="7"/>
    <n v="481323"/>
    <n v="0"/>
    <n v="141671"/>
    <n v="339652"/>
    <m/>
    <m/>
    <x v="0"/>
    <n v="25"/>
    <s v=""/>
    <s v=""/>
    <s v="No Aplica"/>
    <n v="1"/>
    <n v="128403"/>
    <n v="2"/>
    <n v="66649"/>
    <n v="1"/>
    <n v="141671"/>
    <n v="144600"/>
    <m/>
  </r>
  <r>
    <n v="1"/>
    <x v="36"/>
    <x v="3"/>
    <s v="Enero"/>
    <s v="PAULESVE"/>
    <x v="37"/>
    <x v="7"/>
    <n v="46283"/>
    <n v="0"/>
    <n v="46283"/>
    <n v="0"/>
    <m/>
    <m/>
    <x v="0"/>
    <n v="25"/>
    <s v=""/>
    <s v=""/>
    <s v="No Aplica"/>
    <n v="0"/>
    <n v="0"/>
    <n v="0"/>
    <n v="0"/>
    <n v="1"/>
    <n v="46283"/>
    <n v="0"/>
    <m/>
  </r>
  <r>
    <n v="1"/>
    <x v="36"/>
    <x v="3"/>
    <s v="Enero"/>
    <s v="XIOMMERO"/>
    <x v="37"/>
    <x v="7"/>
    <n v="46283"/>
    <n v="0"/>
    <n v="46283"/>
    <n v="0"/>
    <m/>
    <m/>
    <x v="0"/>
    <n v="25"/>
    <s v=""/>
    <s v=""/>
    <s v="No Aplica"/>
    <n v="0"/>
    <n v="0"/>
    <n v="0"/>
    <n v="0"/>
    <n v="1"/>
    <n v="46283"/>
    <n v="0"/>
    <m/>
  </r>
  <r>
    <n v="1"/>
    <x v="36"/>
    <x v="3"/>
    <s v="Enero"/>
    <s v="(en blanco)"/>
    <x v="37"/>
    <x v="7"/>
    <n v="29434380"/>
    <n v="0"/>
    <n v="0"/>
    <n v="29434380"/>
    <m/>
    <m/>
    <x v="0"/>
    <n v="25"/>
    <s v=""/>
    <s v=""/>
    <s v="No Aplica"/>
    <n v="105"/>
    <n v="7109280"/>
    <n v="205"/>
    <n v="20411520"/>
    <n v="4783"/>
    <n v="0"/>
    <n v="1913580"/>
    <m/>
  </r>
  <r>
    <n v="2"/>
    <x v="37"/>
    <x v="3"/>
    <s v="Febrero"/>
    <s v="DERLARMO"/>
    <x v="11"/>
    <x v="10"/>
    <n v="38854247"/>
    <n v="972000"/>
    <n v="9688151"/>
    <n v="28194096"/>
    <n v="26833333.333333336"/>
    <n v="1.050711652173913"/>
    <x v="1"/>
    <n v="24"/>
    <s v="IPS Pto De Vista Olaya"/>
    <s v="Centro"/>
    <s v="Cumple"/>
    <n v="73"/>
    <n v="5628143"/>
    <n v="234"/>
    <n v="21120620"/>
    <n v="129"/>
    <n v="9688151"/>
    <n v="2417333"/>
    <m/>
  </r>
  <r>
    <n v="2"/>
    <x v="37"/>
    <x v="3"/>
    <s v="Febrero"/>
    <s v="LOREBECR"/>
    <x v="68"/>
    <x v="68"/>
    <n v="37844360"/>
    <n v="0"/>
    <n v="8192759"/>
    <n v="29651601"/>
    <n v="26833333.333333336"/>
    <n v="1.105028608695652"/>
    <x v="1"/>
    <n v="24"/>
    <s v="IPS Pto De Vista Olaya"/>
    <s v="Centro"/>
    <s v="Fluctúa"/>
    <n v="85"/>
    <n v="7165296"/>
    <n v="231"/>
    <n v="19883511"/>
    <n v="117"/>
    <n v="8192759"/>
    <n v="2602794"/>
    <m/>
  </r>
  <r>
    <n v="2"/>
    <x v="37"/>
    <x v="3"/>
    <s v="Febrero"/>
    <s v="PAULGOBA"/>
    <x v="35"/>
    <x v="36"/>
    <n v="13774223"/>
    <n v="504000"/>
    <n v="4272143"/>
    <n v="8998080"/>
    <n v="40333333.333333328"/>
    <n v="0.2230928925619835"/>
    <x v="1"/>
    <n v="24"/>
    <s v="Ferias Empresariales Antioquia"/>
    <s v="Antioquia"/>
    <s v="Fluctúa"/>
    <n v="10"/>
    <n v="1356221"/>
    <n v="28"/>
    <n v="2006489"/>
    <n v="47"/>
    <n v="4272143"/>
    <n v="6139370"/>
    <m/>
  </r>
  <r>
    <n v="2"/>
    <x v="37"/>
    <x v="3"/>
    <s v="Febrero"/>
    <s v="VANELOBE"/>
    <x v="74"/>
    <x v="74"/>
    <n v="21808825"/>
    <n v="442200"/>
    <n v="4824265"/>
    <n v="16542360"/>
    <n v="20000000"/>
    <n v="0.82711800000000002"/>
    <x v="1"/>
    <n v="24"/>
    <s v="IPS Pto De Vista San Diego"/>
    <s v="Antioquia"/>
    <s v="Siempre Cumple"/>
    <n v="41"/>
    <n v="3875208"/>
    <n v="98"/>
    <n v="10350414"/>
    <n v="53"/>
    <n v="4824265"/>
    <n v="2758938"/>
    <m/>
  </r>
  <r>
    <n v="2"/>
    <x v="37"/>
    <x v="3"/>
    <s v="Febrero"/>
    <s v="DIANPAAL"/>
    <x v="12"/>
    <x v="11"/>
    <n v="16878856"/>
    <n v="1396200"/>
    <n v="5432716"/>
    <n v="10049940"/>
    <n v="29166666.666666668"/>
    <n v="0.34456937142857141"/>
    <x v="1"/>
    <n v="24"/>
    <s v="IPS Pto De Vista Rionegro"/>
    <s v="Antioquia"/>
    <s v="Cumple"/>
    <n v="18"/>
    <n v="1845492"/>
    <n v="56"/>
    <n v="7255628"/>
    <n v="60"/>
    <n v="5432716"/>
    <n v="2345020"/>
    <m/>
  </r>
  <r>
    <n v="2"/>
    <x v="37"/>
    <x v="3"/>
    <s v="Febrero"/>
    <s v="MARIGOOR"/>
    <x v="77"/>
    <x v="77"/>
    <n v="51955674"/>
    <n v="4788600"/>
    <n v="8538190"/>
    <n v="38628884"/>
    <n v="39166666.666666672"/>
    <n v="0.98626937872340414"/>
    <x v="1"/>
    <n v="24"/>
    <s v="IPS Pto De Vista Rionegro"/>
    <s v="Antioquia"/>
    <s v="No Cumple"/>
    <n v="68"/>
    <n v="8971416"/>
    <n v="156"/>
    <n v="23203473"/>
    <n v="90"/>
    <n v="8538190"/>
    <n v="11242595"/>
    <m/>
  </r>
  <r>
    <n v="2"/>
    <x v="37"/>
    <x v="3"/>
    <s v="Febrero"/>
    <s v="MARIOCOC"/>
    <x v="24"/>
    <x v="21"/>
    <n v="55238406"/>
    <n v="2185200"/>
    <n v="11461804"/>
    <n v="41591402"/>
    <n v="39166666.666666672"/>
    <n v="1.0619081361702127"/>
    <x v="1"/>
    <n v="24"/>
    <s v="IPS Pto De Vista Rionegro"/>
    <s v="Antioquia"/>
    <s v="Cumple"/>
    <n v="75"/>
    <n v="9474404"/>
    <n v="190"/>
    <n v="26946899"/>
    <n v="114"/>
    <n v="11461804"/>
    <n v="7355299"/>
    <m/>
  </r>
  <r>
    <n v="2"/>
    <x v="37"/>
    <x v="3"/>
    <s v="Febrero"/>
    <s v="ALEXLOGR"/>
    <x v="2"/>
    <x v="2"/>
    <n v="52146063"/>
    <n v="2089200"/>
    <n v="11746839"/>
    <n v="38310024"/>
    <n v="37000000"/>
    <n v="1.0354060540540539"/>
    <x v="1"/>
    <n v="24"/>
    <s v="IPS Punto de Vista Bello"/>
    <s v="Antioquia"/>
    <s v="Fluctúa"/>
    <n v="91"/>
    <n v="8957339"/>
    <n v="216"/>
    <n v="24968163"/>
    <n v="117"/>
    <n v="11746839"/>
    <n v="6473722"/>
    <m/>
  </r>
  <r>
    <n v="2"/>
    <x v="37"/>
    <x v="3"/>
    <s v="Febrero"/>
    <s v="YULIRIRE"/>
    <x v="57"/>
    <x v="57"/>
    <n v="47514062"/>
    <n v="0"/>
    <n v="8959140"/>
    <n v="38554922"/>
    <n v="36229166.666666672"/>
    <n v="1.0641956618746404"/>
    <x v="1"/>
    <n v="24"/>
    <s v="IPS Punto de Vista Bello"/>
    <s v="Antioquia"/>
    <s v="Fluctúa"/>
    <n v="87"/>
    <n v="8142277"/>
    <n v="236"/>
    <n v="25317388"/>
    <n v="102"/>
    <n v="8959140"/>
    <n v="5095257"/>
    <m/>
  </r>
  <r>
    <n v="2"/>
    <x v="37"/>
    <x v="3"/>
    <s v="Febrero"/>
    <s v="ADRIMOLU"/>
    <x v="1"/>
    <x v="1"/>
    <n v="36477526"/>
    <n v="1098000"/>
    <n v="11732952"/>
    <n v="23646574"/>
    <n v="43125000"/>
    <n v="0.54832635362318838"/>
    <x v="1"/>
    <n v="24"/>
    <s v="IPS Pto De Vista Molinos"/>
    <s v="Antioquia"/>
    <s v="Cumple"/>
    <n v="50"/>
    <n v="5872656"/>
    <n v="124"/>
    <n v="13788180"/>
    <n v="110"/>
    <n v="11732952"/>
    <n v="5083738"/>
    <m/>
  </r>
  <r>
    <n v="2"/>
    <x v="37"/>
    <x v="3"/>
    <s v="Febrero"/>
    <s v="ASTRTAAR"/>
    <x v="80"/>
    <x v="80"/>
    <n v="41056711"/>
    <n v="552000"/>
    <n v="10448998"/>
    <n v="30055713"/>
    <n v="43125000"/>
    <n v="0.69694406956521737"/>
    <x v="1"/>
    <n v="24"/>
    <s v="IPS Pto De Vista Molinos"/>
    <s v="Antioquia"/>
    <s v="Fluctúa"/>
    <n v="63"/>
    <n v="6974119"/>
    <n v="158"/>
    <n v="17943119"/>
    <n v="106"/>
    <n v="10448998"/>
    <n v="5690475"/>
    <m/>
  </r>
  <r>
    <n v="2"/>
    <x v="37"/>
    <x v="3"/>
    <s v="Febrero"/>
    <s v="JUANVALN"/>
    <x v="86"/>
    <x v="86"/>
    <n v="27783812"/>
    <n v="1090200"/>
    <n v="7374230"/>
    <n v="19319382"/>
    <n v="43125000"/>
    <n v="0.4479856695652174"/>
    <x v="1"/>
    <n v="24"/>
    <s v="IPS Pto De Vista Molinos"/>
    <s v="Antioquia"/>
    <s v="Cumple"/>
    <n v="40"/>
    <n v="4771131"/>
    <n v="94"/>
    <n v="10959997"/>
    <n v="76"/>
    <n v="7374230"/>
    <n v="4678454"/>
    <m/>
  </r>
  <r>
    <n v="2"/>
    <x v="37"/>
    <x v="3"/>
    <s v="Febrero"/>
    <s v="LILACARA"/>
    <x v="19"/>
    <x v="17"/>
    <n v="58019330"/>
    <n v="1396200"/>
    <n v="11952065"/>
    <n v="44671065"/>
    <n v="43125000"/>
    <n v="1.0358507826086956"/>
    <x v="1"/>
    <n v="24"/>
    <s v="IPS Pto De Vista Molinos"/>
    <s v="Antioquia"/>
    <s v="Cumple"/>
    <n v="86"/>
    <n v="10764810"/>
    <n v="218"/>
    <n v="28403162"/>
    <n v="119"/>
    <n v="11952065"/>
    <n v="6899293"/>
    <m/>
  </r>
  <r>
    <n v="2"/>
    <x v="37"/>
    <x v="3"/>
    <s v="Febrero"/>
    <s v="LIZEGASA"/>
    <x v="81"/>
    <x v="81"/>
    <n v="35361404"/>
    <n v="0"/>
    <n v="6104835"/>
    <n v="29256569"/>
    <n v="28500000"/>
    <n v="1.0265462807017545"/>
    <x v="1"/>
    <n v="24"/>
    <s v="IPS Punto de Vista Mayorca"/>
    <s v="Antioquia"/>
    <s v="Cumple"/>
    <n v="58"/>
    <n v="7965972"/>
    <n v="140"/>
    <n v="17297446"/>
    <n v="63"/>
    <n v="6104835"/>
    <n v="3993151"/>
    <m/>
  </r>
  <r>
    <n v="2"/>
    <x v="37"/>
    <x v="3"/>
    <s v="Febrero"/>
    <s v="SUANHECO"/>
    <x v="58"/>
    <x v="58"/>
    <n v="60062942"/>
    <n v="1185200"/>
    <n v="10787429"/>
    <n v="48090313"/>
    <n v="43125000"/>
    <n v="1.1151376927536232"/>
    <x v="1"/>
    <n v="24"/>
    <s v="IPS Pto De Vista Molinos"/>
    <s v="Antioquia"/>
    <s v="Fluctúa"/>
    <n v="86"/>
    <n v="9687055"/>
    <n v="211"/>
    <n v="32058295"/>
    <n v="115"/>
    <n v="10787429"/>
    <n v="7530163"/>
    <m/>
  </r>
  <r>
    <n v="2"/>
    <x v="37"/>
    <x v="3"/>
    <s v="Febrero"/>
    <s v="ZULYARGA"/>
    <x v="34"/>
    <x v="31"/>
    <n v="33013530"/>
    <n v="910200"/>
    <n v="9068638"/>
    <n v="23034692"/>
    <n v="33750000"/>
    <n v="0.68250939259259258"/>
    <x v="1"/>
    <n v="24"/>
    <s v="IPS Pto De Vista Molinos"/>
    <s v="Antioquia"/>
    <n v="0"/>
    <n v="52"/>
    <n v="4639170"/>
    <n v="126"/>
    <n v="14982466"/>
    <n v="92"/>
    <n v="9068638"/>
    <n v="4323256"/>
    <m/>
  </r>
  <r>
    <n v="2"/>
    <x v="37"/>
    <x v="3"/>
    <s v="Febrero"/>
    <s v="BIBIBECA"/>
    <x v="6"/>
    <x v="6"/>
    <n v="60517696"/>
    <n v="964980"/>
    <n v="13929136"/>
    <n v="45623580"/>
    <n v="44000000"/>
    <n v="1.0368995454545455"/>
    <x v="1"/>
    <n v="24"/>
    <s v="IPS Pto De Vista Centro"/>
    <s v="Antioquia"/>
    <s v="Fluctúa"/>
    <n v="101"/>
    <n v="10690809"/>
    <n v="260"/>
    <n v="30857580"/>
    <n v="140"/>
    <n v="13929136"/>
    <n v="5040171"/>
    <m/>
  </r>
  <r>
    <n v="2"/>
    <x v="37"/>
    <x v="3"/>
    <s v="Febrero"/>
    <s v="CLAUBLAR"/>
    <x v="9"/>
    <x v="8"/>
    <n v="65187698"/>
    <n v="2256300"/>
    <n v="13513154"/>
    <n v="49418244"/>
    <n v="44000000"/>
    <n v="1.1231419090909092"/>
    <x v="1"/>
    <n v="24"/>
    <s v="IPS Pto De Vista Centro"/>
    <s v="Antioquia"/>
    <s v="Fluctúa"/>
    <n v="82"/>
    <n v="9882835"/>
    <n v="212"/>
    <n v="32229920"/>
    <n v="134"/>
    <n v="13513154"/>
    <n v="9561789"/>
    <m/>
  </r>
  <r>
    <n v="2"/>
    <x v="37"/>
    <x v="3"/>
    <s v="Febrero"/>
    <s v="HERIRORO"/>
    <x v="52"/>
    <x v="52"/>
    <n v="34757141"/>
    <n v="1391100"/>
    <n v="10168478"/>
    <n v="23197563"/>
    <n v="44000000"/>
    <n v="0.52721734090909089"/>
    <x v="1"/>
    <n v="24"/>
    <s v="IPS Pto De Vista Centro"/>
    <s v="Antioquia"/>
    <s v="Siempre Cumple"/>
    <n v="59"/>
    <n v="6127189"/>
    <n v="142"/>
    <n v="12943613"/>
    <n v="102"/>
    <n v="10168478"/>
    <n v="5517861"/>
    <m/>
  </r>
  <r>
    <n v="2"/>
    <x v="37"/>
    <x v="3"/>
    <s v="Febrero"/>
    <s v="MARGGAPA"/>
    <x v="22"/>
    <x v="20"/>
    <n v="43445082"/>
    <n v="1352400"/>
    <n v="9003277"/>
    <n v="33089405"/>
    <n v="27500000"/>
    <n v="1.203251090909091"/>
    <x v="1"/>
    <n v="24"/>
    <s v="IPS Pto De Vista Centro"/>
    <s v="Antioquia"/>
    <s v="Fluctúa"/>
    <n v="70"/>
    <n v="8274160"/>
    <n v="186"/>
    <n v="21080421"/>
    <n v="95"/>
    <n v="9003277"/>
    <n v="5087224"/>
    <m/>
  </r>
  <r>
    <n v="2"/>
    <x v="37"/>
    <x v="3"/>
    <s v="Febrero"/>
    <s v="MARIHIRO"/>
    <x v="76"/>
    <x v="76"/>
    <n v="35757602"/>
    <n v="1882200"/>
    <n v="12223553"/>
    <n v="21651849"/>
    <n v="44000000"/>
    <n v="0.49208747727272728"/>
    <x v="1"/>
    <n v="24"/>
    <s v="IPS Pto De Vista Centro"/>
    <s v="Antioquia"/>
    <s v="No Cumple"/>
    <n v="51"/>
    <n v="4595348"/>
    <n v="130"/>
    <n v="13412780"/>
    <n v="127"/>
    <n v="12223553"/>
    <n v="5525921"/>
    <m/>
  </r>
  <r>
    <n v="2"/>
    <x v="37"/>
    <x v="3"/>
    <s v="Febrero"/>
    <s v="SANDCAAC"/>
    <x v="75"/>
    <x v="75"/>
    <n v="55854703"/>
    <n v="1486200"/>
    <n v="8993342"/>
    <n v="45375161"/>
    <n v="44000000"/>
    <n v="1.0312536590909092"/>
    <x v="1"/>
    <n v="24"/>
    <s v="IPS Pto De Vista Centro"/>
    <s v="Antioquia"/>
    <s v="Fluctúa"/>
    <n v="84"/>
    <n v="9260054"/>
    <n v="198"/>
    <n v="29816543"/>
    <n v="92"/>
    <n v="8993342"/>
    <n v="7784764"/>
    <m/>
  </r>
  <r>
    <n v="2"/>
    <x v="37"/>
    <x v="3"/>
    <s v="Febrero"/>
    <s v="YENISIGI"/>
    <x v="64"/>
    <x v="64"/>
    <n v="28251306"/>
    <n v="1365300"/>
    <n v="5247018"/>
    <n v="21638988"/>
    <n v="20166666.666666664"/>
    <n v="1.0730076694214878"/>
    <x v="1"/>
    <n v="24"/>
    <s v="IPS Pto De Vista Centro"/>
    <s v="Antioquia"/>
    <s v="Fluctúa"/>
    <n v="38"/>
    <n v="3585585"/>
    <n v="113"/>
    <n v="15193743"/>
    <n v="54"/>
    <n v="5247018"/>
    <n v="4224960"/>
    <m/>
  </r>
  <r>
    <n v="2"/>
    <x v="37"/>
    <x v="3"/>
    <s v="Febrero"/>
    <s v="NATAPIDU"/>
    <x v="28"/>
    <x v="25"/>
    <n v="61563450"/>
    <n v="432810"/>
    <n v="8133270"/>
    <n v="52997370"/>
    <n v="40000000"/>
    <n v="1.3249342500000001"/>
    <x v="1"/>
    <n v="24"/>
    <s v="IPS Pto De Vista Industriales"/>
    <s v="Antioquia"/>
    <s v="Cumple"/>
    <n v="52"/>
    <n v="10403634"/>
    <n v="158"/>
    <n v="37899300"/>
    <n v="86"/>
    <n v="8133270"/>
    <n v="5127246"/>
    <m/>
  </r>
  <r>
    <n v="2"/>
    <x v="37"/>
    <x v="3"/>
    <s v="Febrero"/>
    <s v="ALVAOSOS"/>
    <x v="36"/>
    <x v="37"/>
    <n v="62730752"/>
    <n v="442200"/>
    <n v="9744031"/>
    <n v="52544521"/>
    <n v="46000000"/>
    <n v="1.142272195652174"/>
    <x v="1"/>
    <n v="24"/>
    <s v="IPS Pto De Vista Punto Clave"/>
    <s v="Antioquia"/>
    <s v="Siempre Cumple"/>
    <n v="93"/>
    <n v="9398579"/>
    <n v="210"/>
    <n v="33440225"/>
    <n v="101"/>
    <n v="9744031"/>
    <n v="10147917"/>
    <m/>
  </r>
  <r>
    <n v="2"/>
    <x v="37"/>
    <x v="3"/>
    <s v="Febrero"/>
    <s v="CARORAMN"/>
    <x v="61"/>
    <x v="61"/>
    <n v="58042412"/>
    <n v="641000"/>
    <n v="10788556"/>
    <n v="46612856"/>
    <n v="46000000"/>
    <n v="1.0133229565217392"/>
    <x v="1"/>
    <n v="24"/>
    <s v="IPS Pto De Vista Punto Clave"/>
    <s v="Antioquia"/>
    <s v="No Cumple"/>
    <n v="91"/>
    <n v="8818028"/>
    <n v="243"/>
    <n v="29642123"/>
    <n v="114"/>
    <n v="10788556"/>
    <n v="8793705"/>
    <m/>
  </r>
  <r>
    <n v="2"/>
    <x v="37"/>
    <x v="3"/>
    <s v="Febrero"/>
    <s v="CINDGACU"/>
    <x v="55"/>
    <x v="55"/>
    <n v="27420891"/>
    <n v="1188000"/>
    <n v="5056468"/>
    <n v="21176423"/>
    <n v="20000000"/>
    <n v="1.05882115"/>
    <x v="1"/>
    <n v="24"/>
    <s v="IPS Pto De Vista San Diego"/>
    <s v="Antioquia"/>
    <s v="Siempre Cumple"/>
    <n v="44"/>
    <n v="3946126"/>
    <n v="136"/>
    <n v="15462227"/>
    <n v="44"/>
    <n v="5056468"/>
    <n v="2956070"/>
    <m/>
  </r>
  <r>
    <n v="2"/>
    <x v="37"/>
    <x v="3"/>
    <s v="Febrero"/>
    <s v="GENNHEPO"/>
    <x v="16"/>
    <x v="14"/>
    <n v="24110598"/>
    <n v="954000"/>
    <n v="5016169"/>
    <n v="18140429"/>
    <n v="11500000"/>
    <n v="1.5774286086956522"/>
    <x v="1"/>
    <n v="24"/>
    <s v="IPS Pto De Vista Punto Clave"/>
    <s v="Antioquia"/>
    <s v="Fluctúa"/>
    <n v="37"/>
    <n v="3295727"/>
    <n v="108"/>
    <n v="12690739"/>
    <n v="51"/>
    <n v="5016169"/>
    <n v="3107963"/>
    <m/>
  </r>
  <r>
    <n v="2"/>
    <x v="37"/>
    <x v="3"/>
    <s v="Febrero"/>
    <s v="LEIDGOVI"/>
    <x v="39"/>
    <x v="39"/>
    <n v="61670734"/>
    <n v="906000"/>
    <n v="9702716"/>
    <n v="51062018"/>
    <n v="46000000"/>
    <n v="1.1100438695652175"/>
    <x v="1"/>
    <n v="24"/>
    <s v="IPS Pto De Vista Punto Clave"/>
    <s v="Antioquia"/>
    <s v="Fluctúa"/>
    <n v="89"/>
    <n v="9734799"/>
    <n v="232"/>
    <n v="33735672"/>
    <n v="106"/>
    <n v="9702716"/>
    <n v="8497547"/>
    <m/>
  </r>
  <r>
    <n v="2"/>
    <x v="37"/>
    <x v="3"/>
    <s v="Febrero"/>
    <s v="LEIDPAPA"/>
    <x v="72"/>
    <x v="72"/>
    <n v="59232491"/>
    <n v="966900"/>
    <n v="10730531"/>
    <n v="47535060"/>
    <n v="43000000"/>
    <n v="1.105466511627907"/>
    <x v="1"/>
    <n v="24"/>
    <s v="IPS Pto De Vista Punto Clave"/>
    <s v="Antioquia"/>
    <s v="Siempre Cumple"/>
    <n v="85"/>
    <n v="10522101"/>
    <n v="208"/>
    <n v="30962067"/>
    <n v="115"/>
    <n v="10730531"/>
    <n v="7017792"/>
    <m/>
  </r>
  <r>
    <n v="2"/>
    <x v="37"/>
    <x v="3"/>
    <s v="Febrero"/>
    <s v="YENYSUPE"/>
    <x v="51"/>
    <x v="51"/>
    <n v="59643113"/>
    <n v="455100"/>
    <n v="12771838"/>
    <n v="46416175"/>
    <n v="46000000"/>
    <n v="1.0090472826086956"/>
    <x v="1"/>
    <n v="24"/>
    <s v="IPS Pto De Vista Punto Clave"/>
    <s v="Antioquia"/>
    <s v="Cumple"/>
    <n v="96"/>
    <n v="9043540"/>
    <n v="254"/>
    <n v="27872276"/>
    <n v="132"/>
    <n v="12771838"/>
    <n v="9955459"/>
    <m/>
  </r>
  <r>
    <n v="2"/>
    <x v="37"/>
    <x v="3"/>
    <s v="Febrero"/>
    <s v="YURAUSVE"/>
    <x v="56"/>
    <x v="56"/>
    <n v="60415521"/>
    <n v="0"/>
    <n v="12423811"/>
    <n v="47991710"/>
    <n v="46000000"/>
    <n v="1.0432980434782608"/>
    <x v="1"/>
    <n v="24"/>
    <s v="IPS Pto De Vista Punto Clave"/>
    <s v="Antioquia"/>
    <n v="0"/>
    <n v="104"/>
    <n v="11366365"/>
    <n v="256"/>
    <n v="29526993"/>
    <n v="133"/>
    <n v="12423811"/>
    <n v="7098352"/>
    <m/>
  </r>
  <r>
    <n v="2"/>
    <x v="37"/>
    <x v="3"/>
    <s v="Febrero"/>
    <s v="ANAMLOBE"/>
    <x v="3"/>
    <x v="3"/>
    <n v="70074625"/>
    <n v="486000"/>
    <n v="10989157"/>
    <n v="58599468"/>
    <n v="45000000"/>
    <n v="1.3022104000000001"/>
    <x v="1"/>
    <n v="24"/>
    <s v="IPS Pto De Vista Unicentro"/>
    <s v="Antioquia"/>
    <s v="Siempre Cumple"/>
    <n v="96"/>
    <n v="10445569"/>
    <n v="233"/>
    <n v="41697176"/>
    <n v="110"/>
    <n v="10892976"/>
    <n v="7038904"/>
    <m/>
  </r>
  <r>
    <n v="2"/>
    <x v="37"/>
    <x v="3"/>
    <s v="Febrero"/>
    <s v="ELIZVESU"/>
    <x v="15"/>
    <x v="13"/>
    <n v="52889436"/>
    <n v="1149300"/>
    <n v="11568143"/>
    <n v="40171993"/>
    <n v="33750000"/>
    <n v="1.190281274074074"/>
    <x v="1"/>
    <n v="24"/>
    <s v="IPS Pto De Vista Unicentro"/>
    <s v="Antioquia"/>
    <s v="Fluctúa"/>
    <n v="83"/>
    <n v="8210719"/>
    <n v="192"/>
    <n v="27446346"/>
    <n v="129"/>
    <n v="11568143"/>
    <n v="5664228"/>
    <m/>
  </r>
  <r>
    <n v="2"/>
    <x v="37"/>
    <x v="3"/>
    <s v="Febrero"/>
    <s v="VIVIVAZA"/>
    <x v="33"/>
    <x v="30"/>
    <n v="73968589"/>
    <n v="1036980"/>
    <n v="13106318"/>
    <n v="59825291"/>
    <n v="45000000"/>
    <n v="1.329450911111111"/>
    <x v="1"/>
    <n v="24"/>
    <s v="IPS Pto De Vista Unicentro"/>
    <s v="Antioquia"/>
    <s v="Cumple"/>
    <n v="96"/>
    <n v="10298669"/>
    <n v="266"/>
    <n v="42902447"/>
    <n v="146"/>
    <n v="13106318"/>
    <n v="7661155"/>
    <m/>
  </r>
  <r>
    <n v="2"/>
    <x v="37"/>
    <x v="3"/>
    <s v="Febrero"/>
    <s v="ANGEGAAR"/>
    <x v="4"/>
    <x v="4"/>
    <n v="19823194"/>
    <n v="0"/>
    <n v="4069740"/>
    <n v="15753454"/>
    <n v="14366666.666666666"/>
    <n v="1.096528120649652"/>
    <x v="1"/>
    <n v="24"/>
    <s v="IPS Pto De Vista San Diego"/>
    <s v="Antioquia"/>
    <s v="Fluctúa"/>
    <n v="30"/>
    <n v="3606656"/>
    <n v="71"/>
    <n v="9497056"/>
    <n v="42"/>
    <n v="4069740"/>
    <n v="2649742"/>
    <m/>
  </r>
  <r>
    <n v="2"/>
    <x v="37"/>
    <x v="3"/>
    <s v="Febrero"/>
    <s v="ERIKSAVA"/>
    <x v="44"/>
    <x v="44"/>
    <n v="8161990"/>
    <n v="0"/>
    <n v="2929034"/>
    <n v="5232956"/>
    <n v="31666666.666666668"/>
    <n v="0.16525124210526315"/>
    <x v="1"/>
    <n v="24"/>
    <s v="IPS Pto De Vista San Diego"/>
    <s v="Antioquia"/>
    <s v="No Cumple"/>
    <n v="8"/>
    <n v="814872"/>
    <n v="28"/>
    <n v="3795684"/>
    <n v="38"/>
    <n v="2929034"/>
    <n v="622400"/>
    <m/>
  </r>
  <r>
    <n v="2"/>
    <x v="37"/>
    <x v="3"/>
    <s v="Febrero"/>
    <s v="MARIMASA"/>
    <x v="23"/>
    <x v="34"/>
    <n v="19976650"/>
    <n v="468000"/>
    <n v="2628534"/>
    <n v="16880116"/>
    <n v="10000000"/>
    <n v="1.6880116000000001"/>
    <x v="1"/>
    <n v="24"/>
    <s v="IPS Pto De Vista San Diego"/>
    <s v="Antioquia"/>
    <s v="Siempre Cumple"/>
    <n v="32"/>
    <n v="3286679"/>
    <n v="82"/>
    <n v="12243778"/>
    <n v="30"/>
    <n v="2628534"/>
    <n v="1817659"/>
    <m/>
  </r>
  <r>
    <n v="2"/>
    <x v="37"/>
    <x v="3"/>
    <s v="Febrero"/>
    <s v="NATAVAMO"/>
    <x v="63"/>
    <x v="63"/>
    <n v="39847082"/>
    <n v="1396200"/>
    <n v="10590075"/>
    <n v="27860807"/>
    <n v="44708333.333333336"/>
    <n v="0.62316809692451069"/>
    <x v="1"/>
    <n v="24"/>
    <s v="IPS Pto De Vista Molinos"/>
    <s v="Antioquia"/>
    <s v="Siempre Cumple"/>
    <n v="72"/>
    <n v="6792775"/>
    <n v="184"/>
    <n v="16863333"/>
    <n v="111"/>
    <n v="10309357"/>
    <n v="5881617"/>
    <m/>
  </r>
  <r>
    <n v="2"/>
    <x v="37"/>
    <x v="3"/>
    <s v="Febrero"/>
    <s v="NOREARMA"/>
    <x v="66"/>
    <x v="66"/>
    <n v="50912593"/>
    <n v="648000"/>
    <n v="8400921"/>
    <n v="41863672"/>
    <n v="40000000"/>
    <n v="1.0465918000000001"/>
    <x v="1"/>
    <n v="24"/>
    <s v="IPS Pto De Vista San Diego"/>
    <s v="Antioquia"/>
    <s v="Fluctúa"/>
    <n v="73"/>
    <n v="9519416"/>
    <n v="191"/>
    <n v="27530183"/>
    <n v="93"/>
    <n v="8400921"/>
    <n v="5462073"/>
    <m/>
  </r>
  <r>
    <n v="2"/>
    <x v="37"/>
    <x v="3"/>
    <s v="Febrero"/>
    <s v="VIVIRUAL"/>
    <x v="82"/>
    <x v="82"/>
    <n v="23891603"/>
    <n v="1728000"/>
    <n v="6398789"/>
    <n v="15764814"/>
    <n v="40000000"/>
    <n v="0.39412035000000001"/>
    <x v="1"/>
    <n v="24"/>
    <s v="IPS Pto De Vista San Diego"/>
    <s v="Antioquia"/>
    <s v="Fluctúa"/>
    <n v="36"/>
    <n v="4265847"/>
    <n v="78"/>
    <n v="8245375"/>
    <n v="67"/>
    <n v="6398789"/>
    <n v="4981592"/>
    <m/>
  </r>
  <r>
    <n v="2"/>
    <x v="37"/>
    <x v="3"/>
    <s v="Febrero"/>
    <s v="ANDRSAZA"/>
    <x v="45"/>
    <x v="45"/>
    <n v="27074183"/>
    <n v="889200"/>
    <n v="4326553"/>
    <n v="21858430"/>
    <n v="18145833.333333332"/>
    <n v="1.2045977497129736"/>
    <x v="1"/>
    <n v="24"/>
    <s v="IPS Pto De Vista Santa Bárbara"/>
    <s v="Centro"/>
    <s v="Cumple"/>
    <n v="47"/>
    <n v="4989931"/>
    <n v="136"/>
    <n v="15464814"/>
    <n v="57"/>
    <n v="4326553"/>
    <n v="2292885"/>
    <m/>
  </r>
  <r>
    <n v="2"/>
    <x v="37"/>
    <x v="3"/>
    <s v="Febrero"/>
    <s v="CHRIVERO"/>
    <x v="83"/>
    <x v="83"/>
    <n v="44988959"/>
    <n v="1857900"/>
    <n v="8134399"/>
    <n v="34996660"/>
    <n v="32104166.666666664"/>
    <n v="1.0900971317326413"/>
    <x v="1"/>
    <n v="24"/>
    <s v="IPS Pto De Vista Santa Bárbara"/>
    <s v="Centro"/>
    <s v="Fluctúa"/>
    <n v="63"/>
    <n v="6583183"/>
    <n v="204"/>
    <n v="26799854"/>
    <n v="111"/>
    <n v="8134399"/>
    <n v="3471523"/>
    <m/>
  </r>
  <r>
    <n v="2"/>
    <x v="37"/>
    <x v="3"/>
    <s v="Febrero"/>
    <s v="ISABMOGO"/>
    <x v="17"/>
    <x v="15"/>
    <n v="43414995"/>
    <n v="1036800"/>
    <n v="6350812"/>
    <n v="36027383"/>
    <n v="30354166.666666664"/>
    <n v="1.1869007439945094"/>
    <x v="1"/>
    <n v="24"/>
    <s v="IPS Pto De Vista Santa Bárbara"/>
    <s v="Centro"/>
    <s v="No Cumple"/>
    <n v="80"/>
    <n v="9492488"/>
    <n v="208"/>
    <n v="23501115"/>
    <n v="94"/>
    <n v="6350812"/>
    <n v="4070580"/>
    <m/>
  </r>
  <r>
    <n v="2"/>
    <x v="37"/>
    <x v="3"/>
    <s v="Febrero"/>
    <s v="CAMIPUHE"/>
    <x v="53"/>
    <x v="53"/>
    <n v="38285703"/>
    <n v="421200"/>
    <n v="3223550"/>
    <n v="34640953"/>
    <n v="13750000"/>
    <n v="2.5193420363636365"/>
    <x v="1"/>
    <n v="24"/>
    <s v="IPS Pto De Vista SSura Clle100"/>
    <s v="Centro"/>
    <s v="Cumple"/>
    <n v="42"/>
    <n v="5838152"/>
    <n v="138"/>
    <n v="25645566"/>
    <n v="38"/>
    <n v="3223550"/>
    <n v="3578435"/>
    <m/>
  </r>
  <r>
    <n v="2"/>
    <x v="37"/>
    <x v="3"/>
    <s v="Febrero"/>
    <s v="ROCIFASA"/>
    <x v="31"/>
    <x v="28"/>
    <n v="44234029"/>
    <n v="3402180"/>
    <n v="3929649"/>
    <n v="36902200"/>
    <n v="33916666.666666672"/>
    <n v="1.0880255528255527"/>
    <x v="1"/>
    <n v="24"/>
    <s v="Optica Salud Sura Chipichape"/>
    <s v="Occidente"/>
    <s v="Cumple"/>
    <n v="56"/>
    <n v="8682429"/>
    <n v="170"/>
    <n v="24384045"/>
    <n v="47"/>
    <n v="3929649"/>
    <n v="7237906"/>
    <m/>
  </r>
  <r>
    <n v="2"/>
    <x v="37"/>
    <x v="3"/>
    <s v="Febrero"/>
    <s v="TATIRITR"/>
    <x v="60"/>
    <x v="60"/>
    <n v="24414499"/>
    <n v="403200"/>
    <n v="2810391"/>
    <n v="21200908"/>
    <n v="7750000"/>
    <n v="2.7356010322580646"/>
    <x v="1"/>
    <n v="24"/>
    <s v="Punto de Vista Cali Norte"/>
    <s v="Occidente"/>
    <s v="No Cumple"/>
    <n v="35"/>
    <n v="4536059"/>
    <n v="108"/>
    <n v="14595441"/>
    <n v="29"/>
    <n v="2810391"/>
    <n v="2472608"/>
    <m/>
  </r>
  <r>
    <n v="2"/>
    <x v="37"/>
    <x v="3"/>
    <s v="Febrero"/>
    <s v="HEIDVAVI"/>
    <x v="73"/>
    <x v="73"/>
    <n v="38547837"/>
    <n v="0"/>
    <n v="7685499"/>
    <n v="30862338"/>
    <n v="26333333.333333332"/>
    <n v="1.1719875189873419"/>
    <x v="1"/>
    <n v="24"/>
    <s v="Punto de Vista Cali Norte"/>
    <s v="Occidente"/>
    <s v="Siempre Cumple"/>
    <n v="58"/>
    <n v="7680761"/>
    <n v="185"/>
    <n v="21441960"/>
    <n v="91"/>
    <n v="7685499"/>
    <n v="1739617"/>
    <m/>
  </r>
  <r>
    <n v="2"/>
    <x v="37"/>
    <x v="3"/>
    <s v="Febrero"/>
    <s v="DANYLESE"/>
    <x v="79"/>
    <x v="79"/>
    <n v="45635968"/>
    <n v="0"/>
    <n v="10677478"/>
    <n v="34958490"/>
    <n v="31000000"/>
    <n v="1.1276932258064516"/>
    <x v="1"/>
    <n v="24"/>
    <s v="Punto de Vista Cali Norte"/>
    <s v="Occidente"/>
    <s v="Cumple"/>
    <n v="74"/>
    <n v="7626092"/>
    <n v="206"/>
    <n v="23509892"/>
    <n v="118"/>
    <n v="10677478"/>
    <n v="3822506"/>
    <m/>
  </r>
  <r>
    <n v="2"/>
    <x v="37"/>
    <x v="3"/>
    <s v="Febrero"/>
    <s v="JOSEVAPR"/>
    <x v="87"/>
    <x v="87"/>
    <n v="74108760"/>
    <n v="0"/>
    <n v="17746844"/>
    <n v="56361916"/>
    <n v="31000000"/>
    <n v="1.8181263225806452"/>
    <x v="1"/>
    <n v="24"/>
    <s v="Punto de Vista Cali Norte"/>
    <s v="Occidente"/>
    <s v="Fluctúa"/>
    <n v="95"/>
    <n v="10969096"/>
    <n v="286"/>
    <n v="41475122"/>
    <n v="190"/>
    <n v="17520244"/>
    <n v="4144298"/>
    <m/>
  </r>
  <r>
    <n v="2"/>
    <x v="37"/>
    <x v="3"/>
    <s v="Febrero"/>
    <s v="LEIDCAOR"/>
    <x v="71"/>
    <x v="71"/>
    <n v="21664030"/>
    <n v="468000"/>
    <n v="6990871"/>
    <n v="14205159"/>
    <n v="28500000"/>
    <n v="0.49842663157894734"/>
    <x v="1"/>
    <n v="24"/>
    <s v="IPS Punto de Vista Mayorca"/>
    <s v="Antioquia"/>
    <s v="Fluctúa"/>
    <n v="42"/>
    <n v="4114626"/>
    <n v="90"/>
    <n v="8791525"/>
    <n v="81"/>
    <n v="6990871"/>
    <n v="1767008"/>
    <m/>
  </r>
  <r>
    <n v="2"/>
    <x v="37"/>
    <x v="3"/>
    <s v="Febrero"/>
    <s v="LUZNHEGO"/>
    <x v="21"/>
    <x v="19"/>
    <n v="36828556"/>
    <n v="1044000"/>
    <n v="7162569"/>
    <n v="28621987"/>
    <n v="28500000"/>
    <n v="1.0042802456140352"/>
    <x v="1"/>
    <n v="24"/>
    <s v="IPS Punto de Vista Mayorca"/>
    <s v="Antioquia"/>
    <s v="Siempre Cumple"/>
    <n v="65"/>
    <n v="7042985"/>
    <n v="154"/>
    <n v="17850967"/>
    <n v="85"/>
    <n v="7162569"/>
    <n v="4772035"/>
    <m/>
  </r>
  <r>
    <n v="2"/>
    <x v="37"/>
    <x v="3"/>
    <s v="Febrero"/>
    <s v="MAKEBEVA"/>
    <x v="85"/>
    <x v="85"/>
    <n v="36738041"/>
    <n v="468000"/>
    <n v="6737219"/>
    <n v="29532822"/>
    <n v="28500000"/>
    <n v="1.0362393684210527"/>
    <x v="1"/>
    <n v="24"/>
    <s v="IPS Punto de Vista Mayorca"/>
    <s v="Antioquia"/>
    <s v="Cumple"/>
    <n v="71"/>
    <n v="7338478"/>
    <n v="158"/>
    <n v="18719629"/>
    <n v="77"/>
    <n v="6737219"/>
    <n v="3942715"/>
    <m/>
  </r>
  <r>
    <n v="2"/>
    <x v="37"/>
    <x v="3"/>
    <s v="Febrero"/>
    <s v="MILEQUOL"/>
    <x v="78"/>
    <x v="78"/>
    <n v="36557317"/>
    <n v="0"/>
    <n v="7455621"/>
    <n v="29101696"/>
    <n v="28500000"/>
    <n v="1.0211121403508772"/>
    <x v="1"/>
    <n v="24"/>
    <s v="IPS Punto de Vista Mayorca"/>
    <s v="Antioquia"/>
    <s v="Siempre Cumple"/>
    <n v="63"/>
    <n v="6695260"/>
    <n v="141"/>
    <n v="18647818"/>
    <n v="81"/>
    <n v="7455621"/>
    <n v="3758618"/>
    <m/>
  </r>
  <r>
    <n v="2"/>
    <x v="37"/>
    <x v="3"/>
    <s v="Febrero"/>
    <s v="ANGISEBR"/>
    <x v="70"/>
    <x v="70"/>
    <n v="39437596"/>
    <n v="604200"/>
    <n v="8668119"/>
    <n v="30165277"/>
    <n v="28500000"/>
    <n v="1.0584307719298245"/>
    <x v="1"/>
    <n v="24"/>
    <s v="Punto de Vista Tequendama"/>
    <s v="Occidente"/>
    <s v="No Cumple"/>
    <n v="62"/>
    <n v="6741944"/>
    <n v="173"/>
    <n v="19861317"/>
    <n v="93"/>
    <n v="8668119"/>
    <n v="4166216"/>
    <m/>
  </r>
  <r>
    <n v="2"/>
    <x v="37"/>
    <x v="3"/>
    <s v="Febrero"/>
    <s v="AURACAMO"/>
    <x v="84"/>
    <x v="84"/>
    <n v="36203627"/>
    <n v="442200"/>
    <n v="7764024"/>
    <n v="27997403"/>
    <n v="28500000"/>
    <n v="0.98236501754385963"/>
    <x v="1"/>
    <n v="24"/>
    <s v="Punto de Vista Tequendama"/>
    <s v="Occidente"/>
    <s v="Siempre Cumple"/>
    <n v="49"/>
    <n v="5644335"/>
    <n v="160"/>
    <n v="19171877"/>
    <n v="88"/>
    <n v="7764024"/>
    <n v="3623391"/>
    <m/>
  </r>
  <r>
    <n v="2"/>
    <x v="37"/>
    <x v="3"/>
    <s v="Febrero"/>
    <s v="PAOLPACA"/>
    <x v="47"/>
    <x v="47"/>
    <n v="42040372"/>
    <n v="0"/>
    <n v="8881135"/>
    <n v="33159237"/>
    <n v="28500000"/>
    <n v="1.1634819999999999"/>
    <x v="1"/>
    <n v="24"/>
    <s v="Punto de Vista Tequendama"/>
    <s v="Occidente"/>
    <s v="Siempre Cumple"/>
    <n v="76"/>
    <n v="8052327"/>
    <n v="204"/>
    <n v="23164895"/>
    <n v="99"/>
    <n v="8881135"/>
    <n v="1942015"/>
    <m/>
  </r>
  <r>
    <n v="2"/>
    <x v="37"/>
    <x v="3"/>
    <s v="Febrero"/>
    <s v="ALCIPANA"/>
    <x v="88"/>
    <x v="88"/>
    <n v="16926301"/>
    <n v="0"/>
    <n v="4382204"/>
    <n v="12544097"/>
    <n v="26520833.333333332"/>
    <n v="0.47299030322073843"/>
    <x v="1"/>
    <n v="24"/>
    <s v="IPS Pto De Vista Santa Bárbara"/>
    <s v="Centro"/>
    <s v="No Cumple"/>
    <n v="26"/>
    <n v="2828054"/>
    <n v="78"/>
    <n v="9481435"/>
    <n v="60"/>
    <n v="4382204"/>
    <n v="234608"/>
    <m/>
  </r>
  <r>
    <n v="2"/>
    <x v="37"/>
    <x v="3"/>
    <s v="Febrero"/>
    <s v="ALEXROBR"/>
    <x v="37"/>
    <x v="7"/>
    <n v="4332410"/>
    <n v="0"/>
    <n v="1961381"/>
    <n v="2371029"/>
    <m/>
    <m/>
    <x v="0"/>
    <n v="24"/>
    <s v=""/>
    <s v=""/>
    <s v="No Aplica"/>
    <n v="6"/>
    <n v="452610"/>
    <n v="20"/>
    <n v="1811816"/>
    <n v="25"/>
    <n v="1961381"/>
    <n v="106603"/>
    <m/>
  </r>
  <r>
    <n v="2"/>
    <x v="37"/>
    <x v="3"/>
    <s v="Febrero"/>
    <s v="ANAKBEZA"/>
    <x v="37"/>
    <x v="7"/>
    <n v="694594"/>
    <n v="0"/>
    <n v="0"/>
    <n v="694594"/>
    <m/>
    <m/>
    <x v="0"/>
    <n v="24"/>
    <s v=""/>
    <s v=""/>
    <s v="No Aplica"/>
    <n v="1"/>
    <n v="153879"/>
    <n v="2"/>
    <n v="540715"/>
    <n v="0"/>
    <n v="0"/>
    <n v="0"/>
    <m/>
  </r>
  <r>
    <n v="2"/>
    <x v="37"/>
    <x v="3"/>
    <s v="Febrero"/>
    <s v="ANAUROCA"/>
    <x v="37"/>
    <x v="7"/>
    <n v="98000"/>
    <n v="0"/>
    <n v="98000"/>
    <n v="0"/>
    <m/>
    <m/>
    <x v="0"/>
    <n v="24"/>
    <s v=""/>
    <s v=""/>
    <s v="No Aplica"/>
    <n v="0"/>
    <n v="0"/>
    <n v="0"/>
    <n v="0"/>
    <n v="0"/>
    <n v="0"/>
    <n v="98000"/>
    <m/>
  </r>
  <r>
    <n v="2"/>
    <x v="37"/>
    <x v="3"/>
    <s v="Febrero"/>
    <s v="DARWHERI"/>
    <x v="37"/>
    <x v="7"/>
    <n v="73601"/>
    <n v="0"/>
    <n v="73601"/>
    <n v="0"/>
    <m/>
    <m/>
    <x v="0"/>
    <n v="24"/>
    <s v=""/>
    <s v=""/>
    <s v="No Aplica"/>
    <n v="0"/>
    <n v="0"/>
    <n v="0"/>
    <n v="0"/>
    <n v="1"/>
    <n v="73601"/>
    <n v="0"/>
    <m/>
  </r>
  <r>
    <n v="2"/>
    <x v="37"/>
    <x v="3"/>
    <s v="Febrero"/>
    <s v="DEISCACR"/>
    <x v="37"/>
    <x v="7"/>
    <n v="17203709"/>
    <n v="1134000"/>
    <n v="5136618"/>
    <n v="10933091"/>
    <m/>
    <m/>
    <x v="0"/>
    <n v="24"/>
    <s v=""/>
    <s v=""/>
    <s v="No Aplica"/>
    <n v="23"/>
    <n v="2676570"/>
    <n v="48"/>
    <n v="6148212"/>
    <n v="56"/>
    <n v="5136618"/>
    <n v="3242309"/>
    <m/>
  </r>
  <r>
    <n v="2"/>
    <x v="37"/>
    <x v="3"/>
    <s v="Febrero"/>
    <s v="HISNOSPI"/>
    <x v="37"/>
    <x v="7"/>
    <n v="221744"/>
    <n v="0"/>
    <n v="0"/>
    <n v="221744"/>
    <m/>
    <m/>
    <x v="0"/>
    <n v="24"/>
    <s v=""/>
    <s v=""/>
    <s v="No Aplica"/>
    <n v="1"/>
    <n v="77143"/>
    <n v="0"/>
    <n v="0"/>
    <n v="0"/>
    <n v="0"/>
    <n v="144601"/>
    <m/>
  </r>
  <r>
    <n v="2"/>
    <x v="37"/>
    <x v="3"/>
    <s v="Febrero"/>
    <s v="MONIARGI"/>
    <x v="37"/>
    <x v="7"/>
    <n v="886020"/>
    <n v="0"/>
    <n v="0"/>
    <n v="886020"/>
    <m/>
    <m/>
    <x v="0"/>
    <n v="24"/>
    <s v=""/>
    <s v=""/>
    <s v="No Aplica"/>
    <n v="2"/>
    <n v="235001"/>
    <n v="4"/>
    <n v="202899"/>
    <n v="0"/>
    <n v="0"/>
    <n v="448120"/>
    <m/>
  </r>
  <r>
    <n v="2"/>
    <x v="37"/>
    <x v="3"/>
    <s v="Febrero"/>
    <s v="OSCADESU"/>
    <x v="37"/>
    <x v="7"/>
    <n v="468000"/>
    <n v="468000"/>
    <n v="0"/>
    <n v="0"/>
    <m/>
    <m/>
    <x v="0"/>
    <n v="24"/>
    <s v=""/>
    <s v=""/>
    <s v="No Aplica"/>
    <n v="0"/>
    <n v="0"/>
    <n v="0"/>
    <n v="0"/>
    <n v="0"/>
    <n v="0"/>
    <n v="468000"/>
    <m/>
  </r>
  <r>
    <n v="2"/>
    <x v="37"/>
    <x v="3"/>
    <s v="Febrero"/>
    <s v="RAULMOGA"/>
    <x v="37"/>
    <x v="7"/>
    <n v="111979"/>
    <n v="0"/>
    <n v="0"/>
    <n v="111979"/>
    <m/>
    <m/>
    <x v="0"/>
    <n v="24"/>
    <s v=""/>
    <s v=""/>
    <s v="No Aplica"/>
    <n v="0"/>
    <n v="0"/>
    <n v="2"/>
    <n v="111979"/>
    <n v="0"/>
    <n v="0"/>
    <n v="0"/>
    <m/>
  </r>
  <r>
    <n v="2"/>
    <x v="37"/>
    <x v="3"/>
    <s v="Febrero"/>
    <s v="(en blanco)"/>
    <x v="37"/>
    <x v="7"/>
    <n v="2721988"/>
    <n v="0"/>
    <n v="0"/>
    <n v="2721988"/>
    <m/>
    <m/>
    <x v="0"/>
    <n v="24"/>
    <s v=""/>
    <s v=""/>
    <s v="No Aplica"/>
    <n v="5"/>
    <n v="589120"/>
    <n v="19"/>
    <n v="924569"/>
    <n v="0"/>
    <n v="0"/>
    <n v="1208299"/>
    <m/>
  </r>
  <r>
    <n v="3"/>
    <x v="38"/>
    <x v="3"/>
    <s v="Marzo"/>
    <s v="HEIDVAVI"/>
    <x v="73"/>
    <x v="73"/>
    <n v="18657107"/>
    <n v="0"/>
    <n v="2958648"/>
    <n v="15698459"/>
    <n v="27640000"/>
    <n v="0.56796161360347319"/>
    <x v="1"/>
    <n v="25"/>
    <s v="Punto de Vista Cali Norte"/>
    <s v="Occidente"/>
    <s v="Siempre Cumple"/>
    <n v="30"/>
    <n v="3892994"/>
    <n v="80"/>
    <n v="10016914"/>
    <m/>
    <m/>
    <n v="4747199"/>
    <m/>
  </r>
  <r>
    <n v="3"/>
    <x v="38"/>
    <x v="3"/>
    <s v="Marzo"/>
    <s v="PAULGOBA"/>
    <x v="35"/>
    <x v="36"/>
    <n v="53603204"/>
    <n v="468000"/>
    <n v="5356821"/>
    <n v="47778383"/>
    <n v="33920000"/>
    <n v="1.4085608195754717"/>
    <x v="1"/>
    <n v="25"/>
    <s v="Ferias Empresariales Antioquia"/>
    <s v="Antioquia"/>
    <s v="Fluctúa"/>
    <n v="77"/>
    <n v="8850699"/>
    <n v="144"/>
    <n v="20704313"/>
    <m/>
    <m/>
    <n v="24048192"/>
    <m/>
  </r>
  <r>
    <n v="3"/>
    <x v="38"/>
    <x v="3"/>
    <s v="Marzo"/>
    <s v="BIBIBECA"/>
    <x v="6"/>
    <x v="6"/>
    <n v="58898179"/>
    <n v="1157100"/>
    <n v="11886128"/>
    <n v="45854951"/>
    <n v="44000000"/>
    <n v="1.0421579772727272"/>
    <x v="1"/>
    <n v="25"/>
    <s v="IPS Pto De Vista Centro"/>
    <s v="Antioquia"/>
    <s v="Fluctúa"/>
    <n v="107"/>
    <n v="11296835"/>
    <n v="263"/>
    <n v="30962767"/>
    <m/>
    <m/>
    <n v="16638577"/>
    <m/>
  </r>
  <r>
    <n v="3"/>
    <x v="38"/>
    <x v="3"/>
    <s v="Marzo"/>
    <s v="CINDGACU"/>
    <x v="55"/>
    <x v="55"/>
    <n v="42398526"/>
    <n v="1829100"/>
    <n v="9549339"/>
    <n v="31020087"/>
    <n v="45680000"/>
    <n v="0.67907370840630477"/>
    <x v="1"/>
    <n v="25"/>
    <s v="IPS Pto De Vista San Diego"/>
    <s v="Antioquia"/>
    <s v="Siempre Cumple"/>
    <n v="60"/>
    <n v="6544311"/>
    <n v="170"/>
    <n v="20781968"/>
    <m/>
    <m/>
    <n v="15072247"/>
    <m/>
  </r>
  <r>
    <n v="3"/>
    <x v="38"/>
    <x v="3"/>
    <s v="Marzo"/>
    <s v="CLAUBLAR"/>
    <x v="9"/>
    <x v="8"/>
    <n v="63319217"/>
    <n v="483100"/>
    <n v="11370753"/>
    <n v="51465364"/>
    <n v="36960000"/>
    <n v="1.3924611471861472"/>
    <x v="1"/>
    <n v="25"/>
    <s v="IPS Pto De Vista Centro"/>
    <s v="Antioquia"/>
    <s v="Fluctúa"/>
    <n v="103"/>
    <n v="12176052"/>
    <n v="234"/>
    <n v="31483031"/>
    <m/>
    <m/>
    <n v="19660134"/>
    <m/>
  </r>
  <r>
    <n v="3"/>
    <x v="38"/>
    <x v="3"/>
    <s v="Marzo"/>
    <s v="HERIRORO"/>
    <x v="52"/>
    <x v="52"/>
    <n v="57845150"/>
    <n v="1577200"/>
    <n v="10476500"/>
    <n v="45791450"/>
    <n v="44000000"/>
    <n v="1.0407147727272728"/>
    <x v="1"/>
    <n v="25"/>
    <s v="IPS Pto De Vista Centro"/>
    <s v="Antioquia"/>
    <s v="Siempre Cumple"/>
    <n v="110"/>
    <n v="10782351"/>
    <n v="253"/>
    <n v="29846803"/>
    <m/>
    <m/>
    <n v="17215996"/>
    <m/>
  </r>
  <r>
    <n v="3"/>
    <x v="38"/>
    <x v="3"/>
    <s v="Marzo"/>
    <s v="MARGGAPA"/>
    <x v="22"/>
    <x v="20"/>
    <n v="59479471"/>
    <n v="936000"/>
    <n v="12892757"/>
    <n v="45650714"/>
    <n v="44000000"/>
    <n v="1.0375162272727272"/>
    <x v="1"/>
    <n v="25"/>
    <s v="IPS Pto De Vista Centro"/>
    <s v="Antioquia"/>
    <s v="Fluctúa"/>
    <n v="98"/>
    <n v="11387703"/>
    <n v="250"/>
    <n v="27686532"/>
    <m/>
    <m/>
    <n v="20405236"/>
    <m/>
  </r>
  <r>
    <n v="3"/>
    <x v="38"/>
    <x v="3"/>
    <s v="Marzo"/>
    <s v="MARIHIRO"/>
    <x v="76"/>
    <x v="76"/>
    <n v="56458431"/>
    <n v="1644900"/>
    <n v="8914007"/>
    <n v="45899524"/>
    <n v="44000000"/>
    <n v="1.0431710000000001"/>
    <x v="1"/>
    <n v="25"/>
    <s v="IPS Pto De Vista Centro"/>
    <s v="Antioquia"/>
    <s v="No Cumple"/>
    <n v="97"/>
    <n v="10703961"/>
    <n v="231"/>
    <n v="27295134"/>
    <m/>
    <m/>
    <n v="18459336"/>
    <m/>
  </r>
  <r>
    <n v="3"/>
    <x v="38"/>
    <x v="3"/>
    <s v="Marzo"/>
    <s v="SANDCAAC"/>
    <x v="75"/>
    <x v="75"/>
    <n v="55016930"/>
    <n v="0"/>
    <n v="9866472"/>
    <n v="45150458"/>
    <n v="44000000"/>
    <n v="1.0261467727272728"/>
    <x v="1"/>
    <n v="25"/>
    <s v="IPS Pto De Vista Centro"/>
    <s v="Antioquia"/>
    <s v="Fluctúa"/>
    <n v="91"/>
    <n v="10188347"/>
    <n v="206"/>
    <n v="29858927"/>
    <m/>
    <m/>
    <n v="14969656"/>
    <m/>
  </r>
  <r>
    <n v="3"/>
    <x v="38"/>
    <x v="3"/>
    <s v="Marzo"/>
    <s v="VANELOBE"/>
    <x v="74"/>
    <x v="74"/>
    <n v="22898819"/>
    <n v="0"/>
    <n v="5078792"/>
    <n v="17820027"/>
    <n v="17120000"/>
    <n v="1.0408894275700935"/>
    <x v="1"/>
    <n v="25"/>
    <s v="IPS Pto De Vista San Diego"/>
    <s v="Antioquia"/>
    <s v="Siempre Cumple"/>
    <n v="41"/>
    <n v="3849865"/>
    <n v="102"/>
    <n v="11351568"/>
    <m/>
    <m/>
    <n v="7697386"/>
    <m/>
  </r>
  <r>
    <n v="3"/>
    <x v="38"/>
    <x v="3"/>
    <s v="Marzo"/>
    <s v="YENISIGI"/>
    <x v="64"/>
    <x v="64"/>
    <n v="22207862"/>
    <n v="0"/>
    <n v="4994891"/>
    <n v="17212971"/>
    <n v="35200000"/>
    <n v="0.48900485795454546"/>
    <x v="1"/>
    <n v="25"/>
    <s v="IPS Pto De Vista Centro"/>
    <s v="Antioquia"/>
    <s v="Fluctúa"/>
    <n v="42"/>
    <n v="4168169"/>
    <n v="78"/>
    <n v="10176060"/>
    <m/>
    <m/>
    <n v="7863633"/>
    <m/>
  </r>
  <r>
    <n v="3"/>
    <x v="38"/>
    <x v="3"/>
    <s v="Marzo"/>
    <s v="LEIDPAPA"/>
    <x v="72"/>
    <x v="72"/>
    <n v="53889051"/>
    <n v="862200"/>
    <n v="8758948"/>
    <n v="44267903"/>
    <n v="43000000"/>
    <n v="1.0294861162790698"/>
    <x v="1"/>
    <n v="25"/>
    <s v="IPS Pto De Vista Punto Clave"/>
    <s v="Antioquia"/>
    <s v="Siempre Cumple"/>
    <n v="79"/>
    <n v="10102407"/>
    <n v="192"/>
    <n v="29420512"/>
    <m/>
    <m/>
    <n v="14366132"/>
    <m/>
  </r>
  <r>
    <n v="3"/>
    <x v="38"/>
    <x v="3"/>
    <s v="Marzo"/>
    <s v="NATAPIDU"/>
    <x v="28"/>
    <x v="25"/>
    <n v="55249669"/>
    <n v="0"/>
    <n v="4901542"/>
    <n v="50348127"/>
    <n v="40000000"/>
    <n v="1.258703175"/>
    <x v="1"/>
    <n v="25"/>
    <s v="IPS Pto De Vista Industriales"/>
    <s v="Antioquia"/>
    <s v="Cumple"/>
    <n v="60"/>
    <n v="11331382"/>
    <n v="142"/>
    <n v="31491590"/>
    <m/>
    <m/>
    <n v="12426697"/>
    <m/>
  </r>
  <r>
    <n v="3"/>
    <x v="38"/>
    <x v="3"/>
    <s v="Marzo"/>
    <s v="ADRIMOLU"/>
    <x v="1"/>
    <x v="1"/>
    <n v="54510169"/>
    <n v="421200"/>
    <n v="7654469"/>
    <n v="46434500"/>
    <n v="45000000"/>
    <n v="1.0318777777777777"/>
    <x v="1"/>
    <n v="25"/>
    <s v="IPS Pto De Vista Molinos"/>
    <s v="Antioquia"/>
    <s v="Cumple"/>
    <n v="89"/>
    <n v="10616602"/>
    <n v="222"/>
    <n v="29703004"/>
    <m/>
    <m/>
    <n v="14190563"/>
    <m/>
  </r>
  <r>
    <n v="3"/>
    <x v="38"/>
    <x v="3"/>
    <s v="Marzo"/>
    <s v="ASTRTAAR"/>
    <x v="80"/>
    <x v="80"/>
    <n v="37080813"/>
    <n v="468000"/>
    <n v="4288979"/>
    <n v="32323834"/>
    <n v="32400000"/>
    <n v="0.99764919753086423"/>
    <x v="1"/>
    <n v="25"/>
    <s v="IPS Pto De Vista Molinos"/>
    <s v="Antioquia"/>
    <s v="Fluctúa"/>
    <n v="68"/>
    <n v="7302482"/>
    <n v="146"/>
    <n v="20495836"/>
    <m/>
    <m/>
    <n v="9282495"/>
    <m/>
  </r>
  <r>
    <n v="3"/>
    <x v="38"/>
    <x v="3"/>
    <s v="Marzo"/>
    <s v="JUANVALN"/>
    <x v="86"/>
    <x v="86"/>
    <n v="54530043"/>
    <n v="663300"/>
    <n v="7362549"/>
    <n v="46504194"/>
    <n v="45000000"/>
    <n v="1.0334265333333332"/>
    <x v="1"/>
    <n v="25"/>
    <s v="IPS Pto De Vista Molinos"/>
    <s v="Antioquia"/>
    <s v="Cumple"/>
    <n v="81"/>
    <n v="8984519"/>
    <n v="184"/>
    <n v="29596808"/>
    <m/>
    <m/>
    <n v="15948716"/>
    <m/>
  </r>
  <r>
    <n v="3"/>
    <x v="38"/>
    <x v="3"/>
    <s v="Marzo"/>
    <s v="LILACARA"/>
    <x v="19"/>
    <x v="17"/>
    <n v="57597281"/>
    <n v="960000"/>
    <n v="9495970"/>
    <n v="47141311"/>
    <n v="45000000"/>
    <n v="1.0475846888888889"/>
    <x v="1"/>
    <n v="25"/>
    <s v="IPS Pto De Vista Molinos"/>
    <s v="Antioquia"/>
    <s v="Cumple"/>
    <n v="93"/>
    <n v="11042040"/>
    <n v="233"/>
    <n v="31364094"/>
    <m/>
    <m/>
    <n v="15191147"/>
    <m/>
  </r>
  <r>
    <n v="3"/>
    <x v="38"/>
    <x v="3"/>
    <s v="Marzo"/>
    <s v="NATAVAMO"/>
    <x v="63"/>
    <x v="63"/>
    <n v="37850931"/>
    <n v="1612200"/>
    <n v="6614227"/>
    <n v="29624504"/>
    <n v="25200000"/>
    <n v="1.1755755555555556"/>
    <x v="1"/>
    <n v="25"/>
    <s v="IPS Pto De Vista Molinos"/>
    <s v="Antioquia"/>
    <s v="Siempre Cumple"/>
    <n v="63"/>
    <n v="6923552"/>
    <n v="152"/>
    <n v="18248440"/>
    <m/>
    <m/>
    <n v="12678939"/>
    <m/>
  </r>
  <r>
    <n v="3"/>
    <x v="38"/>
    <x v="3"/>
    <s v="Marzo"/>
    <s v="SUANHECO"/>
    <x v="58"/>
    <x v="58"/>
    <n v="57933048"/>
    <n v="1104000"/>
    <n v="10531064"/>
    <n v="46297984"/>
    <n v="45000000"/>
    <n v="1.0288440888888888"/>
    <x v="1"/>
    <n v="25"/>
    <s v="IPS Pto De Vista Molinos"/>
    <s v="Antioquia"/>
    <s v="Fluctúa"/>
    <n v="98"/>
    <n v="11151183"/>
    <n v="254"/>
    <n v="29063180"/>
    <m/>
    <m/>
    <n v="17718685"/>
    <m/>
  </r>
  <r>
    <n v="3"/>
    <x v="38"/>
    <x v="3"/>
    <s v="Marzo"/>
    <s v="ZULYARGA"/>
    <x v="34"/>
    <x v="31"/>
    <n v="58137197"/>
    <n v="442200"/>
    <n v="10360058"/>
    <n v="47334939"/>
    <n v="45000000"/>
    <n v="1.0518875333333333"/>
    <x v="1"/>
    <n v="25"/>
    <s v="IPS Pto De Vista Molinos"/>
    <s v="Antioquia"/>
    <n v="0"/>
    <n v="116"/>
    <n v="11080172"/>
    <n v="278"/>
    <n v="31024240"/>
    <m/>
    <m/>
    <n v="16032785"/>
    <m/>
  </r>
  <r>
    <n v="3"/>
    <x v="38"/>
    <x v="3"/>
    <s v="Marzo"/>
    <s v="ALEXROBR"/>
    <x v="89"/>
    <x v="89"/>
    <n v="25095403"/>
    <n v="0"/>
    <n v="5037943"/>
    <n v="20057460"/>
    <n v="28000000"/>
    <n v="0.71633785714285714"/>
    <x v="1"/>
    <n v="25"/>
    <s v="IPS Pto De Vista Olaya"/>
    <s v="Centro"/>
    <s v="Cumple"/>
    <n v="49"/>
    <n v="4059682"/>
    <n v="118"/>
    <n v="14689850"/>
    <m/>
    <m/>
    <n v="6345871"/>
    <m/>
  </r>
  <r>
    <n v="3"/>
    <x v="38"/>
    <x v="3"/>
    <s v="Marzo"/>
    <s v="DERLARMO"/>
    <x v="11"/>
    <x v="10"/>
    <n v="30941647"/>
    <n v="0"/>
    <n v="4870818"/>
    <n v="26070829"/>
    <n v="25760000"/>
    <n v="1.0120663431677019"/>
    <x v="1"/>
    <n v="25"/>
    <s v="IPS Pto De Vista Olaya"/>
    <s v="Centro"/>
    <s v="Cumple"/>
    <n v="74"/>
    <n v="5442186"/>
    <n v="198"/>
    <n v="19698112"/>
    <m/>
    <m/>
    <n v="5801349"/>
    <m/>
  </r>
  <r>
    <n v="3"/>
    <x v="38"/>
    <x v="3"/>
    <s v="Marzo"/>
    <s v="LOREBECR"/>
    <x v="68"/>
    <x v="68"/>
    <n v="33362822"/>
    <n v="342000"/>
    <n v="5248874"/>
    <n v="27771948"/>
    <n v="20160000"/>
    <n v="1.3775767857142858"/>
    <x v="1"/>
    <n v="25"/>
    <s v="IPS Pto De Vista Olaya"/>
    <s v="Centro"/>
    <s v="Fluctúa"/>
    <n v="80"/>
    <n v="6323517"/>
    <n v="202"/>
    <n v="20252204"/>
    <m/>
    <m/>
    <n v="6787101"/>
    <m/>
  </r>
  <r>
    <n v="3"/>
    <x v="38"/>
    <x v="3"/>
    <s v="Marzo"/>
    <s v="ALVAOSOS"/>
    <x v="36"/>
    <x v="37"/>
    <n v="27330758"/>
    <n v="243000"/>
    <n v="7855728"/>
    <n v="19232030"/>
    <n v="46000000"/>
    <n v="0.41808760869565215"/>
    <x v="1"/>
    <n v="25"/>
    <s v="IPS Pto De Vista Punto Clave"/>
    <s v="Antioquia"/>
    <s v="Siempre Cumple"/>
    <n v="37"/>
    <n v="4006013"/>
    <n v="86"/>
    <n v="10962733"/>
    <m/>
    <m/>
    <n v="12362012"/>
    <m/>
  </r>
  <r>
    <n v="3"/>
    <x v="38"/>
    <x v="3"/>
    <s v="Marzo"/>
    <s v="CARORAMN"/>
    <x v="61"/>
    <x v="61"/>
    <n v="58165569"/>
    <n v="936000"/>
    <n v="10047060"/>
    <n v="47182509"/>
    <n v="46000000"/>
    <n v="1.0257067173913044"/>
    <x v="1"/>
    <n v="25"/>
    <s v="IPS Pto De Vista Punto Clave"/>
    <s v="Antioquia"/>
    <s v="No Cumple"/>
    <n v="100"/>
    <n v="9811114"/>
    <n v="255"/>
    <n v="29887025"/>
    <m/>
    <m/>
    <n v="18467430"/>
    <m/>
  </r>
  <r>
    <n v="3"/>
    <x v="38"/>
    <x v="3"/>
    <s v="Marzo"/>
    <s v="DEISCACR"/>
    <x v="50"/>
    <x v="50"/>
    <n v="65667513"/>
    <n v="889200"/>
    <n v="7016773"/>
    <n v="57761540"/>
    <n v="46000000"/>
    <n v="1.255685652173913"/>
    <x v="1"/>
    <n v="25"/>
    <s v="IPS Pto De Vista Punto Clave"/>
    <s v="Antioquia"/>
    <s v="Fluctúa"/>
    <n v="106"/>
    <n v="12385801"/>
    <n v="271"/>
    <n v="37794455"/>
    <m/>
    <m/>
    <n v="15487257"/>
    <m/>
  </r>
  <r>
    <n v="3"/>
    <x v="38"/>
    <x v="3"/>
    <s v="Marzo"/>
    <s v="GENNHEPO"/>
    <x v="16"/>
    <x v="14"/>
    <n v="23635216"/>
    <n v="1334200"/>
    <n v="9560564"/>
    <n v="12740452"/>
    <n v="46000000"/>
    <n v="0.27696634782608698"/>
    <x v="1"/>
    <n v="25"/>
    <s v="IPS Pto De Vista Punto Clave"/>
    <s v="Antioquia"/>
    <s v="Fluctúa"/>
    <n v="32"/>
    <n v="2858189"/>
    <n v="90"/>
    <n v="7752762"/>
    <m/>
    <m/>
    <n v="13024265"/>
    <m/>
  </r>
  <r>
    <n v="3"/>
    <x v="38"/>
    <x v="3"/>
    <s v="Marzo"/>
    <s v="LEIDGOVI"/>
    <x v="39"/>
    <x v="39"/>
    <n v="59849985"/>
    <n v="1813200"/>
    <n v="7738572"/>
    <n v="50298213"/>
    <n v="46000000"/>
    <n v="1.0934394130434784"/>
    <x v="1"/>
    <n v="25"/>
    <s v="IPS Pto De Vista Punto Clave"/>
    <s v="Antioquia"/>
    <s v="Fluctúa"/>
    <n v="96"/>
    <n v="11511687"/>
    <n v="256"/>
    <n v="33264505"/>
    <m/>
    <m/>
    <n v="15073793"/>
    <m/>
  </r>
  <r>
    <n v="3"/>
    <x v="38"/>
    <x v="3"/>
    <s v="Marzo"/>
    <s v="YENYSUPE"/>
    <x v="51"/>
    <x v="51"/>
    <n v="9799150"/>
    <n v="468000"/>
    <n v="1221009"/>
    <n v="8110141"/>
    <n v="7360000"/>
    <n v="1.1019213315217391"/>
    <x v="1"/>
    <n v="25"/>
    <s v="IPS Pto De Vista Punto Clave"/>
    <s v="Antioquia"/>
    <s v="Cumple"/>
    <n v="20"/>
    <n v="1934653"/>
    <n v="54"/>
    <n v="4728381"/>
    <m/>
    <m/>
    <n v="3136116"/>
    <m/>
  </r>
  <r>
    <n v="3"/>
    <x v="38"/>
    <x v="3"/>
    <s v="Marzo"/>
    <s v="YURAUSVE"/>
    <x v="56"/>
    <x v="56"/>
    <n v="57799902"/>
    <n v="972000"/>
    <n v="10545277"/>
    <n v="46282625"/>
    <n v="46000000"/>
    <n v="1.0061440217391304"/>
    <x v="1"/>
    <n v="25"/>
    <s v="IPS Pto De Vista Punto Clave"/>
    <s v="Antioquia"/>
    <n v="0"/>
    <n v="104"/>
    <n v="11063465"/>
    <n v="259"/>
    <n v="28045675"/>
    <m/>
    <m/>
    <n v="18690762"/>
    <m/>
  </r>
  <r>
    <n v="3"/>
    <x v="38"/>
    <x v="3"/>
    <s v="Marzo"/>
    <s v="DIANPAAL"/>
    <x v="12"/>
    <x v="11"/>
    <n v="49722427"/>
    <n v="694800"/>
    <n v="7981895"/>
    <n v="41045732"/>
    <n v="40000000"/>
    <n v="1.0261433"/>
    <x v="1"/>
    <n v="25"/>
    <s v="IPS Pto De Vista Rionegro"/>
    <s v="Antioquia"/>
    <s v="Cumple"/>
    <n v="86"/>
    <n v="9666375"/>
    <n v="212"/>
    <n v="28920469"/>
    <m/>
    <m/>
    <n v="11135583"/>
    <m/>
  </r>
  <r>
    <n v="3"/>
    <x v="38"/>
    <x v="3"/>
    <s v="Marzo"/>
    <s v="MARIGOOR"/>
    <x v="77"/>
    <x v="77"/>
    <n v="51808570"/>
    <n v="3209300"/>
    <n v="7441340"/>
    <n v="41157930"/>
    <n v="40000000"/>
    <n v="1.02894825"/>
    <x v="1"/>
    <n v="25"/>
    <s v="IPS Pto De Vista Rionegro"/>
    <s v="Antioquia"/>
    <s v="No Cumple"/>
    <n v="70"/>
    <n v="9155687"/>
    <n v="181"/>
    <n v="25214791"/>
    <m/>
    <m/>
    <n v="17438092"/>
    <m/>
  </r>
  <r>
    <n v="3"/>
    <x v="38"/>
    <x v="3"/>
    <s v="Marzo"/>
    <s v="MARIOCOC"/>
    <x v="24"/>
    <x v="21"/>
    <n v="51694961"/>
    <n v="1594200"/>
    <n v="8644477"/>
    <n v="41456284"/>
    <n v="40000000"/>
    <n v="1.0364070999999999"/>
    <x v="1"/>
    <n v="25"/>
    <s v="IPS Pto De Vista Rionegro"/>
    <s v="Antioquia"/>
    <s v="Cumple"/>
    <n v="83"/>
    <n v="9358081"/>
    <n v="215"/>
    <n v="26977392"/>
    <m/>
    <m/>
    <n v="15359488"/>
    <m/>
  </r>
  <r>
    <n v="3"/>
    <x v="38"/>
    <x v="3"/>
    <s v="Marzo"/>
    <s v="ALEXLOGR"/>
    <x v="2"/>
    <x v="2"/>
    <n v="49259549"/>
    <n v="689100"/>
    <n v="7586433"/>
    <n v="40984016"/>
    <n v="39040000"/>
    <n v="1.0497954918032786"/>
    <x v="1"/>
    <n v="25"/>
    <s v="IPS Punto de Vista Bello"/>
    <s v="Antioquia"/>
    <s v="Fluctúa"/>
    <n v="92"/>
    <n v="10700671"/>
    <n v="210"/>
    <n v="23976658"/>
    <m/>
    <m/>
    <n v="14582220"/>
    <m/>
  </r>
  <r>
    <n v="3"/>
    <x v="38"/>
    <x v="3"/>
    <s v="Marzo"/>
    <s v="ANGEGAAR"/>
    <x v="4"/>
    <x v="4"/>
    <n v="19254094"/>
    <n v="0"/>
    <n v="3132911"/>
    <n v="16121183"/>
    <n v="15600000"/>
    <n v="1.0334091666666667"/>
    <x v="1"/>
    <n v="25"/>
    <s v="IPS Pto De Vista San Diego"/>
    <s v="Antioquia"/>
    <s v="Fluctúa"/>
    <n v="28"/>
    <n v="3899379"/>
    <n v="77"/>
    <n v="9849913"/>
    <m/>
    <m/>
    <n v="5504802"/>
    <m/>
  </r>
  <r>
    <n v="3"/>
    <x v="38"/>
    <x v="3"/>
    <s v="Marzo"/>
    <s v="ERIKSAVA"/>
    <x v="44"/>
    <x v="44"/>
    <n v="49866141"/>
    <n v="1519200"/>
    <n v="7618734"/>
    <n v="40728207"/>
    <n v="40000000"/>
    <n v="1.0182051750000001"/>
    <x v="1"/>
    <n v="25"/>
    <s v="IPS Pto De Vista San Diego"/>
    <s v="Antioquia"/>
    <s v="No Cumple"/>
    <n v="80"/>
    <n v="9747699"/>
    <n v="180"/>
    <n v="24627838"/>
    <m/>
    <m/>
    <n v="15490604"/>
    <m/>
  </r>
  <r>
    <n v="3"/>
    <x v="38"/>
    <x v="3"/>
    <s v="Marzo"/>
    <s v="MARIMASA"/>
    <x v="23"/>
    <x v="34"/>
    <n v="16196739"/>
    <n v="0"/>
    <n v="4585496"/>
    <n v="11611243"/>
    <n v="40000000"/>
    <n v="0.290281075"/>
    <x v="1"/>
    <n v="25"/>
    <s v="IPS Pto De Vista San Diego"/>
    <s v="Antioquia"/>
    <s v="Siempre Cumple"/>
    <n v="30"/>
    <n v="2700990"/>
    <n v="64"/>
    <n v="7233774"/>
    <m/>
    <m/>
    <n v="6261975"/>
    <m/>
  </r>
  <r>
    <n v="3"/>
    <x v="38"/>
    <x v="3"/>
    <s v="Marzo"/>
    <s v="NOREARMA"/>
    <x v="66"/>
    <x v="66"/>
    <n v="61166697"/>
    <n v="0"/>
    <n v="9222221"/>
    <n v="51944476"/>
    <n v="40000000"/>
    <n v="1.2986119"/>
    <x v="1"/>
    <n v="25"/>
    <s v="IPS Pto De Vista San Diego"/>
    <s v="Antioquia"/>
    <s v="Fluctúa"/>
    <n v="91"/>
    <n v="12222641"/>
    <n v="218"/>
    <n v="36314919"/>
    <m/>
    <m/>
    <n v="12629137"/>
    <m/>
  </r>
  <r>
    <n v="3"/>
    <x v="38"/>
    <x v="3"/>
    <s v="Marzo"/>
    <s v="ALCIPANA"/>
    <x v="88"/>
    <x v="88"/>
    <n v="36115002"/>
    <n v="292500"/>
    <n v="5677250"/>
    <n v="30145252"/>
    <n v="33500000"/>
    <n v="0.89985826865671636"/>
    <x v="1"/>
    <n v="25"/>
    <s v="IPS Pto De Vista Santa Bárbara"/>
    <s v="Centro"/>
    <s v="No Cumple"/>
    <n v="68"/>
    <n v="7033643"/>
    <n v="160"/>
    <n v="22136041"/>
    <m/>
    <m/>
    <n v="6945318"/>
    <m/>
  </r>
  <r>
    <n v="3"/>
    <x v="38"/>
    <x v="3"/>
    <s v="Marzo"/>
    <s v="ANDRSAZA"/>
    <x v="45"/>
    <x v="45"/>
    <n v="54885725"/>
    <n v="2204400"/>
    <n v="7039153"/>
    <n v="45642172"/>
    <n v="33500000"/>
    <n v="1.362452895522388"/>
    <x v="1"/>
    <n v="25"/>
    <s v="IPS Pto De Vista Santa Bárbara"/>
    <s v="Centro"/>
    <s v="Cumple"/>
    <n v="77"/>
    <n v="9255937"/>
    <n v="223"/>
    <n v="31711316"/>
    <m/>
    <m/>
    <n v="13918472"/>
    <m/>
  </r>
  <r>
    <n v="3"/>
    <x v="38"/>
    <x v="3"/>
    <s v="Marzo"/>
    <s v="CHRIVERO"/>
    <x v="83"/>
    <x v="83"/>
    <n v="34253232"/>
    <n v="2138700"/>
    <n v="5371106"/>
    <n v="26743426"/>
    <n v="33500000"/>
    <n v="0.79831122388059705"/>
    <x v="1"/>
    <n v="25"/>
    <s v="IPS Pto De Vista Santa Bárbara"/>
    <s v="Centro"/>
    <s v="Fluctúa"/>
    <n v="58"/>
    <n v="5415790"/>
    <n v="178"/>
    <n v="19792530"/>
    <m/>
    <m/>
    <n v="9044912"/>
    <m/>
  </r>
  <r>
    <n v="3"/>
    <x v="38"/>
    <x v="3"/>
    <s v="Marzo"/>
    <s v="CAMIPUHE"/>
    <x v="53"/>
    <x v="53"/>
    <n v="23133899"/>
    <n v="925980"/>
    <n v="2026611"/>
    <n v="20181308"/>
    <n v="19200000"/>
    <n v="1.0511097916666667"/>
    <x v="1"/>
    <n v="25"/>
    <s v="IPS Pto De Vista SSura Clle100"/>
    <s v="Centro"/>
    <s v="Cumple"/>
    <n v="31"/>
    <n v="4598196"/>
    <n v="106"/>
    <n v="14386509"/>
    <m/>
    <m/>
    <n v="4149194"/>
    <m/>
  </r>
  <r>
    <n v="3"/>
    <x v="38"/>
    <x v="3"/>
    <s v="Marzo"/>
    <s v="ISABMOGO"/>
    <x v="17"/>
    <x v="15"/>
    <n v="21535914"/>
    <n v="1044000"/>
    <n v="819900"/>
    <n v="19672014"/>
    <n v="10800000"/>
    <n v="1.8214827777777778"/>
    <x v="1"/>
    <n v="25"/>
    <s v="IPS Pto De Vista Santa Bárbara"/>
    <s v="Centro"/>
    <s v="No Cumple"/>
    <n v="28"/>
    <n v="3831356"/>
    <n v="108"/>
    <n v="14620532"/>
    <m/>
    <m/>
    <n v="3084026"/>
    <m/>
  </r>
  <r>
    <n v="3"/>
    <x v="38"/>
    <x v="3"/>
    <s v="Marzo"/>
    <s v="ANAMLOBE"/>
    <x v="3"/>
    <x v="3"/>
    <n v="79040029"/>
    <n v="2082600"/>
    <n v="10869895"/>
    <n v="66087534"/>
    <n v="45000000"/>
    <n v="1.4686118666666668"/>
    <x v="1"/>
    <n v="25"/>
    <s v="IPS Pto De Vista Unicentro"/>
    <s v="Antioquia"/>
    <s v="Siempre Cumple"/>
    <n v="109"/>
    <n v="14469695"/>
    <n v="253"/>
    <n v="43912025"/>
    <m/>
    <m/>
    <n v="20658309"/>
    <m/>
  </r>
  <r>
    <n v="3"/>
    <x v="38"/>
    <x v="3"/>
    <s v="Marzo"/>
    <s v="ELIZVESU"/>
    <x v="15"/>
    <x v="13"/>
    <n v="72010092"/>
    <n v="792000"/>
    <n v="12507203"/>
    <n v="58710889"/>
    <n v="45000000"/>
    <n v="1.3046864222222223"/>
    <x v="1"/>
    <n v="25"/>
    <s v="IPS Pto De Vista Unicentro"/>
    <s v="Antioquia"/>
    <s v="Fluctúa"/>
    <n v="101"/>
    <n v="11464835"/>
    <n v="248"/>
    <n v="41080557"/>
    <m/>
    <m/>
    <n v="19464700"/>
    <m/>
  </r>
  <r>
    <n v="3"/>
    <x v="38"/>
    <x v="3"/>
    <s v="Marzo"/>
    <s v="VIVIVAZA"/>
    <x v="33"/>
    <x v="30"/>
    <n v="78368893"/>
    <n v="1179000"/>
    <n v="12635376"/>
    <n v="64554517"/>
    <n v="45000000"/>
    <n v="1.4345448222222221"/>
    <x v="1"/>
    <n v="25"/>
    <s v="IPS Pto De Vista Unicentro"/>
    <s v="Antioquia"/>
    <s v="Cumple"/>
    <n v="126"/>
    <n v="14502898"/>
    <n v="275"/>
    <n v="39739569"/>
    <m/>
    <m/>
    <n v="24126426"/>
    <m/>
  </r>
  <r>
    <n v="3"/>
    <x v="38"/>
    <x v="3"/>
    <s v="Marzo"/>
    <s v="VIVIRUAL"/>
    <x v="82"/>
    <x v="82"/>
    <n v="22945904"/>
    <n v="489600"/>
    <n v="5264844"/>
    <n v="17191460"/>
    <n v="25160000"/>
    <n v="0.68328537360890307"/>
    <x v="1"/>
    <n v="25"/>
    <s v="IPS Pto De Vista San Diego"/>
    <s v="Antioquia"/>
    <s v="Fluctúa"/>
    <n v="39"/>
    <n v="4627498"/>
    <n v="80"/>
    <n v="9773034"/>
    <m/>
    <m/>
    <n v="8545372"/>
    <m/>
  </r>
  <r>
    <n v="3"/>
    <x v="38"/>
    <x v="3"/>
    <s v="Marzo"/>
    <s v="YULIRIRE"/>
    <x v="57"/>
    <x v="57"/>
    <n v="26400842"/>
    <n v="324000"/>
    <n v="5298186"/>
    <n v="20778656"/>
    <n v="25160000"/>
    <n v="0.82586073131955484"/>
    <x v="1"/>
    <n v="25"/>
    <s v="IPS Punto de Vista Bello"/>
    <s v="Antioquia"/>
    <s v="Fluctúa"/>
    <n v="44"/>
    <n v="4953433"/>
    <n v="122"/>
    <n v="13612235"/>
    <m/>
    <m/>
    <n v="7835174"/>
    <m/>
  </r>
  <r>
    <n v="3"/>
    <x v="38"/>
    <x v="3"/>
    <s v="Marzo"/>
    <s v="LEIDCAOR"/>
    <x v="71"/>
    <x v="71"/>
    <n v="40513847"/>
    <n v="702000"/>
    <n v="6131509"/>
    <n v="33680338"/>
    <n v="28500000"/>
    <n v="1.181766245614035"/>
    <x v="1"/>
    <n v="25"/>
    <s v="IPS Punto de Vista Mayorca"/>
    <s v="Antioquia"/>
    <s v="Fluctúa"/>
    <n v="70"/>
    <n v="8160973"/>
    <n v="168"/>
    <n v="21330659"/>
    <m/>
    <m/>
    <n v="11022215"/>
    <m/>
  </r>
  <r>
    <n v="3"/>
    <x v="38"/>
    <x v="3"/>
    <s v="Marzo"/>
    <s v="LIZEGASA"/>
    <x v="81"/>
    <x v="81"/>
    <n v="34488367"/>
    <n v="657800"/>
    <n v="4741973"/>
    <n v="29088594"/>
    <n v="28500000"/>
    <n v="1.0206524210526315"/>
    <x v="1"/>
    <n v="25"/>
    <s v="IPS Punto de Vista Mayorca"/>
    <s v="Antioquia"/>
    <s v="Cumple"/>
    <n v="56"/>
    <n v="6474816"/>
    <n v="132"/>
    <n v="18322661"/>
    <m/>
    <m/>
    <n v="9690890"/>
    <m/>
  </r>
  <r>
    <n v="3"/>
    <x v="38"/>
    <x v="3"/>
    <s v="Marzo"/>
    <s v="LUZNHEGO"/>
    <x v="21"/>
    <x v="19"/>
    <n v="26036242"/>
    <n v="468000"/>
    <n v="4256074"/>
    <n v="21312168"/>
    <n v="28500000"/>
    <n v="0.74779536842105265"/>
    <x v="1"/>
    <n v="25"/>
    <s v="IPS Punto de Vista Mayorca"/>
    <s v="Antioquia"/>
    <s v="Siempre Cumple"/>
    <n v="48"/>
    <n v="5088138"/>
    <n v="120"/>
    <n v="13702767"/>
    <m/>
    <m/>
    <n v="7245337"/>
    <m/>
  </r>
  <r>
    <n v="3"/>
    <x v="38"/>
    <x v="3"/>
    <s v="Marzo"/>
    <s v="MAKEBEVA"/>
    <x v="85"/>
    <x v="85"/>
    <n v="25273077"/>
    <n v="636000"/>
    <n v="5849507"/>
    <n v="18787570"/>
    <n v="28500000"/>
    <n v="0.65921298245614035"/>
    <x v="1"/>
    <n v="25"/>
    <s v="IPS Punto de Vista Mayorca"/>
    <s v="Antioquia"/>
    <s v="Cumple"/>
    <n v="45"/>
    <n v="4335940"/>
    <n v="92"/>
    <n v="12177544"/>
    <m/>
    <m/>
    <n v="8759593"/>
    <m/>
  </r>
  <r>
    <n v="3"/>
    <x v="38"/>
    <x v="3"/>
    <s v="Marzo"/>
    <s v="MILEQUOL"/>
    <x v="78"/>
    <x v="78"/>
    <n v="34417572"/>
    <n v="0"/>
    <n v="5822833"/>
    <n v="28594739"/>
    <n v="28500000"/>
    <n v="1.0033241754385964"/>
    <x v="1"/>
    <n v="25"/>
    <s v="IPS Punto de Vista Mayorca"/>
    <s v="Antioquia"/>
    <s v="Siempre Cumple"/>
    <n v="74"/>
    <n v="7917885"/>
    <n v="151"/>
    <n v="17339625"/>
    <m/>
    <m/>
    <n v="9160062"/>
    <m/>
  </r>
  <r>
    <n v="3"/>
    <x v="38"/>
    <x v="3"/>
    <s v="Marzo"/>
    <s v="ROCIFASA"/>
    <x v="31"/>
    <x v="28"/>
    <n v="57026205"/>
    <n v="2715480"/>
    <n v="6521431"/>
    <n v="47789294"/>
    <n v="37000000"/>
    <n v="1.2916025405405405"/>
    <x v="1"/>
    <n v="25"/>
    <s v="Optica Salud Sura Chipichape"/>
    <s v="Occidente"/>
    <s v="Cumple"/>
    <n v="78"/>
    <n v="13898668"/>
    <n v="241"/>
    <n v="28076114"/>
    <m/>
    <m/>
    <n v="15051423"/>
    <m/>
  </r>
  <r>
    <n v="3"/>
    <x v="38"/>
    <x v="3"/>
    <s v="Marzo"/>
    <s v="DANYLESE"/>
    <x v="79"/>
    <x v="79"/>
    <n v="45048700"/>
    <n v="421200"/>
    <n v="9754876"/>
    <n v="34872624"/>
    <n v="31000000"/>
    <n v="1.1249233548387096"/>
    <x v="1"/>
    <n v="25"/>
    <s v="Punto de Vista Cali Norte"/>
    <s v="Occidente"/>
    <s v="Cumple"/>
    <n v="83"/>
    <n v="8899450"/>
    <n v="226"/>
    <n v="22831731"/>
    <m/>
    <m/>
    <n v="13317519"/>
    <m/>
  </r>
  <r>
    <n v="3"/>
    <x v="38"/>
    <x v="3"/>
    <s v="Marzo"/>
    <s v="JOSEVAPR"/>
    <x v="87"/>
    <x v="87"/>
    <n v="40205611"/>
    <n v="0"/>
    <n v="2583122"/>
    <n v="37622489"/>
    <n v="2480000"/>
    <n v="15.170358467741936"/>
    <x v="1"/>
    <n v="25"/>
    <s v="Punto de Vista Cali Norte"/>
    <s v="Occidente"/>
    <s v="Fluctúa"/>
    <n v="63"/>
    <n v="9204994"/>
    <n v="178"/>
    <n v="25157085"/>
    <m/>
    <m/>
    <n v="5843532"/>
    <m/>
  </r>
  <r>
    <n v="3"/>
    <x v="38"/>
    <x v="3"/>
    <s v="Marzo"/>
    <s v="TATIRITR"/>
    <x v="60"/>
    <x v="60"/>
    <n v="32952707"/>
    <n v="1674180"/>
    <n v="8492048"/>
    <n v="22786479"/>
    <n v="31000000"/>
    <n v="0.73504770967741939"/>
    <x v="1"/>
    <n v="25"/>
    <s v="Punto de Vista Cali Norte"/>
    <s v="Occidente"/>
    <s v="No Cumple"/>
    <n v="40"/>
    <n v="5071520"/>
    <n v="116"/>
    <n v="16057283"/>
    <m/>
    <m/>
    <n v="11823904"/>
    <m/>
  </r>
  <r>
    <n v="3"/>
    <x v="38"/>
    <x v="3"/>
    <s v="Marzo"/>
    <s v="ANGISEBR"/>
    <x v="70"/>
    <x v="70"/>
    <n v="47340047"/>
    <n v="234000"/>
    <n v="10492818"/>
    <n v="36613229"/>
    <n v="28700000"/>
    <n v="1.2757222648083624"/>
    <x v="1"/>
    <n v="25"/>
    <s v="Punto de Vista Tequendama"/>
    <s v="Occidente"/>
    <s v="No Cumple"/>
    <n v="69"/>
    <n v="7519840"/>
    <n v="216"/>
    <n v="24460910"/>
    <m/>
    <m/>
    <n v="15359297"/>
    <m/>
  </r>
  <r>
    <n v="3"/>
    <x v="38"/>
    <x v="3"/>
    <s v="Marzo"/>
    <s v="AURACAMO"/>
    <x v="84"/>
    <x v="84"/>
    <n v="40306966"/>
    <n v="641190"/>
    <n v="9057805"/>
    <n v="30607971"/>
    <n v="28900000"/>
    <n v="1.0590993425605537"/>
    <x v="1"/>
    <n v="25"/>
    <s v="Punto de Vista Tequendama"/>
    <s v="Occidente"/>
    <s v="Siempre Cumple"/>
    <n v="62"/>
    <n v="7371960"/>
    <n v="178"/>
    <n v="19717214"/>
    <m/>
    <m/>
    <n v="13217792"/>
    <m/>
  </r>
  <r>
    <n v="3"/>
    <x v="38"/>
    <x v="3"/>
    <s v="Marzo"/>
    <s v="PAOLPACA"/>
    <x v="47"/>
    <x v="47"/>
    <n v="47024184"/>
    <n v="689100"/>
    <n v="8392650"/>
    <n v="37942434"/>
    <n v="28800000"/>
    <n v="1.317445625"/>
    <x v="1"/>
    <n v="25"/>
    <s v="Punto de Vista Tequendama"/>
    <s v="Occidente"/>
    <s v="Siempre Cumple"/>
    <n v="82"/>
    <n v="8578805"/>
    <n v="220"/>
    <n v="26148416"/>
    <m/>
    <m/>
    <n v="12296963"/>
    <m/>
  </r>
  <r>
    <n v="3"/>
    <x v="38"/>
    <x v="3"/>
    <s v="Marzo"/>
    <s v="JENIRURE"/>
    <x v="37"/>
    <x v="7"/>
    <n v="255775"/>
    <n v="0"/>
    <n v="0"/>
    <n v="255775"/>
    <m/>
    <m/>
    <x v="0"/>
    <n v="25"/>
    <s v=""/>
    <s v=""/>
    <s v="No Aplica"/>
    <n v="1"/>
    <n v="87857"/>
    <n v="2"/>
    <n v="167917"/>
    <m/>
    <m/>
    <n v="1"/>
    <m/>
  </r>
  <r>
    <n v="3"/>
    <x v="38"/>
    <x v="3"/>
    <s v="Marzo"/>
    <s v="DIANQUME"/>
    <x v="37"/>
    <x v="7"/>
    <n v="658342"/>
    <n v="0"/>
    <n v="0"/>
    <n v="658342"/>
    <m/>
    <m/>
    <x v="0"/>
    <n v="25"/>
    <s v=""/>
    <s v=""/>
    <s v="No Aplica"/>
    <n v="1"/>
    <n v="158572"/>
    <n v="4"/>
    <n v="499770"/>
    <m/>
    <m/>
    <n v="0"/>
    <m/>
  </r>
  <r>
    <n v="3"/>
    <x v="38"/>
    <x v="3"/>
    <s v="Marzo"/>
    <s v="ALEJIRRA"/>
    <x v="37"/>
    <x v="7"/>
    <n v="72600"/>
    <n v="0"/>
    <n v="72600"/>
    <n v="0"/>
    <m/>
    <m/>
    <x v="0"/>
    <n v="25"/>
    <s v=""/>
    <s v=""/>
    <s v="No Aplica"/>
    <n v="0"/>
    <n v="0"/>
    <n v="0"/>
    <n v="0"/>
    <m/>
    <m/>
    <n v="72600"/>
    <m/>
  </r>
  <r>
    <n v="3"/>
    <x v="38"/>
    <x v="3"/>
    <s v="Marzo"/>
    <s v="ALEJVAVA"/>
    <x v="37"/>
    <x v="7"/>
    <n v="98000"/>
    <n v="0"/>
    <n v="98000"/>
    <n v="0"/>
    <m/>
    <m/>
    <x v="0"/>
    <n v="25"/>
    <s v=""/>
    <s v=""/>
    <s v="No Aplica"/>
    <n v="0"/>
    <n v="0"/>
    <n v="0"/>
    <n v="0"/>
    <m/>
    <m/>
    <n v="98000"/>
    <m/>
  </r>
  <r>
    <n v="3"/>
    <x v="38"/>
    <x v="3"/>
    <s v="Marzo"/>
    <s v="ALEXDERI"/>
    <x v="37"/>
    <x v="7"/>
    <n v="367001"/>
    <n v="0"/>
    <n v="0"/>
    <n v="367001"/>
    <m/>
    <m/>
    <x v="0"/>
    <n v="25"/>
    <s v=""/>
    <s v=""/>
    <s v="No Aplica"/>
    <n v="1"/>
    <n v="77000"/>
    <n v="0"/>
    <n v="0"/>
    <m/>
    <m/>
    <n v="290001"/>
    <m/>
  </r>
  <r>
    <n v="3"/>
    <x v="38"/>
    <x v="3"/>
    <s v="Marzo"/>
    <s v="DARWHERI"/>
    <x v="37"/>
    <x v="7"/>
    <n v="742355"/>
    <n v="0"/>
    <n v="742355"/>
    <n v="0"/>
    <m/>
    <m/>
    <x v="0"/>
    <n v="25"/>
    <s v=""/>
    <s v=""/>
    <s v="No Aplica"/>
    <n v="0"/>
    <n v="0"/>
    <n v="0"/>
    <n v="0"/>
    <m/>
    <m/>
    <n v="742355"/>
    <m/>
  </r>
  <r>
    <n v="3"/>
    <x v="38"/>
    <x v="3"/>
    <s v="Marzo"/>
    <s v="JENNGABE"/>
    <x v="37"/>
    <x v="7"/>
    <n v="125638"/>
    <n v="0"/>
    <n v="125638"/>
    <n v="0"/>
    <m/>
    <m/>
    <x v="0"/>
    <n v="25"/>
    <s v=""/>
    <s v=""/>
    <s v="No Aplica"/>
    <n v="0"/>
    <n v="0"/>
    <n v="0"/>
    <n v="0"/>
    <m/>
    <m/>
    <n v="125638"/>
    <m/>
  </r>
  <r>
    <n v="3"/>
    <x v="38"/>
    <x v="3"/>
    <s v="Marzo"/>
    <s v="PAULESVE"/>
    <x v="37"/>
    <x v="7"/>
    <n v="296942"/>
    <n v="0"/>
    <n v="296942"/>
    <n v="0"/>
    <m/>
    <m/>
    <x v="0"/>
    <n v="25"/>
    <s v=""/>
    <s v=""/>
    <s v="No Aplica"/>
    <n v="0"/>
    <n v="0"/>
    <n v="0"/>
    <n v="0"/>
    <m/>
    <m/>
    <n v="296942"/>
    <m/>
  </r>
  <r>
    <n v="3"/>
    <x v="38"/>
    <x v="3"/>
    <s v="Marzo"/>
    <s v="RAULMOGA"/>
    <x v="37"/>
    <x v="7"/>
    <n v="15103"/>
    <n v="0"/>
    <n v="-113335"/>
    <n v="128438"/>
    <m/>
    <m/>
    <x v="0"/>
    <n v="25"/>
    <s v=""/>
    <s v=""/>
    <s v="No Aplica"/>
    <n v="1"/>
    <n v="76429"/>
    <n v="-4"/>
    <n v="-61326"/>
    <m/>
    <m/>
    <n v="0"/>
    <m/>
  </r>
  <r>
    <n v="3"/>
    <x v="38"/>
    <x v="3"/>
    <s v="Marzo"/>
    <s v="(en blanco)"/>
    <x v="37"/>
    <x v="7"/>
    <n v="-3054660"/>
    <n v="0"/>
    <n v="102188"/>
    <n v="-3156848"/>
    <m/>
    <m/>
    <x v="0"/>
    <n v="25"/>
    <s v=""/>
    <s v=""/>
    <s v="No Aplica"/>
    <n v="16"/>
    <n v="249243"/>
    <n v="30"/>
    <n v="2097600"/>
    <m/>
    <m/>
    <n v="-5401503"/>
    <m/>
  </r>
</pivotCacheRecords>
</file>

<file path=xl/pivotCache/pivotCacheRecords2.xml><?xml version="1.0" encoding="utf-8"?>
<pivotCacheRecords xmlns="http://schemas.openxmlformats.org/spreadsheetml/2006/main" xmlns:r="http://schemas.openxmlformats.org/officeDocument/2006/relationships" count="2042">
  <r>
    <n v="1"/>
    <x v="0"/>
    <n v="2016"/>
    <s v="Enero"/>
    <s v="ADRIESAN"/>
    <n v="43920870"/>
    <x v="0"/>
    <n v="24114029"/>
    <n v="3635660"/>
    <n v="2524480"/>
    <n v="17953889"/>
    <n v="40000000"/>
    <n v="0.44884722500000002"/>
    <x v="0"/>
    <n v="24"/>
    <x v="0"/>
    <s v=""/>
    <s v="No Aplica"/>
    <m/>
    <m/>
    <m/>
    <m/>
    <m/>
    <m/>
    <n v="24114029"/>
    <m/>
  </r>
  <r>
    <n v="1"/>
    <x v="0"/>
    <n v="2016"/>
    <s v="Enero"/>
    <s v="ADRIMOLU"/>
    <n v="43169964"/>
    <x v="1"/>
    <n v="25988283"/>
    <n v="652000"/>
    <n v="2977045"/>
    <n v="22359238"/>
    <n v="17333333.333333332"/>
    <n v="1.2899560384615385"/>
    <x v="1"/>
    <n v="24"/>
    <x v="1"/>
    <s v="Antioquia"/>
    <s v="Cumple"/>
    <m/>
    <m/>
    <m/>
    <m/>
    <m/>
    <m/>
    <n v="25988283"/>
    <m/>
  </r>
  <r>
    <n v="1"/>
    <x v="0"/>
    <n v="2016"/>
    <s v="Enero"/>
    <s v="ALEXLOGR"/>
    <n v="43253531"/>
    <x v="2"/>
    <n v="45216009"/>
    <n v="3276100"/>
    <n v="2597845"/>
    <n v="39342064"/>
    <n v="40000000"/>
    <n v="0.98355159999999997"/>
    <x v="1"/>
    <n v="24"/>
    <x v="2"/>
    <s v="Antioquia"/>
    <s v="Cumple"/>
    <m/>
    <m/>
    <m/>
    <m/>
    <m/>
    <m/>
    <n v="45216009"/>
    <m/>
  </r>
  <r>
    <n v="1"/>
    <x v="0"/>
    <n v="2016"/>
    <s v="Enero"/>
    <s v="ANAMLOBE"/>
    <n v="43821410"/>
    <x v="3"/>
    <n v="60312267"/>
    <n v="1159600"/>
    <n v="3957071"/>
    <n v="55195596"/>
    <n v="40000000"/>
    <n v="1.3798899"/>
    <x v="1"/>
    <n v="24"/>
    <x v="3"/>
    <s v="Antioquia"/>
    <s v="Siempre Cumple"/>
    <m/>
    <m/>
    <m/>
    <m/>
    <m/>
    <m/>
    <n v="60312267"/>
    <m/>
  </r>
  <r>
    <n v="1"/>
    <x v="0"/>
    <n v="2016"/>
    <s v="Enero"/>
    <s v="ANGEGAAR"/>
    <n v="39442617"/>
    <x v="4"/>
    <n v="51262661"/>
    <n v="598200"/>
    <n v="3686234"/>
    <n v="46978227"/>
    <n v="40000000"/>
    <n v="1.1744556749999999"/>
    <x v="1"/>
    <n v="24"/>
    <x v="4"/>
    <s v="Antioquia"/>
    <s v="Cumple"/>
    <m/>
    <m/>
    <m/>
    <m/>
    <m/>
    <m/>
    <n v="51262661"/>
    <m/>
  </r>
  <r>
    <n v="1"/>
    <x v="0"/>
    <n v="2016"/>
    <s v="Enero"/>
    <s v="ANLLLIZO"/>
    <n v="1013628003"/>
    <x v="5"/>
    <n v="6977349"/>
    <n v="0"/>
    <n v="344107"/>
    <n v="6633242"/>
    <n v="26416666.666666664"/>
    <n v="0.25110064353312306"/>
    <x v="0"/>
    <n v="24"/>
    <x v="0"/>
    <s v=""/>
    <s v="No Aplica"/>
    <m/>
    <m/>
    <m/>
    <m/>
    <m/>
    <m/>
    <n v="6977349"/>
    <m/>
  </r>
  <r>
    <n v="1"/>
    <x v="0"/>
    <n v="2016"/>
    <s v="Enero"/>
    <s v="BIBIBECA"/>
    <n v="43971430"/>
    <x v="6"/>
    <n v="43366839"/>
    <n v="1597500"/>
    <n v="4547202"/>
    <n v="37222137"/>
    <n v="40000000"/>
    <n v="0.93055342500000005"/>
    <x v="1"/>
    <n v="24"/>
    <x v="5"/>
    <s v="Antioquia"/>
    <s v="Siempre Cumple"/>
    <m/>
    <m/>
    <m/>
    <m/>
    <m/>
    <m/>
    <n v="43366839"/>
    <m/>
  </r>
  <r>
    <n v="1"/>
    <x v="0"/>
    <n v="2016"/>
    <s v="Enero"/>
    <s v="CAROGOCE"/>
    <n v="43184345"/>
    <x v="7"/>
    <n v="1130738"/>
    <n v="77000"/>
    <n v="0"/>
    <n v="1053738"/>
    <m/>
    <m/>
    <x v="0"/>
    <n v="24"/>
    <x v="0"/>
    <s v=""/>
    <s v="No Aplica"/>
    <m/>
    <m/>
    <m/>
    <m/>
    <m/>
    <m/>
    <n v="1130738"/>
    <m/>
  </r>
  <r>
    <n v="1"/>
    <x v="0"/>
    <n v="2016"/>
    <s v="Enero"/>
    <s v="CAROVABE"/>
    <n v="1030634664"/>
    <x v="7"/>
    <n v="1815199"/>
    <n v="0"/>
    <n v="356672"/>
    <n v="1458527"/>
    <m/>
    <m/>
    <x v="0"/>
    <n v="24"/>
    <x v="0"/>
    <s v=""/>
    <s v="No Aplica"/>
    <m/>
    <m/>
    <m/>
    <m/>
    <m/>
    <m/>
    <n v="1815199"/>
    <m/>
  </r>
  <r>
    <n v="1"/>
    <x v="0"/>
    <n v="2016"/>
    <s v="Enero"/>
    <s v="CLAUBLAR"/>
    <n v="43554403"/>
    <x v="8"/>
    <n v="45603665"/>
    <n v="1458300"/>
    <n v="4118567"/>
    <n v="40026798"/>
    <n v="40000000"/>
    <n v="1.00066995"/>
    <x v="1"/>
    <n v="24"/>
    <x v="5"/>
    <s v="Antioquia"/>
    <s v="Siempre Cumple"/>
    <m/>
    <m/>
    <m/>
    <m/>
    <m/>
    <m/>
    <n v="45603665"/>
    <m/>
  </r>
  <r>
    <n v="1"/>
    <x v="0"/>
    <n v="2016"/>
    <s v="Enero"/>
    <s v="CLAUPACO"/>
    <n v="23857915"/>
    <x v="9"/>
    <n v="15931655"/>
    <n v="1794200"/>
    <n v="1455675"/>
    <n v="12681780"/>
    <n v="26000000"/>
    <n v="0.48776076923076922"/>
    <x v="0"/>
    <n v="24"/>
    <x v="0"/>
    <s v=""/>
    <s v="No Aplica"/>
    <m/>
    <m/>
    <m/>
    <m/>
    <m/>
    <m/>
    <n v="15931655"/>
    <m/>
  </r>
  <r>
    <n v="1"/>
    <x v="0"/>
    <n v="2016"/>
    <s v="Enero"/>
    <s v="DERLARMO"/>
    <n v="52725011"/>
    <x v="10"/>
    <n v="2354991"/>
    <n v="0"/>
    <n v="444814"/>
    <n v="1910177"/>
    <n v="5416666.666666666"/>
    <n v="0.35264806153846157"/>
    <x v="1"/>
    <n v="24"/>
    <x v="6"/>
    <s v="Centro"/>
    <s v="Fluctúa"/>
    <m/>
    <m/>
    <m/>
    <m/>
    <m/>
    <m/>
    <n v="2354991"/>
    <m/>
  </r>
  <r>
    <n v="1"/>
    <x v="0"/>
    <n v="2016"/>
    <s v="Enero"/>
    <s v="DIANPAAL"/>
    <n v="1040030764"/>
    <x v="11"/>
    <n v="31122283"/>
    <n v="1736500"/>
    <n v="1758341"/>
    <n v="27627442"/>
    <n v="30000000"/>
    <n v="0.92091473333333329"/>
    <x v="1"/>
    <n v="24"/>
    <x v="7"/>
    <s v="Antioquia"/>
    <s v="Cumple"/>
    <m/>
    <m/>
    <m/>
    <m/>
    <m/>
    <m/>
    <n v="31122283"/>
    <m/>
  </r>
  <r>
    <n v="1"/>
    <x v="0"/>
    <n v="2016"/>
    <s v="Enero"/>
    <s v="DIANPOPA"/>
    <n v="31307503"/>
    <x v="7"/>
    <n v="268570"/>
    <n v="0"/>
    <n v="0"/>
    <n v="268570"/>
    <m/>
    <m/>
    <x v="0"/>
    <n v="24"/>
    <x v="0"/>
    <s v=""/>
    <s v="No Aplica"/>
    <m/>
    <m/>
    <m/>
    <m/>
    <m/>
    <m/>
    <n v="268570"/>
    <m/>
  </r>
  <r>
    <n v="1"/>
    <x v="0"/>
    <n v="2016"/>
    <s v="Enero"/>
    <s v="DIANQUME"/>
    <n v="42164020"/>
    <x v="12"/>
    <n v="45923828"/>
    <n v="3935000"/>
    <n v="2718450"/>
    <n v="39270378"/>
    <n v="36000000"/>
    <n v="1.0908438333333332"/>
    <x v="1"/>
    <n v="24"/>
    <x v="1"/>
    <s v="Antioquia"/>
    <s v="Siempre Cumple"/>
    <m/>
    <m/>
    <m/>
    <m/>
    <m/>
    <m/>
    <n v="45923828"/>
    <m/>
  </r>
  <r>
    <n v="1"/>
    <x v="0"/>
    <n v="2016"/>
    <s v="Enero"/>
    <s v="ELIZVESU"/>
    <n v="1035417626"/>
    <x v="13"/>
    <n v="30944117"/>
    <n v="1578840"/>
    <n v="2501408"/>
    <n v="26863869"/>
    <n v="22500000"/>
    <n v="1.1939497333333333"/>
    <x v="1"/>
    <n v="24"/>
    <x v="3"/>
    <s v="Antioquia"/>
    <s v="Cumple"/>
    <m/>
    <m/>
    <m/>
    <m/>
    <m/>
    <m/>
    <n v="30944117"/>
    <m/>
  </r>
  <r>
    <n v="1"/>
    <x v="0"/>
    <n v="2016"/>
    <s v="Enero"/>
    <s v="GENNHEPO"/>
    <n v="43874518"/>
    <x v="14"/>
    <n v="28759819"/>
    <n v="929900"/>
    <n v="2581449"/>
    <n v="25248470"/>
    <n v="32000000"/>
    <n v="0.78901468750000003"/>
    <x v="1"/>
    <n v="24"/>
    <x v="8"/>
    <s v="Antioquia"/>
    <s v="Fluctúa"/>
    <m/>
    <m/>
    <m/>
    <m/>
    <m/>
    <m/>
    <n v="28759819"/>
    <m/>
  </r>
  <r>
    <n v="1"/>
    <x v="0"/>
    <n v="2016"/>
    <s v="Enero"/>
    <s v="ISABMOGO"/>
    <n v="52260671"/>
    <x v="15"/>
    <n v="28436549"/>
    <n v="768000"/>
    <n v="1931858"/>
    <n v="25736691"/>
    <n v="26000000"/>
    <n v="0.98987273076923077"/>
    <x v="1"/>
    <n v="24"/>
    <x v="9"/>
    <s v="Centro"/>
    <s v="Siempre Cumple"/>
    <m/>
    <m/>
    <m/>
    <m/>
    <m/>
    <m/>
    <n v="28436549"/>
    <m/>
  </r>
  <r>
    <n v="1"/>
    <x v="0"/>
    <n v="2016"/>
    <s v="Enero"/>
    <s v="JAQUVEGU"/>
    <n v="1036779770"/>
    <x v="16"/>
    <n v="28396875"/>
    <n v="2276400"/>
    <n v="1705092"/>
    <n v="24415383"/>
    <n v="30000000"/>
    <n v="0.81384610000000002"/>
    <x v="0"/>
    <n v="24"/>
    <x v="7"/>
    <s v="Antioquia"/>
    <s v="No Aplica"/>
    <m/>
    <m/>
    <m/>
    <m/>
    <m/>
    <m/>
    <n v="28396875"/>
    <m/>
  </r>
  <r>
    <n v="1"/>
    <x v="0"/>
    <n v="2016"/>
    <s v="Enero"/>
    <s v="LILACARA"/>
    <n v="1017141451"/>
    <x v="17"/>
    <n v="56956363"/>
    <n v="2185700"/>
    <n v="4549820"/>
    <n v="50220843"/>
    <n v="36000000"/>
    <n v="1.3950234166666666"/>
    <x v="1"/>
    <n v="24"/>
    <x v="1"/>
    <s v="Antioquia"/>
    <s v="Siempre Cumple"/>
    <m/>
    <m/>
    <m/>
    <m/>
    <m/>
    <m/>
    <n v="56956363"/>
    <m/>
  </r>
  <r>
    <n v="1"/>
    <x v="0"/>
    <n v="2016"/>
    <s v="Enero"/>
    <s v="LUZMARMO"/>
    <n v="43343234"/>
    <x v="18"/>
    <n v="40283212"/>
    <n v="1134100"/>
    <n v="3278175"/>
    <n v="35870937"/>
    <n v="38500000"/>
    <n v="0.93171264935064935"/>
    <x v="0"/>
    <n v="24"/>
    <x v="0"/>
    <s v=""/>
    <s v="No Aplica"/>
    <m/>
    <m/>
    <m/>
    <m/>
    <m/>
    <m/>
    <n v="40283212"/>
    <m/>
  </r>
  <r>
    <n v="1"/>
    <x v="0"/>
    <n v="2016"/>
    <s v="Enero"/>
    <s v="LUZNHEGO"/>
    <n v="43745192"/>
    <x v="19"/>
    <n v="27561873"/>
    <n v="824850"/>
    <n v="0"/>
    <n v="26737023"/>
    <n v="21000000"/>
    <n v="1.2731915714285715"/>
    <x v="1"/>
    <n v="24"/>
    <x v="10"/>
    <s v="Antioquia"/>
    <s v="Cumple"/>
    <m/>
    <m/>
    <m/>
    <m/>
    <m/>
    <m/>
    <n v="27561873"/>
    <m/>
  </r>
  <r>
    <n v="1"/>
    <x v="0"/>
    <n v="2016"/>
    <s v="Enero"/>
    <s v="MARGGAPA"/>
    <n v="43866877"/>
    <x v="20"/>
    <n v="48137539"/>
    <n v="3639730"/>
    <n v="3691481"/>
    <n v="40806328"/>
    <n v="40000000"/>
    <n v="1.0201582"/>
    <x v="1"/>
    <n v="24"/>
    <x v="5"/>
    <s v="Antioquia"/>
    <s v="Siempre Cumple"/>
    <m/>
    <m/>
    <m/>
    <m/>
    <m/>
    <m/>
    <n v="48137539"/>
    <m/>
  </r>
  <r>
    <n v="1"/>
    <x v="0"/>
    <n v="2016"/>
    <s v="Enero"/>
    <s v="MARIMASA"/>
    <n v="43113640"/>
    <x v="7"/>
    <n v="1819636"/>
    <n v="0"/>
    <n v="0"/>
    <n v="1819636"/>
    <m/>
    <m/>
    <x v="1"/>
    <n v="24"/>
    <x v="4"/>
    <s v="Antioquia"/>
    <s v="Cumple"/>
    <m/>
    <m/>
    <m/>
    <m/>
    <m/>
    <m/>
    <n v="1819636"/>
    <m/>
  </r>
  <r>
    <n v="1"/>
    <x v="0"/>
    <n v="2016"/>
    <s v="Enero"/>
    <s v="MARIOCOC"/>
    <n v="39448823"/>
    <x v="21"/>
    <n v="33755358"/>
    <n v="1533700"/>
    <n v="2368027"/>
    <n v="29853631"/>
    <n v="30000000"/>
    <n v="0.99512103333333335"/>
    <x v="1"/>
    <n v="24"/>
    <x v="7"/>
    <s v="Antioquia"/>
    <s v="Siempre Cumple"/>
    <m/>
    <m/>
    <m/>
    <m/>
    <m/>
    <m/>
    <n v="33755358"/>
    <m/>
  </r>
  <r>
    <n v="1"/>
    <x v="0"/>
    <n v="2016"/>
    <s v="Enero"/>
    <s v="MARISEAR"/>
    <n v="43109744"/>
    <x v="22"/>
    <n v="1735878"/>
    <n v="329940"/>
    <n v="0"/>
    <n v="1405938"/>
    <n v="8666666.666666666"/>
    <n v="0.16222361538461538"/>
    <x v="0"/>
    <n v="24"/>
    <x v="0"/>
    <s v=""/>
    <s v="No Aplica"/>
    <m/>
    <m/>
    <m/>
    <m/>
    <m/>
    <m/>
    <n v="1735878"/>
    <m/>
  </r>
  <r>
    <n v="1"/>
    <x v="0"/>
    <n v="2016"/>
    <s v="Enero"/>
    <s v="MARISOCA"/>
    <n v="43599983"/>
    <x v="23"/>
    <n v="42677545"/>
    <n v="675200"/>
    <n v="3477391"/>
    <n v="38524954"/>
    <n v="40000000"/>
    <n v="0.96312385"/>
    <x v="0"/>
    <n v="24"/>
    <x v="0"/>
    <s v=""/>
    <s v="No Aplica"/>
    <m/>
    <m/>
    <m/>
    <m/>
    <m/>
    <m/>
    <n v="42677545"/>
    <m/>
  </r>
  <r>
    <n v="1"/>
    <x v="0"/>
    <n v="2016"/>
    <s v="Enero"/>
    <s v="MONIMEME"/>
    <n v="42689970"/>
    <x v="24"/>
    <n v="36390790"/>
    <n v="1169400"/>
    <n v="2735617"/>
    <n v="32485773"/>
    <n v="11666666.666666668"/>
    <n v="2.7844948285714284"/>
    <x v="0"/>
    <n v="24"/>
    <x v="0"/>
    <s v=""/>
    <s v="No Aplica"/>
    <m/>
    <m/>
    <m/>
    <m/>
    <m/>
    <m/>
    <n v="36390790"/>
    <m/>
  </r>
  <r>
    <n v="1"/>
    <x v="0"/>
    <n v="2016"/>
    <s v="Enero"/>
    <s v="NATAPIDU"/>
    <n v="43907427"/>
    <x v="25"/>
    <n v="36234860"/>
    <n v="350820"/>
    <n v="1137047"/>
    <n v="34746993"/>
    <n v="28500000"/>
    <n v="1.2191927368421052"/>
    <x v="1"/>
    <n v="24"/>
    <x v="11"/>
    <s v="Antioquia"/>
    <s v="Siempre Cumple"/>
    <m/>
    <m/>
    <m/>
    <m/>
    <m/>
    <m/>
    <n v="36234860"/>
    <m/>
  </r>
  <r>
    <n v="1"/>
    <x v="0"/>
    <n v="2016"/>
    <s v="Enero"/>
    <s v="OSCADESU"/>
    <n v="91511871"/>
    <x v="26"/>
    <n v="33059588"/>
    <n v="3155560"/>
    <n v="3186981"/>
    <n v="26717047"/>
    <n v="26000000"/>
    <n v="1.0275787307692308"/>
    <x v="0"/>
    <n v="24"/>
    <x v="0"/>
    <s v=""/>
    <s v="No Aplica"/>
    <m/>
    <m/>
    <m/>
    <m/>
    <m/>
    <m/>
    <n v="33059588"/>
    <m/>
  </r>
  <r>
    <n v="1"/>
    <x v="0"/>
    <n v="2016"/>
    <s v="Enero"/>
    <s v="RAULMOGA"/>
    <n v="79701425"/>
    <x v="27"/>
    <n v="12377840"/>
    <n v="366600"/>
    <n v="1171192"/>
    <n v="10840048"/>
    <n v="21000000"/>
    <n v="0.51619276190476193"/>
    <x v="0"/>
    <n v="24"/>
    <x v="6"/>
    <s v="Centro"/>
    <s v="No Aplica"/>
    <m/>
    <m/>
    <m/>
    <m/>
    <m/>
    <m/>
    <n v="12377840"/>
    <m/>
  </r>
  <r>
    <n v="1"/>
    <x v="0"/>
    <n v="2016"/>
    <s v="Enero"/>
    <s v="ROCIFASA"/>
    <n v="34542470"/>
    <x v="28"/>
    <n v="19542392"/>
    <n v="473220"/>
    <n v="0"/>
    <n v="19069172"/>
    <n v="21000000"/>
    <n v="0.90805580952380949"/>
    <x v="1"/>
    <n v="24"/>
    <x v="12"/>
    <s v="Occidente"/>
    <s v="Siempre Cumple"/>
    <m/>
    <m/>
    <m/>
    <m/>
    <m/>
    <m/>
    <n v="19542392"/>
    <m/>
  </r>
  <r>
    <n v="1"/>
    <x v="0"/>
    <n v="2016"/>
    <s v="Enero"/>
    <s v="ROSAVEGI"/>
    <n v="52730701"/>
    <x v="29"/>
    <n v="13510580"/>
    <n v="192000"/>
    <n v="488772"/>
    <n v="12829808"/>
    <n v="21000000"/>
    <n v="0.61094323809523809"/>
    <x v="0"/>
    <n v="24"/>
    <x v="0"/>
    <s v=""/>
    <s v="No Aplica"/>
    <m/>
    <m/>
    <m/>
    <m/>
    <m/>
    <m/>
    <n v="13510580"/>
    <m/>
  </r>
  <r>
    <n v="1"/>
    <x v="0"/>
    <n v="2016"/>
    <s v="Enero"/>
    <s v="VIVIVAZA"/>
    <n v="43745952"/>
    <x v="30"/>
    <n v="60428270"/>
    <n v="1388700"/>
    <n v="4526308"/>
    <n v="54513262"/>
    <n v="40000000"/>
    <n v="1.3628315499999999"/>
    <x v="1"/>
    <n v="24"/>
    <x v="3"/>
    <s v="Antioquia"/>
    <s v="Siempre Cumple"/>
    <m/>
    <m/>
    <m/>
    <m/>
    <m/>
    <m/>
    <n v="60428270"/>
    <m/>
  </r>
  <r>
    <n v="1"/>
    <x v="0"/>
    <n v="2016"/>
    <s v="Enero"/>
    <s v="ZULYARGA"/>
    <n v="43259130"/>
    <x v="31"/>
    <n v="55846407"/>
    <n v="2438750"/>
    <n v="3687060"/>
    <n v="49720597"/>
    <n v="40000000"/>
    <n v="1.243014925"/>
    <x v="1"/>
    <n v="24"/>
    <x v="1"/>
    <s v="Antioquia"/>
    <s v="Fluctúa"/>
    <m/>
    <m/>
    <m/>
    <m/>
    <m/>
    <m/>
    <n v="55846407"/>
    <m/>
  </r>
  <r>
    <n v="2"/>
    <x v="1"/>
    <n v="2016"/>
    <s v="Febrero"/>
    <s v="ADRIESAN"/>
    <n v="43920870"/>
    <x v="0"/>
    <n v="41352730"/>
    <n v="1612600"/>
    <n v="1698294"/>
    <n v="38041836"/>
    <n v="32800000"/>
    <n v="1.1598120731707318"/>
    <x v="0"/>
    <n v="25"/>
    <x v="0"/>
    <s v=""/>
    <s v="No Aplica"/>
    <m/>
    <m/>
    <m/>
    <m/>
    <m/>
    <m/>
    <n v="41352730"/>
    <m/>
  </r>
  <r>
    <n v="2"/>
    <x v="1"/>
    <n v="2016"/>
    <s v="Febrero"/>
    <s v="ADRIMOLU"/>
    <n v="43169964"/>
    <x v="1"/>
    <n v="27179896"/>
    <n v="829200"/>
    <n v="1329705"/>
    <n v="25020991"/>
    <n v="24960000"/>
    <n v="1.0024435496794872"/>
    <x v="1"/>
    <n v="25"/>
    <x v="1"/>
    <s v="Antioquia"/>
    <s v="Cumple"/>
    <m/>
    <m/>
    <m/>
    <m/>
    <m/>
    <m/>
    <n v="27179896"/>
    <m/>
  </r>
  <r>
    <n v="2"/>
    <x v="1"/>
    <n v="2016"/>
    <s v="Febrero"/>
    <s v="ALEXLOGR"/>
    <n v="43253531"/>
    <x v="2"/>
    <n v="39803918"/>
    <n v="2979740"/>
    <n v="2610309"/>
    <n v="34213869"/>
    <n v="32000000"/>
    <n v="1.0691834062500001"/>
    <x v="1"/>
    <n v="25"/>
    <x v="2"/>
    <s v="Antioquia"/>
    <s v="Cumple"/>
    <m/>
    <m/>
    <m/>
    <m/>
    <m/>
    <m/>
    <n v="39803918"/>
    <m/>
  </r>
  <r>
    <n v="2"/>
    <x v="1"/>
    <n v="2016"/>
    <s v="Febrero"/>
    <s v="ANAMLOBE"/>
    <n v="43821410"/>
    <x v="3"/>
    <n v="67741163"/>
    <n v="1246000"/>
    <n v="3690933"/>
    <n v="62804230"/>
    <n v="40000000"/>
    <n v="1.57010575"/>
    <x v="1"/>
    <n v="25"/>
    <x v="3"/>
    <s v="Antioquia"/>
    <s v="Siempre Cumple"/>
    <m/>
    <m/>
    <m/>
    <m/>
    <m/>
    <m/>
    <n v="67741163"/>
    <m/>
  </r>
  <r>
    <n v="2"/>
    <x v="1"/>
    <n v="2016"/>
    <s v="Febrero"/>
    <s v="ANGEGAAR"/>
    <n v="39442617"/>
    <x v="4"/>
    <n v="50259026"/>
    <n v="2652710"/>
    <n v="2830305"/>
    <n v="44776011"/>
    <n v="40000000"/>
    <n v="1.1194002750000001"/>
    <x v="1"/>
    <n v="25"/>
    <x v="4"/>
    <s v="Antioquia"/>
    <s v="Cumple"/>
    <m/>
    <m/>
    <m/>
    <m/>
    <m/>
    <m/>
    <n v="50259026"/>
    <m/>
  </r>
  <r>
    <n v="2"/>
    <x v="1"/>
    <n v="2016"/>
    <s v="Febrero"/>
    <s v="ANLLLIZO"/>
    <n v="1013628003"/>
    <x v="5"/>
    <n v="30381799"/>
    <n v="222030"/>
    <n v="0"/>
    <n v="30159769"/>
    <n v="30400000"/>
    <n v="0.99209766447368419"/>
    <x v="0"/>
    <n v="25"/>
    <x v="0"/>
    <s v=""/>
    <s v="No Aplica"/>
    <m/>
    <m/>
    <m/>
    <m/>
    <m/>
    <m/>
    <n v="30381799"/>
    <m/>
  </r>
  <r>
    <n v="2"/>
    <x v="1"/>
    <n v="2016"/>
    <s v="Febrero"/>
    <s v="BIBIBECA"/>
    <n v="43971430"/>
    <x v="6"/>
    <n v="43647916"/>
    <n v="337600"/>
    <n v="2443455"/>
    <n v="40866861"/>
    <n v="40000000"/>
    <n v="1.0216715249999999"/>
    <x v="1"/>
    <n v="25"/>
    <x v="5"/>
    <s v="Antioquia"/>
    <s v="Siempre Cumple"/>
    <m/>
    <m/>
    <m/>
    <m/>
    <m/>
    <m/>
    <n v="43647916"/>
    <m/>
  </r>
  <r>
    <n v="2"/>
    <x v="1"/>
    <n v="2016"/>
    <s v="Febrero"/>
    <s v="CAROGOCE"/>
    <n v="43184345"/>
    <x v="7"/>
    <n v="1476525"/>
    <n v="0"/>
    <n v="0"/>
    <n v="1476525"/>
    <m/>
    <m/>
    <x v="0"/>
    <n v="25"/>
    <x v="0"/>
    <s v=""/>
    <s v="No Aplica"/>
    <m/>
    <m/>
    <m/>
    <m/>
    <m/>
    <m/>
    <n v="1476525"/>
    <m/>
  </r>
  <r>
    <n v="2"/>
    <x v="1"/>
    <n v="2016"/>
    <s v="Febrero"/>
    <s v="CAROVABE"/>
    <n v="1030634664"/>
    <x v="32"/>
    <n v="39908241"/>
    <n v="821040"/>
    <n v="3608708"/>
    <n v="35478493"/>
    <n v="32000000"/>
    <n v="1.10870290625"/>
    <x v="0"/>
    <n v="25"/>
    <x v="0"/>
    <s v=""/>
    <s v="No Aplica"/>
    <m/>
    <m/>
    <m/>
    <m/>
    <m/>
    <m/>
    <n v="39908241"/>
    <m/>
  </r>
  <r>
    <n v="2"/>
    <x v="1"/>
    <n v="2016"/>
    <s v="Febrero"/>
    <s v="CLAUBLAR"/>
    <n v="43554403"/>
    <x v="8"/>
    <n v="47859109"/>
    <n v="2682100"/>
    <n v="3147942"/>
    <n v="42029067"/>
    <n v="40000000"/>
    <n v="1.0507266749999999"/>
    <x v="1"/>
    <n v="25"/>
    <x v="5"/>
    <s v="Antioquia"/>
    <s v="Siempre Cumple"/>
    <m/>
    <m/>
    <m/>
    <m/>
    <m/>
    <m/>
    <n v="47859109"/>
    <m/>
  </r>
  <r>
    <n v="2"/>
    <x v="1"/>
    <n v="2016"/>
    <s v="Febrero"/>
    <s v="CLAUPACO"/>
    <n v="23857915"/>
    <x v="9"/>
    <n v="31926979"/>
    <n v="1684200"/>
    <n v="1476449"/>
    <n v="28766330"/>
    <n v="26000000"/>
    <n v="1.1063973076923077"/>
    <x v="0"/>
    <n v="25"/>
    <x v="0"/>
    <s v=""/>
    <s v="No Aplica"/>
    <m/>
    <m/>
    <m/>
    <m/>
    <m/>
    <m/>
    <n v="31926979"/>
    <m/>
  </r>
  <r>
    <n v="2"/>
    <x v="1"/>
    <n v="2016"/>
    <s v="Febrero"/>
    <s v="DERLARMO"/>
    <n v="52725011"/>
    <x v="10"/>
    <n v="15483856"/>
    <n v="669800"/>
    <n v="688436"/>
    <n v="14125620"/>
    <n v="21000000"/>
    <n v="0.67264857142857137"/>
    <x v="1"/>
    <n v="25"/>
    <x v="6"/>
    <s v="Centro"/>
    <s v="Fluctúa"/>
    <m/>
    <m/>
    <m/>
    <m/>
    <m/>
    <m/>
    <n v="15483856"/>
    <m/>
  </r>
  <r>
    <n v="2"/>
    <x v="1"/>
    <n v="2016"/>
    <s v="Febrero"/>
    <s v="DIANPAAL"/>
    <n v="1040030764"/>
    <x v="11"/>
    <n v="42399343"/>
    <n v="2415400"/>
    <n v="2519268"/>
    <n v="37464675"/>
    <n v="30000000"/>
    <n v="1.2488224999999999"/>
    <x v="1"/>
    <n v="25"/>
    <x v="7"/>
    <s v="Antioquia"/>
    <s v="Cumple"/>
    <m/>
    <m/>
    <m/>
    <m/>
    <m/>
    <m/>
    <n v="42399343"/>
    <m/>
  </r>
  <r>
    <n v="2"/>
    <x v="1"/>
    <n v="2016"/>
    <s v="Febrero"/>
    <s v="DIANPOPA"/>
    <n v="31307503"/>
    <x v="33"/>
    <n v="29248608"/>
    <n v="409770"/>
    <n v="0"/>
    <n v="28838838"/>
    <n v="30100000"/>
    <n v="0.95810093023255816"/>
    <x v="0"/>
    <n v="25"/>
    <x v="0"/>
    <s v=""/>
    <s v="No Aplica"/>
    <m/>
    <m/>
    <m/>
    <m/>
    <m/>
    <m/>
    <n v="29248608"/>
    <m/>
  </r>
  <r>
    <n v="2"/>
    <x v="1"/>
    <n v="2016"/>
    <s v="Febrero"/>
    <s v="DIANQUME"/>
    <n v="42164020"/>
    <x v="12"/>
    <n v="46133231"/>
    <n v="3046600"/>
    <n v="2757486"/>
    <n v="40329145"/>
    <n v="36000000"/>
    <n v="1.1202540277777777"/>
    <x v="1"/>
    <n v="25"/>
    <x v="1"/>
    <s v="Antioquia"/>
    <s v="Siempre Cumple"/>
    <m/>
    <m/>
    <m/>
    <m/>
    <m/>
    <m/>
    <n v="46133231"/>
    <m/>
  </r>
  <r>
    <n v="2"/>
    <x v="1"/>
    <n v="2016"/>
    <s v="Febrero"/>
    <s v="ELIZVESU"/>
    <n v="1035417626"/>
    <x v="13"/>
    <n v="53215956"/>
    <n v="4569240"/>
    <n v="3334261"/>
    <n v="45312455"/>
    <n v="36000000"/>
    <n v="1.2586793055555556"/>
    <x v="1"/>
    <n v="25"/>
    <x v="3"/>
    <s v="Antioquia"/>
    <s v="Cumple"/>
    <m/>
    <m/>
    <m/>
    <m/>
    <m/>
    <m/>
    <n v="53215956"/>
    <m/>
  </r>
  <r>
    <n v="2"/>
    <x v="1"/>
    <n v="2016"/>
    <s v="Febrero"/>
    <s v="GENNHEPO"/>
    <n v="43874518"/>
    <x v="14"/>
    <n v="42595601"/>
    <n v="1298200"/>
    <n v="2789090"/>
    <n v="38508311"/>
    <n v="36000000"/>
    <n v="1.0696753055555555"/>
    <x v="1"/>
    <n v="25"/>
    <x v="8"/>
    <s v="Antioquia"/>
    <s v="Fluctúa"/>
    <m/>
    <m/>
    <m/>
    <m/>
    <m/>
    <m/>
    <n v="42595601"/>
    <m/>
  </r>
  <r>
    <n v="2"/>
    <x v="1"/>
    <n v="2016"/>
    <s v="Febrero"/>
    <s v="ISABMOGO"/>
    <n v="52260671"/>
    <x v="15"/>
    <n v="15360111"/>
    <n v="762200"/>
    <n v="1122509"/>
    <n v="13475402"/>
    <n v="26000000"/>
    <n v="0.51828469230769236"/>
    <x v="1"/>
    <n v="25"/>
    <x v="9"/>
    <s v="Centro"/>
    <s v="Siempre Cumple"/>
    <m/>
    <m/>
    <m/>
    <m/>
    <m/>
    <m/>
    <n v="15360111"/>
    <m/>
  </r>
  <r>
    <n v="2"/>
    <x v="1"/>
    <n v="2016"/>
    <s v="Febrero"/>
    <s v="JAQUVEGU"/>
    <n v="1036779770"/>
    <x v="16"/>
    <n v="38708424"/>
    <n v="2470000"/>
    <n v="2244919"/>
    <n v="33993505"/>
    <n v="30000000"/>
    <n v="1.1331168333333332"/>
    <x v="0"/>
    <n v="25"/>
    <x v="7"/>
    <s v="Antioquia"/>
    <s v="No Aplica"/>
    <m/>
    <m/>
    <m/>
    <m/>
    <m/>
    <m/>
    <n v="38708424"/>
    <m/>
  </r>
  <r>
    <n v="2"/>
    <x v="1"/>
    <n v="2016"/>
    <s v="Febrero"/>
    <s v="LILACARA"/>
    <n v="1017141451"/>
    <x v="17"/>
    <n v="51983115"/>
    <n v="2539450"/>
    <n v="4138584"/>
    <n v="45305081"/>
    <n v="36000000"/>
    <n v="1.2584744722222223"/>
    <x v="1"/>
    <n v="25"/>
    <x v="1"/>
    <s v="Antioquia"/>
    <s v="Siempre Cumple"/>
    <m/>
    <m/>
    <m/>
    <m/>
    <m/>
    <m/>
    <n v="51983115"/>
    <m/>
  </r>
  <r>
    <n v="2"/>
    <x v="1"/>
    <n v="2016"/>
    <s v="Febrero"/>
    <s v="LUZMARMO"/>
    <n v="43343234"/>
    <x v="18"/>
    <n v="45143428"/>
    <n v="2007930"/>
    <n v="2707411"/>
    <n v="40428087"/>
    <n v="40000000"/>
    <n v="1.010702175"/>
    <x v="0"/>
    <n v="25"/>
    <x v="0"/>
    <s v=""/>
    <s v="No Aplica"/>
    <m/>
    <m/>
    <m/>
    <m/>
    <m/>
    <m/>
    <n v="45143428"/>
    <m/>
  </r>
  <r>
    <n v="2"/>
    <x v="1"/>
    <n v="2016"/>
    <s v="Febrero"/>
    <s v="LUZNHEGO"/>
    <n v="43745192"/>
    <x v="19"/>
    <n v="25566331"/>
    <n v="0"/>
    <n v="0"/>
    <n v="25566331"/>
    <n v="21000000"/>
    <n v="1.2174443333333334"/>
    <x v="1"/>
    <n v="25"/>
    <x v="10"/>
    <s v="Antioquia"/>
    <s v="Cumple"/>
    <m/>
    <m/>
    <m/>
    <m/>
    <m/>
    <m/>
    <n v="25566331"/>
    <m/>
  </r>
  <r>
    <n v="2"/>
    <x v="1"/>
    <n v="2016"/>
    <s v="Febrero"/>
    <s v="MARGGAPA"/>
    <n v="43866877"/>
    <x v="20"/>
    <n v="48338355"/>
    <n v="468700"/>
    <n v="4322599"/>
    <n v="43547056"/>
    <n v="40000000"/>
    <n v="1.0886764"/>
    <x v="1"/>
    <n v="25"/>
    <x v="5"/>
    <s v="Antioquia"/>
    <s v="Siempre Cumple"/>
    <m/>
    <m/>
    <m/>
    <m/>
    <m/>
    <m/>
    <n v="48338355"/>
    <m/>
  </r>
  <r>
    <n v="2"/>
    <x v="1"/>
    <n v="2016"/>
    <s v="Febrero"/>
    <s v="MARIMASA"/>
    <n v="43113640"/>
    <x v="34"/>
    <n v="55550"/>
    <n v="0"/>
    <n v="0"/>
    <n v="55550"/>
    <n v="40000000"/>
    <n v="1.38875E-3"/>
    <x v="1"/>
    <n v="25"/>
    <x v="4"/>
    <s v="Antioquia"/>
    <s v="Cumple"/>
    <m/>
    <m/>
    <m/>
    <m/>
    <m/>
    <m/>
    <n v="55550"/>
    <m/>
  </r>
  <r>
    <n v="2"/>
    <x v="1"/>
    <n v="2016"/>
    <s v="Febrero"/>
    <s v="MARIOCOC"/>
    <n v="39448823"/>
    <x v="21"/>
    <n v="15673663"/>
    <n v="285400"/>
    <n v="1514830"/>
    <n v="13873433"/>
    <n v="8400000"/>
    <n v="1.6515991666666667"/>
    <x v="1"/>
    <n v="25"/>
    <x v="7"/>
    <s v="Antioquia"/>
    <s v="Siempre Cumple"/>
    <m/>
    <m/>
    <m/>
    <m/>
    <m/>
    <m/>
    <n v="15673663"/>
    <m/>
  </r>
  <r>
    <n v="2"/>
    <x v="1"/>
    <n v="2016"/>
    <s v="Febrero"/>
    <s v="MARISEAR"/>
    <n v="43109744"/>
    <x v="22"/>
    <n v="11628511"/>
    <n v="389800"/>
    <n v="0"/>
    <n v="11238711"/>
    <n v="40100000"/>
    <n v="0.28026710723192022"/>
    <x v="0"/>
    <n v="25"/>
    <x v="0"/>
    <s v=""/>
    <s v="No Aplica"/>
    <m/>
    <m/>
    <m/>
    <m/>
    <m/>
    <m/>
    <n v="11628511"/>
    <m/>
  </r>
  <r>
    <n v="2"/>
    <x v="1"/>
    <n v="2016"/>
    <s v="Febrero"/>
    <s v="MARISOCA"/>
    <n v="43599983"/>
    <x v="23"/>
    <n v="31061715"/>
    <n v="1041800"/>
    <n v="1923536"/>
    <n v="28096379"/>
    <n v="40000000"/>
    <n v="0.70240947499999995"/>
    <x v="0"/>
    <n v="25"/>
    <x v="0"/>
    <s v=""/>
    <s v="No Aplica"/>
    <m/>
    <m/>
    <m/>
    <m/>
    <m/>
    <m/>
    <n v="31061715"/>
    <m/>
  </r>
  <r>
    <n v="2"/>
    <x v="1"/>
    <n v="2016"/>
    <s v="Febrero"/>
    <s v="MONIMEME"/>
    <n v="42689970"/>
    <x v="24"/>
    <n v="42720050"/>
    <n v="2857800"/>
    <n v="1785110"/>
    <n v="38077140"/>
    <n v="38400000"/>
    <n v="0.9915921875"/>
    <x v="0"/>
    <n v="25"/>
    <x v="0"/>
    <s v=""/>
    <s v="No Aplica"/>
    <m/>
    <m/>
    <m/>
    <m/>
    <m/>
    <m/>
    <n v="42720050"/>
    <m/>
  </r>
  <r>
    <n v="2"/>
    <x v="1"/>
    <n v="2016"/>
    <s v="Febrero"/>
    <s v="NATAPIDU"/>
    <n v="43907427"/>
    <x v="25"/>
    <n v="54909036"/>
    <n v="1183480"/>
    <n v="721656"/>
    <n v="53003900"/>
    <n v="36000000"/>
    <n v="1.4723305555555555"/>
    <x v="1"/>
    <n v="25"/>
    <x v="11"/>
    <s v="Antioquia"/>
    <s v="Siempre Cumple"/>
    <m/>
    <m/>
    <m/>
    <m/>
    <m/>
    <m/>
    <n v="54909036"/>
    <m/>
  </r>
  <r>
    <n v="2"/>
    <x v="1"/>
    <n v="2016"/>
    <s v="Febrero"/>
    <s v="OSCADESU"/>
    <n v="91511871"/>
    <x v="26"/>
    <n v="28520063"/>
    <n v="1520930"/>
    <n v="4235676"/>
    <n v="22763457"/>
    <n v="26000000"/>
    <n v="0.87551757692307697"/>
    <x v="0"/>
    <n v="25"/>
    <x v="0"/>
    <s v=""/>
    <s v="No Aplica"/>
    <m/>
    <m/>
    <m/>
    <m/>
    <m/>
    <m/>
    <n v="28520063"/>
    <m/>
  </r>
  <r>
    <n v="2"/>
    <x v="1"/>
    <n v="2016"/>
    <s v="Febrero"/>
    <s v="RAULMOGA"/>
    <n v="79701425"/>
    <x v="27"/>
    <n v="25056058"/>
    <n v="389800"/>
    <n v="1098916"/>
    <n v="23567342"/>
    <n v="21000000"/>
    <n v="1.1222543809523811"/>
    <x v="0"/>
    <n v="25"/>
    <x v="6"/>
    <s v="Centro"/>
    <s v="No Aplica"/>
    <m/>
    <m/>
    <m/>
    <m/>
    <m/>
    <m/>
    <n v="25056058"/>
    <m/>
  </r>
  <r>
    <n v="2"/>
    <x v="1"/>
    <n v="2016"/>
    <s v="Febrero"/>
    <s v="ROCIFASA"/>
    <n v="34542470"/>
    <x v="28"/>
    <n v="19810676"/>
    <n v="358200"/>
    <n v="0"/>
    <n v="19452476"/>
    <n v="17640000"/>
    <n v="1.1027480725623582"/>
    <x v="1"/>
    <n v="25"/>
    <x v="12"/>
    <s v="Occidente"/>
    <s v="Siempre Cumple"/>
    <m/>
    <m/>
    <m/>
    <m/>
    <m/>
    <m/>
    <n v="19810676"/>
    <m/>
  </r>
  <r>
    <n v="2"/>
    <x v="1"/>
    <n v="2016"/>
    <s v="Febrero"/>
    <s v="ROSAVEGI"/>
    <n v="52730701"/>
    <x v="29"/>
    <n v="16015157"/>
    <n v="1386200"/>
    <n v="828178"/>
    <n v="13800779"/>
    <n v="26000000"/>
    <n v="0.53079919230769235"/>
    <x v="0"/>
    <n v="25"/>
    <x v="0"/>
    <s v=""/>
    <s v="No Aplica"/>
    <m/>
    <m/>
    <m/>
    <m/>
    <m/>
    <m/>
    <n v="16015157"/>
    <m/>
  </r>
  <r>
    <n v="2"/>
    <x v="1"/>
    <n v="2016"/>
    <s v="Febrero"/>
    <s v="VIVIVAZA"/>
    <n v="43745952"/>
    <x v="30"/>
    <n v="60603293"/>
    <n v="989600"/>
    <n v="3785190"/>
    <n v="55828503"/>
    <n v="40000000"/>
    <n v="1.3957125749999999"/>
    <x v="1"/>
    <n v="25"/>
    <x v="3"/>
    <s v="Antioquia"/>
    <s v="Siempre Cumple"/>
    <m/>
    <m/>
    <m/>
    <m/>
    <m/>
    <m/>
    <n v="60603293"/>
    <m/>
  </r>
  <r>
    <n v="2"/>
    <x v="1"/>
    <n v="2016"/>
    <s v="Febrero"/>
    <s v="ZULYARGA"/>
    <n v="43259130"/>
    <x v="31"/>
    <n v="45042771"/>
    <n v="3925400"/>
    <n v="3158549"/>
    <n v="37958822"/>
    <n v="28800000"/>
    <n v="1.3180146527777779"/>
    <x v="1"/>
    <n v="25"/>
    <x v="1"/>
    <s v="Antioquia"/>
    <s v="Fluctúa"/>
    <m/>
    <m/>
    <m/>
    <m/>
    <m/>
    <m/>
    <n v="45042771"/>
    <m/>
  </r>
  <r>
    <n v="3"/>
    <x v="2"/>
    <n v="2016"/>
    <s v="Marzo"/>
    <s v="ADRIESAN"/>
    <n v="43920870"/>
    <x v="35"/>
    <n v="38604219"/>
    <n v="2299200"/>
    <n v="2149416"/>
    <n v="34155603"/>
    <n v="34960000"/>
    <n v="0.97699093249427915"/>
    <x v="0"/>
    <n v="25"/>
    <x v="0"/>
    <s v=""/>
    <s v="No Aplica"/>
    <m/>
    <m/>
    <m/>
    <m/>
    <m/>
    <m/>
    <n v="38604219"/>
    <m/>
  </r>
  <r>
    <n v="3"/>
    <x v="2"/>
    <n v="2016"/>
    <s v="Marzo"/>
    <s v="ADRIMOLU"/>
    <n v="43169964"/>
    <x v="1"/>
    <n v="27408362"/>
    <n v="352700"/>
    <n v="2908277"/>
    <n v="24147385"/>
    <n v="26000000"/>
    <n v="0.92874557692307691"/>
    <x v="1"/>
    <n v="25"/>
    <x v="1"/>
    <s v="Antioquia"/>
    <s v="Cumple"/>
    <m/>
    <m/>
    <m/>
    <m/>
    <m/>
    <m/>
    <n v="27408362"/>
    <m/>
  </r>
  <r>
    <n v="3"/>
    <x v="2"/>
    <n v="2016"/>
    <s v="Marzo"/>
    <s v="ALEXLOGR"/>
    <n v="43253531"/>
    <x v="2"/>
    <n v="36144833"/>
    <n v="1071200"/>
    <n v="2713839"/>
    <n v="32359794"/>
    <n v="33920000"/>
    <n v="0.95400336084905657"/>
    <x v="1"/>
    <n v="25"/>
    <x v="2"/>
    <s v="Antioquia"/>
    <s v="Cumple"/>
    <m/>
    <m/>
    <m/>
    <m/>
    <m/>
    <m/>
    <n v="36144833"/>
    <m/>
  </r>
  <r>
    <n v="3"/>
    <x v="2"/>
    <n v="2016"/>
    <s v="Marzo"/>
    <s v="ANAMLOBE"/>
    <n v="43821410"/>
    <x v="3"/>
    <n v="54569045"/>
    <n v="285400"/>
    <n v="3458843"/>
    <n v="50824802"/>
    <n v="35087500"/>
    <n v="1.4485159102244389"/>
    <x v="1"/>
    <n v="25"/>
    <x v="3"/>
    <s v="Antioquia"/>
    <s v="Siempre Cumple"/>
    <m/>
    <m/>
    <m/>
    <m/>
    <m/>
    <m/>
    <n v="54569045"/>
    <m/>
  </r>
  <r>
    <n v="3"/>
    <x v="2"/>
    <n v="2016"/>
    <s v="Marzo"/>
    <s v="ANGEGAAR"/>
    <n v="39442617"/>
    <x v="4"/>
    <n v="14335565"/>
    <n v="1019000"/>
    <n v="744600"/>
    <n v="12571965"/>
    <n v="8333333.333333334"/>
    <n v="1.5086358"/>
    <x v="1"/>
    <n v="25"/>
    <x v="4"/>
    <s v="Antioquia"/>
    <s v="Cumple"/>
    <m/>
    <m/>
    <m/>
    <m/>
    <m/>
    <m/>
    <n v="14335565"/>
    <m/>
  </r>
  <r>
    <n v="3"/>
    <x v="2"/>
    <n v="2016"/>
    <s v="Marzo"/>
    <s v="ANLLLIZO"/>
    <n v="1013628003"/>
    <x v="5"/>
    <n v="30353"/>
    <n v="0"/>
    <n v="30353"/>
    <n v="0"/>
    <n v="6125000"/>
    <n v="0"/>
    <x v="0"/>
    <n v="25"/>
    <x v="0"/>
    <s v=""/>
    <s v="No Aplica"/>
    <m/>
    <m/>
    <m/>
    <m/>
    <m/>
    <m/>
    <n v="30353"/>
    <m/>
  </r>
  <r>
    <n v="3"/>
    <x v="2"/>
    <n v="2016"/>
    <s v="Marzo"/>
    <s v="BIBIBECA"/>
    <n v="43971430"/>
    <x v="6"/>
    <n v="43085950"/>
    <n v="495400"/>
    <n v="4533725"/>
    <n v="38056825"/>
    <n v="40000000"/>
    <n v="0.95142062500000002"/>
    <x v="1"/>
    <n v="25"/>
    <x v="5"/>
    <s v="Antioquia"/>
    <s v="Siempre Cumple"/>
    <m/>
    <m/>
    <m/>
    <m/>
    <m/>
    <m/>
    <n v="43085950"/>
    <m/>
  </r>
  <r>
    <n v="3"/>
    <x v="2"/>
    <n v="2016"/>
    <s v="Marzo"/>
    <s v="CAROGOCE"/>
    <n v="43184345"/>
    <x v="7"/>
    <n v="219337"/>
    <n v="0"/>
    <n v="0"/>
    <n v="219337"/>
    <m/>
    <m/>
    <x v="0"/>
    <n v="25"/>
    <x v="0"/>
    <s v=""/>
    <s v="No Aplica"/>
    <m/>
    <m/>
    <m/>
    <m/>
    <m/>
    <m/>
    <n v="219337"/>
    <m/>
  </r>
  <r>
    <n v="3"/>
    <x v="2"/>
    <n v="2016"/>
    <s v="Marzo"/>
    <s v="CAROVABE"/>
    <n v="1030634664"/>
    <x v="32"/>
    <n v="44741175"/>
    <n v="1137420"/>
    <n v="3568635"/>
    <n v="40035120"/>
    <n v="40000000"/>
    <n v="1.0008779999999999"/>
    <x v="0"/>
    <n v="25"/>
    <x v="0"/>
    <s v=""/>
    <s v="No Aplica"/>
    <m/>
    <m/>
    <m/>
    <m/>
    <m/>
    <m/>
    <n v="44741175"/>
    <m/>
  </r>
  <r>
    <n v="3"/>
    <x v="2"/>
    <n v="2016"/>
    <s v="Marzo"/>
    <s v="CLAUBLAR"/>
    <n v="43554403"/>
    <x v="8"/>
    <n v="48609633"/>
    <n v="1182600"/>
    <n v="3801835"/>
    <n v="43625198"/>
    <n v="40000000"/>
    <n v="1.0906299500000001"/>
    <x v="1"/>
    <n v="25"/>
    <x v="5"/>
    <s v="Antioquia"/>
    <s v="Siempre Cumple"/>
    <m/>
    <m/>
    <m/>
    <m/>
    <m/>
    <m/>
    <n v="48609633"/>
    <m/>
  </r>
  <r>
    <n v="3"/>
    <x v="2"/>
    <n v="2016"/>
    <s v="Marzo"/>
    <s v="CLAUPACO"/>
    <n v="23857915"/>
    <x v="9"/>
    <n v="29079535"/>
    <n v="272000"/>
    <n v="941951"/>
    <n v="27865584"/>
    <n v="23833333.333333332"/>
    <n v="1.1691853426573426"/>
    <x v="0"/>
    <n v="25"/>
    <x v="0"/>
    <s v=""/>
    <s v="No Aplica"/>
    <m/>
    <m/>
    <m/>
    <m/>
    <m/>
    <m/>
    <n v="29079535"/>
    <m/>
  </r>
  <r>
    <n v="3"/>
    <x v="2"/>
    <n v="2016"/>
    <s v="Marzo"/>
    <s v="DERLARMO"/>
    <n v="52725011"/>
    <x v="10"/>
    <n v="23729140"/>
    <n v="0"/>
    <n v="1202340"/>
    <n v="22526800"/>
    <n v="21000000"/>
    <n v="1.0727047619047618"/>
    <x v="1"/>
    <n v="25"/>
    <x v="6"/>
    <s v="Centro"/>
    <s v="Fluctúa"/>
    <m/>
    <m/>
    <m/>
    <m/>
    <m/>
    <m/>
    <n v="23729140"/>
    <m/>
  </r>
  <r>
    <n v="3"/>
    <x v="2"/>
    <n v="2016"/>
    <s v="Marzo"/>
    <s v="DIANPAAL"/>
    <n v="1040030764"/>
    <x v="11"/>
    <n v="38468590"/>
    <n v="3076830"/>
    <n v="1741670"/>
    <n v="33650090"/>
    <n v="30100000"/>
    <n v="1.1179431893687708"/>
    <x v="1"/>
    <n v="25"/>
    <x v="7"/>
    <s v="Antioquia"/>
    <s v="Cumple"/>
    <m/>
    <m/>
    <m/>
    <m/>
    <m/>
    <m/>
    <n v="38468590"/>
    <m/>
  </r>
  <r>
    <n v="3"/>
    <x v="2"/>
    <n v="2016"/>
    <s v="Marzo"/>
    <s v="DIANPOPA"/>
    <n v="31307503"/>
    <x v="33"/>
    <n v="4915265"/>
    <n v="0"/>
    <n v="0"/>
    <n v="4915265"/>
    <n v="30100000"/>
    <n v="0.16329784053156146"/>
    <x v="0"/>
    <n v="25"/>
    <x v="0"/>
    <s v=""/>
    <s v="No Aplica"/>
    <m/>
    <m/>
    <m/>
    <m/>
    <m/>
    <m/>
    <n v="4915265"/>
    <m/>
  </r>
  <r>
    <n v="3"/>
    <x v="2"/>
    <n v="2016"/>
    <s v="Marzo"/>
    <s v="DIANQUME"/>
    <n v="42164020"/>
    <x v="12"/>
    <n v="39802207"/>
    <n v="2447300"/>
    <n v="2441894"/>
    <n v="34913013"/>
    <n v="36000000"/>
    <n v="0.96980591666666671"/>
    <x v="1"/>
    <n v="25"/>
    <x v="1"/>
    <s v="Antioquia"/>
    <s v="Siempre Cumple"/>
    <m/>
    <m/>
    <m/>
    <m/>
    <m/>
    <m/>
    <n v="39802207"/>
    <m/>
  </r>
  <r>
    <n v="3"/>
    <x v="2"/>
    <n v="2016"/>
    <s v="Marzo"/>
    <s v="ELIZVESU"/>
    <n v="1035417626"/>
    <x v="13"/>
    <n v="47225266"/>
    <n v="1095200"/>
    <n v="4275520"/>
    <n v="41854546"/>
    <n v="36000000"/>
    <n v="1.1626262777777778"/>
    <x v="1"/>
    <n v="25"/>
    <x v="3"/>
    <s v="Antioquia"/>
    <s v="Cumple"/>
    <m/>
    <m/>
    <m/>
    <m/>
    <m/>
    <m/>
    <n v="47225266"/>
    <m/>
  </r>
  <r>
    <n v="3"/>
    <x v="2"/>
    <n v="2016"/>
    <s v="Marzo"/>
    <s v="GENNHEPO"/>
    <n v="43874518"/>
    <x v="14"/>
    <n v="43833949"/>
    <n v="2093300"/>
    <n v="2736053"/>
    <n v="39004596"/>
    <n v="40000000"/>
    <n v="0.97511490000000001"/>
    <x v="1"/>
    <n v="25"/>
    <x v="8"/>
    <s v="Antioquia"/>
    <s v="Fluctúa"/>
    <m/>
    <m/>
    <m/>
    <m/>
    <m/>
    <m/>
    <n v="43833949"/>
    <m/>
  </r>
  <r>
    <n v="3"/>
    <x v="2"/>
    <n v="2016"/>
    <s v="Marzo"/>
    <s v="ISABMOGO"/>
    <n v="52260671"/>
    <x v="15"/>
    <n v="25291621"/>
    <n v="384000"/>
    <n v="1208254"/>
    <n v="23699367"/>
    <n v="23833333.333333332"/>
    <n v="0.99437903496503499"/>
    <x v="1"/>
    <n v="25"/>
    <x v="9"/>
    <s v="Centro"/>
    <s v="Siempre Cumple"/>
    <m/>
    <m/>
    <m/>
    <m/>
    <m/>
    <m/>
    <n v="25291621"/>
    <m/>
  </r>
  <r>
    <n v="3"/>
    <x v="2"/>
    <n v="2016"/>
    <s v="Marzo"/>
    <s v="JAQUVEGU"/>
    <n v="1036779770"/>
    <x v="16"/>
    <n v="35942694"/>
    <n v="3894900"/>
    <n v="1629713"/>
    <n v="30418081"/>
    <n v="30100000"/>
    <n v="1.0105674750830564"/>
    <x v="0"/>
    <n v="25"/>
    <x v="7"/>
    <s v="Antioquia"/>
    <s v="No Aplica"/>
    <m/>
    <m/>
    <m/>
    <m/>
    <m/>
    <m/>
    <n v="35942694"/>
    <m/>
  </r>
  <r>
    <n v="3"/>
    <x v="2"/>
    <n v="2016"/>
    <s v="Marzo"/>
    <s v="LILACARA"/>
    <n v="1017141451"/>
    <x v="17"/>
    <n v="47595758"/>
    <n v="4065100"/>
    <n v="2807918"/>
    <n v="40722740"/>
    <n v="40100000"/>
    <n v="1.0155296758104737"/>
    <x v="1"/>
    <n v="25"/>
    <x v="1"/>
    <s v="Antioquia"/>
    <s v="Siempre Cumple"/>
    <m/>
    <m/>
    <m/>
    <m/>
    <m/>
    <m/>
    <n v="47595758"/>
    <m/>
  </r>
  <r>
    <n v="3"/>
    <x v="2"/>
    <n v="2016"/>
    <s v="Marzo"/>
    <s v="LUZMARMO"/>
    <n v="43343234"/>
    <x v="18"/>
    <n v="39110319"/>
    <n v="2373700"/>
    <n v="3015725"/>
    <n v="33720894"/>
    <n v="40000000"/>
    <n v="0.84302235000000003"/>
    <x v="0"/>
    <n v="25"/>
    <x v="0"/>
    <s v=""/>
    <s v="No Aplica"/>
    <m/>
    <m/>
    <m/>
    <m/>
    <m/>
    <m/>
    <n v="39110319"/>
    <m/>
  </r>
  <r>
    <n v="3"/>
    <x v="2"/>
    <n v="2016"/>
    <s v="Marzo"/>
    <s v="LUZNHEGO"/>
    <n v="43745192"/>
    <x v="19"/>
    <n v="21114117"/>
    <n v="0"/>
    <n v="0"/>
    <n v="21114117"/>
    <n v="21000000"/>
    <n v="1.0054341428571429"/>
    <x v="1"/>
    <n v="25"/>
    <x v="10"/>
    <s v="Antioquia"/>
    <s v="Cumple"/>
    <m/>
    <m/>
    <m/>
    <m/>
    <m/>
    <m/>
    <n v="21114117"/>
    <m/>
  </r>
  <r>
    <n v="3"/>
    <x v="2"/>
    <n v="2016"/>
    <s v="Marzo"/>
    <s v="MARGGAPA"/>
    <n v="43866877"/>
    <x v="20"/>
    <n v="45106993"/>
    <n v="960600"/>
    <n v="3963531"/>
    <n v="40182862"/>
    <n v="40000000"/>
    <n v="1.0045715500000001"/>
    <x v="1"/>
    <n v="25"/>
    <x v="5"/>
    <s v="Antioquia"/>
    <s v="Siempre Cumple"/>
    <m/>
    <m/>
    <m/>
    <m/>
    <m/>
    <m/>
    <n v="45106993"/>
    <m/>
  </r>
  <r>
    <n v="3"/>
    <x v="2"/>
    <n v="2016"/>
    <s v="Marzo"/>
    <s v="MARIMASA"/>
    <n v="43113640"/>
    <x v="34"/>
    <n v="43791271"/>
    <n v="1496000"/>
    <n v="2553439"/>
    <n v="39741832"/>
    <n v="36666666.666666672"/>
    <n v="1.0838681454545454"/>
    <x v="1"/>
    <n v="25"/>
    <x v="4"/>
    <s v="Antioquia"/>
    <s v="Cumple"/>
    <m/>
    <m/>
    <m/>
    <m/>
    <m/>
    <m/>
    <n v="43791271"/>
    <m/>
  </r>
  <r>
    <n v="3"/>
    <x v="2"/>
    <n v="2016"/>
    <s v="Marzo"/>
    <s v="MARIOCOC"/>
    <n v="39448823"/>
    <x v="21"/>
    <n v="35410752"/>
    <n v="1922400"/>
    <n v="2031302"/>
    <n v="31457050"/>
    <n v="30100000"/>
    <n v="1.0450847176079734"/>
    <x v="1"/>
    <n v="25"/>
    <x v="7"/>
    <s v="Antioquia"/>
    <s v="Siempre Cumple"/>
    <m/>
    <m/>
    <m/>
    <m/>
    <m/>
    <m/>
    <n v="35410752"/>
    <m/>
  </r>
  <r>
    <n v="3"/>
    <x v="2"/>
    <n v="2016"/>
    <s v="Marzo"/>
    <s v="MARISEAR"/>
    <n v="43109744"/>
    <x v="22"/>
    <n v="33001399"/>
    <n v="92340"/>
    <n v="2015832"/>
    <n v="30893227"/>
    <n v="40100000"/>
    <n v="0.77040466334164592"/>
    <x v="0"/>
    <n v="25"/>
    <x v="0"/>
    <s v=""/>
    <s v="No Aplica"/>
    <m/>
    <m/>
    <m/>
    <m/>
    <m/>
    <m/>
    <n v="33001399"/>
    <m/>
  </r>
  <r>
    <n v="3"/>
    <x v="2"/>
    <n v="2016"/>
    <s v="Marzo"/>
    <s v="MARISOCA"/>
    <n v="43599983"/>
    <x v="23"/>
    <n v="47387348"/>
    <n v="0"/>
    <n v="3891777"/>
    <n v="43495571"/>
    <n v="40000000"/>
    <n v="1.087389275"/>
    <x v="0"/>
    <n v="25"/>
    <x v="0"/>
    <s v=""/>
    <s v="No Aplica"/>
    <m/>
    <m/>
    <m/>
    <m/>
    <m/>
    <m/>
    <n v="47387348"/>
    <m/>
  </r>
  <r>
    <n v="3"/>
    <x v="2"/>
    <n v="2016"/>
    <s v="Marzo"/>
    <s v="MONIMEME"/>
    <n v="42689970"/>
    <x v="24"/>
    <n v="49474337"/>
    <n v="1410800"/>
    <n v="3689399"/>
    <n v="44374138"/>
    <n v="40000000"/>
    <n v="1.10935345"/>
    <x v="0"/>
    <n v="25"/>
    <x v="0"/>
    <s v=""/>
    <s v="No Aplica"/>
    <m/>
    <m/>
    <m/>
    <m/>
    <m/>
    <m/>
    <n v="49474337"/>
    <m/>
  </r>
  <r>
    <n v="3"/>
    <x v="2"/>
    <n v="2016"/>
    <s v="Marzo"/>
    <s v="NATAPIDU"/>
    <n v="43907427"/>
    <x v="25"/>
    <n v="36567008"/>
    <n v="352800"/>
    <n v="493987"/>
    <n v="35720221"/>
    <n v="36000000"/>
    <n v="0.99222836111111112"/>
    <x v="1"/>
    <n v="25"/>
    <x v="11"/>
    <s v="Antioquia"/>
    <s v="Siempre Cumple"/>
    <m/>
    <m/>
    <m/>
    <m/>
    <m/>
    <m/>
    <n v="36567008"/>
    <m/>
  </r>
  <r>
    <n v="3"/>
    <x v="2"/>
    <n v="2016"/>
    <s v="Marzo"/>
    <s v="OSCADESU"/>
    <n v="91511871"/>
    <x v="26"/>
    <n v="18312088"/>
    <n v="420000"/>
    <n v="2050873"/>
    <n v="15841215"/>
    <n v="12480000"/>
    <n v="1.2693281249999999"/>
    <x v="0"/>
    <n v="25"/>
    <x v="0"/>
    <s v=""/>
    <s v="No Aplica"/>
    <m/>
    <m/>
    <m/>
    <m/>
    <m/>
    <m/>
    <n v="18312088"/>
    <m/>
  </r>
  <r>
    <n v="3"/>
    <x v="2"/>
    <n v="2016"/>
    <s v="Marzo"/>
    <s v="RAULMOGA"/>
    <n v="79701425"/>
    <x v="27"/>
    <n v="17596352"/>
    <n v="544800"/>
    <n v="1208509"/>
    <n v="15843043"/>
    <n v="14875000"/>
    <n v="1.0650785210084033"/>
    <x v="0"/>
    <n v="25"/>
    <x v="6"/>
    <s v="Centro"/>
    <s v="No Aplica"/>
    <m/>
    <m/>
    <m/>
    <m/>
    <m/>
    <m/>
    <n v="17596352"/>
    <m/>
  </r>
  <r>
    <n v="3"/>
    <x v="2"/>
    <n v="2016"/>
    <s v="Marzo"/>
    <s v="ROCIFASA"/>
    <n v="34542470"/>
    <x v="28"/>
    <n v="23280166"/>
    <n v="743940"/>
    <n v="0"/>
    <n v="22536226"/>
    <n v="21000000"/>
    <n v="1.073153619047619"/>
    <x v="1"/>
    <n v="25"/>
    <x v="12"/>
    <s v="Occidente"/>
    <s v="Siempre Cumple"/>
    <m/>
    <m/>
    <m/>
    <m/>
    <m/>
    <m/>
    <n v="23280166"/>
    <m/>
  </r>
  <r>
    <n v="3"/>
    <x v="2"/>
    <n v="2016"/>
    <s v="Marzo"/>
    <s v="ROSAVEGI"/>
    <n v="52730701"/>
    <x v="7"/>
    <n v="3944893"/>
    <n v="779600"/>
    <n v="34334"/>
    <n v="3130959"/>
    <m/>
    <m/>
    <x v="0"/>
    <n v="25"/>
    <x v="0"/>
    <s v=""/>
    <s v="No Aplica"/>
    <m/>
    <m/>
    <m/>
    <m/>
    <m/>
    <m/>
    <n v="3944893"/>
    <m/>
  </r>
  <r>
    <n v="3"/>
    <x v="2"/>
    <n v="2016"/>
    <s v="Marzo"/>
    <s v="VIVIVAZA"/>
    <n v="43745952"/>
    <x v="30"/>
    <n v="67357247"/>
    <n v="2512900"/>
    <n v="4695846"/>
    <n v="60148501"/>
    <n v="40100000"/>
    <n v="1.4999626184538652"/>
    <x v="1"/>
    <n v="25"/>
    <x v="3"/>
    <s v="Antioquia"/>
    <s v="Siempre Cumple"/>
    <m/>
    <m/>
    <m/>
    <m/>
    <m/>
    <m/>
    <n v="67357247"/>
    <m/>
  </r>
  <r>
    <n v="3"/>
    <x v="2"/>
    <n v="2016"/>
    <s v="Marzo"/>
    <s v="ZULYARGA"/>
    <n v="43259130"/>
    <x v="31"/>
    <n v="9155770"/>
    <n v="285400"/>
    <n v="843129"/>
    <n v="8027241"/>
    <n v="21000000"/>
    <n v="0.38224957142857141"/>
    <x v="1"/>
    <n v="25"/>
    <x v="1"/>
    <s v="Antioquia"/>
    <s v="Fluctúa"/>
    <m/>
    <m/>
    <m/>
    <m/>
    <m/>
    <m/>
    <n v="9155770"/>
    <m/>
  </r>
  <r>
    <n v="4"/>
    <x v="3"/>
    <n v="2016"/>
    <s v="Abril"/>
    <s v="ADRIESAN"/>
    <n v="43920870"/>
    <x v="35"/>
    <n v="6514145"/>
    <n v="816000"/>
    <n v="1270649"/>
    <n v="4427496"/>
    <n v="4153846.1538461535"/>
    <n v="1.0658786666666666"/>
    <x v="0"/>
    <n v="24"/>
    <x v="0"/>
    <s v=""/>
    <s v="No Aplica"/>
    <m/>
    <m/>
    <m/>
    <m/>
    <m/>
    <m/>
    <n v="6514145"/>
    <m/>
  </r>
  <r>
    <n v="4"/>
    <x v="3"/>
    <n v="2016"/>
    <s v="Abril"/>
    <s v="ADRIMOLU"/>
    <n v="43169964"/>
    <x v="1"/>
    <n v="33026151"/>
    <n v="1874100"/>
    <n v="3774821"/>
    <n v="27377230"/>
    <n v="26000000"/>
    <n v="1.0529703846153846"/>
    <x v="1"/>
    <n v="24"/>
    <x v="1"/>
    <s v="Antioquia"/>
    <s v="Cumple"/>
    <m/>
    <m/>
    <m/>
    <m/>
    <m/>
    <m/>
    <n v="33026151"/>
    <m/>
  </r>
  <r>
    <n v="4"/>
    <x v="3"/>
    <n v="2016"/>
    <s v="Abril"/>
    <s v="ALEXLOGR"/>
    <n v="43253531"/>
    <x v="2"/>
    <n v="35592944"/>
    <n v="3788200"/>
    <n v="4205491"/>
    <n v="27599253"/>
    <n v="29884615.384615384"/>
    <n v="0.92352712741312748"/>
    <x v="1"/>
    <n v="24"/>
    <x v="2"/>
    <s v="Antioquia"/>
    <s v="Cumple"/>
    <m/>
    <m/>
    <m/>
    <m/>
    <m/>
    <m/>
    <n v="35592944"/>
    <m/>
  </r>
  <r>
    <n v="4"/>
    <x v="3"/>
    <n v="2016"/>
    <s v="Abril"/>
    <s v="ANAMLOBE"/>
    <n v="43821410"/>
    <x v="3"/>
    <n v="68085280"/>
    <n v="975700"/>
    <n v="4375941"/>
    <n v="62733639"/>
    <n v="40100000"/>
    <n v="1.5644299002493764"/>
    <x v="1"/>
    <n v="24"/>
    <x v="3"/>
    <s v="Antioquia"/>
    <s v="Siempre Cumple"/>
    <m/>
    <m/>
    <m/>
    <m/>
    <m/>
    <m/>
    <n v="68085280"/>
    <m/>
  </r>
  <r>
    <n v="4"/>
    <x v="3"/>
    <n v="2016"/>
    <s v="Abril"/>
    <s v="ANGEGAAR"/>
    <n v="39442617"/>
    <x v="4"/>
    <n v="46065974"/>
    <n v="1077400"/>
    <n v="4456731"/>
    <n v="40531843"/>
    <n v="40000000"/>
    <n v="1.013296075"/>
    <x v="1"/>
    <n v="24"/>
    <x v="4"/>
    <s v="Antioquia"/>
    <s v="Cumple"/>
    <m/>
    <m/>
    <m/>
    <m/>
    <m/>
    <m/>
    <n v="46065974"/>
    <m/>
  </r>
  <r>
    <n v="4"/>
    <x v="3"/>
    <n v="2016"/>
    <s v="Abril"/>
    <s v="ANLLLIZO"/>
    <n v="1013628003"/>
    <x v="5"/>
    <n v="5366615"/>
    <n v="420000"/>
    <n v="515659"/>
    <n v="4430956"/>
    <n v="23223076.923076924"/>
    <n v="0.19079969526333221"/>
    <x v="0"/>
    <n v="24"/>
    <x v="0"/>
    <s v=""/>
    <s v="No Aplica"/>
    <m/>
    <m/>
    <m/>
    <m/>
    <m/>
    <m/>
    <n v="5366615"/>
    <m/>
  </r>
  <r>
    <n v="4"/>
    <x v="3"/>
    <n v="2016"/>
    <s v="Abril"/>
    <s v="BIBIBECA"/>
    <n v="43971430"/>
    <x v="6"/>
    <n v="45567259"/>
    <n v="1739500"/>
    <n v="4162529"/>
    <n v="39665230"/>
    <n v="40000000"/>
    <n v="0.99163075000000001"/>
    <x v="1"/>
    <n v="24"/>
    <x v="5"/>
    <s v="Antioquia"/>
    <s v="Siempre Cumple"/>
    <m/>
    <m/>
    <m/>
    <m/>
    <m/>
    <m/>
    <n v="45567259"/>
    <m/>
  </r>
  <r>
    <n v="4"/>
    <x v="3"/>
    <n v="2016"/>
    <s v="Abril"/>
    <s v="CAROGOCE"/>
    <n v="43184345"/>
    <x v="7"/>
    <n v="207940"/>
    <n v="0"/>
    <n v="0"/>
    <n v="207940"/>
    <m/>
    <m/>
    <x v="0"/>
    <n v="24"/>
    <x v="0"/>
    <s v=""/>
    <s v="No Aplica"/>
    <m/>
    <m/>
    <m/>
    <m/>
    <m/>
    <m/>
    <n v="207940"/>
    <m/>
  </r>
  <r>
    <n v="4"/>
    <x v="3"/>
    <n v="2016"/>
    <s v="Abril"/>
    <s v="CAROVABE"/>
    <n v="1030634664"/>
    <x v="32"/>
    <n v="46519168"/>
    <n v="2865600"/>
    <n v="4939347"/>
    <n v="38714221"/>
    <n v="40000000"/>
    <n v="0.96785552500000005"/>
    <x v="0"/>
    <n v="24"/>
    <x v="0"/>
    <s v=""/>
    <s v="No Aplica"/>
    <m/>
    <m/>
    <m/>
    <m/>
    <m/>
    <m/>
    <n v="46519168"/>
    <m/>
  </r>
  <r>
    <n v="4"/>
    <x v="3"/>
    <n v="2016"/>
    <s v="Abril"/>
    <s v="CLAUBLAR"/>
    <n v="43554403"/>
    <x v="8"/>
    <n v="57439514"/>
    <n v="1386800"/>
    <n v="4242035"/>
    <n v="51810679"/>
    <n v="40000000"/>
    <n v="1.2952669750000001"/>
    <x v="1"/>
    <n v="24"/>
    <x v="5"/>
    <s v="Antioquia"/>
    <s v="Siempre Cumple"/>
    <m/>
    <m/>
    <m/>
    <m/>
    <m/>
    <m/>
    <n v="57439514"/>
    <m/>
  </r>
  <r>
    <n v="4"/>
    <x v="3"/>
    <n v="2016"/>
    <s v="Abril"/>
    <s v="CLAUPACO"/>
    <n v="23857915"/>
    <x v="9"/>
    <n v="14821319"/>
    <n v="774600"/>
    <n v="1427370"/>
    <n v="12619349"/>
    <n v="26000000"/>
    <n v="0.48535957692307691"/>
    <x v="0"/>
    <n v="24"/>
    <x v="0"/>
    <s v=""/>
    <s v="No Aplica"/>
    <m/>
    <m/>
    <m/>
    <m/>
    <m/>
    <m/>
    <n v="14821319"/>
    <m/>
  </r>
  <r>
    <n v="4"/>
    <x v="3"/>
    <n v="2016"/>
    <s v="Abril"/>
    <s v="DERLARMO"/>
    <n v="52725011"/>
    <x v="10"/>
    <n v="22862466"/>
    <n v="210000"/>
    <n v="1777667"/>
    <n v="20874799"/>
    <n v="21000000"/>
    <n v="0.99403804761904757"/>
    <x v="1"/>
    <n v="24"/>
    <x v="6"/>
    <s v="Centro"/>
    <s v="Fluctúa"/>
    <m/>
    <m/>
    <m/>
    <m/>
    <m/>
    <m/>
    <n v="22862466"/>
    <m/>
  </r>
  <r>
    <n v="4"/>
    <x v="3"/>
    <n v="2016"/>
    <s v="Abril"/>
    <s v="DIANPAAL"/>
    <n v="1040030764"/>
    <x v="11"/>
    <n v="17899720"/>
    <n v="198000"/>
    <n v="1339293"/>
    <n v="16362427"/>
    <n v="6946153.846153846"/>
    <n v="2.3556096456256923"/>
    <x v="1"/>
    <n v="24"/>
    <x v="7"/>
    <s v="Antioquia"/>
    <s v="Cumple"/>
    <m/>
    <m/>
    <m/>
    <m/>
    <m/>
    <m/>
    <n v="17899720"/>
    <m/>
  </r>
  <r>
    <n v="4"/>
    <x v="3"/>
    <n v="2016"/>
    <s v="Abril"/>
    <s v="DIANPOPA"/>
    <n v="31307503"/>
    <x v="33"/>
    <n v="14772532"/>
    <n v="0"/>
    <n v="0"/>
    <n v="14772532"/>
    <n v="30100000"/>
    <n v="0.49078179401993355"/>
    <x v="0"/>
    <n v="24"/>
    <x v="0"/>
    <s v=""/>
    <s v="No Aplica"/>
    <m/>
    <m/>
    <m/>
    <m/>
    <m/>
    <m/>
    <n v="14772532"/>
    <m/>
  </r>
  <r>
    <n v="4"/>
    <x v="3"/>
    <n v="2016"/>
    <s v="Abril"/>
    <s v="DIANQUME"/>
    <n v="42164020"/>
    <x v="12"/>
    <n v="44586694"/>
    <n v="1521400"/>
    <n v="3385711"/>
    <n v="39679583"/>
    <n v="40000000"/>
    <n v="0.99198957499999996"/>
    <x v="1"/>
    <n v="24"/>
    <x v="1"/>
    <s v="Antioquia"/>
    <s v="Siempre Cumple"/>
    <m/>
    <m/>
    <m/>
    <m/>
    <m/>
    <m/>
    <n v="44586694"/>
    <m/>
  </r>
  <r>
    <n v="4"/>
    <x v="3"/>
    <n v="2016"/>
    <s v="Abril"/>
    <s v="ELIZVESU"/>
    <n v="1035417626"/>
    <x v="13"/>
    <n v="45025377"/>
    <n v="1260000"/>
    <n v="3181059"/>
    <n v="40584318"/>
    <n v="31846153.846153844"/>
    <n v="1.2743867971014493"/>
    <x v="1"/>
    <n v="24"/>
    <x v="3"/>
    <s v="Antioquia"/>
    <s v="Cumple"/>
    <m/>
    <m/>
    <m/>
    <m/>
    <m/>
    <m/>
    <n v="45025377"/>
    <m/>
  </r>
  <r>
    <n v="4"/>
    <x v="3"/>
    <n v="2016"/>
    <s v="Abril"/>
    <s v="GENNHEPO"/>
    <n v="43874518"/>
    <x v="14"/>
    <n v="50035088"/>
    <n v="1531400"/>
    <n v="3337848"/>
    <n v="45165840"/>
    <n v="39692307.692307696"/>
    <n v="1.1378990697674418"/>
    <x v="1"/>
    <n v="24"/>
    <x v="8"/>
    <s v="Antioquia"/>
    <s v="Fluctúa"/>
    <m/>
    <m/>
    <m/>
    <m/>
    <m/>
    <m/>
    <n v="50035088"/>
    <m/>
  </r>
  <r>
    <n v="4"/>
    <x v="3"/>
    <n v="2016"/>
    <s v="Abril"/>
    <s v="ISABMOGO"/>
    <n v="52260671"/>
    <x v="15"/>
    <n v="31291530"/>
    <n v="1492000"/>
    <n v="1478784"/>
    <n v="28320746"/>
    <n v="26000000"/>
    <n v="1.0892594615384616"/>
    <x v="1"/>
    <n v="24"/>
    <x v="9"/>
    <s v="Centro"/>
    <s v="Siempre Cumple"/>
    <m/>
    <m/>
    <m/>
    <m/>
    <m/>
    <m/>
    <n v="31291530"/>
    <m/>
  </r>
  <r>
    <n v="4"/>
    <x v="3"/>
    <n v="2016"/>
    <s v="Abril"/>
    <s v="JAQUVEGU"/>
    <n v="1036779770"/>
    <x v="16"/>
    <n v="34134978"/>
    <n v="1679500"/>
    <n v="2891764"/>
    <n v="29563714"/>
    <n v="30100000"/>
    <n v="0.9821831893687708"/>
    <x v="0"/>
    <n v="24"/>
    <x v="7"/>
    <s v="Antioquia"/>
    <s v="No Aplica"/>
    <m/>
    <m/>
    <m/>
    <m/>
    <m/>
    <m/>
    <n v="34134978"/>
    <m/>
  </r>
  <r>
    <n v="4"/>
    <x v="3"/>
    <n v="2016"/>
    <s v="Abril"/>
    <s v="LILACARA"/>
    <n v="1017141451"/>
    <x v="17"/>
    <n v="52683299"/>
    <n v="2168400"/>
    <n v="4297020"/>
    <n v="46217879"/>
    <n v="40100000"/>
    <n v="1.1525655610972569"/>
    <x v="1"/>
    <n v="24"/>
    <x v="1"/>
    <s v="Antioquia"/>
    <s v="Siempre Cumple"/>
    <m/>
    <m/>
    <m/>
    <m/>
    <m/>
    <m/>
    <n v="52683299"/>
    <m/>
  </r>
  <r>
    <n v="4"/>
    <x v="3"/>
    <n v="2016"/>
    <s v="Abril"/>
    <s v="LUZMARMO"/>
    <n v="43343234"/>
    <x v="18"/>
    <n v="42804816"/>
    <n v="1543400"/>
    <n v="3550906"/>
    <n v="37710510"/>
    <n v="38530769.230769232"/>
    <n v="0.97871157915751639"/>
    <x v="0"/>
    <n v="24"/>
    <x v="0"/>
    <s v=""/>
    <s v="No Aplica"/>
    <m/>
    <m/>
    <m/>
    <m/>
    <m/>
    <m/>
    <n v="42804816"/>
    <m/>
  </r>
  <r>
    <n v="4"/>
    <x v="3"/>
    <n v="2016"/>
    <s v="Abril"/>
    <s v="LUZNHEGO"/>
    <n v="43745192"/>
    <x v="19"/>
    <n v="31461000"/>
    <n v="178200"/>
    <n v="0"/>
    <n v="31282800"/>
    <n v="21000000"/>
    <n v="1.4896571428571428"/>
    <x v="1"/>
    <n v="24"/>
    <x v="10"/>
    <s v="Antioquia"/>
    <s v="Cumple"/>
    <m/>
    <m/>
    <m/>
    <m/>
    <m/>
    <m/>
    <n v="31461000"/>
    <m/>
  </r>
  <r>
    <n v="4"/>
    <x v="3"/>
    <n v="2016"/>
    <s v="Abril"/>
    <s v="MARGGAPA"/>
    <n v="43866877"/>
    <x v="20"/>
    <n v="52888680"/>
    <n v="2514200"/>
    <n v="5015816"/>
    <n v="45358664"/>
    <n v="40000000"/>
    <n v="1.1339665999999999"/>
    <x v="1"/>
    <n v="24"/>
    <x v="5"/>
    <s v="Antioquia"/>
    <s v="Siempre Cumple"/>
    <m/>
    <m/>
    <m/>
    <m/>
    <m/>
    <m/>
    <n v="52888680"/>
    <m/>
  </r>
  <r>
    <n v="4"/>
    <x v="3"/>
    <n v="2016"/>
    <s v="Abril"/>
    <s v="MARIMASA"/>
    <n v="43113640"/>
    <x v="34"/>
    <n v="47584735"/>
    <n v="2476200"/>
    <n v="3748906"/>
    <n v="41359629"/>
    <n v="36000000"/>
    <n v="1.1488785833333333"/>
    <x v="1"/>
    <n v="24"/>
    <x v="4"/>
    <s v="Antioquia"/>
    <s v="Cumple"/>
    <m/>
    <m/>
    <m/>
    <m/>
    <m/>
    <m/>
    <n v="47584735"/>
    <m/>
  </r>
  <r>
    <n v="4"/>
    <x v="3"/>
    <n v="2016"/>
    <s v="Abril"/>
    <s v="MARIOCOC"/>
    <n v="39448823"/>
    <x v="21"/>
    <n v="39780484"/>
    <n v="1763500"/>
    <n v="3293599"/>
    <n v="34723385"/>
    <n v="30100000"/>
    <n v="1.153600830564784"/>
    <x v="1"/>
    <n v="24"/>
    <x v="7"/>
    <s v="Antioquia"/>
    <s v="Siempre Cumple"/>
    <m/>
    <m/>
    <m/>
    <m/>
    <m/>
    <m/>
    <n v="39780484"/>
    <m/>
  </r>
  <r>
    <n v="4"/>
    <x v="3"/>
    <n v="2016"/>
    <s v="Abril"/>
    <s v="MARISEAR"/>
    <n v="43109744"/>
    <x v="22"/>
    <n v="45303292"/>
    <n v="396000"/>
    <n v="2623957"/>
    <n v="42283335"/>
    <n v="40000000"/>
    <n v="1.0570833749999999"/>
    <x v="0"/>
    <n v="24"/>
    <x v="0"/>
    <s v=""/>
    <s v="No Aplica"/>
    <m/>
    <m/>
    <m/>
    <m/>
    <m/>
    <m/>
    <n v="45303292"/>
    <m/>
  </r>
  <r>
    <n v="4"/>
    <x v="3"/>
    <n v="2016"/>
    <s v="Abril"/>
    <s v="MARISOCA"/>
    <n v="43599983"/>
    <x v="23"/>
    <n v="36742910"/>
    <n v="0"/>
    <n v="2677772"/>
    <n v="34065138"/>
    <n v="40000000"/>
    <n v="0.85162844999999998"/>
    <x v="0"/>
    <n v="24"/>
    <x v="0"/>
    <s v=""/>
    <s v="No Aplica"/>
    <m/>
    <m/>
    <m/>
    <m/>
    <m/>
    <m/>
    <n v="36742910"/>
    <m/>
  </r>
  <r>
    <n v="4"/>
    <x v="3"/>
    <n v="2016"/>
    <s v="Abril"/>
    <s v="MONIMEME"/>
    <n v="42689970"/>
    <x v="24"/>
    <n v="50821274"/>
    <n v="2407400"/>
    <n v="4019753"/>
    <n v="44394121"/>
    <n v="40000000"/>
    <n v="1.109853025"/>
    <x v="0"/>
    <n v="24"/>
    <x v="0"/>
    <s v=""/>
    <s v="No Aplica"/>
    <m/>
    <m/>
    <m/>
    <m/>
    <m/>
    <m/>
    <n v="50821274"/>
    <m/>
  </r>
  <r>
    <n v="4"/>
    <x v="3"/>
    <n v="2016"/>
    <s v="Abril"/>
    <s v="NATAPIDU"/>
    <n v="43907427"/>
    <x v="25"/>
    <n v="44020568"/>
    <n v="535500"/>
    <n v="891113"/>
    <n v="42593955"/>
    <n v="33230769.230769228"/>
    <n v="1.2817625347222223"/>
    <x v="1"/>
    <n v="24"/>
    <x v="11"/>
    <s v="Antioquia"/>
    <s v="Siempre Cumple"/>
    <m/>
    <m/>
    <m/>
    <m/>
    <m/>
    <m/>
    <n v="44020568"/>
    <m/>
  </r>
  <r>
    <n v="4"/>
    <x v="3"/>
    <n v="2016"/>
    <s v="Abril"/>
    <s v="OSCADESU"/>
    <n v="91511871"/>
    <x v="26"/>
    <n v="21384643"/>
    <n v="1461000"/>
    <n v="1863156"/>
    <n v="18060487"/>
    <n v="20000000"/>
    <n v="0.90302435000000003"/>
    <x v="0"/>
    <n v="24"/>
    <x v="0"/>
    <s v=""/>
    <s v="No Aplica"/>
    <m/>
    <m/>
    <m/>
    <m/>
    <m/>
    <m/>
    <n v="21384643"/>
    <m/>
  </r>
  <r>
    <n v="4"/>
    <x v="3"/>
    <n v="2016"/>
    <s v="Abril"/>
    <s v="PAULGOBA"/>
    <n v="32256379"/>
    <x v="36"/>
    <n v="54080769"/>
    <n v="0"/>
    <n v="1816899"/>
    <n v="52263870"/>
    <n v="32080000"/>
    <n v="1.6291730049875313"/>
    <x v="1"/>
    <n v="24"/>
    <x v="13"/>
    <s v="Antioquia"/>
    <s v="Fluctúa"/>
    <m/>
    <m/>
    <m/>
    <m/>
    <m/>
    <m/>
    <n v="54080769"/>
    <m/>
  </r>
  <r>
    <n v="4"/>
    <x v="3"/>
    <n v="2016"/>
    <s v="Abril"/>
    <s v="RAULMOGA"/>
    <n v="79701425"/>
    <x v="27"/>
    <n v="9828271"/>
    <n v="285400"/>
    <n v="568545"/>
    <n v="8974326"/>
    <n v="18576923.07692308"/>
    <n v="0.48309001242236016"/>
    <x v="0"/>
    <n v="24"/>
    <x v="6"/>
    <s v="Centro"/>
    <s v="No Aplica"/>
    <m/>
    <m/>
    <m/>
    <m/>
    <m/>
    <m/>
    <n v="9828271"/>
    <m/>
  </r>
  <r>
    <n v="4"/>
    <x v="3"/>
    <n v="2016"/>
    <s v="Abril"/>
    <s v="ROCIFASA"/>
    <n v="34542470"/>
    <x v="28"/>
    <n v="29489503"/>
    <n v="689400"/>
    <n v="0"/>
    <n v="28800103"/>
    <n v="21000000"/>
    <n v="1.3714334761904763"/>
    <x v="1"/>
    <n v="24"/>
    <x v="12"/>
    <s v="Occidente"/>
    <s v="Siempre Cumple"/>
    <m/>
    <m/>
    <m/>
    <m/>
    <m/>
    <m/>
    <n v="29489503"/>
    <m/>
  </r>
  <r>
    <n v="4"/>
    <x v="3"/>
    <n v="2016"/>
    <s v="Abril"/>
    <s v="VIVIVAZA"/>
    <n v="43745952"/>
    <x v="30"/>
    <n v="28056895"/>
    <n v="1254800"/>
    <n v="2522971"/>
    <n v="24279124"/>
    <n v="12338461.538461538"/>
    <n v="1.9677594264339153"/>
    <x v="1"/>
    <n v="24"/>
    <x v="3"/>
    <s v="Antioquia"/>
    <s v="Siempre Cumple"/>
    <m/>
    <m/>
    <m/>
    <m/>
    <m/>
    <m/>
    <n v="28056895"/>
    <m/>
  </r>
  <r>
    <n v="4"/>
    <x v="3"/>
    <n v="2016"/>
    <s v="Abril"/>
    <s v="ZULYARGA"/>
    <n v="43259130"/>
    <x v="31"/>
    <n v="58511425"/>
    <n v="2577500"/>
    <n v="4183897"/>
    <n v="51750028"/>
    <n v="36000000"/>
    <n v="1.4375007777777777"/>
    <x v="1"/>
    <n v="24"/>
    <x v="1"/>
    <s v="Antioquia"/>
    <s v="Fluctúa"/>
    <m/>
    <m/>
    <m/>
    <m/>
    <m/>
    <m/>
    <n v="58511425"/>
    <m/>
  </r>
  <r>
    <n v="5"/>
    <x v="4"/>
    <n v="2016"/>
    <s v="Mayo"/>
    <s v="ADRIMOLU"/>
    <n v="43169964"/>
    <x v="1"/>
    <n v="42249481"/>
    <n v="1586000"/>
    <n v="10452862"/>
    <n v="30210619"/>
    <n v="24916666.666666664"/>
    <n v="1.2124663143812711"/>
    <x v="1"/>
    <n v="24"/>
    <x v="1"/>
    <s v="Antioquia"/>
    <s v="Cumple"/>
    <m/>
    <m/>
    <m/>
    <m/>
    <m/>
    <m/>
    <n v="42249481"/>
    <m/>
  </r>
  <r>
    <n v="5"/>
    <x v="4"/>
    <n v="2016"/>
    <s v="Mayo"/>
    <s v="ALEXLOGR"/>
    <n v="43253531"/>
    <x v="2"/>
    <n v="56480775"/>
    <n v="2096100"/>
    <n v="11903238"/>
    <n v="42481437"/>
    <n v="40000000"/>
    <n v="1.062035925"/>
    <x v="1"/>
    <n v="24"/>
    <x v="2"/>
    <s v="Antioquia"/>
    <s v="Cumple"/>
    <m/>
    <m/>
    <m/>
    <m/>
    <m/>
    <m/>
    <n v="56480775"/>
    <m/>
  </r>
  <r>
    <n v="5"/>
    <x v="4"/>
    <n v="2016"/>
    <s v="Mayo"/>
    <s v="ALVAOSOS"/>
    <n v="3438422"/>
    <x v="37"/>
    <n v="21305523"/>
    <n v="0"/>
    <n v="7439356"/>
    <n v="13866167"/>
    <n v="24080000"/>
    <n v="0.5758375"/>
    <x v="1"/>
    <n v="24"/>
    <x v="8"/>
    <s v="Antioquia"/>
    <s v="Fluctúa"/>
    <m/>
    <m/>
    <m/>
    <m/>
    <m/>
    <m/>
    <n v="21305523"/>
    <m/>
  </r>
  <r>
    <n v="5"/>
    <x v="4"/>
    <n v="2016"/>
    <s v="Mayo"/>
    <s v="ANAMLOBE"/>
    <n v="43821410"/>
    <x v="3"/>
    <n v="19747742"/>
    <n v="420000"/>
    <n v="2276974"/>
    <n v="17050768"/>
    <n v="10025000"/>
    <n v="1.7008247381546135"/>
    <x v="1"/>
    <n v="24"/>
    <x v="3"/>
    <s v="Antioquia"/>
    <s v="Siempre Cumple"/>
    <m/>
    <m/>
    <m/>
    <m/>
    <m/>
    <m/>
    <n v="19747742"/>
    <m/>
  </r>
  <r>
    <n v="5"/>
    <x v="4"/>
    <n v="2016"/>
    <s v="Mayo"/>
    <s v="ANAMSAPV"/>
    <m/>
    <x v="7"/>
    <n v="273053"/>
    <n v="0"/>
    <n v="273053"/>
    <n v="0"/>
    <m/>
    <m/>
    <x v="0"/>
    <n v="24"/>
    <x v="0"/>
    <s v=""/>
    <s v="No Aplica"/>
    <m/>
    <m/>
    <m/>
    <m/>
    <m/>
    <m/>
    <n v="273053"/>
    <m/>
  </r>
  <r>
    <n v="5"/>
    <x v="4"/>
    <n v="2016"/>
    <s v="Mayo"/>
    <s v="ANGEGAAR"/>
    <n v="39442617"/>
    <x v="4"/>
    <n v="52111297"/>
    <n v="1089400"/>
    <n v="14474545"/>
    <n v="36547352"/>
    <n v="37937500"/>
    <n v="0.96335688962108734"/>
    <x v="1"/>
    <n v="24"/>
    <x v="4"/>
    <s v="Antioquia"/>
    <s v="Cumple"/>
    <m/>
    <m/>
    <m/>
    <m/>
    <m/>
    <m/>
    <n v="52111297"/>
    <m/>
  </r>
  <r>
    <n v="5"/>
    <x v="4"/>
    <n v="2016"/>
    <s v="Mayo"/>
    <s v="ANLLLIZO"/>
    <n v="1013628003"/>
    <x v="5"/>
    <n v="1654152"/>
    <n v="356400"/>
    <n v="278839"/>
    <n v="1018913"/>
    <n v="5416666.666666666"/>
    <n v="0.18810701538461541"/>
    <x v="0"/>
    <n v="24"/>
    <x v="0"/>
    <s v=""/>
    <s v="No Aplica"/>
    <m/>
    <m/>
    <m/>
    <m/>
    <m/>
    <m/>
    <n v="1654152"/>
    <m/>
  </r>
  <r>
    <n v="5"/>
    <x v="4"/>
    <n v="2016"/>
    <s v="Mayo"/>
    <s v="ASTRGAAC"/>
    <m/>
    <x v="7"/>
    <n v="304060"/>
    <n v="0"/>
    <n v="0"/>
    <n v="304060"/>
    <m/>
    <m/>
    <x v="0"/>
    <n v="24"/>
    <x v="0"/>
    <s v=""/>
    <s v="No Aplica"/>
    <m/>
    <m/>
    <m/>
    <m/>
    <m/>
    <m/>
    <n v="304060"/>
    <m/>
  </r>
  <r>
    <n v="5"/>
    <x v="4"/>
    <n v="2016"/>
    <s v="Mayo"/>
    <s v="BIBIBECA"/>
    <n v="43971430"/>
    <x v="6"/>
    <n v="55515851"/>
    <n v="1923400"/>
    <n v="11094684"/>
    <n v="42497767"/>
    <n v="40000000"/>
    <n v="1.062444175"/>
    <x v="1"/>
    <n v="24"/>
    <x v="5"/>
    <s v="Antioquia"/>
    <s v="Siempre Cumple"/>
    <m/>
    <m/>
    <m/>
    <m/>
    <m/>
    <m/>
    <n v="55515851"/>
    <m/>
  </r>
  <r>
    <n v="5"/>
    <x v="4"/>
    <n v="2016"/>
    <s v="Mayo"/>
    <s v="CAROVABE"/>
    <n v="1030634664"/>
    <x v="32"/>
    <n v="52189801"/>
    <n v="998900"/>
    <n v="10177312"/>
    <n v="41013589"/>
    <n v="40000000"/>
    <n v="1.025339725"/>
    <x v="0"/>
    <n v="24"/>
    <x v="0"/>
    <s v=""/>
    <s v="No Aplica"/>
    <m/>
    <m/>
    <m/>
    <m/>
    <m/>
    <m/>
    <n v="52189801"/>
    <m/>
  </r>
  <r>
    <n v="5"/>
    <x v="4"/>
    <n v="2016"/>
    <s v="Mayo"/>
    <s v="CLAUBLAR"/>
    <n v="43554403"/>
    <x v="8"/>
    <n v="60217905"/>
    <n v="420000"/>
    <n v="11910402"/>
    <n v="47887503"/>
    <n v="40000000"/>
    <n v="1.1971875750000001"/>
    <x v="1"/>
    <n v="24"/>
    <x v="5"/>
    <s v="Antioquia"/>
    <s v="Siempre Cumple"/>
    <m/>
    <m/>
    <m/>
    <m/>
    <m/>
    <m/>
    <n v="60217905"/>
    <m/>
  </r>
  <r>
    <n v="5"/>
    <x v="4"/>
    <n v="2016"/>
    <s v="Mayo"/>
    <s v="CLAUPACO"/>
    <n v="23857915"/>
    <x v="9"/>
    <n v="17405268"/>
    <n v="1138000"/>
    <n v="2637503"/>
    <n v="13629765"/>
    <n v="20583333.333333332"/>
    <n v="0.66217481781376519"/>
    <x v="0"/>
    <n v="24"/>
    <x v="0"/>
    <s v=""/>
    <s v="No Aplica"/>
    <m/>
    <m/>
    <m/>
    <m/>
    <m/>
    <m/>
    <n v="17405268"/>
    <m/>
  </r>
  <r>
    <n v="5"/>
    <x v="4"/>
    <n v="2016"/>
    <s v="Mayo"/>
    <s v="DERLARMO"/>
    <n v="52725011"/>
    <x v="10"/>
    <n v="20176198"/>
    <n v="1047800"/>
    <n v="3797051"/>
    <n v="15331347"/>
    <n v="21000000"/>
    <n v="0.73006414285714283"/>
    <x v="1"/>
    <n v="24"/>
    <x v="6"/>
    <s v="Centro"/>
    <s v="Fluctúa"/>
    <m/>
    <m/>
    <m/>
    <m/>
    <m/>
    <m/>
    <n v="20176198"/>
    <m/>
  </r>
  <r>
    <n v="5"/>
    <x v="4"/>
    <n v="2016"/>
    <s v="Mayo"/>
    <s v="DIANPAAL"/>
    <n v="1040030764"/>
    <x v="11"/>
    <n v="25002323"/>
    <n v="1058100"/>
    <n v="2584230"/>
    <n v="21359993"/>
    <n v="30100000"/>
    <n v="0.70963431893687712"/>
    <x v="1"/>
    <n v="24"/>
    <x v="7"/>
    <s v="Antioquia"/>
    <s v="Cumple"/>
    <m/>
    <m/>
    <m/>
    <m/>
    <m/>
    <m/>
    <n v="25002323"/>
    <m/>
  </r>
  <r>
    <n v="5"/>
    <x v="4"/>
    <n v="2016"/>
    <s v="Mayo"/>
    <s v="DIANPOPA"/>
    <n v="31307503"/>
    <x v="33"/>
    <n v="24439162"/>
    <n v="0"/>
    <n v="0"/>
    <n v="24439162"/>
    <n v="30100000"/>
    <n v="0.81193229235880404"/>
    <x v="0"/>
    <n v="24"/>
    <x v="0"/>
    <s v=""/>
    <s v="No Aplica"/>
    <m/>
    <m/>
    <m/>
    <m/>
    <m/>
    <m/>
    <n v="24439162"/>
    <m/>
  </r>
  <r>
    <n v="5"/>
    <x v="4"/>
    <n v="2016"/>
    <s v="Mayo"/>
    <s v="DIANQUME"/>
    <n v="42164020"/>
    <x v="12"/>
    <n v="42807644"/>
    <n v="0"/>
    <n v="12075166"/>
    <n v="30732478"/>
    <n v="28333333.333333336"/>
    <n v="1.084675694117647"/>
    <x v="1"/>
    <n v="24"/>
    <x v="1"/>
    <s v="Antioquia"/>
    <s v="Siempre Cumple"/>
    <m/>
    <m/>
    <m/>
    <m/>
    <m/>
    <m/>
    <n v="42807644"/>
    <m/>
  </r>
  <r>
    <n v="5"/>
    <x v="4"/>
    <n v="2016"/>
    <s v="Mayo"/>
    <s v="ELIZVESU"/>
    <n v="1035417626"/>
    <x v="13"/>
    <n v="12747561"/>
    <n v="285400"/>
    <n v="1806410"/>
    <n v="10655751"/>
    <n v="10500000"/>
    <n v="1.0148334285714287"/>
    <x v="1"/>
    <n v="24"/>
    <x v="3"/>
    <s v="Antioquia"/>
    <s v="Cumple"/>
    <m/>
    <m/>
    <m/>
    <m/>
    <m/>
    <m/>
    <n v="12747561"/>
    <m/>
  </r>
  <r>
    <n v="5"/>
    <x v="4"/>
    <n v="2016"/>
    <s v="Mayo"/>
    <s v="GENNHEPO"/>
    <n v="43874518"/>
    <x v="14"/>
    <n v="45635536"/>
    <n v="702700"/>
    <n v="8863927"/>
    <n v="36068909"/>
    <n v="40000000"/>
    <n v="0.90172272499999995"/>
    <x v="1"/>
    <n v="24"/>
    <x v="8"/>
    <s v="Antioquia"/>
    <s v="Fluctúa"/>
    <m/>
    <m/>
    <m/>
    <m/>
    <m/>
    <m/>
    <n v="45635536"/>
    <m/>
  </r>
  <r>
    <n v="5"/>
    <x v="4"/>
    <n v="2016"/>
    <s v="Mayo"/>
    <s v="ISABMOGO"/>
    <n v="52260671"/>
    <x v="15"/>
    <n v="12618158"/>
    <n v="1306000"/>
    <n v="2437232"/>
    <n v="8874926"/>
    <n v="26000000"/>
    <n v="0.3413433076923077"/>
    <x v="1"/>
    <n v="24"/>
    <x v="9"/>
    <s v="Centro"/>
    <s v="Siempre Cumple"/>
    <m/>
    <m/>
    <m/>
    <m/>
    <m/>
    <m/>
    <n v="12618158"/>
    <m/>
  </r>
  <r>
    <n v="5"/>
    <x v="4"/>
    <n v="2016"/>
    <s v="Mayo"/>
    <s v="JAQUVEGU"/>
    <n v="1036779770"/>
    <x v="16"/>
    <n v="32504174"/>
    <n v="2527200"/>
    <n v="3471546"/>
    <n v="26505428"/>
    <n v="30100000"/>
    <n v="0.88057900332225914"/>
    <x v="0"/>
    <n v="24"/>
    <x v="7"/>
    <s v="Antioquia"/>
    <s v="No Aplica"/>
    <m/>
    <m/>
    <m/>
    <m/>
    <m/>
    <m/>
    <n v="32504174"/>
    <m/>
  </r>
  <r>
    <n v="5"/>
    <x v="4"/>
    <n v="2016"/>
    <s v="Mayo"/>
    <s v="LAURECFE"/>
    <n v="1017207399"/>
    <x v="38"/>
    <n v="30910682"/>
    <n v="0"/>
    <n v="9985478"/>
    <n v="20925204"/>
    <n v="30746666.666666668"/>
    <n v="0.68056821335646134"/>
    <x v="0"/>
    <n v="24"/>
    <x v="0"/>
    <s v=""/>
    <s v="No Aplica"/>
    <m/>
    <m/>
    <m/>
    <m/>
    <m/>
    <m/>
    <n v="30910682"/>
    <m/>
  </r>
  <r>
    <n v="5"/>
    <x v="4"/>
    <n v="2016"/>
    <s v="Mayo"/>
    <s v="LEIDGOVI"/>
    <n v="1036598360"/>
    <x v="39"/>
    <n v="49511959"/>
    <n v="2432900"/>
    <n v="12166794"/>
    <n v="34912265"/>
    <n v="26133333.333333336"/>
    <n v="1.3359285076530611"/>
    <x v="1"/>
    <n v="24"/>
    <x v="8"/>
    <s v="Antioquia"/>
    <s v="Fluctúa"/>
    <m/>
    <m/>
    <m/>
    <m/>
    <m/>
    <m/>
    <n v="49511959"/>
    <m/>
  </r>
  <r>
    <n v="5"/>
    <x v="4"/>
    <n v="2016"/>
    <s v="Mayo"/>
    <s v="LILACARA"/>
    <n v="1017141451"/>
    <x v="17"/>
    <n v="54872248"/>
    <n v="1284230"/>
    <n v="11684285"/>
    <n v="41903733"/>
    <n v="36000000"/>
    <n v="1.1639925833333333"/>
    <x v="1"/>
    <n v="24"/>
    <x v="1"/>
    <s v="Antioquia"/>
    <s v="Siempre Cumple"/>
    <m/>
    <m/>
    <m/>
    <m/>
    <m/>
    <m/>
    <n v="54872248"/>
    <m/>
  </r>
  <r>
    <n v="5"/>
    <x v="4"/>
    <n v="2016"/>
    <s v="Mayo"/>
    <s v="LINAGUDI"/>
    <n v="43758991"/>
    <x v="40"/>
    <n v="19323149"/>
    <n v="0"/>
    <n v="5918700"/>
    <n v="13404449"/>
    <n v="24080000"/>
    <n v="0.55666316445182729"/>
    <x v="0"/>
    <n v="24"/>
    <x v="0"/>
    <s v=""/>
    <s v="No Aplica"/>
    <m/>
    <m/>
    <m/>
    <m/>
    <m/>
    <m/>
    <n v="19323149"/>
    <m/>
  </r>
  <r>
    <n v="5"/>
    <x v="4"/>
    <n v="2016"/>
    <s v="Mayo"/>
    <s v="LUZMARMO"/>
    <n v="43343234"/>
    <x v="18"/>
    <n v="33681412"/>
    <n v="1165530"/>
    <n v="6176598"/>
    <n v="26339284"/>
    <n v="29904166.666666664"/>
    <n v="0.88078976731224756"/>
    <x v="0"/>
    <n v="24"/>
    <x v="0"/>
    <s v=""/>
    <s v="No Aplica"/>
    <m/>
    <m/>
    <m/>
    <m/>
    <m/>
    <m/>
    <n v="33681412"/>
    <m/>
  </r>
  <r>
    <n v="5"/>
    <x v="4"/>
    <n v="2016"/>
    <s v="Mayo"/>
    <s v="LUZNHEGO"/>
    <n v="43745192"/>
    <x v="19"/>
    <n v="29786095"/>
    <n v="663030"/>
    <n v="0"/>
    <n v="29123065"/>
    <n v="21000000"/>
    <n v="1.3868126190476191"/>
    <x v="1"/>
    <n v="24"/>
    <x v="10"/>
    <s v="Antioquia"/>
    <s v="Cumple"/>
    <m/>
    <m/>
    <m/>
    <m/>
    <m/>
    <m/>
    <n v="29786095"/>
    <m/>
  </r>
  <r>
    <n v="5"/>
    <x v="4"/>
    <n v="2016"/>
    <s v="Mayo"/>
    <s v="MARGGAPA"/>
    <n v="43866877"/>
    <x v="20"/>
    <n v="55537686"/>
    <n v="684000"/>
    <n v="11456572"/>
    <n v="43397114"/>
    <n v="40000000"/>
    <n v="1.0849278499999999"/>
    <x v="1"/>
    <n v="24"/>
    <x v="5"/>
    <s v="Antioquia"/>
    <s v="Siempre Cumple"/>
    <m/>
    <m/>
    <m/>
    <m/>
    <m/>
    <m/>
    <n v="55537686"/>
    <m/>
  </r>
  <r>
    <n v="5"/>
    <x v="4"/>
    <n v="2016"/>
    <s v="Mayo"/>
    <s v="MARIMASA"/>
    <n v="43113640"/>
    <x v="34"/>
    <n v="42966417"/>
    <n v="0"/>
    <n v="10085155"/>
    <n v="32881262"/>
    <n v="33000000"/>
    <n v="0.99640187878787878"/>
    <x v="1"/>
    <n v="24"/>
    <x v="4"/>
    <s v="Antioquia"/>
    <s v="Cumple"/>
    <m/>
    <m/>
    <m/>
    <m/>
    <m/>
    <m/>
    <n v="42966417"/>
    <m/>
  </r>
  <r>
    <n v="5"/>
    <x v="4"/>
    <n v="2016"/>
    <s v="Mayo"/>
    <s v="MARIOCOC"/>
    <n v="39448823"/>
    <x v="21"/>
    <n v="33183982"/>
    <n v="1378700"/>
    <n v="4184652"/>
    <n v="27620630"/>
    <n v="23829166.666666668"/>
    <n v="1.1591101940898758"/>
    <x v="1"/>
    <n v="24"/>
    <x v="7"/>
    <s v="Antioquia"/>
    <s v="Siempre Cumple"/>
    <m/>
    <m/>
    <m/>
    <m/>
    <m/>
    <m/>
    <n v="33183982"/>
    <m/>
  </r>
  <r>
    <n v="5"/>
    <x v="4"/>
    <n v="2016"/>
    <s v="Mayo"/>
    <s v="MARISEAR"/>
    <n v="43109744"/>
    <x v="22"/>
    <n v="35234581"/>
    <n v="2614700"/>
    <n v="10320320"/>
    <n v="22299561"/>
    <n v="26666666.666666668"/>
    <n v="0.83623353749999996"/>
    <x v="0"/>
    <n v="24"/>
    <x v="0"/>
    <s v=""/>
    <s v="No Aplica"/>
    <m/>
    <m/>
    <m/>
    <m/>
    <m/>
    <m/>
    <n v="35234581"/>
    <m/>
  </r>
  <r>
    <n v="5"/>
    <x v="4"/>
    <n v="2016"/>
    <s v="Mayo"/>
    <s v="MARISLAC"/>
    <n v="21113054"/>
    <x v="41"/>
    <n v="15759300"/>
    <n v="474000"/>
    <n v="3348119"/>
    <n v="11937181"/>
    <n v="20800000"/>
    <n v="0.57390293269230774"/>
    <x v="0"/>
    <n v="24"/>
    <x v="0"/>
    <s v=""/>
    <s v="No Aplica"/>
    <m/>
    <m/>
    <m/>
    <m/>
    <m/>
    <m/>
    <n v="15759300"/>
    <m/>
  </r>
  <r>
    <n v="5"/>
    <x v="4"/>
    <n v="2016"/>
    <s v="Mayo"/>
    <s v="MARISOCA"/>
    <n v="43599983"/>
    <x v="23"/>
    <n v="42979690"/>
    <n v="418000"/>
    <n v="10662699"/>
    <n v="31898991"/>
    <n v="40000000"/>
    <n v="0.79747477499999997"/>
    <x v="0"/>
    <n v="24"/>
    <x v="0"/>
    <s v=""/>
    <s v="No Aplica"/>
    <m/>
    <m/>
    <m/>
    <m/>
    <m/>
    <m/>
    <n v="42979690"/>
    <m/>
  </r>
  <r>
    <n v="5"/>
    <x v="4"/>
    <n v="2016"/>
    <s v="Mayo"/>
    <s v="MONIMEME"/>
    <n v="42689970"/>
    <x v="24"/>
    <n v="57578906"/>
    <n v="816000"/>
    <n v="11657564"/>
    <n v="45105342"/>
    <n v="40000000"/>
    <n v="1.1276335500000001"/>
    <x v="0"/>
    <n v="24"/>
    <x v="0"/>
    <s v=""/>
    <s v="No Aplica"/>
    <m/>
    <m/>
    <m/>
    <m/>
    <m/>
    <m/>
    <n v="57578906"/>
    <m/>
  </r>
  <r>
    <n v="5"/>
    <x v="4"/>
    <n v="2016"/>
    <s v="Mayo"/>
    <s v="NATAPIDU"/>
    <n v="43907427"/>
    <x v="25"/>
    <n v="45254387"/>
    <n v="256860"/>
    <n v="565862"/>
    <n v="44431665"/>
    <n v="36000000"/>
    <n v="1.2342129166666667"/>
    <x v="1"/>
    <n v="24"/>
    <x v="11"/>
    <s v="Antioquia"/>
    <s v="Siempre Cumple"/>
    <m/>
    <m/>
    <m/>
    <m/>
    <m/>
    <m/>
    <n v="45254387"/>
    <m/>
  </r>
  <r>
    <n v="5"/>
    <x v="4"/>
    <n v="2016"/>
    <s v="Mayo"/>
    <s v="OSCADESU"/>
    <n v="91511871"/>
    <x v="26"/>
    <n v="31246463"/>
    <n v="1311400"/>
    <n v="10877416"/>
    <n v="19057647"/>
    <n v="26000000"/>
    <n v="0.73298642307692308"/>
    <x v="0"/>
    <n v="24"/>
    <x v="0"/>
    <s v=""/>
    <s v="No Aplica"/>
    <m/>
    <m/>
    <m/>
    <m/>
    <m/>
    <m/>
    <n v="31246463"/>
    <m/>
  </r>
  <r>
    <n v="5"/>
    <x v="4"/>
    <n v="2016"/>
    <s v="Mayo"/>
    <s v="PAULESVE"/>
    <m/>
    <x v="7"/>
    <n v="44000"/>
    <n v="0"/>
    <n v="44000"/>
    <n v="0"/>
    <m/>
    <m/>
    <x v="0"/>
    <n v="24"/>
    <x v="0"/>
    <s v=""/>
    <s v="No Aplica"/>
    <m/>
    <m/>
    <m/>
    <m/>
    <m/>
    <m/>
    <n v="44000"/>
    <m/>
  </r>
  <r>
    <n v="5"/>
    <x v="4"/>
    <n v="2016"/>
    <s v="Mayo"/>
    <s v="PAULGOBA"/>
    <n v="32256379"/>
    <x v="36"/>
    <n v="71311962"/>
    <n v="0"/>
    <n v="10330401"/>
    <n v="60981561"/>
    <n v="32080000"/>
    <n v="1.9009214775561096"/>
    <x v="1"/>
    <n v="24"/>
    <x v="13"/>
    <s v="Antioquia"/>
    <s v="Fluctúa"/>
    <m/>
    <m/>
    <m/>
    <m/>
    <m/>
    <m/>
    <n v="71311962"/>
    <m/>
  </r>
  <r>
    <n v="5"/>
    <x v="4"/>
    <n v="2016"/>
    <s v="Mayo"/>
    <s v="RAULMOGA"/>
    <n v="79701425"/>
    <x v="27"/>
    <n v="21591778"/>
    <n v="0"/>
    <n v="3739040"/>
    <n v="17852738"/>
    <n v="21000000"/>
    <n v="0.85013038095238092"/>
    <x v="0"/>
    <n v="24"/>
    <x v="6"/>
    <s v="Centro"/>
    <s v="No Aplica"/>
    <m/>
    <m/>
    <m/>
    <m/>
    <m/>
    <m/>
    <n v="21591778"/>
    <m/>
  </r>
  <r>
    <n v="5"/>
    <x v="4"/>
    <n v="2016"/>
    <s v="Mayo"/>
    <s v="ROCIFASA"/>
    <n v="34542470"/>
    <x v="28"/>
    <n v="27102271"/>
    <n v="838800"/>
    <n v="0"/>
    <n v="26263471"/>
    <n v="21000000"/>
    <n v="1.2506414761904763"/>
    <x v="1"/>
    <n v="24"/>
    <x v="12"/>
    <s v="Occidente"/>
    <s v="Siempre Cumple"/>
    <m/>
    <m/>
    <m/>
    <m/>
    <m/>
    <m/>
    <n v="27102271"/>
    <m/>
  </r>
  <r>
    <n v="5"/>
    <x v="4"/>
    <n v="2016"/>
    <s v="Mayo"/>
    <s v="ROSAVEGI"/>
    <n v="52730701"/>
    <x v="7"/>
    <n v="186473"/>
    <n v="0"/>
    <n v="0"/>
    <n v="186473"/>
    <m/>
    <m/>
    <x v="0"/>
    <n v="24"/>
    <x v="0"/>
    <s v=""/>
    <s v="No Aplica"/>
    <m/>
    <m/>
    <m/>
    <m/>
    <m/>
    <m/>
    <n v="186473"/>
    <m/>
  </r>
  <r>
    <n v="5"/>
    <x v="4"/>
    <n v="2016"/>
    <s v="Mayo"/>
    <s v="RUBYHIGA"/>
    <n v="43636530"/>
    <x v="7"/>
    <n v="7976896"/>
    <n v="0"/>
    <n v="3976000"/>
    <n v="4000896"/>
    <m/>
    <m/>
    <x v="0"/>
    <n v="24"/>
    <x v="0"/>
    <s v=""/>
    <s v="No Aplica"/>
    <m/>
    <m/>
    <m/>
    <m/>
    <m/>
    <m/>
    <n v="7976896"/>
    <m/>
  </r>
  <r>
    <n v="5"/>
    <x v="4"/>
    <n v="2016"/>
    <s v="Mayo"/>
    <s v="VIVIVAZA"/>
    <n v="43745952"/>
    <x v="30"/>
    <n v="60578613"/>
    <n v="483400"/>
    <n v="13501100"/>
    <n v="46594113"/>
    <n v="40100000"/>
    <n v="1.1619479551122194"/>
    <x v="1"/>
    <n v="24"/>
    <x v="3"/>
    <s v="Antioquia"/>
    <s v="Siempre Cumple"/>
    <m/>
    <m/>
    <m/>
    <m/>
    <m/>
    <m/>
    <n v="60578613"/>
    <m/>
  </r>
  <r>
    <n v="5"/>
    <x v="4"/>
    <n v="2016"/>
    <s v="Mayo"/>
    <s v="ZULYARGA"/>
    <n v="43259130"/>
    <x v="31"/>
    <n v="62768743"/>
    <n v="2724700"/>
    <n v="14292572"/>
    <n v="45751471"/>
    <n v="40100000"/>
    <n v="1.1409344389027432"/>
    <x v="1"/>
    <n v="24"/>
    <x v="1"/>
    <s v="Antioquia"/>
    <s v="Fluctúa"/>
    <m/>
    <m/>
    <m/>
    <m/>
    <m/>
    <m/>
    <n v="62768743"/>
    <m/>
  </r>
  <r>
    <n v="6"/>
    <x v="5"/>
    <n v="2016"/>
    <s v="Junio"/>
    <s v="ADRIESAN"/>
    <n v="43920870"/>
    <x v="7"/>
    <n v="219657"/>
    <n v="0"/>
    <n v="41678"/>
    <n v="177979"/>
    <m/>
    <m/>
    <x v="0"/>
    <n v="25"/>
    <x v="0"/>
    <s v=""/>
    <s v="No Aplica"/>
    <m/>
    <m/>
    <m/>
    <m/>
    <m/>
    <m/>
    <n v="219657"/>
    <m/>
  </r>
  <r>
    <n v="6"/>
    <x v="5"/>
    <n v="2016"/>
    <s v="Junio"/>
    <s v="ADRIMOLU"/>
    <n v="43169964"/>
    <x v="1"/>
    <n v="46550776"/>
    <n v="940800"/>
    <n v="15445862"/>
    <n v="30164114"/>
    <n v="27670833.333333332"/>
    <n v="1.0901050082818853"/>
    <x v="1"/>
    <n v="25"/>
    <x v="1"/>
    <s v="Antioquia"/>
    <s v="Cumple"/>
    <m/>
    <m/>
    <m/>
    <m/>
    <m/>
    <m/>
    <n v="46550776"/>
    <m/>
  </r>
  <r>
    <n v="6"/>
    <x v="5"/>
    <n v="2016"/>
    <s v="Junio"/>
    <s v="ALEXLOGR"/>
    <n v="43253531"/>
    <x v="2"/>
    <n v="46347776"/>
    <n v="1410800"/>
    <n v="12431471"/>
    <n v="32505505"/>
    <n v="40000000"/>
    <n v="0.81263762500000003"/>
    <x v="1"/>
    <n v="25"/>
    <x v="2"/>
    <s v="Antioquia"/>
    <s v="Cumple"/>
    <m/>
    <m/>
    <m/>
    <m/>
    <m/>
    <m/>
    <n v="46347776"/>
    <m/>
  </r>
  <r>
    <n v="6"/>
    <x v="5"/>
    <n v="2016"/>
    <s v="Junio"/>
    <s v="ALVAOSOS"/>
    <n v="3438422"/>
    <x v="37"/>
    <n v="35573711"/>
    <n v="0"/>
    <n v="13283778"/>
    <n v="22289933"/>
    <n v="27090000"/>
    <n v="0.82281037283130309"/>
    <x v="1"/>
    <n v="25"/>
    <x v="8"/>
    <s v="Antioquia"/>
    <s v="Fluctúa"/>
    <m/>
    <m/>
    <m/>
    <m/>
    <m/>
    <m/>
    <n v="35573711"/>
    <m/>
  </r>
  <r>
    <n v="6"/>
    <x v="5"/>
    <n v="2016"/>
    <s v="Junio"/>
    <s v="ANAMLOBE"/>
    <n v="43821410"/>
    <x v="3"/>
    <n v="71870923"/>
    <n v="638100"/>
    <n v="12288200"/>
    <n v="58944623"/>
    <n v="40100000"/>
    <n v="1.4699407231920198"/>
    <x v="1"/>
    <n v="25"/>
    <x v="3"/>
    <s v="Antioquia"/>
    <s v="Siempre Cumple"/>
    <m/>
    <m/>
    <m/>
    <m/>
    <m/>
    <m/>
    <n v="71870923"/>
    <m/>
  </r>
  <r>
    <n v="6"/>
    <x v="5"/>
    <n v="2016"/>
    <s v="Junio"/>
    <s v="ANAMSAPV"/>
    <m/>
    <x v="7"/>
    <n v="83000"/>
    <n v="0"/>
    <n v="83000"/>
    <n v="0"/>
    <m/>
    <m/>
    <x v="0"/>
    <n v="25"/>
    <x v="0"/>
    <s v=""/>
    <s v="No Aplica"/>
    <m/>
    <m/>
    <m/>
    <m/>
    <m/>
    <m/>
    <n v="83000"/>
    <m/>
  </r>
  <r>
    <n v="6"/>
    <x v="5"/>
    <n v="2016"/>
    <s v="Junio"/>
    <s v="ANGEGAAR"/>
    <n v="39442617"/>
    <x v="4"/>
    <n v="56118088"/>
    <n v="2004000"/>
    <n v="13570500"/>
    <n v="40543588"/>
    <n v="40000000"/>
    <n v="1.0135897"/>
    <x v="1"/>
    <n v="25"/>
    <x v="4"/>
    <s v="Antioquia"/>
    <s v="Cumple"/>
    <m/>
    <m/>
    <m/>
    <m/>
    <m/>
    <m/>
    <n v="56118088"/>
    <m/>
  </r>
  <r>
    <n v="6"/>
    <x v="5"/>
    <n v="2016"/>
    <s v="Junio"/>
    <s v="ANLLLIZO"/>
    <n v="1013628003"/>
    <x v="5"/>
    <n v="17138216"/>
    <n v="272000"/>
    <n v="3081600"/>
    <n v="13784616"/>
    <n v="26000000"/>
    <n v="0.53017753846153848"/>
    <x v="0"/>
    <n v="25"/>
    <x v="0"/>
    <s v=""/>
    <s v="No Aplica"/>
    <m/>
    <m/>
    <m/>
    <m/>
    <m/>
    <m/>
    <n v="17138216"/>
    <m/>
  </r>
  <r>
    <n v="6"/>
    <x v="5"/>
    <n v="2016"/>
    <s v="Junio"/>
    <s v="BIBIBECA"/>
    <n v="43971430"/>
    <x v="6"/>
    <n v="46186436"/>
    <n v="1266100"/>
    <n v="12648633"/>
    <n v="32271703"/>
    <n v="40000000"/>
    <n v="0.80679257500000001"/>
    <x v="1"/>
    <n v="25"/>
    <x v="5"/>
    <s v="Antioquia"/>
    <s v="Siempre Cumple"/>
    <m/>
    <m/>
    <m/>
    <m/>
    <m/>
    <m/>
    <n v="46186436"/>
    <m/>
  </r>
  <r>
    <n v="6"/>
    <x v="5"/>
    <n v="2016"/>
    <s v="Junio"/>
    <s v="CAROGOCE"/>
    <n v="43184345"/>
    <x v="7"/>
    <n v="196765"/>
    <n v="0"/>
    <n v="0"/>
    <n v="196765"/>
    <m/>
    <m/>
    <x v="0"/>
    <n v="25"/>
    <x v="0"/>
    <s v=""/>
    <s v="No Aplica"/>
    <m/>
    <m/>
    <m/>
    <m/>
    <m/>
    <m/>
    <n v="196765"/>
    <m/>
  </r>
  <r>
    <n v="6"/>
    <x v="5"/>
    <n v="2016"/>
    <s v="Junio"/>
    <s v="CAROVABE"/>
    <n v="1030634664"/>
    <x v="32"/>
    <n v="50755487"/>
    <n v="903400"/>
    <n v="13467352"/>
    <n v="36384735"/>
    <n v="40000000"/>
    <n v="0.90961837499999998"/>
    <x v="0"/>
    <n v="25"/>
    <x v="0"/>
    <s v=""/>
    <s v="No Aplica"/>
    <m/>
    <m/>
    <m/>
    <m/>
    <m/>
    <m/>
    <n v="50755487"/>
    <m/>
  </r>
  <r>
    <n v="6"/>
    <x v="5"/>
    <n v="2016"/>
    <s v="Junio"/>
    <s v="CLAUBLAR"/>
    <n v="43554403"/>
    <x v="8"/>
    <n v="60692956"/>
    <n v="1292200"/>
    <n v="13387707"/>
    <n v="46013049"/>
    <n v="40000000"/>
    <n v="1.1503262249999999"/>
    <x v="1"/>
    <n v="25"/>
    <x v="5"/>
    <s v="Antioquia"/>
    <s v="Siempre Cumple"/>
    <m/>
    <m/>
    <m/>
    <m/>
    <m/>
    <m/>
    <n v="60692956"/>
    <m/>
  </r>
  <r>
    <n v="6"/>
    <x v="5"/>
    <n v="2016"/>
    <s v="Junio"/>
    <s v="CLAUPACO"/>
    <n v="23857915"/>
    <x v="9"/>
    <n v="37514479"/>
    <n v="388000"/>
    <n v="5461900"/>
    <n v="31664579"/>
    <n v="26000000"/>
    <n v="1.217868423076923"/>
    <x v="0"/>
    <n v="25"/>
    <x v="0"/>
    <s v=""/>
    <s v="No Aplica"/>
    <m/>
    <m/>
    <m/>
    <m/>
    <m/>
    <m/>
    <n v="37514479"/>
    <m/>
  </r>
  <r>
    <n v="6"/>
    <x v="5"/>
    <n v="2016"/>
    <s v="Junio"/>
    <s v="DERLARMO"/>
    <n v="52725011"/>
    <x v="10"/>
    <n v="23880175"/>
    <n v="816000"/>
    <n v="6142697"/>
    <n v="16921478"/>
    <n v="21000000"/>
    <n v="0.8057846666666667"/>
    <x v="1"/>
    <n v="25"/>
    <x v="6"/>
    <s v="Centro"/>
    <s v="Fluctúa"/>
    <m/>
    <m/>
    <m/>
    <m/>
    <m/>
    <m/>
    <n v="23880175"/>
    <m/>
  </r>
  <r>
    <n v="6"/>
    <x v="5"/>
    <n v="2016"/>
    <s v="Junio"/>
    <s v="DIANPAAL"/>
    <n v="1040030764"/>
    <x v="11"/>
    <n v="45082621"/>
    <n v="1925400"/>
    <n v="8215197"/>
    <n v="34942024"/>
    <n v="30100000"/>
    <n v="1.160864584717608"/>
    <x v="1"/>
    <n v="25"/>
    <x v="7"/>
    <s v="Antioquia"/>
    <s v="Cumple"/>
    <m/>
    <m/>
    <m/>
    <m/>
    <m/>
    <m/>
    <n v="45082621"/>
    <m/>
  </r>
  <r>
    <n v="6"/>
    <x v="5"/>
    <n v="2016"/>
    <s v="Junio"/>
    <s v="DIANPOPA"/>
    <n v="31307503"/>
    <x v="33"/>
    <n v="15146478"/>
    <n v="256860"/>
    <n v="0"/>
    <n v="14889618"/>
    <n v="30100000"/>
    <n v="0.49467169435215946"/>
    <x v="0"/>
    <n v="25"/>
    <x v="0"/>
    <s v=""/>
    <s v="No Aplica"/>
    <m/>
    <m/>
    <m/>
    <m/>
    <m/>
    <m/>
    <n v="15146478"/>
    <m/>
  </r>
  <r>
    <n v="6"/>
    <x v="5"/>
    <n v="2016"/>
    <s v="Junio"/>
    <s v="DIANQUME"/>
    <n v="42164020"/>
    <x v="12"/>
    <n v="25067081"/>
    <n v="982700"/>
    <n v="3446600"/>
    <n v="20637781"/>
    <n v="20160000"/>
    <n v="1.0236994543650795"/>
    <x v="1"/>
    <n v="25"/>
    <x v="1"/>
    <s v="Antioquia"/>
    <s v="Siempre Cumple"/>
    <m/>
    <m/>
    <m/>
    <m/>
    <m/>
    <m/>
    <n v="25067081"/>
    <m/>
  </r>
  <r>
    <n v="6"/>
    <x v="5"/>
    <n v="2016"/>
    <s v="Junio"/>
    <s v="DORYMOCR"/>
    <m/>
    <x v="7"/>
    <n v="159700"/>
    <n v="0"/>
    <n v="159700"/>
    <n v="0"/>
    <m/>
    <m/>
    <x v="0"/>
    <n v="25"/>
    <x v="0"/>
    <s v=""/>
    <s v="No Aplica"/>
    <m/>
    <m/>
    <m/>
    <m/>
    <m/>
    <m/>
    <n v="159700"/>
    <m/>
  </r>
  <r>
    <n v="6"/>
    <x v="5"/>
    <n v="2016"/>
    <s v="Junio"/>
    <s v="ELIZVESU"/>
    <n v="1035417626"/>
    <x v="13"/>
    <n v="57277414"/>
    <n v="598200"/>
    <n v="11267278"/>
    <n v="45411936"/>
    <n v="36000000"/>
    <n v="1.2614426666666667"/>
    <x v="1"/>
    <n v="25"/>
    <x v="3"/>
    <s v="Antioquia"/>
    <s v="Cumple"/>
    <m/>
    <m/>
    <m/>
    <m/>
    <m/>
    <m/>
    <n v="57277414"/>
    <m/>
  </r>
  <r>
    <n v="6"/>
    <x v="5"/>
    <n v="2016"/>
    <s v="Junio"/>
    <s v="GENNHEPO"/>
    <n v="43874518"/>
    <x v="14"/>
    <n v="59789020"/>
    <n v="1688100"/>
    <n v="13090068"/>
    <n v="45010852"/>
    <n v="39840000"/>
    <n v="1.1297904618473895"/>
    <x v="1"/>
    <n v="25"/>
    <x v="8"/>
    <s v="Antioquia"/>
    <s v="Fluctúa"/>
    <m/>
    <m/>
    <m/>
    <m/>
    <m/>
    <m/>
    <n v="59789020"/>
    <m/>
  </r>
  <r>
    <n v="6"/>
    <x v="5"/>
    <n v="2016"/>
    <s v="Junio"/>
    <s v="ISABMOGO"/>
    <n v="52260671"/>
    <x v="15"/>
    <n v="16690339"/>
    <n v="384000"/>
    <n v="3723100"/>
    <n v="12583239"/>
    <n v="6240000"/>
    <n v="2.0165447115384616"/>
    <x v="1"/>
    <n v="25"/>
    <x v="9"/>
    <s v="Centro"/>
    <s v="Siempre Cumple"/>
    <m/>
    <m/>
    <m/>
    <m/>
    <m/>
    <m/>
    <n v="16690339"/>
    <m/>
  </r>
  <r>
    <n v="6"/>
    <x v="5"/>
    <n v="2016"/>
    <s v="Junio"/>
    <s v="JAQUVEGU"/>
    <n v="1036779770"/>
    <x v="16"/>
    <n v="39514721"/>
    <n v="1323400"/>
    <n v="9201439"/>
    <n v="28989882"/>
    <n v="30100000"/>
    <n v="0.96311900332225908"/>
    <x v="0"/>
    <n v="25"/>
    <x v="7"/>
    <s v="Antioquia"/>
    <s v="No Aplica"/>
    <m/>
    <m/>
    <m/>
    <m/>
    <m/>
    <m/>
    <n v="39514721"/>
    <m/>
  </r>
  <r>
    <n v="6"/>
    <x v="5"/>
    <n v="2016"/>
    <s v="Junio"/>
    <s v="LAURECFE"/>
    <n v="1017207399"/>
    <x v="38"/>
    <n v="34292198"/>
    <n v="0"/>
    <n v="12283900"/>
    <n v="22008298"/>
    <n v="27090000"/>
    <n v="0.81241410114433366"/>
    <x v="0"/>
    <n v="25"/>
    <x v="0"/>
    <s v=""/>
    <s v="No Aplica"/>
    <m/>
    <m/>
    <m/>
    <m/>
    <m/>
    <m/>
    <n v="34292198"/>
    <m/>
  </r>
  <r>
    <n v="6"/>
    <x v="5"/>
    <n v="2016"/>
    <s v="Junio"/>
    <s v="LEIDGOVI"/>
    <n v="1036598360"/>
    <x v="39"/>
    <n v="65298816"/>
    <n v="2298000"/>
    <n v="13579633"/>
    <n v="49421183"/>
    <n v="40000000"/>
    <n v="1.2355295749999999"/>
    <x v="1"/>
    <n v="25"/>
    <x v="8"/>
    <s v="Antioquia"/>
    <s v="Fluctúa"/>
    <m/>
    <m/>
    <m/>
    <m/>
    <m/>
    <m/>
    <n v="65298816"/>
    <m/>
  </r>
  <r>
    <n v="6"/>
    <x v="5"/>
    <n v="2016"/>
    <s v="Junio"/>
    <s v="LILACARA"/>
    <n v="1017141451"/>
    <x v="17"/>
    <n v="74273078"/>
    <n v="1875660"/>
    <n v="17242000"/>
    <n v="55155418"/>
    <n v="36000000"/>
    <n v="1.5320949444444445"/>
    <x v="1"/>
    <n v="25"/>
    <x v="1"/>
    <s v="Antioquia"/>
    <s v="Siempre Cumple"/>
    <m/>
    <m/>
    <m/>
    <m/>
    <m/>
    <m/>
    <n v="74273078"/>
    <m/>
  </r>
  <r>
    <n v="6"/>
    <x v="5"/>
    <n v="2016"/>
    <s v="Junio"/>
    <s v="LINAGUDI"/>
    <n v="43758991"/>
    <x v="40"/>
    <n v="35017458"/>
    <n v="562700"/>
    <n v="11089400"/>
    <n v="23365358"/>
    <n v="27090000"/>
    <n v="0.86250860095976378"/>
    <x v="0"/>
    <n v="25"/>
    <x v="0"/>
    <s v=""/>
    <s v="No Aplica"/>
    <m/>
    <m/>
    <m/>
    <m/>
    <m/>
    <m/>
    <n v="35017458"/>
    <m/>
  </r>
  <r>
    <n v="6"/>
    <x v="5"/>
    <n v="2016"/>
    <s v="Junio"/>
    <s v="LUZMARMO"/>
    <n v="43343234"/>
    <x v="7"/>
    <n v="4114250"/>
    <n v="198000"/>
    <n v="523100"/>
    <n v="3393150"/>
    <m/>
    <m/>
    <x v="0"/>
    <n v="25"/>
    <x v="0"/>
    <s v=""/>
    <s v="No Aplica"/>
    <m/>
    <m/>
    <m/>
    <m/>
    <m/>
    <m/>
    <n v="4114250"/>
    <m/>
  </r>
  <r>
    <n v="6"/>
    <x v="5"/>
    <n v="2016"/>
    <s v="Junio"/>
    <s v="LUZNHEGO"/>
    <n v="43745192"/>
    <x v="19"/>
    <n v="27423383"/>
    <n v="378000"/>
    <n v="0"/>
    <n v="27045383"/>
    <n v="21000000"/>
    <n v="1.2878753809523809"/>
    <x v="1"/>
    <n v="25"/>
    <x v="10"/>
    <s v="Antioquia"/>
    <s v="Cumple"/>
    <m/>
    <m/>
    <m/>
    <m/>
    <m/>
    <m/>
    <n v="27423383"/>
    <m/>
  </r>
  <r>
    <n v="6"/>
    <x v="5"/>
    <n v="2016"/>
    <s v="Junio"/>
    <s v="MARGGAPA"/>
    <n v="43866877"/>
    <x v="20"/>
    <n v="50869018"/>
    <n v="1783100"/>
    <n v="14021366"/>
    <n v="35064552"/>
    <n v="40000000"/>
    <n v="0.8766138"/>
    <x v="1"/>
    <n v="25"/>
    <x v="5"/>
    <s v="Antioquia"/>
    <s v="Siempre Cumple"/>
    <m/>
    <m/>
    <m/>
    <m/>
    <m/>
    <m/>
    <n v="50869018"/>
    <m/>
  </r>
  <r>
    <n v="6"/>
    <x v="5"/>
    <n v="2016"/>
    <s v="Junio"/>
    <s v="MARIMASA"/>
    <n v="43113640"/>
    <x v="34"/>
    <n v="42967898"/>
    <n v="1311400"/>
    <n v="11159500"/>
    <n v="30496998"/>
    <n v="15840000"/>
    <n v="1.9253155303030303"/>
    <x v="1"/>
    <n v="25"/>
    <x v="4"/>
    <s v="Antioquia"/>
    <s v="Cumple"/>
    <m/>
    <m/>
    <m/>
    <m/>
    <m/>
    <m/>
    <n v="42967898"/>
    <m/>
  </r>
  <r>
    <n v="6"/>
    <x v="5"/>
    <n v="2016"/>
    <s v="Junio"/>
    <s v="MARIOCOC"/>
    <n v="39448823"/>
    <x v="21"/>
    <n v="53328895"/>
    <n v="1802260"/>
    <n v="8162651"/>
    <n v="43363984"/>
    <n v="38454166.666666664"/>
    <n v="1.1276797226135009"/>
    <x v="1"/>
    <n v="25"/>
    <x v="7"/>
    <s v="Antioquia"/>
    <s v="Siempre Cumple"/>
    <m/>
    <m/>
    <m/>
    <m/>
    <m/>
    <m/>
    <n v="53328895"/>
    <m/>
  </r>
  <r>
    <n v="6"/>
    <x v="5"/>
    <n v="2016"/>
    <s v="Junio"/>
    <s v="MARISEAR"/>
    <n v="43109744"/>
    <x v="22"/>
    <n v="53949045"/>
    <n v="2907360"/>
    <n v="12979381"/>
    <n v="38062304"/>
    <n v="53366666.666666664"/>
    <n v="0.71322243597751411"/>
    <x v="0"/>
    <n v="25"/>
    <x v="0"/>
    <s v=""/>
    <s v="No Aplica"/>
    <m/>
    <m/>
    <m/>
    <m/>
    <m/>
    <m/>
    <n v="53949045"/>
    <m/>
  </r>
  <r>
    <n v="6"/>
    <x v="5"/>
    <n v="2016"/>
    <s v="Junio"/>
    <s v="MARISLAC"/>
    <n v="21113054"/>
    <x v="7"/>
    <n v="1571048"/>
    <n v="0"/>
    <n v="363400"/>
    <n v="1207648"/>
    <m/>
    <m/>
    <x v="0"/>
    <n v="25"/>
    <x v="0"/>
    <s v=""/>
    <s v="No Aplica"/>
    <m/>
    <m/>
    <m/>
    <m/>
    <m/>
    <m/>
    <n v="1571048"/>
    <m/>
  </r>
  <r>
    <n v="6"/>
    <x v="5"/>
    <n v="2016"/>
    <s v="Junio"/>
    <s v="MARISOCA"/>
    <n v="43599983"/>
    <x v="23"/>
    <n v="36184672"/>
    <n v="1598700"/>
    <n v="8710456"/>
    <n v="25875516"/>
    <n v="40000000"/>
    <n v="0.64688789999999996"/>
    <x v="0"/>
    <n v="25"/>
    <x v="0"/>
    <s v=""/>
    <s v="No Aplica"/>
    <m/>
    <m/>
    <m/>
    <m/>
    <m/>
    <m/>
    <n v="36184672"/>
    <m/>
  </r>
  <r>
    <n v="6"/>
    <x v="5"/>
    <n v="2016"/>
    <s v="Junio"/>
    <s v="MONIMEME"/>
    <n v="42689970"/>
    <x v="24"/>
    <n v="60757457"/>
    <n v="1454100"/>
    <n v="14893412"/>
    <n v="44409945"/>
    <n v="40000000"/>
    <n v="1.1102486250000001"/>
    <x v="0"/>
    <n v="25"/>
    <x v="0"/>
    <s v=""/>
    <s v="No Aplica"/>
    <m/>
    <m/>
    <m/>
    <m/>
    <m/>
    <m/>
    <n v="60757457"/>
    <m/>
  </r>
  <r>
    <n v="6"/>
    <x v="5"/>
    <n v="2016"/>
    <s v="Junio"/>
    <s v="NATAPIDU"/>
    <n v="43907427"/>
    <x v="25"/>
    <n v="40230653"/>
    <n v="986700"/>
    <n v="2409255"/>
    <n v="36834698"/>
    <n v="34560000"/>
    <n v="1.0658188078703703"/>
    <x v="1"/>
    <n v="25"/>
    <x v="11"/>
    <s v="Antioquia"/>
    <s v="Siempre Cumple"/>
    <m/>
    <m/>
    <m/>
    <m/>
    <m/>
    <m/>
    <n v="40230653"/>
    <m/>
  </r>
  <r>
    <n v="6"/>
    <x v="5"/>
    <n v="2016"/>
    <s v="Junio"/>
    <s v="OSCADESU"/>
    <n v="91511871"/>
    <x v="26"/>
    <n v="39204251"/>
    <n v="816000"/>
    <n v="10855433"/>
    <n v="27532818"/>
    <n v="26000000"/>
    <n v="1.0589545384615384"/>
    <x v="0"/>
    <n v="25"/>
    <x v="0"/>
    <s v=""/>
    <s v="No Aplica"/>
    <m/>
    <m/>
    <m/>
    <m/>
    <m/>
    <m/>
    <n v="39204251"/>
    <m/>
  </r>
  <r>
    <n v="6"/>
    <x v="5"/>
    <n v="2016"/>
    <s v="Junio"/>
    <s v="PAULESVE"/>
    <m/>
    <x v="7"/>
    <n v="726800"/>
    <n v="0"/>
    <n v="726800"/>
    <n v="0"/>
    <m/>
    <m/>
    <x v="0"/>
    <n v="25"/>
    <x v="0"/>
    <s v=""/>
    <s v="No Aplica"/>
    <m/>
    <m/>
    <m/>
    <m/>
    <m/>
    <m/>
    <n v="726800"/>
    <m/>
  </r>
  <r>
    <n v="6"/>
    <x v="5"/>
    <n v="2016"/>
    <s v="Junio"/>
    <s v="PAULGOBA"/>
    <n v="32256379"/>
    <x v="36"/>
    <n v="44683494"/>
    <n v="0"/>
    <n v="2972400"/>
    <n v="41711094"/>
    <n v="40100000"/>
    <n v="1.0401769077306733"/>
    <x v="1"/>
    <n v="25"/>
    <x v="13"/>
    <s v="Antioquia"/>
    <s v="Fluctúa"/>
    <m/>
    <m/>
    <m/>
    <m/>
    <m/>
    <m/>
    <n v="44683494"/>
    <m/>
  </r>
  <r>
    <n v="6"/>
    <x v="5"/>
    <n v="2016"/>
    <s v="Junio"/>
    <s v="RAULMOGA"/>
    <n v="79701425"/>
    <x v="27"/>
    <n v="22404051"/>
    <n v="969400"/>
    <n v="3987126"/>
    <n v="17447525"/>
    <n v="21000000"/>
    <n v="0.83083452380952383"/>
    <x v="0"/>
    <n v="25"/>
    <x v="6"/>
    <s v="Centro"/>
    <s v="No Aplica"/>
    <m/>
    <m/>
    <m/>
    <m/>
    <m/>
    <m/>
    <n v="22404051"/>
    <m/>
  </r>
  <r>
    <n v="6"/>
    <x v="5"/>
    <n v="2016"/>
    <s v="Junio"/>
    <s v="ROCIFASA"/>
    <n v="34542470"/>
    <x v="28"/>
    <n v="24550496"/>
    <n v="970200"/>
    <n v="0"/>
    <n v="23580296"/>
    <n v="21000000"/>
    <n v="1.1228712380952381"/>
    <x v="1"/>
    <n v="25"/>
    <x v="12"/>
    <s v="Occidente"/>
    <s v="Siempre Cumple"/>
    <m/>
    <m/>
    <m/>
    <m/>
    <m/>
    <m/>
    <n v="24550496"/>
    <m/>
  </r>
  <r>
    <n v="6"/>
    <x v="5"/>
    <n v="2016"/>
    <s v="Junio"/>
    <s v="RUBYHIGA"/>
    <n v="43636530"/>
    <x v="42"/>
    <n v="36208678"/>
    <n v="2734200"/>
    <n v="10962800"/>
    <n v="22511678"/>
    <n v="32000000"/>
    <n v="0.7034899375"/>
    <x v="0"/>
    <n v="25"/>
    <x v="0"/>
    <s v=""/>
    <s v="No Aplica"/>
    <m/>
    <m/>
    <m/>
    <m/>
    <m/>
    <m/>
    <n v="36208678"/>
    <m/>
  </r>
  <r>
    <n v="6"/>
    <x v="5"/>
    <n v="2016"/>
    <s v="Junio"/>
    <s v="VIVIVAZA"/>
    <n v="43745952"/>
    <x v="30"/>
    <n v="84427441"/>
    <n v="2529400"/>
    <n v="19230500"/>
    <n v="62667541"/>
    <n v="40100000"/>
    <n v="1.5627815710723192"/>
    <x v="1"/>
    <n v="25"/>
    <x v="3"/>
    <s v="Antioquia"/>
    <s v="Siempre Cumple"/>
    <m/>
    <m/>
    <m/>
    <m/>
    <m/>
    <m/>
    <n v="84427441"/>
    <m/>
  </r>
  <r>
    <n v="6"/>
    <x v="5"/>
    <n v="2016"/>
    <s v="Junio"/>
    <s v="ZULYARGA"/>
    <n v="43259130"/>
    <x v="31"/>
    <n v="59704251"/>
    <n v="2746200"/>
    <n v="15147600"/>
    <n v="41810451"/>
    <n v="40100000"/>
    <n v="1.0426546384039901"/>
    <x v="1"/>
    <n v="25"/>
    <x v="1"/>
    <s v="Antioquia"/>
    <s v="Fluctúa"/>
    <m/>
    <m/>
    <m/>
    <m/>
    <m/>
    <m/>
    <n v="59704251"/>
    <m/>
  </r>
  <r>
    <n v="7"/>
    <x v="6"/>
    <n v="2016"/>
    <s v="Julio"/>
    <s v="ADRIESAN"/>
    <n v="43920870"/>
    <x v="7"/>
    <n v="1043043"/>
    <n v="0"/>
    <n v="0"/>
    <n v="1043043"/>
    <m/>
    <m/>
    <x v="0"/>
    <n v="24"/>
    <x v="0"/>
    <s v=""/>
    <s v="No Aplica"/>
    <m/>
    <m/>
    <m/>
    <m/>
    <m/>
    <m/>
    <n v="1043043"/>
    <m/>
  </r>
  <r>
    <n v="7"/>
    <x v="6"/>
    <n v="2016"/>
    <s v="Julio"/>
    <s v="ADRIMOLU"/>
    <n v="43169964"/>
    <x v="1"/>
    <n v="48222315"/>
    <n v="1490400"/>
    <n v="14349991"/>
    <n v="32381924"/>
    <n v="26000000"/>
    <n v="1.2454586153846154"/>
    <x v="1"/>
    <n v="24"/>
    <x v="1"/>
    <s v="Antioquia"/>
    <s v="Cumple"/>
    <m/>
    <m/>
    <m/>
    <m/>
    <m/>
    <m/>
    <n v="48222315"/>
    <m/>
  </r>
  <r>
    <n v="7"/>
    <x v="6"/>
    <n v="2016"/>
    <s v="Julio"/>
    <s v="ALEXLOGR"/>
    <n v="43253531"/>
    <x v="2"/>
    <n v="25566766"/>
    <n v="0"/>
    <n v="5815400"/>
    <n v="19751366"/>
    <n v="10000000"/>
    <n v="1.9751365999999999"/>
    <x v="1"/>
    <n v="24"/>
    <x v="2"/>
    <s v="Antioquia"/>
    <s v="Cumple"/>
    <m/>
    <m/>
    <m/>
    <m/>
    <m/>
    <m/>
    <n v="25566766"/>
    <m/>
  </r>
  <r>
    <n v="7"/>
    <x v="6"/>
    <n v="2016"/>
    <s v="Julio"/>
    <s v="ALVAOSOS"/>
    <n v="3438422"/>
    <x v="37"/>
    <n v="37029998"/>
    <n v="1180700"/>
    <n v="9613000"/>
    <n v="26236298"/>
    <n v="30100000"/>
    <n v="0.87163780730897011"/>
    <x v="1"/>
    <n v="24"/>
    <x v="8"/>
    <s v="Antioquia"/>
    <s v="Fluctúa"/>
    <m/>
    <m/>
    <m/>
    <m/>
    <m/>
    <m/>
    <n v="37029998"/>
    <m/>
  </r>
  <r>
    <n v="7"/>
    <x v="6"/>
    <n v="2016"/>
    <s v="Julio"/>
    <s v="ANAMLOBE"/>
    <n v="43821410"/>
    <x v="3"/>
    <n v="92307728"/>
    <n v="352700"/>
    <n v="18446600"/>
    <n v="73508428"/>
    <n v="40100000"/>
    <n v="1.8331278802992519"/>
    <x v="1"/>
    <n v="24"/>
    <x v="3"/>
    <s v="Antioquia"/>
    <s v="Siempre Cumple"/>
    <m/>
    <m/>
    <m/>
    <m/>
    <m/>
    <m/>
    <n v="92307728"/>
    <m/>
  </r>
  <r>
    <n v="7"/>
    <x v="6"/>
    <n v="2016"/>
    <s v="Julio"/>
    <s v="ANAMSAPV"/>
    <m/>
    <x v="7"/>
    <n v="577700"/>
    <n v="0"/>
    <n v="577700"/>
    <n v="0"/>
    <m/>
    <m/>
    <x v="0"/>
    <n v="24"/>
    <x v="0"/>
    <s v=""/>
    <s v="No Aplica"/>
    <m/>
    <m/>
    <m/>
    <m/>
    <m/>
    <m/>
    <n v="577700"/>
    <m/>
  </r>
  <r>
    <n v="7"/>
    <x v="6"/>
    <n v="2016"/>
    <s v="Julio"/>
    <s v="ANGEGAAR"/>
    <n v="39442617"/>
    <x v="4"/>
    <n v="60488714"/>
    <n v="1850100"/>
    <n v="16139100"/>
    <n v="42499514"/>
    <n v="38350000"/>
    <n v="1.1082011473272491"/>
    <x v="1"/>
    <n v="24"/>
    <x v="4"/>
    <s v="Antioquia"/>
    <s v="Cumple"/>
    <m/>
    <m/>
    <m/>
    <m/>
    <m/>
    <m/>
    <n v="60488714"/>
    <m/>
  </r>
  <r>
    <n v="7"/>
    <x v="6"/>
    <n v="2016"/>
    <s v="Julio"/>
    <s v="ANLLLIZO"/>
    <n v="1013628003"/>
    <x v="5"/>
    <n v="28233697"/>
    <n v="1497400"/>
    <n v="6426278"/>
    <n v="20310019"/>
    <n v="20583333.333333332"/>
    <n v="0.98672157085020251"/>
    <x v="0"/>
    <n v="24"/>
    <x v="0"/>
    <s v=""/>
    <s v="No Aplica"/>
    <m/>
    <m/>
    <m/>
    <m/>
    <m/>
    <m/>
    <n v="28233697"/>
    <m/>
  </r>
  <r>
    <n v="7"/>
    <x v="6"/>
    <n v="2016"/>
    <s v="Julio"/>
    <s v="BIBIBECA"/>
    <n v="43971430"/>
    <x v="6"/>
    <n v="55426932"/>
    <n v="1486200"/>
    <n v="17408600"/>
    <n v="36532132"/>
    <n v="40000000"/>
    <n v="0.91330330000000004"/>
    <x v="1"/>
    <n v="24"/>
    <x v="5"/>
    <s v="Antioquia"/>
    <s v="Siempre Cumple"/>
    <m/>
    <m/>
    <m/>
    <m/>
    <m/>
    <m/>
    <n v="55426932"/>
    <m/>
  </r>
  <r>
    <n v="7"/>
    <x v="6"/>
    <n v="2016"/>
    <s v="Julio"/>
    <s v="CAROVABE"/>
    <n v="1030634664"/>
    <x v="32"/>
    <n v="59925785"/>
    <n v="142700"/>
    <n v="17707999"/>
    <n v="42075086"/>
    <n v="40000000"/>
    <n v="1.0518771499999999"/>
    <x v="0"/>
    <n v="24"/>
    <x v="0"/>
    <s v=""/>
    <s v="No Aplica"/>
    <m/>
    <m/>
    <m/>
    <m/>
    <m/>
    <m/>
    <n v="59925785"/>
    <m/>
  </r>
  <r>
    <n v="7"/>
    <x v="6"/>
    <n v="2016"/>
    <s v="Julio"/>
    <s v="CLAUBLAR"/>
    <n v="43554403"/>
    <x v="8"/>
    <n v="59593594"/>
    <n v="1386800"/>
    <n v="15634698"/>
    <n v="42572096"/>
    <n v="40000000"/>
    <n v="1.0643024000000001"/>
    <x v="1"/>
    <n v="24"/>
    <x v="5"/>
    <s v="Antioquia"/>
    <s v="Siempre Cumple"/>
    <m/>
    <m/>
    <m/>
    <m/>
    <m/>
    <m/>
    <n v="59593594"/>
    <m/>
  </r>
  <r>
    <n v="7"/>
    <x v="6"/>
    <n v="2016"/>
    <s v="Julio"/>
    <s v="CLAUPACO"/>
    <n v="23857915"/>
    <x v="9"/>
    <n v="15616723"/>
    <n v="829400"/>
    <n v="2113600"/>
    <n v="12673723"/>
    <n v="5416666.666666666"/>
    <n v="2.3397642461538464"/>
    <x v="0"/>
    <n v="24"/>
    <x v="0"/>
    <s v=""/>
    <s v="No Aplica"/>
    <m/>
    <m/>
    <m/>
    <m/>
    <m/>
    <m/>
    <n v="15616723"/>
    <m/>
  </r>
  <r>
    <n v="7"/>
    <x v="6"/>
    <n v="2016"/>
    <s v="Julio"/>
    <s v="DERLARMO"/>
    <n v="52725011"/>
    <x v="10"/>
    <n v="32552627"/>
    <n v="420000"/>
    <n v="8603600"/>
    <n v="23529027"/>
    <n v="21000000"/>
    <n v="1.120429857142857"/>
    <x v="1"/>
    <n v="24"/>
    <x v="6"/>
    <s v="Centro"/>
    <s v="Fluctúa"/>
    <m/>
    <m/>
    <m/>
    <m/>
    <m/>
    <m/>
    <n v="32552627"/>
    <m/>
  </r>
  <r>
    <n v="7"/>
    <x v="6"/>
    <n v="2016"/>
    <s v="Julio"/>
    <s v="DIANPAAL"/>
    <n v="1040030764"/>
    <x v="11"/>
    <n v="44401094"/>
    <n v="2187700"/>
    <n v="8385867"/>
    <n v="33827527"/>
    <n v="30100000"/>
    <n v="1.1238381063122924"/>
    <x v="1"/>
    <n v="24"/>
    <x v="7"/>
    <s v="Antioquia"/>
    <s v="Cumple"/>
    <m/>
    <m/>
    <m/>
    <m/>
    <m/>
    <m/>
    <n v="44401094"/>
    <m/>
  </r>
  <r>
    <n v="7"/>
    <x v="6"/>
    <n v="2016"/>
    <s v="Julio"/>
    <s v="DIANPOPA"/>
    <n v="31307503"/>
    <x v="33"/>
    <n v="35761894"/>
    <n v="0"/>
    <n v="0"/>
    <n v="35761894"/>
    <n v="30100000"/>
    <n v="1.1881027906976744"/>
    <x v="0"/>
    <n v="24"/>
    <x v="0"/>
    <s v=""/>
    <s v="No Aplica"/>
    <m/>
    <m/>
    <m/>
    <m/>
    <m/>
    <m/>
    <n v="35761894"/>
    <m/>
  </r>
  <r>
    <n v="7"/>
    <x v="6"/>
    <n v="2016"/>
    <s v="Julio"/>
    <s v="DIANQUME"/>
    <n v="42164020"/>
    <x v="12"/>
    <n v="61512852"/>
    <n v="4101500"/>
    <n v="13038200"/>
    <n v="44373152"/>
    <n v="36000000"/>
    <n v="1.2325875555555557"/>
    <x v="1"/>
    <n v="24"/>
    <x v="1"/>
    <s v="Antioquia"/>
    <s v="Siempre Cumple"/>
    <m/>
    <m/>
    <m/>
    <m/>
    <m/>
    <m/>
    <n v="61512852"/>
    <m/>
  </r>
  <r>
    <n v="7"/>
    <x v="6"/>
    <n v="2016"/>
    <s v="Julio"/>
    <s v="ELIZVESU"/>
    <n v="1035417626"/>
    <x v="13"/>
    <n v="60404679"/>
    <n v="1200700"/>
    <n v="15108900"/>
    <n v="44095079"/>
    <n v="36000000"/>
    <n v="1.2248633055555556"/>
    <x v="1"/>
    <n v="24"/>
    <x v="3"/>
    <s v="Antioquia"/>
    <s v="Cumple"/>
    <m/>
    <m/>
    <m/>
    <m/>
    <m/>
    <m/>
    <n v="60404679"/>
    <m/>
  </r>
  <r>
    <n v="7"/>
    <x v="6"/>
    <n v="2016"/>
    <s v="Julio"/>
    <s v="GENNHEPO"/>
    <n v="43874518"/>
    <x v="14"/>
    <n v="49064965"/>
    <n v="3304000"/>
    <n v="9855500"/>
    <n v="35905465"/>
    <n v="38500000"/>
    <n v="0.93260948051948056"/>
    <x v="1"/>
    <n v="24"/>
    <x v="8"/>
    <s v="Antioquia"/>
    <s v="Fluctúa"/>
    <m/>
    <m/>
    <m/>
    <m/>
    <m/>
    <m/>
    <n v="49064965"/>
    <m/>
  </r>
  <r>
    <n v="7"/>
    <x v="6"/>
    <n v="2016"/>
    <s v="Julio"/>
    <s v="ISABMOGO"/>
    <n v="52260671"/>
    <x v="15"/>
    <n v="33038406"/>
    <n v="1193800"/>
    <n v="5326100"/>
    <n v="26518506"/>
    <n v="26000000"/>
    <n v="1.0199425384615384"/>
    <x v="1"/>
    <n v="24"/>
    <x v="9"/>
    <s v="Centro"/>
    <s v="Siempre Cumple"/>
    <m/>
    <m/>
    <m/>
    <m/>
    <m/>
    <m/>
    <n v="33038406"/>
    <m/>
  </r>
  <r>
    <n v="7"/>
    <x v="6"/>
    <n v="2016"/>
    <s v="Julio"/>
    <s v="JAQUVEGU"/>
    <n v="1036779770"/>
    <x v="16"/>
    <n v="37899172"/>
    <n v="2031500"/>
    <n v="8865823"/>
    <n v="27001849"/>
    <n v="27591666.666666668"/>
    <n v="0.97862334038054966"/>
    <x v="0"/>
    <n v="24"/>
    <x v="7"/>
    <s v="Antioquia"/>
    <s v="No Aplica"/>
    <m/>
    <m/>
    <m/>
    <m/>
    <m/>
    <m/>
    <n v="37899172"/>
    <m/>
  </r>
  <r>
    <n v="7"/>
    <x v="6"/>
    <n v="2016"/>
    <s v="Julio"/>
    <s v="LAURECFE"/>
    <n v="1017207399"/>
    <x v="7"/>
    <n v="9999030"/>
    <n v="0"/>
    <n v="4955600"/>
    <n v="5043430"/>
    <m/>
    <m/>
    <x v="0"/>
    <n v="24"/>
    <x v="0"/>
    <s v=""/>
    <s v="No Aplica"/>
    <m/>
    <m/>
    <m/>
    <m/>
    <m/>
    <m/>
    <n v="9999030"/>
    <m/>
  </r>
  <r>
    <n v="7"/>
    <x v="6"/>
    <n v="2016"/>
    <s v="Julio"/>
    <s v="LEIDGOVI"/>
    <n v="1036598360"/>
    <x v="39"/>
    <n v="52903397"/>
    <n v="3437400"/>
    <n v="12811100"/>
    <n v="36654897"/>
    <n v="27508333.333333332"/>
    <n v="1.3325015571039081"/>
    <x v="1"/>
    <n v="24"/>
    <x v="8"/>
    <s v="Antioquia"/>
    <s v="Fluctúa"/>
    <m/>
    <m/>
    <m/>
    <m/>
    <m/>
    <m/>
    <n v="52903397"/>
    <m/>
  </r>
  <r>
    <n v="7"/>
    <x v="6"/>
    <n v="2016"/>
    <s v="Julio"/>
    <s v="LILACARA"/>
    <n v="1017141451"/>
    <x v="17"/>
    <n v="70993794"/>
    <n v="2765800"/>
    <n v="19340100"/>
    <n v="48887894"/>
    <n v="36000000"/>
    <n v="1.3579970555555556"/>
    <x v="1"/>
    <n v="24"/>
    <x v="1"/>
    <s v="Antioquia"/>
    <s v="Siempre Cumple"/>
    <m/>
    <m/>
    <m/>
    <m/>
    <m/>
    <m/>
    <n v="70993794"/>
    <m/>
  </r>
  <r>
    <n v="7"/>
    <x v="6"/>
    <n v="2016"/>
    <s v="Julio"/>
    <s v="LINAGUDI"/>
    <n v="43758991"/>
    <x v="40"/>
    <n v="35517708"/>
    <n v="285400"/>
    <n v="10396500"/>
    <n v="24835808"/>
    <n v="30100000"/>
    <n v="0.82510990033222587"/>
    <x v="0"/>
    <n v="24"/>
    <x v="0"/>
    <s v=""/>
    <s v="No Aplica"/>
    <m/>
    <m/>
    <m/>
    <m/>
    <m/>
    <m/>
    <n v="35517708"/>
    <m/>
  </r>
  <r>
    <n v="7"/>
    <x v="6"/>
    <n v="2016"/>
    <s v="Julio"/>
    <s v="LUZMARMO"/>
    <n v="43343234"/>
    <x v="7"/>
    <n v="663082"/>
    <n v="0"/>
    <n v="479100"/>
    <n v="183982"/>
    <m/>
    <m/>
    <x v="0"/>
    <n v="24"/>
    <x v="0"/>
    <s v=""/>
    <s v="No Aplica"/>
    <m/>
    <m/>
    <m/>
    <m/>
    <m/>
    <m/>
    <n v="663082"/>
    <m/>
  </r>
  <r>
    <n v="7"/>
    <x v="6"/>
    <n v="2016"/>
    <s v="Julio"/>
    <s v="LUZNHEGO"/>
    <n v="43745192"/>
    <x v="19"/>
    <n v="25919057"/>
    <n v="554400"/>
    <n v="0"/>
    <n v="25364657"/>
    <n v="21000000"/>
    <n v="1.2078408095238096"/>
    <x v="1"/>
    <n v="24"/>
    <x v="10"/>
    <s v="Antioquia"/>
    <s v="Cumple"/>
    <m/>
    <m/>
    <m/>
    <m/>
    <m/>
    <m/>
    <n v="25919057"/>
    <m/>
  </r>
  <r>
    <n v="7"/>
    <x v="6"/>
    <n v="2016"/>
    <s v="Julio"/>
    <s v="MARGGAPA"/>
    <n v="43866877"/>
    <x v="20"/>
    <n v="60787368"/>
    <n v="1037800"/>
    <n v="17527900"/>
    <n v="42221668"/>
    <n v="40000000"/>
    <n v="1.0555417"/>
    <x v="1"/>
    <n v="24"/>
    <x v="5"/>
    <s v="Antioquia"/>
    <s v="Siempre Cumple"/>
    <m/>
    <m/>
    <m/>
    <m/>
    <m/>
    <m/>
    <n v="60787368"/>
    <m/>
  </r>
  <r>
    <n v="7"/>
    <x v="6"/>
    <n v="2016"/>
    <s v="Julio"/>
    <s v="MARIMASA"/>
    <n v="43113640"/>
    <x v="34"/>
    <n v="14712749"/>
    <n v="1402700"/>
    <n v="3033500"/>
    <n v="10276549"/>
    <n v="25083333.333333336"/>
    <n v="0.40969630564784049"/>
    <x v="1"/>
    <n v="24"/>
    <x v="4"/>
    <s v="Antioquia"/>
    <s v="Cumple"/>
    <m/>
    <m/>
    <m/>
    <m/>
    <m/>
    <m/>
    <n v="14712749"/>
    <m/>
  </r>
  <r>
    <n v="7"/>
    <x v="6"/>
    <n v="2016"/>
    <s v="Julio"/>
    <s v="MARIOCOC"/>
    <n v="39448823"/>
    <x v="21"/>
    <n v="45780818"/>
    <n v="2128700"/>
    <n v="7666270"/>
    <n v="35985848"/>
    <n v="30100000"/>
    <n v="1.195543122923588"/>
    <x v="1"/>
    <n v="24"/>
    <x v="7"/>
    <s v="Antioquia"/>
    <s v="Siempre Cumple"/>
    <m/>
    <m/>
    <m/>
    <m/>
    <m/>
    <m/>
    <n v="45780818"/>
    <m/>
  </r>
  <r>
    <n v="7"/>
    <x v="6"/>
    <n v="2016"/>
    <s v="Julio"/>
    <s v="MARISEAR"/>
    <n v="43109744"/>
    <x v="22"/>
    <n v="48725686"/>
    <n v="2540260"/>
    <n v="12301412"/>
    <n v="33884014"/>
    <n v="40000000"/>
    <n v="0.84710034999999995"/>
    <x v="0"/>
    <n v="24"/>
    <x v="0"/>
    <s v=""/>
    <s v="No Aplica"/>
    <m/>
    <m/>
    <m/>
    <m/>
    <m/>
    <m/>
    <n v="48725686"/>
    <m/>
  </r>
  <r>
    <n v="7"/>
    <x v="6"/>
    <n v="2016"/>
    <s v="Julio"/>
    <s v="MARISOCA"/>
    <n v="43599983"/>
    <x v="23"/>
    <n v="45799016"/>
    <n v="0"/>
    <n v="11265200"/>
    <n v="34533816"/>
    <n v="39666666.666666672"/>
    <n v="0.87060040336134448"/>
    <x v="0"/>
    <n v="24"/>
    <x v="0"/>
    <s v=""/>
    <s v="No Aplica"/>
    <m/>
    <m/>
    <m/>
    <m/>
    <m/>
    <m/>
    <n v="45799016"/>
    <m/>
  </r>
  <r>
    <n v="7"/>
    <x v="6"/>
    <n v="2016"/>
    <s v="Julio"/>
    <s v="MONIMEME"/>
    <n v="42689970"/>
    <x v="24"/>
    <n v="60003217"/>
    <n v="436000"/>
    <n v="14920856"/>
    <n v="44646361"/>
    <n v="40000000"/>
    <n v="1.116159025"/>
    <x v="0"/>
    <n v="24"/>
    <x v="0"/>
    <s v=""/>
    <s v="No Aplica"/>
    <m/>
    <m/>
    <m/>
    <m/>
    <m/>
    <m/>
    <n v="60003217"/>
    <m/>
  </r>
  <r>
    <n v="7"/>
    <x v="6"/>
    <n v="2016"/>
    <s v="Julio"/>
    <s v="NATAPIDU"/>
    <n v="43907427"/>
    <x v="25"/>
    <n v="20936477"/>
    <n v="0"/>
    <n v="3578600"/>
    <n v="17357877"/>
    <n v="19500000"/>
    <n v="0.89014753846153849"/>
    <x v="1"/>
    <n v="24"/>
    <x v="11"/>
    <s v="Antioquia"/>
    <s v="Siempre Cumple"/>
    <m/>
    <m/>
    <m/>
    <m/>
    <m/>
    <m/>
    <n v="20936477"/>
    <m/>
  </r>
  <r>
    <n v="7"/>
    <x v="6"/>
    <n v="2016"/>
    <s v="Julio"/>
    <s v="OSCADESU"/>
    <n v="91511871"/>
    <x v="26"/>
    <n v="41602020"/>
    <n v="2134200"/>
    <n v="15525800"/>
    <n v="23942020"/>
    <n v="26000000"/>
    <n v="0.92084692307692306"/>
    <x v="0"/>
    <n v="24"/>
    <x v="0"/>
    <s v=""/>
    <s v="No Aplica"/>
    <m/>
    <m/>
    <m/>
    <m/>
    <m/>
    <m/>
    <n v="41602020"/>
    <m/>
  </r>
  <r>
    <n v="7"/>
    <x v="6"/>
    <n v="2016"/>
    <s v="Julio"/>
    <s v="PAULGOBA"/>
    <n v="32256379"/>
    <x v="36"/>
    <n v="82167268"/>
    <n v="0"/>
    <n v="7127900"/>
    <n v="75039368"/>
    <n v="40100000"/>
    <n v="1.8713059351620949"/>
    <x v="1"/>
    <n v="24"/>
    <x v="13"/>
    <s v="Antioquia"/>
    <s v="Fluctúa"/>
    <m/>
    <m/>
    <m/>
    <m/>
    <m/>
    <m/>
    <n v="82167268"/>
    <m/>
  </r>
  <r>
    <n v="7"/>
    <x v="6"/>
    <n v="2016"/>
    <s v="Julio"/>
    <s v="RAULMOGA"/>
    <n v="79701425"/>
    <x v="27"/>
    <n v="33311118"/>
    <n v="1041800"/>
    <n v="8656100"/>
    <n v="23613218"/>
    <n v="21000000"/>
    <n v="1.1244389523809524"/>
    <x v="0"/>
    <n v="24"/>
    <x v="6"/>
    <s v="Centro"/>
    <s v="No Aplica"/>
    <m/>
    <m/>
    <m/>
    <m/>
    <m/>
    <m/>
    <n v="33311118"/>
    <m/>
  </r>
  <r>
    <n v="7"/>
    <x v="6"/>
    <n v="2016"/>
    <s v="Julio"/>
    <s v="ROCIFASA"/>
    <n v="34542470"/>
    <x v="28"/>
    <n v="24169341"/>
    <n v="545400"/>
    <n v="0"/>
    <n v="23623941"/>
    <n v="21000000"/>
    <n v="1.1249495714285713"/>
    <x v="1"/>
    <n v="24"/>
    <x v="12"/>
    <s v="Occidente"/>
    <s v="Siempre Cumple"/>
    <m/>
    <m/>
    <m/>
    <m/>
    <m/>
    <m/>
    <n v="24169341"/>
    <m/>
  </r>
  <r>
    <n v="7"/>
    <x v="6"/>
    <n v="2016"/>
    <s v="Julio"/>
    <s v="RUBYHIGA"/>
    <n v="43636530"/>
    <x v="42"/>
    <n v="50578288"/>
    <n v="0"/>
    <n v="15772600"/>
    <n v="34805688"/>
    <n v="40000000"/>
    <n v="0.87014219999999998"/>
    <x v="0"/>
    <n v="24"/>
    <x v="0"/>
    <s v=""/>
    <s v="No Aplica"/>
    <m/>
    <m/>
    <m/>
    <m/>
    <m/>
    <m/>
    <n v="50578288"/>
    <m/>
  </r>
  <r>
    <n v="7"/>
    <x v="6"/>
    <n v="2016"/>
    <s v="Julio"/>
    <s v="VIVIVAZA"/>
    <n v="43745952"/>
    <x v="30"/>
    <n v="72042331"/>
    <n v="2078390"/>
    <n v="16477300"/>
    <n v="53486641"/>
    <n v="26733333.333333332"/>
    <n v="2.0007471695760599"/>
    <x v="1"/>
    <n v="24"/>
    <x v="3"/>
    <s v="Antioquia"/>
    <s v="Siempre Cumple"/>
    <m/>
    <m/>
    <m/>
    <m/>
    <m/>
    <m/>
    <n v="72042331"/>
    <m/>
  </r>
  <r>
    <n v="7"/>
    <x v="6"/>
    <n v="2016"/>
    <s v="Julio"/>
    <s v="ZULYARGA"/>
    <n v="43259130"/>
    <x v="31"/>
    <n v="69908750"/>
    <n v="3080800"/>
    <n v="18234000"/>
    <n v="48593950"/>
    <n v="40100000"/>
    <n v="1.2118192019950125"/>
    <x v="1"/>
    <n v="24"/>
    <x v="1"/>
    <s v="Antioquia"/>
    <s v="Fluctúa"/>
    <m/>
    <m/>
    <m/>
    <m/>
    <m/>
    <m/>
    <n v="69908750"/>
    <m/>
  </r>
  <r>
    <n v="8"/>
    <x v="7"/>
    <n v="2016"/>
    <s v="Agosto"/>
    <s v="ADRIMOLU"/>
    <n v="43169964"/>
    <x v="1"/>
    <n v="38278436"/>
    <n v="285400"/>
    <n v="11349500"/>
    <n v="26643536"/>
    <n v="26000000"/>
    <n v="1.0247513846153846"/>
    <x v="1"/>
    <n v="26"/>
    <x v="1"/>
    <s v="Antioquia"/>
    <s v="Cumple"/>
    <m/>
    <m/>
    <m/>
    <m/>
    <m/>
    <m/>
    <n v="38278436"/>
    <m/>
  </r>
  <r>
    <n v="8"/>
    <x v="7"/>
    <n v="2016"/>
    <s v="Agosto"/>
    <s v="ALEXLOGR"/>
    <n v="43253531"/>
    <x v="2"/>
    <n v="26745073"/>
    <n v="825600"/>
    <n v="8310900"/>
    <n v="17608573"/>
    <n v="40000000"/>
    <n v="0.44021432500000002"/>
    <x v="1"/>
    <n v="26"/>
    <x v="2"/>
    <s v="Antioquia"/>
    <s v="Cumple"/>
    <m/>
    <m/>
    <m/>
    <m/>
    <m/>
    <m/>
    <n v="26745073"/>
    <m/>
  </r>
  <r>
    <n v="8"/>
    <x v="7"/>
    <n v="2016"/>
    <s v="Agosto"/>
    <s v="ALVAOSOS"/>
    <n v="3438422"/>
    <x v="37"/>
    <n v="27744271"/>
    <n v="1321400"/>
    <n v="6864300"/>
    <n v="19558571"/>
    <n v="30100000"/>
    <n v="0.64978641196013287"/>
    <x v="1"/>
    <n v="26"/>
    <x v="8"/>
    <s v="Antioquia"/>
    <s v="Fluctúa"/>
    <m/>
    <m/>
    <m/>
    <m/>
    <m/>
    <m/>
    <n v="27744271"/>
    <m/>
  </r>
  <r>
    <n v="8"/>
    <x v="7"/>
    <n v="2016"/>
    <s v="Agosto"/>
    <s v="ANAMLOBE"/>
    <n v="43821410"/>
    <x v="3"/>
    <n v="87753923"/>
    <n v="1029560"/>
    <n v="16494400"/>
    <n v="70229963"/>
    <n v="40100000"/>
    <n v="1.7513706483790523"/>
    <x v="1"/>
    <n v="26"/>
    <x v="3"/>
    <s v="Antioquia"/>
    <s v="Siempre Cumple"/>
    <m/>
    <m/>
    <m/>
    <m/>
    <m/>
    <m/>
    <n v="87753923"/>
    <m/>
  </r>
  <r>
    <n v="8"/>
    <x v="7"/>
    <n v="2016"/>
    <s v="Agosto"/>
    <s v="ANGEGAAR"/>
    <n v="39442617"/>
    <x v="4"/>
    <n v="73510581"/>
    <n v="1200800"/>
    <n v="16942478"/>
    <n v="55367303"/>
    <n v="40000000"/>
    <n v="1.3841825750000001"/>
    <x v="1"/>
    <n v="26"/>
    <x v="4"/>
    <s v="Antioquia"/>
    <s v="Cumple"/>
    <m/>
    <m/>
    <m/>
    <m/>
    <m/>
    <m/>
    <n v="73510581"/>
    <m/>
  </r>
  <r>
    <n v="8"/>
    <x v="7"/>
    <n v="2016"/>
    <s v="Agosto"/>
    <s v="BIBIBECA"/>
    <n v="43971430"/>
    <x v="6"/>
    <n v="59617335"/>
    <n v="1696200"/>
    <n v="14032453"/>
    <n v="43888682"/>
    <n v="40100000"/>
    <n v="1.0944808478802992"/>
    <x v="1"/>
    <n v="26"/>
    <x v="5"/>
    <s v="Antioquia"/>
    <s v="Siempre Cumple"/>
    <m/>
    <m/>
    <m/>
    <m/>
    <m/>
    <m/>
    <n v="59617335"/>
    <m/>
  </r>
  <r>
    <n v="8"/>
    <x v="7"/>
    <n v="2016"/>
    <s v="Agosto"/>
    <s v="CAROVABE"/>
    <n v="1030634664"/>
    <x v="32"/>
    <n v="58880589"/>
    <n v="1311400"/>
    <n v="16494000"/>
    <n v="41075189"/>
    <n v="40000000"/>
    <n v="1.0268797249999999"/>
    <x v="0"/>
    <n v="26"/>
    <x v="0"/>
    <s v=""/>
    <s v="No Aplica"/>
    <m/>
    <m/>
    <m/>
    <m/>
    <m/>
    <m/>
    <n v="58880589"/>
    <m/>
  </r>
  <r>
    <n v="8"/>
    <x v="7"/>
    <n v="2016"/>
    <s v="Agosto"/>
    <s v="CLAUBLAR"/>
    <n v="43554403"/>
    <x v="8"/>
    <n v="52382059"/>
    <n v="142700"/>
    <n v="14882666"/>
    <n v="37356693"/>
    <n v="26153846.153846156"/>
    <n v="1.428344144117647"/>
    <x v="1"/>
    <n v="26"/>
    <x v="5"/>
    <s v="Antioquia"/>
    <s v="Siempre Cumple"/>
    <m/>
    <m/>
    <m/>
    <m/>
    <m/>
    <m/>
    <n v="52382059"/>
    <m/>
  </r>
  <r>
    <n v="8"/>
    <x v="7"/>
    <n v="2016"/>
    <s v="Agosto"/>
    <s v="CLAUPACO"/>
    <n v="23857915"/>
    <x v="9"/>
    <n v="13828550"/>
    <n v="376000"/>
    <n v="2483700"/>
    <n v="10968850"/>
    <n v="26000000"/>
    <n v="0.42187884615384613"/>
    <x v="0"/>
    <n v="26"/>
    <x v="0"/>
    <s v=""/>
    <s v="No Aplica"/>
    <m/>
    <m/>
    <m/>
    <m/>
    <m/>
    <m/>
    <n v="13828550"/>
    <m/>
  </r>
  <r>
    <n v="8"/>
    <x v="7"/>
    <n v="2016"/>
    <s v="Agosto"/>
    <s v="DERLARMO"/>
    <n v="52725011"/>
    <x v="10"/>
    <n v="29406125"/>
    <n v="181600"/>
    <n v="7468700"/>
    <n v="21755825"/>
    <n v="21000000"/>
    <n v="1.0359916666666666"/>
    <x v="1"/>
    <n v="26"/>
    <x v="6"/>
    <s v="Centro"/>
    <s v="Fluctúa"/>
    <m/>
    <m/>
    <m/>
    <m/>
    <m/>
    <m/>
    <n v="29406125"/>
    <m/>
  </r>
  <r>
    <n v="8"/>
    <x v="7"/>
    <n v="2016"/>
    <s v="Agosto"/>
    <s v="DIANPAAL"/>
    <n v="1040030764"/>
    <x v="11"/>
    <n v="44334949"/>
    <n v="2536200"/>
    <n v="8367128"/>
    <n v="33431621"/>
    <n v="30100000"/>
    <n v="1.1106850830564785"/>
    <x v="1"/>
    <n v="26"/>
    <x v="7"/>
    <s v="Antioquia"/>
    <s v="Cumple"/>
    <m/>
    <m/>
    <m/>
    <m/>
    <m/>
    <m/>
    <n v="44334949"/>
    <m/>
  </r>
  <r>
    <n v="8"/>
    <x v="7"/>
    <n v="2016"/>
    <s v="Agosto"/>
    <s v="DIANPOPA"/>
    <n v="31307503"/>
    <x v="33"/>
    <n v="4886005"/>
    <n v="0"/>
    <n v="0"/>
    <n v="4886005"/>
    <n v="30100000"/>
    <n v="0.16232574750830564"/>
    <x v="0"/>
    <n v="26"/>
    <x v="0"/>
    <s v=""/>
    <s v="No Aplica"/>
    <m/>
    <m/>
    <m/>
    <m/>
    <m/>
    <m/>
    <n v="4886005"/>
    <m/>
  </r>
  <r>
    <n v="8"/>
    <x v="7"/>
    <n v="2016"/>
    <s v="Agosto"/>
    <s v="DIANQUME"/>
    <n v="42164020"/>
    <x v="12"/>
    <n v="57274556"/>
    <n v="1517500"/>
    <n v="13370000"/>
    <n v="42387056"/>
    <n v="36000000"/>
    <n v="1.1774182222222223"/>
    <x v="1"/>
    <n v="26"/>
    <x v="1"/>
    <s v="Antioquia"/>
    <s v="Siempre Cumple"/>
    <m/>
    <m/>
    <m/>
    <m/>
    <m/>
    <m/>
    <n v="57274556"/>
    <m/>
  </r>
  <r>
    <n v="8"/>
    <x v="7"/>
    <n v="2016"/>
    <s v="Agosto"/>
    <s v="ELIZVESU"/>
    <n v="1035417626"/>
    <x v="13"/>
    <n v="71505277"/>
    <n v="925400"/>
    <n v="17678678"/>
    <n v="52901199"/>
    <n v="40000000"/>
    <n v="1.3225299749999999"/>
    <x v="1"/>
    <n v="26"/>
    <x v="3"/>
    <s v="Antioquia"/>
    <s v="Cumple"/>
    <m/>
    <m/>
    <m/>
    <m/>
    <m/>
    <m/>
    <n v="71505277"/>
    <m/>
  </r>
  <r>
    <n v="8"/>
    <x v="7"/>
    <n v="2016"/>
    <s v="Agosto"/>
    <s v="GENNHEPO"/>
    <n v="43874518"/>
    <x v="14"/>
    <n v="54558107"/>
    <n v="396000"/>
    <n v="12808500"/>
    <n v="41353607"/>
    <n v="36000000"/>
    <n v="1.1487113055555556"/>
    <x v="1"/>
    <n v="26"/>
    <x v="8"/>
    <s v="Antioquia"/>
    <s v="Fluctúa"/>
    <m/>
    <m/>
    <m/>
    <m/>
    <m/>
    <m/>
    <n v="54558107"/>
    <m/>
  </r>
  <r>
    <n v="8"/>
    <x v="7"/>
    <n v="2016"/>
    <s v="Agosto"/>
    <s v="ISABMOGO"/>
    <n v="52260671"/>
    <x v="15"/>
    <n v="34471262"/>
    <n v="1224000"/>
    <n v="6235200"/>
    <n v="27012062"/>
    <n v="26000000"/>
    <n v="1.0389254615384615"/>
    <x v="1"/>
    <n v="26"/>
    <x v="9"/>
    <s v="Centro"/>
    <s v="Siempre Cumple"/>
    <m/>
    <m/>
    <m/>
    <m/>
    <m/>
    <m/>
    <n v="34471262"/>
    <m/>
  </r>
  <r>
    <n v="8"/>
    <x v="7"/>
    <n v="2016"/>
    <s v="Agosto"/>
    <s v="JAQUVEGU"/>
    <n v="1036779770"/>
    <x v="16"/>
    <n v="14168114"/>
    <n v="420000"/>
    <n v="2159415"/>
    <n v="11588699"/>
    <n v="10419230.76923077"/>
    <n v="1.1122413215208564"/>
    <x v="0"/>
    <n v="26"/>
    <x v="7"/>
    <s v="Antioquia"/>
    <s v="No Aplica"/>
    <m/>
    <m/>
    <m/>
    <m/>
    <m/>
    <m/>
    <n v="14168114"/>
    <m/>
  </r>
  <r>
    <n v="8"/>
    <x v="7"/>
    <n v="2016"/>
    <s v="Agosto"/>
    <s v="KATHVABE"/>
    <n v="1030611855"/>
    <x v="43"/>
    <n v="13259866"/>
    <n v="923400"/>
    <n v="2376900"/>
    <n v="9959566"/>
    <n v="20800000"/>
    <n v="0.47882528846153843"/>
    <x v="0"/>
    <n v="26"/>
    <x v="0"/>
    <s v=""/>
    <s v="No Aplica"/>
    <m/>
    <m/>
    <m/>
    <m/>
    <m/>
    <m/>
    <n v="13259866"/>
    <m/>
  </r>
  <r>
    <n v="8"/>
    <x v="7"/>
    <n v="2016"/>
    <s v="Agosto"/>
    <s v="LEIDGOVI"/>
    <n v="1036598360"/>
    <x v="39"/>
    <n v="63454938"/>
    <n v="550700"/>
    <n v="11055000"/>
    <n v="51849238"/>
    <n v="40000000"/>
    <n v="1.29623095"/>
    <x v="1"/>
    <n v="26"/>
    <x v="8"/>
    <s v="Antioquia"/>
    <s v="Fluctúa"/>
    <m/>
    <m/>
    <m/>
    <m/>
    <m/>
    <m/>
    <n v="63454938"/>
    <m/>
  </r>
  <r>
    <n v="8"/>
    <x v="7"/>
    <n v="2016"/>
    <s v="Agosto"/>
    <s v="LILACARA"/>
    <n v="1017141451"/>
    <x v="17"/>
    <n v="68895653"/>
    <n v="1854000"/>
    <n v="17259400"/>
    <n v="49782253"/>
    <n v="36000000"/>
    <n v="1.3828403611111111"/>
    <x v="1"/>
    <n v="26"/>
    <x v="1"/>
    <s v="Antioquia"/>
    <s v="Siempre Cumple"/>
    <m/>
    <m/>
    <m/>
    <m/>
    <m/>
    <m/>
    <n v="68895653"/>
    <m/>
  </r>
  <r>
    <n v="8"/>
    <x v="7"/>
    <n v="2016"/>
    <s v="Agosto"/>
    <s v="LINAGUDI"/>
    <n v="43758991"/>
    <x v="40"/>
    <n v="38702624"/>
    <n v="142700"/>
    <n v="7748000"/>
    <n v="30811924"/>
    <n v="30100000"/>
    <n v="1.0236519601328904"/>
    <x v="0"/>
    <n v="26"/>
    <x v="0"/>
    <s v=""/>
    <s v="No Aplica"/>
    <m/>
    <m/>
    <m/>
    <m/>
    <m/>
    <m/>
    <n v="38702624"/>
    <m/>
  </r>
  <r>
    <n v="8"/>
    <x v="7"/>
    <n v="2016"/>
    <s v="Agosto"/>
    <s v="LUZNHEGO"/>
    <n v="43745192"/>
    <x v="19"/>
    <n v="28551847"/>
    <n v="0"/>
    <n v="0"/>
    <n v="28551847"/>
    <n v="21000000"/>
    <n v="1.3596117619047619"/>
    <x v="1"/>
    <n v="26"/>
    <x v="10"/>
    <s v="Antioquia"/>
    <s v="Cumple"/>
    <m/>
    <m/>
    <m/>
    <m/>
    <m/>
    <m/>
    <n v="28551847"/>
    <m/>
  </r>
  <r>
    <n v="8"/>
    <x v="7"/>
    <n v="2016"/>
    <s v="Agosto"/>
    <s v="MARGGAPA"/>
    <n v="43866877"/>
    <x v="20"/>
    <n v="57916567"/>
    <n v="1824260"/>
    <n v="14553700"/>
    <n v="41538607"/>
    <n v="40000000"/>
    <n v="1.038465175"/>
    <x v="1"/>
    <n v="26"/>
    <x v="5"/>
    <s v="Antioquia"/>
    <s v="Siempre Cumple"/>
    <m/>
    <m/>
    <m/>
    <m/>
    <m/>
    <m/>
    <n v="57916567"/>
    <m/>
  </r>
  <r>
    <n v="8"/>
    <x v="7"/>
    <n v="2016"/>
    <s v="Agosto"/>
    <s v="MARIMASA"/>
    <n v="43113640"/>
    <x v="34"/>
    <n v="37893733"/>
    <n v="285400"/>
    <n v="6795300"/>
    <n v="30813033"/>
    <n v="30100000"/>
    <n v="1.0236888039867109"/>
    <x v="1"/>
    <n v="26"/>
    <x v="4"/>
    <s v="Antioquia"/>
    <s v="Cumple"/>
    <m/>
    <m/>
    <m/>
    <m/>
    <m/>
    <m/>
    <n v="37893733"/>
    <m/>
  </r>
  <r>
    <n v="8"/>
    <x v="7"/>
    <n v="2016"/>
    <s v="Agosto"/>
    <s v="MARIOCOC"/>
    <n v="39448823"/>
    <x v="21"/>
    <n v="44236778"/>
    <n v="1178700"/>
    <n v="7151364"/>
    <n v="35906714"/>
    <n v="30100000"/>
    <n v="1.1929140863787375"/>
    <x v="1"/>
    <n v="26"/>
    <x v="7"/>
    <s v="Antioquia"/>
    <s v="Siempre Cumple"/>
    <m/>
    <m/>
    <m/>
    <m/>
    <m/>
    <m/>
    <n v="44236778"/>
    <m/>
  </r>
  <r>
    <n v="8"/>
    <x v="7"/>
    <n v="2016"/>
    <s v="Agosto"/>
    <s v="MARISEAR"/>
    <n v="43109744"/>
    <x v="22"/>
    <n v="57483458"/>
    <n v="1564700"/>
    <n v="12645400"/>
    <n v="43273358"/>
    <n v="40000000"/>
    <n v="1.08183395"/>
    <x v="0"/>
    <n v="26"/>
    <x v="0"/>
    <s v=""/>
    <s v="No Aplica"/>
    <m/>
    <m/>
    <m/>
    <m/>
    <m/>
    <m/>
    <n v="57483458"/>
    <m/>
  </r>
  <r>
    <n v="8"/>
    <x v="7"/>
    <n v="2016"/>
    <s v="Agosto"/>
    <s v="MARISOCA"/>
    <n v="43599983"/>
    <x v="23"/>
    <n v="24718545"/>
    <n v="396000"/>
    <n v="6570900"/>
    <n v="17751645"/>
    <n v="20792307.692307692"/>
    <n v="0.85376021087680354"/>
    <x v="0"/>
    <n v="26"/>
    <x v="0"/>
    <s v=""/>
    <s v="No Aplica"/>
    <m/>
    <m/>
    <m/>
    <m/>
    <m/>
    <m/>
    <n v="24718545"/>
    <m/>
  </r>
  <r>
    <n v="8"/>
    <x v="7"/>
    <n v="2016"/>
    <s v="Agosto"/>
    <s v="MONIMEME"/>
    <n v="42689970"/>
    <x v="24"/>
    <n v="71004799"/>
    <n v="1984700"/>
    <n v="15220300"/>
    <n v="53799799"/>
    <n v="40000000"/>
    <n v="1.3449949750000001"/>
    <x v="0"/>
    <n v="26"/>
    <x v="0"/>
    <s v=""/>
    <s v="No Aplica"/>
    <m/>
    <m/>
    <m/>
    <m/>
    <m/>
    <m/>
    <n v="71004799"/>
    <m/>
  </r>
  <r>
    <n v="8"/>
    <x v="7"/>
    <n v="2016"/>
    <s v="Agosto"/>
    <s v="NATAPIDU"/>
    <n v="43907427"/>
    <x v="25"/>
    <n v="44308115"/>
    <n v="128430"/>
    <n v="5473700"/>
    <n v="38705985"/>
    <n v="36000000"/>
    <n v="1.0751662500000001"/>
    <x v="1"/>
    <n v="26"/>
    <x v="11"/>
    <s v="Antioquia"/>
    <s v="Siempre Cumple"/>
    <m/>
    <m/>
    <m/>
    <m/>
    <m/>
    <m/>
    <n v="44308115"/>
    <m/>
  </r>
  <r>
    <n v="8"/>
    <x v="7"/>
    <n v="2016"/>
    <s v="Agosto"/>
    <s v="OSCADESU"/>
    <n v="91511871"/>
    <x v="26"/>
    <n v="40739394"/>
    <n v="2040130"/>
    <n v="12795600"/>
    <n v="25903664"/>
    <n v="26000000"/>
    <n v="0.99629476923076921"/>
    <x v="0"/>
    <n v="26"/>
    <x v="0"/>
    <s v=""/>
    <s v="No Aplica"/>
    <m/>
    <m/>
    <m/>
    <m/>
    <m/>
    <m/>
    <n v="40739394"/>
    <m/>
  </r>
  <r>
    <n v="8"/>
    <x v="7"/>
    <n v="2016"/>
    <s v="Agosto"/>
    <s v="PAULGOBA"/>
    <n v="32256379"/>
    <x v="36"/>
    <n v="19225723"/>
    <n v="0"/>
    <n v="5967900"/>
    <n v="13257823"/>
    <n v="40100000"/>
    <n v="0.33061902743142146"/>
    <x v="1"/>
    <n v="26"/>
    <x v="13"/>
    <s v="Antioquia"/>
    <s v="Fluctúa"/>
    <m/>
    <m/>
    <m/>
    <m/>
    <m/>
    <m/>
    <n v="19225723"/>
    <m/>
  </r>
  <r>
    <n v="8"/>
    <x v="7"/>
    <n v="2016"/>
    <s v="Agosto"/>
    <s v="RAULMOGA"/>
    <n v="79701425"/>
    <x v="27"/>
    <n v="31696878"/>
    <n v="420000"/>
    <n v="7280300"/>
    <n v="23996578"/>
    <n v="21000000"/>
    <n v="1.1426941904761905"/>
    <x v="0"/>
    <n v="26"/>
    <x v="6"/>
    <s v="Centro"/>
    <s v="No Aplica"/>
    <m/>
    <m/>
    <m/>
    <m/>
    <m/>
    <m/>
    <n v="31696878"/>
    <m/>
  </r>
  <r>
    <n v="8"/>
    <x v="7"/>
    <n v="2016"/>
    <s v="Agosto"/>
    <s v="ROCIFASA"/>
    <n v="34542470"/>
    <x v="28"/>
    <n v="31543160"/>
    <n v="734400"/>
    <n v="0"/>
    <n v="30808760"/>
    <n v="21000000"/>
    <n v="1.4670838095238095"/>
    <x v="1"/>
    <n v="26"/>
    <x v="12"/>
    <s v="Occidente"/>
    <s v="Siempre Cumple"/>
    <m/>
    <m/>
    <m/>
    <m/>
    <m/>
    <m/>
    <n v="31543160"/>
    <m/>
  </r>
  <r>
    <n v="8"/>
    <x v="7"/>
    <n v="2016"/>
    <s v="Agosto"/>
    <s v="RUBYHIGA"/>
    <n v="43636530"/>
    <x v="42"/>
    <n v="32923694"/>
    <n v="1284100"/>
    <n v="10098400"/>
    <n v="21541194"/>
    <n v="40000000"/>
    <n v="0.53852984999999998"/>
    <x v="0"/>
    <n v="26"/>
    <x v="0"/>
    <s v=""/>
    <s v="No Aplica"/>
    <m/>
    <m/>
    <m/>
    <m/>
    <m/>
    <m/>
    <n v="32923694"/>
    <m/>
  </r>
  <r>
    <n v="8"/>
    <x v="7"/>
    <n v="2016"/>
    <s v="Agosto"/>
    <s v="VIVIVAZA"/>
    <n v="43745952"/>
    <x v="30"/>
    <n v="69576638"/>
    <n v="760700"/>
    <n v="12568500"/>
    <n v="56247438"/>
    <n v="40100000"/>
    <n v="1.4026792518703242"/>
    <x v="1"/>
    <n v="26"/>
    <x v="3"/>
    <s v="Antioquia"/>
    <s v="Siempre Cumple"/>
    <m/>
    <m/>
    <m/>
    <m/>
    <m/>
    <m/>
    <n v="69576638"/>
    <m/>
  </r>
  <r>
    <n v="8"/>
    <x v="7"/>
    <n v="2016"/>
    <s v="Agosto"/>
    <s v="ZULYARGA"/>
    <n v="43259130"/>
    <x v="31"/>
    <n v="45688559"/>
    <n v="1923900"/>
    <n v="13247300"/>
    <n v="30517359"/>
    <n v="40000000"/>
    <n v="0.76293397500000004"/>
    <x v="1"/>
    <n v="26"/>
    <x v="1"/>
    <s v="Antioquia"/>
    <s v="Fluctúa"/>
    <m/>
    <m/>
    <m/>
    <m/>
    <m/>
    <m/>
    <n v="45688559"/>
    <m/>
  </r>
  <r>
    <n v="9"/>
    <x v="8"/>
    <n v="2016"/>
    <s v="Septiembre"/>
    <s v="ADRIMOLU"/>
    <n v="43169964"/>
    <x v="1"/>
    <n v="36814792"/>
    <n v="1133400"/>
    <n v="9057800"/>
    <n v="26623592"/>
    <n v="26000000"/>
    <n v="1.0239843076923076"/>
    <x v="1"/>
    <n v="26"/>
    <x v="1"/>
    <s v="Antioquia"/>
    <s v="Cumple"/>
    <m/>
    <m/>
    <m/>
    <m/>
    <m/>
    <m/>
    <n v="36814792"/>
    <m/>
  </r>
  <r>
    <n v="9"/>
    <x v="8"/>
    <n v="2016"/>
    <s v="Septiembre"/>
    <s v="ALEXLOGR"/>
    <n v="43253531"/>
    <x v="2"/>
    <n v="50653408"/>
    <n v="396000"/>
    <n v="9107500"/>
    <n v="41149908"/>
    <n v="40000000"/>
    <n v="1.0287477"/>
    <x v="1"/>
    <n v="26"/>
    <x v="2"/>
    <s v="Antioquia"/>
    <s v="Cumple"/>
    <m/>
    <m/>
    <m/>
    <m/>
    <m/>
    <m/>
    <n v="50653408"/>
    <m/>
  </r>
  <r>
    <n v="9"/>
    <x v="8"/>
    <n v="2016"/>
    <s v="Septiembre"/>
    <s v="ALVAOSOS"/>
    <n v="3438422"/>
    <x v="37"/>
    <n v="37311624"/>
    <n v="816000"/>
    <n v="6235000"/>
    <n v="30260624"/>
    <n v="30100000"/>
    <n v="1.0053363455149502"/>
    <x v="1"/>
    <n v="26"/>
    <x v="8"/>
    <s v="Antioquia"/>
    <s v="Fluctúa"/>
    <m/>
    <m/>
    <m/>
    <m/>
    <m/>
    <m/>
    <n v="37311624"/>
    <m/>
  </r>
  <r>
    <n v="9"/>
    <x v="8"/>
    <n v="2016"/>
    <s v="Septiembre"/>
    <s v="ANAMLOBE"/>
    <n v="43821410"/>
    <x v="3"/>
    <n v="75326919"/>
    <n v="1478100"/>
    <n v="11865400"/>
    <n v="61983419"/>
    <n v="40100000"/>
    <n v="1.5457211720698254"/>
    <x v="1"/>
    <n v="26"/>
    <x v="3"/>
    <s v="Antioquia"/>
    <s v="Siempre Cumple"/>
    <m/>
    <m/>
    <m/>
    <m/>
    <m/>
    <m/>
    <n v="75326919"/>
    <m/>
  </r>
  <r>
    <n v="9"/>
    <x v="8"/>
    <n v="2016"/>
    <s v="Septiembre"/>
    <s v="ANGEGAAR"/>
    <n v="39442617"/>
    <x v="4"/>
    <n v="61511276"/>
    <n v="705400"/>
    <n v="13166400"/>
    <n v="47639476"/>
    <n v="40000000"/>
    <n v="1.1909869"/>
    <x v="1"/>
    <n v="26"/>
    <x v="4"/>
    <s v="Antioquia"/>
    <s v="Cumple"/>
    <m/>
    <m/>
    <m/>
    <m/>
    <m/>
    <m/>
    <n v="61511276"/>
    <m/>
  </r>
  <r>
    <n v="9"/>
    <x v="8"/>
    <n v="2016"/>
    <s v="Septiembre"/>
    <s v="BIBIBECA"/>
    <n v="43971430"/>
    <x v="6"/>
    <n v="62637226"/>
    <n v="2426700"/>
    <n v="11342500"/>
    <n v="48868026"/>
    <n v="40100000"/>
    <n v="1.2186540149625935"/>
    <x v="1"/>
    <n v="26"/>
    <x v="5"/>
    <s v="Antioquia"/>
    <s v="Siempre Cumple"/>
    <m/>
    <m/>
    <m/>
    <m/>
    <m/>
    <m/>
    <n v="62637226"/>
    <m/>
  </r>
  <r>
    <n v="9"/>
    <x v="8"/>
    <n v="2016"/>
    <s v="Septiembre"/>
    <s v="CAROVABE"/>
    <n v="1030634664"/>
    <x v="32"/>
    <n v="53933698"/>
    <n v="729700"/>
    <n v="11860600"/>
    <n v="41343398"/>
    <n v="40000000"/>
    <n v="1.0335849500000001"/>
    <x v="0"/>
    <n v="26"/>
    <x v="0"/>
    <s v=""/>
    <s v="No Aplica"/>
    <m/>
    <m/>
    <m/>
    <m/>
    <m/>
    <m/>
    <n v="53933698"/>
    <m/>
  </r>
  <r>
    <n v="9"/>
    <x v="8"/>
    <n v="2016"/>
    <s v="Septiembre"/>
    <s v="CLAUBLAR"/>
    <n v="43554403"/>
    <x v="8"/>
    <n v="33642102"/>
    <n v="396000"/>
    <n v="3405000"/>
    <n v="29841102"/>
    <n v="27692307.692307692"/>
    <n v="1.07759535"/>
    <x v="1"/>
    <n v="26"/>
    <x v="5"/>
    <s v="Antioquia"/>
    <s v="Siempre Cumple"/>
    <m/>
    <m/>
    <m/>
    <m/>
    <m/>
    <m/>
    <n v="33642102"/>
    <m/>
  </r>
  <r>
    <n v="9"/>
    <x v="8"/>
    <n v="2016"/>
    <s v="Septiembre"/>
    <s v="CLAUPACO"/>
    <n v="23857915"/>
    <x v="9"/>
    <n v="35507137"/>
    <n v="544000"/>
    <n v="4637200"/>
    <n v="30325937"/>
    <n v="26000000"/>
    <n v="1.1663821923076922"/>
    <x v="0"/>
    <n v="26"/>
    <x v="0"/>
    <s v=""/>
    <s v="No Aplica"/>
    <m/>
    <m/>
    <m/>
    <m/>
    <m/>
    <m/>
    <n v="35507137"/>
    <m/>
  </r>
  <r>
    <n v="9"/>
    <x v="8"/>
    <n v="2016"/>
    <s v="Septiembre"/>
    <s v="DERLARMO"/>
    <n v="52725011"/>
    <x v="10"/>
    <n v="27986188"/>
    <n v="828000"/>
    <n v="5108200"/>
    <n v="22049988"/>
    <n v="21000000"/>
    <n v="1.0499994285714285"/>
    <x v="1"/>
    <n v="26"/>
    <x v="6"/>
    <s v="Centro"/>
    <s v="Fluctúa"/>
    <m/>
    <m/>
    <m/>
    <m/>
    <m/>
    <m/>
    <n v="27986188"/>
    <m/>
  </r>
  <r>
    <n v="9"/>
    <x v="8"/>
    <n v="2016"/>
    <s v="Septiembre"/>
    <s v="DIANPAAL"/>
    <n v="1040030764"/>
    <x v="11"/>
    <n v="41815651"/>
    <n v="2404700"/>
    <n v="6238081"/>
    <n v="33172870"/>
    <n v="30100000"/>
    <n v="1.1020887043189369"/>
    <x v="1"/>
    <n v="26"/>
    <x v="7"/>
    <s v="Antioquia"/>
    <s v="Cumple"/>
    <m/>
    <m/>
    <m/>
    <m/>
    <m/>
    <m/>
    <n v="41815651"/>
    <m/>
  </r>
  <r>
    <n v="9"/>
    <x v="8"/>
    <n v="2016"/>
    <s v="Septiembre"/>
    <s v="DIANPOPA"/>
    <n v="31307503"/>
    <x v="33"/>
    <n v="12798834"/>
    <n v="0"/>
    <n v="0"/>
    <n v="12798834"/>
    <n v="30100000"/>
    <n v="0.42521043189368773"/>
    <x v="0"/>
    <n v="26"/>
    <x v="0"/>
    <s v=""/>
    <s v="No Aplica"/>
    <m/>
    <m/>
    <m/>
    <m/>
    <m/>
    <m/>
    <n v="12798834"/>
    <m/>
  </r>
  <r>
    <n v="9"/>
    <x v="8"/>
    <n v="2016"/>
    <s v="Septiembre"/>
    <s v="DIANQUME"/>
    <n v="42164020"/>
    <x v="12"/>
    <n v="54406845"/>
    <n v="1584260"/>
    <n v="10689500"/>
    <n v="42133085"/>
    <n v="36000000"/>
    <n v="1.1703634722222223"/>
    <x v="1"/>
    <n v="26"/>
    <x v="1"/>
    <s v="Antioquia"/>
    <s v="Siempre Cumple"/>
    <m/>
    <m/>
    <m/>
    <m/>
    <m/>
    <m/>
    <n v="54406845"/>
    <m/>
  </r>
  <r>
    <n v="9"/>
    <x v="8"/>
    <n v="2016"/>
    <s v="Septiembre"/>
    <s v="ELIZVESU"/>
    <n v="1035417626"/>
    <x v="13"/>
    <n v="65088423"/>
    <n v="1125400"/>
    <n v="8998578"/>
    <n v="54964445"/>
    <n v="40000000"/>
    <n v="1.374111125"/>
    <x v="1"/>
    <n v="26"/>
    <x v="3"/>
    <s v="Antioquia"/>
    <s v="Cumple"/>
    <m/>
    <m/>
    <m/>
    <m/>
    <m/>
    <m/>
    <n v="65088423"/>
    <m/>
  </r>
  <r>
    <n v="9"/>
    <x v="8"/>
    <n v="2016"/>
    <s v="Septiembre"/>
    <s v="ERIKSAVA"/>
    <n v="1017200970"/>
    <x v="44"/>
    <n v="43132236"/>
    <n v="1212000"/>
    <n v="7402100"/>
    <n v="34518136"/>
    <n v="32000000"/>
    <n v="1.0786917499999999"/>
    <x v="1"/>
    <n v="26"/>
    <x v="4"/>
    <s v="Antioquia"/>
    <s v="Cumple"/>
    <m/>
    <m/>
    <m/>
    <m/>
    <m/>
    <m/>
    <n v="43132236"/>
    <m/>
  </r>
  <r>
    <n v="9"/>
    <x v="8"/>
    <n v="2016"/>
    <s v="Septiembre"/>
    <s v="GENNHEPO"/>
    <n v="43874518"/>
    <x v="14"/>
    <n v="46362948"/>
    <n v="0"/>
    <n v="8247800"/>
    <n v="38115148"/>
    <n v="36000000"/>
    <n v="1.0587541111111112"/>
    <x v="1"/>
    <n v="26"/>
    <x v="8"/>
    <s v="Antioquia"/>
    <s v="Fluctúa"/>
    <m/>
    <m/>
    <m/>
    <m/>
    <m/>
    <m/>
    <n v="46362948"/>
    <m/>
  </r>
  <r>
    <n v="9"/>
    <x v="8"/>
    <n v="2016"/>
    <s v="Septiembre"/>
    <s v="ISABMOGO"/>
    <n v="52260671"/>
    <x v="15"/>
    <n v="21670651"/>
    <n v="420000"/>
    <n v="3873200"/>
    <n v="17377451"/>
    <n v="26000000"/>
    <n v="0.6683635"/>
    <x v="1"/>
    <n v="26"/>
    <x v="9"/>
    <s v="Centro"/>
    <s v="Siempre Cumple"/>
    <m/>
    <m/>
    <m/>
    <m/>
    <m/>
    <m/>
    <n v="21670651"/>
    <m/>
  </r>
  <r>
    <n v="9"/>
    <x v="8"/>
    <n v="2016"/>
    <s v="Septiembre"/>
    <s v="JAQUVEGU"/>
    <n v="1036779770"/>
    <x v="16"/>
    <n v="39892485"/>
    <n v="1352700"/>
    <n v="6230725"/>
    <n v="32309060"/>
    <n v="30100000"/>
    <n v="1.0733906976744185"/>
    <x v="0"/>
    <n v="26"/>
    <x v="7"/>
    <s v="Antioquia"/>
    <s v="No Aplica"/>
    <m/>
    <m/>
    <m/>
    <m/>
    <m/>
    <m/>
    <n v="39892485"/>
    <m/>
  </r>
  <r>
    <n v="9"/>
    <x v="8"/>
    <n v="2016"/>
    <s v="Septiembre"/>
    <s v="KATHVABE"/>
    <n v="1030611855"/>
    <x v="43"/>
    <n v="21114491"/>
    <n v="606000"/>
    <n v="2809500"/>
    <n v="17698991"/>
    <n v="20800000"/>
    <n v="0.85091302884615383"/>
    <x v="0"/>
    <n v="26"/>
    <x v="0"/>
    <s v=""/>
    <s v="No Aplica"/>
    <m/>
    <m/>
    <m/>
    <m/>
    <m/>
    <m/>
    <n v="21114491"/>
    <m/>
  </r>
  <r>
    <n v="9"/>
    <x v="8"/>
    <n v="2016"/>
    <s v="Septiembre"/>
    <s v="LEIDGOVI"/>
    <n v="1036598360"/>
    <x v="39"/>
    <n v="45901215"/>
    <n v="1121500"/>
    <n v="9635200"/>
    <n v="35144515"/>
    <n v="34288461.538461536"/>
    <n v="1.0249662254627034"/>
    <x v="1"/>
    <n v="26"/>
    <x v="8"/>
    <s v="Antioquia"/>
    <s v="Fluctúa"/>
    <m/>
    <m/>
    <m/>
    <m/>
    <m/>
    <m/>
    <n v="45901215"/>
    <m/>
  </r>
  <r>
    <n v="9"/>
    <x v="8"/>
    <n v="2016"/>
    <s v="Septiembre"/>
    <s v="LILACARA"/>
    <n v="1017141451"/>
    <x v="17"/>
    <n v="63921680"/>
    <n v="550700"/>
    <n v="12033100"/>
    <n v="51337880"/>
    <n v="36000000"/>
    <n v="1.4260522222222223"/>
    <x v="1"/>
    <n v="26"/>
    <x v="1"/>
    <s v="Antioquia"/>
    <s v="Siempre Cumple"/>
    <m/>
    <m/>
    <m/>
    <m/>
    <m/>
    <m/>
    <n v="63921680"/>
    <m/>
  </r>
  <r>
    <n v="9"/>
    <x v="8"/>
    <n v="2016"/>
    <s v="Septiembre"/>
    <s v="LINAGUDI"/>
    <n v="43758991"/>
    <x v="40"/>
    <n v="19491788"/>
    <n v="1036700"/>
    <n v="4760300"/>
    <n v="13694788"/>
    <n v="30100000"/>
    <n v="0.45497634551495014"/>
    <x v="0"/>
    <n v="26"/>
    <x v="0"/>
    <s v=""/>
    <s v="No Aplica"/>
    <m/>
    <m/>
    <m/>
    <m/>
    <m/>
    <m/>
    <n v="19491788"/>
    <m/>
  </r>
  <r>
    <n v="9"/>
    <x v="8"/>
    <n v="2016"/>
    <s v="Septiembre"/>
    <s v="LUZNHEGO"/>
    <n v="43745192"/>
    <x v="19"/>
    <n v="31067967"/>
    <n v="0"/>
    <n v="0"/>
    <n v="31067967"/>
    <n v="21000000"/>
    <n v="1.479427"/>
    <x v="1"/>
    <n v="26"/>
    <x v="10"/>
    <s v="Antioquia"/>
    <s v="Cumple"/>
    <m/>
    <m/>
    <m/>
    <m/>
    <m/>
    <m/>
    <n v="31067967"/>
    <m/>
  </r>
  <r>
    <n v="9"/>
    <x v="8"/>
    <n v="2016"/>
    <s v="Septiembre"/>
    <s v="MARGGAPA"/>
    <n v="43866877"/>
    <x v="20"/>
    <n v="31699519"/>
    <n v="1166200"/>
    <n v="9676400"/>
    <n v="20856919"/>
    <n v="12307692.307692308"/>
    <n v="1.69462466875"/>
    <x v="1"/>
    <n v="26"/>
    <x v="5"/>
    <s v="Antioquia"/>
    <s v="Siempre Cumple"/>
    <m/>
    <m/>
    <m/>
    <m/>
    <m/>
    <m/>
    <n v="31699519"/>
    <m/>
  </r>
  <r>
    <n v="9"/>
    <x v="8"/>
    <n v="2016"/>
    <s v="Septiembre"/>
    <s v="MARIMASA"/>
    <n v="43113640"/>
    <x v="34"/>
    <n v="36140412"/>
    <n v="990000"/>
    <n v="4794900"/>
    <n v="30355512"/>
    <n v="30100000"/>
    <n v="1.0084887707641197"/>
    <x v="1"/>
    <n v="26"/>
    <x v="4"/>
    <s v="Antioquia"/>
    <s v="Cumple"/>
    <m/>
    <m/>
    <m/>
    <m/>
    <m/>
    <m/>
    <n v="36140412"/>
    <m/>
  </r>
  <r>
    <n v="9"/>
    <x v="8"/>
    <n v="2016"/>
    <s v="Septiembre"/>
    <s v="MARIOCOC"/>
    <n v="39448823"/>
    <x v="21"/>
    <n v="42090862"/>
    <n v="919400"/>
    <n v="5924786"/>
    <n v="35246676"/>
    <n v="30100000"/>
    <n v="1.1709859136212624"/>
    <x v="1"/>
    <n v="26"/>
    <x v="7"/>
    <s v="Antioquia"/>
    <s v="Siempre Cumple"/>
    <m/>
    <m/>
    <m/>
    <m/>
    <m/>
    <m/>
    <n v="42090862"/>
    <m/>
  </r>
  <r>
    <n v="9"/>
    <x v="8"/>
    <n v="2016"/>
    <s v="Septiembre"/>
    <s v="MARISEAR"/>
    <n v="43109744"/>
    <x v="22"/>
    <n v="52998693"/>
    <n v="1444200"/>
    <n v="9224534"/>
    <n v="42329959"/>
    <n v="40000000"/>
    <n v="1.0582489749999999"/>
    <x v="0"/>
    <n v="26"/>
    <x v="0"/>
    <s v=""/>
    <s v="No Aplica"/>
    <m/>
    <m/>
    <m/>
    <m/>
    <m/>
    <m/>
    <n v="52998693"/>
    <m/>
  </r>
  <r>
    <n v="9"/>
    <x v="8"/>
    <n v="2016"/>
    <s v="Septiembre"/>
    <s v="MARISOCA"/>
    <n v="43599983"/>
    <x v="23"/>
    <n v="18097328"/>
    <n v="792000"/>
    <n v="3042800"/>
    <n v="14262528"/>
    <n v="40000000"/>
    <n v="0.35656320000000002"/>
    <x v="0"/>
    <n v="26"/>
    <x v="0"/>
    <s v=""/>
    <s v="No Aplica"/>
    <m/>
    <m/>
    <m/>
    <m/>
    <m/>
    <m/>
    <n v="18097328"/>
    <m/>
  </r>
  <r>
    <n v="9"/>
    <x v="8"/>
    <n v="2016"/>
    <s v="Septiembre"/>
    <s v="MONIMEME"/>
    <n v="42689970"/>
    <x v="24"/>
    <n v="61374021"/>
    <n v="1260000"/>
    <n v="11467700"/>
    <n v="48646321"/>
    <n v="40000000"/>
    <n v="1.2161580249999999"/>
    <x v="0"/>
    <n v="26"/>
    <x v="0"/>
    <s v=""/>
    <s v="No Aplica"/>
    <m/>
    <m/>
    <m/>
    <m/>
    <m/>
    <m/>
    <n v="61374021"/>
    <m/>
  </r>
  <r>
    <n v="9"/>
    <x v="8"/>
    <n v="2016"/>
    <s v="Septiembre"/>
    <s v="NATAPIDU"/>
    <n v="43907427"/>
    <x v="25"/>
    <n v="45335771"/>
    <n v="756000"/>
    <n v="4446600"/>
    <n v="40133171"/>
    <n v="36000000"/>
    <n v="1.1148103055555556"/>
    <x v="1"/>
    <n v="26"/>
    <x v="11"/>
    <s v="Antioquia"/>
    <s v="Siempre Cumple"/>
    <m/>
    <m/>
    <m/>
    <m/>
    <m/>
    <m/>
    <n v="45335771"/>
    <m/>
  </r>
  <r>
    <n v="9"/>
    <x v="8"/>
    <n v="2016"/>
    <s v="Septiembre"/>
    <s v="OSCADESU"/>
    <n v="91511871"/>
    <x v="26"/>
    <n v="32318309"/>
    <n v="1101400"/>
    <n v="10171200"/>
    <n v="21045709"/>
    <n v="26000000"/>
    <n v="0.80945034615384615"/>
    <x v="0"/>
    <n v="26"/>
    <x v="0"/>
    <s v=""/>
    <s v="No Aplica"/>
    <m/>
    <m/>
    <m/>
    <m/>
    <m/>
    <m/>
    <n v="32318309"/>
    <m/>
  </r>
  <r>
    <n v="9"/>
    <x v="8"/>
    <n v="2016"/>
    <s v="Septiembre"/>
    <s v="PAULGOBA"/>
    <n v="32256379"/>
    <x v="36"/>
    <n v="20256550"/>
    <n v="0"/>
    <n v="3023000"/>
    <n v="17233550"/>
    <n v="40100000"/>
    <n v="0.4297643391521197"/>
    <x v="1"/>
    <n v="26"/>
    <x v="13"/>
    <s v="Antioquia"/>
    <s v="Fluctúa"/>
    <m/>
    <m/>
    <m/>
    <m/>
    <m/>
    <m/>
    <n v="20256550"/>
    <m/>
  </r>
  <r>
    <n v="9"/>
    <x v="8"/>
    <n v="2016"/>
    <s v="Septiembre"/>
    <s v="RAULMOGA"/>
    <n v="79701425"/>
    <x v="27"/>
    <n v="28291623"/>
    <n v="300000"/>
    <n v="6397100"/>
    <n v="21594523"/>
    <n v="21000000"/>
    <n v="1.028310619047619"/>
    <x v="0"/>
    <n v="26"/>
    <x v="6"/>
    <s v="Centro"/>
    <s v="No Aplica"/>
    <m/>
    <m/>
    <m/>
    <m/>
    <m/>
    <m/>
    <n v="28291623"/>
    <m/>
  </r>
  <r>
    <n v="9"/>
    <x v="8"/>
    <n v="2016"/>
    <s v="Septiembre"/>
    <s v="ROCIFASA"/>
    <n v="34542470"/>
    <x v="28"/>
    <n v="22571622"/>
    <n v="538830"/>
    <n v="0"/>
    <n v="22032792"/>
    <n v="21000000"/>
    <n v="1.0491805714285714"/>
    <x v="1"/>
    <n v="26"/>
    <x v="12"/>
    <s v="Occidente"/>
    <s v="Siempre Cumple"/>
    <m/>
    <m/>
    <m/>
    <m/>
    <m/>
    <m/>
    <n v="22571622"/>
    <m/>
  </r>
  <r>
    <n v="9"/>
    <x v="8"/>
    <n v="2016"/>
    <s v="Septiembre"/>
    <s v="RUBYHIGA"/>
    <n v="43636530"/>
    <x v="42"/>
    <n v="55090147"/>
    <n v="3208200"/>
    <n v="10929600"/>
    <n v="40952347"/>
    <n v="40000000"/>
    <n v="1.0238086749999999"/>
    <x v="0"/>
    <n v="26"/>
    <x v="0"/>
    <s v=""/>
    <s v="No Aplica"/>
    <m/>
    <m/>
    <m/>
    <m/>
    <m/>
    <m/>
    <n v="55090147"/>
    <m/>
  </r>
  <r>
    <n v="9"/>
    <x v="8"/>
    <n v="2016"/>
    <s v="Septiembre"/>
    <s v="VIVIVAZA"/>
    <n v="43745952"/>
    <x v="30"/>
    <n v="76045001"/>
    <n v="1066200"/>
    <n v="14223000"/>
    <n v="60755801"/>
    <n v="40100000"/>
    <n v="1.5151072568578554"/>
    <x v="1"/>
    <n v="26"/>
    <x v="3"/>
    <s v="Antioquia"/>
    <s v="Siempre Cumple"/>
    <m/>
    <m/>
    <m/>
    <m/>
    <m/>
    <m/>
    <n v="76045001"/>
    <m/>
  </r>
  <r>
    <n v="9"/>
    <x v="8"/>
    <n v="2016"/>
    <s v="Septiembre"/>
    <s v="ZULYARGA"/>
    <n v="43259130"/>
    <x v="31"/>
    <n v="52134248"/>
    <n v="0"/>
    <n v="11404400"/>
    <n v="40729848"/>
    <n v="40000000"/>
    <n v="1.0182462000000001"/>
    <x v="1"/>
    <n v="26"/>
    <x v="1"/>
    <s v="Antioquia"/>
    <s v="Fluctúa"/>
    <m/>
    <m/>
    <m/>
    <m/>
    <m/>
    <m/>
    <n v="52134248"/>
    <m/>
  </r>
  <r>
    <n v="10"/>
    <x v="9"/>
    <n v="2016"/>
    <s v="Octubre"/>
    <s v="ADRIMOLU"/>
    <n v="43169964"/>
    <x v="1"/>
    <n v="41402930"/>
    <n v="285400"/>
    <n v="10922300"/>
    <n v="30195230"/>
    <n v="26000000"/>
    <n v="1.1613549999999999"/>
    <x v="1"/>
    <n v="25"/>
    <x v="1"/>
    <s v="Antioquia"/>
    <s v="Cumple"/>
    <m/>
    <m/>
    <m/>
    <m/>
    <m/>
    <m/>
    <n v="41402930"/>
    <m/>
  </r>
  <r>
    <n v="10"/>
    <x v="9"/>
    <n v="2016"/>
    <s v="Octubre"/>
    <s v="ALEXLOGR"/>
    <n v="43253531"/>
    <x v="2"/>
    <n v="50481696"/>
    <n v="2384900"/>
    <n v="10837600"/>
    <n v="37259196"/>
    <n v="36960000"/>
    <n v="1.0080951298701299"/>
    <x v="1"/>
    <n v="25"/>
    <x v="2"/>
    <s v="Antioquia"/>
    <s v="Cumple"/>
    <m/>
    <m/>
    <m/>
    <m/>
    <m/>
    <m/>
    <n v="50481696"/>
    <m/>
  </r>
  <r>
    <n v="10"/>
    <x v="9"/>
    <n v="2016"/>
    <s v="Octubre"/>
    <s v="ALVAOSOS"/>
    <n v="3438422"/>
    <x v="37"/>
    <n v="36799990"/>
    <n v="0"/>
    <n v="6560100"/>
    <n v="30239890"/>
    <n v="30100000"/>
    <n v="1.0046475083056479"/>
    <x v="1"/>
    <n v="25"/>
    <x v="8"/>
    <s v="Antioquia"/>
    <s v="Fluctúa"/>
    <m/>
    <m/>
    <m/>
    <m/>
    <m/>
    <m/>
    <n v="36799990"/>
    <m/>
  </r>
  <r>
    <n v="10"/>
    <x v="9"/>
    <n v="2016"/>
    <s v="Octubre"/>
    <s v="ANAMLOBE"/>
    <n v="43821410"/>
    <x v="3"/>
    <n v="76683289"/>
    <n v="210000"/>
    <n v="12560000"/>
    <n v="63913289"/>
    <n v="40100000"/>
    <n v="1.5938476059850375"/>
    <x v="1"/>
    <n v="25"/>
    <x v="3"/>
    <s v="Antioquia"/>
    <s v="Siempre Cumple"/>
    <m/>
    <m/>
    <m/>
    <m/>
    <m/>
    <m/>
    <n v="76683289"/>
    <m/>
  </r>
  <r>
    <n v="10"/>
    <x v="9"/>
    <n v="2016"/>
    <s v="Octubre"/>
    <s v="ANGEGAAR"/>
    <n v="39442617"/>
    <x v="4"/>
    <n v="59021184"/>
    <n v="538700"/>
    <n v="12024400"/>
    <n v="46458084"/>
    <n v="40000000"/>
    <n v="1.1614521"/>
    <x v="1"/>
    <n v="25"/>
    <x v="4"/>
    <s v="Antioquia"/>
    <s v="Cumple"/>
    <m/>
    <m/>
    <m/>
    <m/>
    <m/>
    <m/>
    <n v="59021184"/>
    <m/>
  </r>
  <r>
    <n v="10"/>
    <x v="9"/>
    <n v="2016"/>
    <s v="Octubre"/>
    <s v="BIBIBECA"/>
    <n v="43971430"/>
    <x v="6"/>
    <n v="60511087"/>
    <n v="0"/>
    <n v="16069000"/>
    <n v="44442087"/>
    <n v="40000000"/>
    <n v="1.111052175"/>
    <x v="1"/>
    <n v="25"/>
    <x v="5"/>
    <s v="Antioquia"/>
    <s v="Siempre Cumple"/>
    <m/>
    <m/>
    <m/>
    <m/>
    <m/>
    <m/>
    <n v="60511087"/>
    <m/>
  </r>
  <r>
    <n v="10"/>
    <x v="9"/>
    <n v="2016"/>
    <s v="Octubre"/>
    <s v="CAROVABE"/>
    <n v="1030634664"/>
    <x v="32"/>
    <n v="52364260"/>
    <n v="705400"/>
    <n v="11312900"/>
    <n v="40345960"/>
    <n v="40000000"/>
    <n v="1.0086489999999999"/>
    <x v="0"/>
    <n v="25"/>
    <x v="0"/>
    <s v=""/>
    <s v="No Aplica"/>
    <m/>
    <m/>
    <m/>
    <m/>
    <m/>
    <m/>
    <n v="52364260"/>
    <m/>
  </r>
  <r>
    <n v="10"/>
    <x v="9"/>
    <n v="2016"/>
    <s v="Octubre"/>
    <s v="CLAUBLAR"/>
    <n v="43554403"/>
    <x v="8"/>
    <n v="55559653"/>
    <n v="1101400"/>
    <n v="13217933"/>
    <n v="41240320"/>
    <n v="40000000"/>
    <n v="1.0310079999999999"/>
    <x v="1"/>
    <n v="25"/>
    <x v="5"/>
    <s v="Antioquia"/>
    <s v="Siempre Cumple"/>
    <m/>
    <m/>
    <m/>
    <m/>
    <m/>
    <m/>
    <n v="55559653"/>
    <m/>
  </r>
  <r>
    <n v="10"/>
    <x v="9"/>
    <n v="2016"/>
    <s v="Octubre"/>
    <s v="CLAUPACO"/>
    <n v="23857915"/>
    <x v="9"/>
    <n v="34088561"/>
    <n v="716000"/>
    <n v="6554100"/>
    <n v="26818461"/>
    <n v="26000000"/>
    <n v="1.0314792692307693"/>
    <x v="0"/>
    <n v="25"/>
    <x v="0"/>
    <s v=""/>
    <s v="No Aplica"/>
    <m/>
    <m/>
    <m/>
    <m/>
    <m/>
    <m/>
    <n v="34088561"/>
    <m/>
  </r>
  <r>
    <n v="10"/>
    <x v="9"/>
    <n v="2016"/>
    <s v="Octubre"/>
    <s v="DERLARMO"/>
    <n v="52725011"/>
    <x v="10"/>
    <n v="30875201"/>
    <n v="420000"/>
    <n v="6320900"/>
    <n v="24134301"/>
    <n v="21840000"/>
    <n v="1.1050504120879121"/>
    <x v="1"/>
    <n v="25"/>
    <x v="6"/>
    <s v="Centro"/>
    <s v="Fluctúa"/>
    <m/>
    <m/>
    <m/>
    <m/>
    <m/>
    <m/>
    <n v="30875201"/>
    <m/>
  </r>
  <r>
    <n v="10"/>
    <x v="9"/>
    <n v="2016"/>
    <s v="Octubre"/>
    <s v="DIANPAAL"/>
    <n v="1040030764"/>
    <x v="11"/>
    <n v="41164018"/>
    <n v="1479400"/>
    <n v="7316643"/>
    <n v="32367975"/>
    <n v="30100000"/>
    <n v="1.0753480066445182"/>
    <x v="1"/>
    <n v="25"/>
    <x v="7"/>
    <s v="Antioquia"/>
    <s v="Cumple"/>
    <m/>
    <m/>
    <m/>
    <m/>
    <m/>
    <m/>
    <n v="41164018"/>
    <m/>
  </r>
  <r>
    <n v="10"/>
    <x v="9"/>
    <n v="2016"/>
    <s v="Octubre"/>
    <s v="DIANPOPA"/>
    <n v="31307503"/>
    <x v="33"/>
    <n v="29222312"/>
    <n v="0"/>
    <n v="0"/>
    <n v="29222312"/>
    <n v="30100000"/>
    <n v="0.97084093023255813"/>
    <x v="0"/>
    <n v="25"/>
    <x v="0"/>
    <s v=""/>
    <s v="No Aplica"/>
    <m/>
    <m/>
    <m/>
    <m/>
    <m/>
    <m/>
    <n v="29222312"/>
    <m/>
  </r>
  <r>
    <n v="10"/>
    <x v="9"/>
    <n v="2016"/>
    <s v="Octubre"/>
    <s v="DIANQUME"/>
    <n v="42164020"/>
    <x v="12"/>
    <n v="52088390"/>
    <n v="1812400"/>
    <n v="11279200"/>
    <n v="38996790"/>
    <n v="27360000"/>
    <n v="1.4253212719298245"/>
    <x v="1"/>
    <n v="25"/>
    <x v="1"/>
    <s v="Antioquia"/>
    <s v="Siempre Cumple"/>
    <m/>
    <m/>
    <m/>
    <m/>
    <m/>
    <m/>
    <n v="52088390"/>
    <m/>
  </r>
  <r>
    <n v="10"/>
    <x v="9"/>
    <n v="2016"/>
    <s v="Octubre"/>
    <s v="ELIZVESU"/>
    <n v="1035417626"/>
    <x v="13"/>
    <n v="57799245"/>
    <n v="1478100"/>
    <n v="12023400"/>
    <n v="44297745"/>
    <n v="38400000"/>
    <n v="1.1535871093750001"/>
    <x v="1"/>
    <n v="25"/>
    <x v="3"/>
    <s v="Antioquia"/>
    <s v="Cumple"/>
    <m/>
    <m/>
    <m/>
    <m/>
    <m/>
    <m/>
    <n v="57799245"/>
    <m/>
  </r>
  <r>
    <n v="10"/>
    <x v="9"/>
    <n v="2016"/>
    <s v="Octubre"/>
    <s v="ERIKSAVA"/>
    <n v="1017200970"/>
    <x v="44"/>
    <n v="51184149"/>
    <n v="495400"/>
    <n v="10706700"/>
    <n v="39982049"/>
    <n v="34272000"/>
    <n v="1.166609739729225"/>
    <x v="1"/>
    <n v="25"/>
    <x v="4"/>
    <s v="Antioquia"/>
    <s v="Cumple"/>
    <m/>
    <m/>
    <m/>
    <m/>
    <m/>
    <m/>
    <n v="51184149"/>
    <m/>
  </r>
  <r>
    <n v="10"/>
    <x v="9"/>
    <n v="2016"/>
    <s v="Octubre"/>
    <s v="GENNHEPO"/>
    <n v="43874518"/>
    <x v="14"/>
    <n v="48563976"/>
    <n v="1628900"/>
    <n v="10241400"/>
    <n v="36693676"/>
    <n v="36000000"/>
    <n v="1.0192687777777778"/>
    <x v="1"/>
    <n v="25"/>
    <x v="8"/>
    <s v="Antioquia"/>
    <s v="Fluctúa"/>
    <m/>
    <m/>
    <m/>
    <m/>
    <m/>
    <m/>
    <n v="48563976"/>
    <m/>
  </r>
  <r>
    <n v="10"/>
    <x v="9"/>
    <n v="2016"/>
    <s v="Octubre"/>
    <s v="ISABMOGO"/>
    <n v="52260671"/>
    <x v="15"/>
    <n v="34362795"/>
    <n v="420000"/>
    <n v="5146300"/>
    <n v="28796495"/>
    <n v="26000000"/>
    <n v="1.1075575"/>
    <x v="1"/>
    <n v="25"/>
    <x v="9"/>
    <s v="Centro"/>
    <s v="Siempre Cumple"/>
    <m/>
    <m/>
    <m/>
    <m/>
    <m/>
    <m/>
    <n v="34362795"/>
    <m/>
  </r>
  <r>
    <n v="10"/>
    <x v="9"/>
    <n v="2016"/>
    <s v="Octubre"/>
    <s v="JAQUVEGU"/>
    <n v="1036779770"/>
    <x v="16"/>
    <n v="31495590"/>
    <n v="1830800"/>
    <n v="5438350"/>
    <n v="24226440"/>
    <n v="30100000"/>
    <n v="0.80486511627906976"/>
    <x v="0"/>
    <n v="25"/>
    <x v="7"/>
    <s v="Antioquia"/>
    <s v="No Aplica"/>
    <m/>
    <m/>
    <m/>
    <m/>
    <m/>
    <m/>
    <n v="31495590"/>
    <m/>
  </r>
  <r>
    <n v="10"/>
    <x v="9"/>
    <n v="2016"/>
    <s v="Octubre"/>
    <s v="LEIDGOVI"/>
    <n v="1036598360"/>
    <x v="39"/>
    <n v="37828525"/>
    <n v="792000"/>
    <n v="6201500"/>
    <n v="30835025"/>
    <n v="30100000"/>
    <n v="1.0244194352159468"/>
    <x v="1"/>
    <n v="25"/>
    <x v="8"/>
    <s v="Antioquia"/>
    <s v="Fluctúa"/>
    <m/>
    <m/>
    <m/>
    <m/>
    <m/>
    <m/>
    <n v="37828525"/>
    <m/>
  </r>
  <r>
    <n v="10"/>
    <x v="9"/>
    <n v="2016"/>
    <s v="Octubre"/>
    <s v="LILACARA"/>
    <n v="1017141451"/>
    <x v="17"/>
    <n v="25891974"/>
    <n v="1323200"/>
    <n v="8078000"/>
    <n v="16490774"/>
    <n v="11520000"/>
    <n v="1.4314907986111112"/>
    <x v="1"/>
    <n v="25"/>
    <x v="1"/>
    <s v="Antioquia"/>
    <s v="Siempre Cumple"/>
    <m/>
    <m/>
    <m/>
    <m/>
    <m/>
    <m/>
    <n v="25891974"/>
    <m/>
  </r>
  <r>
    <n v="10"/>
    <x v="9"/>
    <n v="2016"/>
    <s v="Octubre"/>
    <s v="LUZNHEGO"/>
    <n v="43745192"/>
    <x v="19"/>
    <n v="26213809"/>
    <n v="178200"/>
    <n v="0"/>
    <n v="26035609"/>
    <n v="21000000"/>
    <n v="1.2397909047619047"/>
    <x v="1"/>
    <n v="25"/>
    <x v="10"/>
    <s v="Antioquia"/>
    <s v="Cumple"/>
    <m/>
    <m/>
    <m/>
    <m/>
    <m/>
    <m/>
    <n v="26213809"/>
    <m/>
  </r>
  <r>
    <n v="10"/>
    <x v="9"/>
    <n v="2016"/>
    <s v="Octubre"/>
    <s v="MARGGAPA"/>
    <n v="43866877"/>
    <x v="20"/>
    <n v="50785314"/>
    <n v="420000"/>
    <n v="9285500"/>
    <n v="41079814"/>
    <n v="40000000"/>
    <n v="1.02699535"/>
    <x v="1"/>
    <n v="25"/>
    <x v="5"/>
    <s v="Antioquia"/>
    <s v="Siempre Cumple"/>
    <m/>
    <m/>
    <m/>
    <m/>
    <m/>
    <m/>
    <n v="50785314"/>
    <m/>
  </r>
  <r>
    <n v="10"/>
    <x v="9"/>
    <n v="2016"/>
    <s v="Octubre"/>
    <s v="MARIMASA"/>
    <n v="43113640"/>
    <x v="34"/>
    <n v="22405984"/>
    <n v="538700"/>
    <n v="5944700"/>
    <n v="15922584"/>
    <n v="30100000"/>
    <n v="0.52898950166112957"/>
    <x v="1"/>
    <n v="25"/>
    <x v="4"/>
    <s v="Antioquia"/>
    <s v="Cumple"/>
    <m/>
    <m/>
    <m/>
    <m/>
    <m/>
    <m/>
    <n v="22405984"/>
    <m/>
  </r>
  <r>
    <n v="10"/>
    <x v="9"/>
    <n v="2016"/>
    <s v="Octubre"/>
    <s v="MARIOCOC"/>
    <n v="39448823"/>
    <x v="21"/>
    <n v="35852219"/>
    <n v="0"/>
    <n v="5179012"/>
    <n v="30673207"/>
    <n v="30100000"/>
    <n v="1.0190434219269102"/>
    <x v="1"/>
    <n v="25"/>
    <x v="7"/>
    <s v="Antioquia"/>
    <s v="Siempre Cumple"/>
    <m/>
    <m/>
    <m/>
    <m/>
    <m/>
    <m/>
    <n v="35852219"/>
    <m/>
  </r>
  <r>
    <n v="10"/>
    <x v="9"/>
    <n v="2016"/>
    <s v="Octubre"/>
    <s v="MARISEAR"/>
    <n v="43109744"/>
    <x v="22"/>
    <n v="52574423"/>
    <n v="408000"/>
    <n v="11352056"/>
    <n v="40814367"/>
    <n v="40000000"/>
    <n v="1.0203591750000001"/>
    <x v="0"/>
    <n v="25"/>
    <x v="0"/>
    <s v=""/>
    <s v="No Aplica"/>
    <m/>
    <m/>
    <m/>
    <m/>
    <m/>
    <m/>
    <n v="52574423"/>
    <m/>
  </r>
  <r>
    <n v="10"/>
    <x v="9"/>
    <n v="2016"/>
    <s v="Octubre"/>
    <s v="MONIMEME"/>
    <n v="42689970"/>
    <x v="24"/>
    <n v="58751420"/>
    <n v="796800"/>
    <n v="11915478"/>
    <n v="46039142"/>
    <n v="40000000"/>
    <n v="1.15097855"/>
    <x v="0"/>
    <n v="25"/>
    <x v="0"/>
    <s v=""/>
    <s v="No Aplica"/>
    <m/>
    <m/>
    <m/>
    <m/>
    <m/>
    <m/>
    <n v="58751420"/>
    <m/>
  </r>
  <r>
    <n v="10"/>
    <x v="9"/>
    <n v="2016"/>
    <s v="Octubre"/>
    <s v="NATAPIDU"/>
    <n v="43907427"/>
    <x v="25"/>
    <n v="33798382"/>
    <n v="256860"/>
    <n v="5179300"/>
    <n v="28362222"/>
    <n v="27360000"/>
    <n v="1.0366309210526317"/>
    <x v="1"/>
    <n v="25"/>
    <x v="11"/>
    <s v="Antioquia"/>
    <s v="Siempre Cumple"/>
    <m/>
    <m/>
    <m/>
    <m/>
    <m/>
    <m/>
    <n v="33798382"/>
    <m/>
  </r>
  <r>
    <n v="10"/>
    <x v="9"/>
    <n v="2016"/>
    <s v="Octubre"/>
    <s v="OSCADESU"/>
    <n v="91511871"/>
    <x v="26"/>
    <n v="37832428"/>
    <n v="974000"/>
    <n v="10552500"/>
    <n v="26305928"/>
    <n v="26000000"/>
    <n v="1.0117664615384616"/>
    <x v="0"/>
    <n v="25"/>
    <x v="0"/>
    <s v=""/>
    <s v="No Aplica"/>
    <m/>
    <m/>
    <m/>
    <m/>
    <m/>
    <m/>
    <n v="37832428"/>
    <m/>
  </r>
  <r>
    <n v="10"/>
    <x v="9"/>
    <n v="2016"/>
    <s v="Octubre"/>
    <s v="PAULGOBA"/>
    <n v="32256379"/>
    <x v="36"/>
    <n v="30089200"/>
    <n v="0"/>
    <n v="3013000"/>
    <n v="27076200"/>
    <n v="40100000"/>
    <n v="0.67521695760598499"/>
    <x v="1"/>
    <n v="25"/>
    <x v="13"/>
    <s v="Antioquia"/>
    <s v="Fluctúa"/>
    <m/>
    <m/>
    <m/>
    <m/>
    <m/>
    <m/>
    <n v="30089200"/>
    <m/>
  </r>
  <r>
    <n v="10"/>
    <x v="9"/>
    <n v="2016"/>
    <s v="Octubre"/>
    <s v="RAULMOGA"/>
    <n v="79701425"/>
    <x v="27"/>
    <n v="26159388"/>
    <n v="544000"/>
    <n v="6251900"/>
    <n v="19363488"/>
    <n v="15960000"/>
    <n v="1.2132511278195488"/>
    <x v="0"/>
    <n v="25"/>
    <x v="6"/>
    <s v="Centro"/>
    <s v="No Aplica"/>
    <m/>
    <m/>
    <m/>
    <m/>
    <m/>
    <m/>
    <n v="26159388"/>
    <m/>
  </r>
  <r>
    <n v="10"/>
    <x v="9"/>
    <n v="2016"/>
    <s v="Octubre"/>
    <s v="ROCIFASA"/>
    <n v="34542470"/>
    <x v="28"/>
    <n v="25366379"/>
    <n v="1374030"/>
    <n v="0"/>
    <n v="23992349"/>
    <n v="21000000"/>
    <n v="1.1424928095238096"/>
    <x v="1"/>
    <n v="25"/>
    <x v="12"/>
    <s v="Occidente"/>
    <s v="Siempre Cumple"/>
    <m/>
    <m/>
    <m/>
    <m/>
    <m/>
    <m/>
    <n v="25366379"/>
    <m/>
  </r>
  <r>
    <n v="10"/>
    <x v="9"/>
    <n v="2016"/>
    <s v="Octubre"/>
    <s v="RUBYHIGA"/>
    <n v="43636530"/>
    <x v="42"/>
    <n v="50117791"/>
    <n v="891400"/>
    <n v="11062900"/>
    <n v="38163491"/>
    <n v="40000000"/>
    <n v="0.95408727500000001"/>
    <x v="0"/>
    <n v="25"/>
    <x v="0"/>
    <s v=""/>
    <s v="No Aplica"/>
    <m/>
    <m/>
    <m/>
    <m/>
    <m/>
    <m/>
    <n v="50117791"/>
    <m/>
  </r>
  <r>
    <n v="10"/>
    <x v="9"/>
    <n v="2016"/>
    <s v="Octubre"/>
    <s v="VIVIVAZA"/>
    <n v="43745952"/>
    <x v="30"/>
    <n v="78430164"/>
    <n v="2553800"/>
    <n v="15969200"/>
    <n v="59907164"/>
    <n v="40100000"/>
    <n v="1.4939442394014963"/>
    <x v="1"/>
    <n v="25"/>
    <x v="3"/>
    <s v="Antioquia"/>
    <s v="Siempre Cumple"/>
    <m/>
    <m/>
    <m/>
    <m/>
    <m/>
    <m/>
    <n v="78430164"/>
    <m/>
  </r>
  <r>
    <n v="10"/>
    <x v="9"/>
    <n v="2016"/>
    <s v="Octubre"/>
    <s v="ZULYARGA"/>
    <n v="43259130"/>
    <x v="31"/>
    <n v="60974849"/>
    <n v="840000"/>
    <n v="13786600"/>
    <n v="46348249"/>
    <n v="40100000"/>
    <n v="1.1558166832917707"/>
    <x v="1"/>
    <n v="25"/>
    <x v="1"/>
    <s v="Antioquia"/>
    <s v="Fluctúa"/>
    <m/>
    <m/>
    <m/>
    <m/>
    <m/>
    <m/>
    <n v="60974849"/>
    <m/>
  </r>
  <r>
    <n v="11"/>
    <x v="10"/>
    <n v="2016"/>
    <s v="Noviembre"/>
    <s v="ADRIMOLU"/>
    <n v="43169964"/>
    <x v="1"/>
    <n v="42497642"/>
    <n v="572700"/>
    <n v="12638300"/>
    <n v="29286642"/>
    <n v="26000000"/>
    <n v="1.1264093076923076"/>
    <x v="1"/>
    <n v="24"/>
    <x v="1"/>
    <s v="Antioquia"/>
    <s v="Cumple"/>
    <m/>
    <m/>
    <m/>
    <m/>
    <m/>
    <m/>
    <n v="42497642"/>
    <m/>
  </r>
  <r>
    <n v="11"/>
    <x v="10"/>
    <n v="2016"/>
    <s v="Noviembre"/>
    <s v="ALEXLOGR"/>
    <n v="43253531"/>
    <x v="2"/>
    <n v="56703174"/>
    <n v="2301400"/>
    <n v="11595100"/>
    <n v="42806674"/>
    <n v="40000000"/>
    <n v="1.0701668499999999"/>
    <x v="1"/>
    <n v="24"/>
    <x v="2"/>
    <s v="Antioquia"/>
    <s v="Cumple"/>
    <m/>
    <m/>
    <m/>
    <m/>
    <m/>
    <m/>
    <n v="56703174"/>
    <m/>
  </r>
  <r>
    <n v="11"/>
    <x v="10"/>
    <n v="2016"/>
    <s v="Noviembre"/>
    <s v="ALVAOSOS"/>
    <n v="3438422"/>
    <x v="37"/>
    <n v="26278460"/>
    <n v="352700"/>
    <n v="5671300"/>
    <n v="20254460"/>
    <n v="30100000"/>
    <n v="0.67290564784053153"/>
    <x v="1"/>
    <n v="24"/>
    <x v="8"/>
    <s v="Antioquia"/>
    <s v="Fluctúa"/>
    <m/>
    <m/>
    <m/>
    <m/>
    <m/>
    <m/>
    <n v="26278460"/>
    <m/>
  </r>
  <r>
    <n v="11"/>
    <x v="10"/>
    <n v="2016"/>
    <s v="Noviembre"/>
    <s v="ANAMLOBE"/>
    <n v="43821410"/>
    <x v="3"/>
    <n v="76750189"/>
    <n v="1892560"/>
    <n v="12045700"/>
    <n v="62811929"/>
    <n v="40100000"/>
    <n v="1.5663822693266833"/>
    <x v="1"/>
    <n v="24"/>
    <x v="3"/>
    <s v="Antioquia"/>
    <s v="Siempre Cumple"/>
    <m/>
    <m/>
    <m/>
    <m/>
    <m/>
    <m/>
    <n v="76750189"/>
    <m/>
  </r>
  <r>
    <n v="11"/>
    <x v="10"/>
    <n v="2016"/>
    <s v="Noviembre"/>
    <s v="ANDRSAZA"/>
    <n v="1020736461"/>
    <x v="45"/>
    <n v="23327303"/>
    <n v="438800"/>
    <n v="2933500"/>
    <n v="19955003"/>
    <n v="16466666.666666666"/>
    <n v="1.2118422874493928"/>
    <x v="1"/>
    <n v="24"/>
    <x v="9"/>
    <s v="Centro"/>
    <s v="Siempre Cumple"/>
    <m/>
    <m/>
    <m/>
    <m/>
    <m/>
    <m/>
    <n v="23327303"/>
    <m/>
  </r>
  <r>
    <n v="11"/>
    <x v="10"/>
    <n v="2016"/>
    <s v="Noviembre"/>
    <s v="ANGEGAAR"/>
    <n v="39442617"/>
    <x v="4"/>
    <n v="57625472"/>
    <n v="2076000"/>
    <n v="10682000"/>
    <n v="44867472"/>
    <n v="40000000"/>
    <n v="1.1216868"/>
    <x v="1"/>
    <n v="24"/>
    <x v="4"/>
    <s v="Antioquia"/>
    <s v="Cumple"/>
    <m/>
    <m/>
    <m/>
    <m/>
    <m/>
    <m/>
    <n v="57625472"/>
    <m/>
  </r>
  <r>
    <n v="11"/>
    <x v="10"/>
    <n v="2016"/>
    <s v="Noviembre"/>
    <s v="ANLLLIZO"/>
    <n v="1013628003"/>
    <x v="5"/>
    <n v="3312797"/>
    <n v="0"/>
    <n v="1936100"/>
    <n v="1376697"/>
    <n v="7000000"/>
    <n v="0.19667100000000001"/>
    <x v="0"/>
    <n v="24"/>
    <x v="0"/>
    <s v=""/>
    <s v="No Aplica"/>
    <m/>
    <m/>
    <m/>
    <m/>
    <m/>
    <m/>
    <n v="3312797"/>
    <m/>
  </r>
  <r>
    <n v="11"/>
    <x v="10"/>
    <n v="2016"/>
    <s v="Noviembre"/>
    <s v="BIBIBECA"/>
    <n v="43971430"/>
    <x v="6"/>
    <n v="37393853"/>
    <n v="495400"/>
    <n v="8406900"/>
    <n v="28491553"/>
    <n v="21666666.666666668"/>
    <n v="1.3149947538461537"/>
    <x v="1"/>
    <n v="24"/>
    <x v="5"/>
    <s v="Antioquia"/>
    <s v="Siempre Cumple"/>
    <m/>
    <m/>
    <m/>
    <m/>
    <m/>
    <m/>
    <n v="37393853"/>
    <m/>
  </r>
  <r>
    <n v="11"/>
    <x v="10"/>
    <n v="2016"/>
    <s v="Noviembre"/>
    <s v="CAROVABE"/>
    <n v="1030634664"/>
    <x v="32"/>
    <n v="39968371"/>
    <n v="396000"/>
    <n v="12029900"/>
    <n v="27542471"/>
    <n v="40000000"/>
    <n v="0.68856177500000004"/>
    <x v="0"/>
    <n v="24"/>
    <x v="0"/>
    <s v=""/>
    <s v="No Aplica"/>
    <m/>
    <m/>
    <m/>
    <m/>
    <m/>
    <m/>
    <n v="39968371"/>
    <m/>
  </r>
  <r>
    <n v="11"/>
    <x v="10"/>
    <n v="2016"/>
    <s v="Noviembre"/>
    <s v="CLAUBLAR"/>
    <n v="43554403"/>
    <x v="8"/>
    <n v="53841424"/>
    <n v="681400"/>
    <n v="10777700"/>
    <n v="42382324"/>
    <n v="40000000"/>
    <n v="1.0595581000000001"/>
    <x v="1"/>
    <n v="24"/>
    <x v="5"/>
    <s v="Antioquia"/>
    <s v="Siempre Cumple"/>
    <m/>
    <m/>
    <m/>
    <m/>
    <m/>
    <m/>
    <n v="53841424"/>
    <m/>
  </r>
  <r>
    <n v="11"/>
    <x v="10"/>
    <n v="2016"/>
    <s v="Noviembre"/>
    <s v="CLAUPACO"/>
    <n v="23857915"/>
    <x v="9"/>
    <n v="31463916"/>
    <n v="940000"/>
    <n v="4953400"/>
    <n v="25570516"/>
    <n v="26000000"/>
    <n v="0.98348138461538459"/>
    <x v="0"/>
    <n v="24"/>
    <x v="0"/>
    <s v=""/>
    <s v="No Aplica"/>
    <m/>
    <m/>
    <m/>
    <m/>
    <m/>
    <m/>
    <n v="31463916"/>
    <m/>
  </r>
  <r>
    <n v="11"/>
    <x v="10"/>
    <n v="2016"/>
    <s v="Noviembre"/>
    <s v="DERLARMO"/>
    <n v="52725011"/>
    <x v="10"/>
    <n v="19547492"/>
    <n v="1384000"/>
    <n v="3585000"/>
    <n v="14578492"/>
    <n v="14000000"/>
    <n v="1.0413208571428572"/>
    <x v="1"/>
    <n v="24"/>
    <x v="6"/>
    <s v="Centro"/>
    <s v="Fluctúa"/>
    <m/>
    <m/>
    <m/>
    <m/>
    <m/>
    <m/>
    <n v="19547492"/>
    <m/>
  </r>
  <r>
    <n v="11"/>
    <x v="10"/>
    <n v="2016"/>
    <s v="Noviembre"/>
    <s v="DIANPAAL"/>
    <n v="1040030764"/>
    <x v="11"/>
    <n v="37934035"/>
    <n v="911500"/>
    <n v="6804462"/>
    <n v="30218073"/>
    <n v="30100000"/>
    <n v="1.0039226910299004"/>
    <x v="1"/>
    <n v="24"/>
    <x v="7"/>
    <s v="Antioquia"/>
    <s v="Cumple"/>
    <m/>
    <m/>
    <m/>
    <m/>
    <m/>
    <m/>
    <n v="37934035"/>
    <m/>
  </r>
  <r>
    <n v="11"/>
    <x v="10"/>
    <n v="2016"/>
    <s v="Noviembre"/>
    <s v="DIANPOPA"/>
    <n v="31307503"/>
    <x v="33"/>
    <n v="46803161"/>
    <n v="0"/>
    <n v="0"/>
    <n v="46803161"/>
    <n v="30100000"/>
    <n v="1.554922292358804"/>
    <x v="0"/>
    <n v="24"/>
    <x v="0"/>
    <s v=""/>
    <s v="No Aplica"/>
    <m/>
    <m/>
    <m/>
    <m/>
    <m/>
    <m/>
    <n v="46803161"/>
    <m/>
  </r>
  <r>
    <n v="11"/>
    <x v="10"/>
    <n v="2016"/>
    <s v="Noviembre"/>
    <s v="DIANQUME"/>
    <n v="42164020"/>
    <x v="12"/>
    <n v="45317853"/>
    <n v="1661400"/>
    <n v="6107000"/>
    <n v="37549453"/>
    <n v="36000000"/>
    <n v="1.0430403611111112"/>
    <x v="1"/>
    <n v="24"/>
    <x v="1"/>
    <s v="Antioquia"/>
    <s v="Siempre Cumple"/>
    <m/>
    <m/>
    <m/>
    <m/>
    <m/>
    <m/>
    <n v="45317853"/>
    <m/>
  </r>
  <r>
    <n v="11"/>
    <x v="10"/>
    <n v="2016"/>
    <s v="Noviembre"/>
    <s v="ELIZVESU"/>
    <n v="1035417626"/>
    <x v="13"/>
    <n v="55860464"/>
    <n v="1770000"/>
    <n v="11204300"/>
    <n v="42886164"/>
    <n v="40000000"/>
    <n v="1.0721541000000001"/>
    <x v="1"/>
    <n v="24"/>
    <x v="3"/>
    <s v="Antioquia"/>
    <s v="Cumple"/>
    <m/>
    <m/>
    <m/>
    <m/>
    <m/>
    <m/>
    <n v="55860464"/>
    <m/>
  </r>
  <r>
    <n v="11"/>
    <x v="10"/>
    <n v="2016"/>
    <s v="Noviembre"/>
    <s v="ERIKSAVA"/>
    <n v="1017200970"/>
    <x v="44"/>
    <n v="44456076"/>
    <n v="1065200"/>
    <n v="4084000"/>
    <n v="39306876"/>
    <n v="38000000"/>
    <n v="1.0343914736842106"/>
    <x v="1"/>
    <n v="24"/>
    <x v="4"/>
    <s v="Antioquia"/>
    <s v="Cumple"/>
    <m/>
    <m/>
    <m/>
    <m/>
    <m/>
    <m/>
    <n v="44456076"/>
    <m/>
  </r>
  <r>
    <n v="11"/>
    <x v="10"/>
    <n v="2016"/>
    <s v="Noviembre"/>
    <s v="GENNHEPO"/>
    <n v="43874518"/>
    <x v="14"/>
    <n v="47804613"/>
    <n v="1553500"/>
    <n v="10113400"/>
    <n v="36137713"/>
    <n v="36000000"/>
    <n v="1.0038253611111112"/>
    <x v="1"/>
    <n v="24"/>
    <x v="8"/>
    <s v="Antioquia"/>
    <s v="Fluctúa"/>
    <m/>
    <m/>
    <m/>
    <m/>
    <m/>
    <m/>
    <n v="47804613"/>
    <m/>
  </r>
  <r>
    <n v="11"/>
    <x v="10"/>
    <n v="2016"/>
    <s v="Noviembre"/>
    <s v="ISABMOGO"/>
    <n v="52260671"/>
    <x v="15"/>
    <n v="34150255"/>
    <n v="786200"/>
    <n v="6085100"/>
    <n v="27278955"/>
    <n v="26000000"/>
    <n v="1.0491905769230769"/>
    <x v="1"/>
    <n v="24"/>
    <x v="9"/>
    <s v="Centro"/>
    <s v="Siempre Cumple"/>
    <m/>
    <m/>
    <m/>
    <m/>
    <m/>
    <m/>
    <n v="34150255"/>
    <m/>
  </r>
  <r>
    <n v="11"/>
    <x v="10"/>
    <n v="2016"/>
    <s v="Noviembre"/>
    <s v="JAQUVEGU"/>
    <n v="1036779770"/>
    <x v="16"/>
    <n v="38154294"/>
    <n v="1535500"/>
    <n v="5875538"/>
    <n v="30743256"/>
    <n v="30100000"/>
    <n v="1.0213706312292359"/>
    <x v="0"/>
    <n v="24"/>
    <x v="7"/>
    <s v="Antioquia"/>
    <s v="No Aplica"/>
    <m/>
    <m/>
    <m/>
    <m/>
    <m/>
    <m/>
    <n v="38154294"/>
    <m/>
  </r>
  <r>
    <n v="11"/>
    <x v="10"/>
    <n v="2016"/>
    <s v="Noviembre"/>
    <s v="LEIDGOVI"/>
    <n v="1036598360"/>
    <x v="39"/>
    <n v="21259680"/>
    <n v="420000"/>
    <n v="3883300"/>
    <n v="16956380"/>
    <n v="30100000"/>
    <n v="0.56333488372093021"/>
    <x v="1"/>
    <n v="24"/>
    <x v="8"/>
    <s v="Antioquia"/>
    <s v="Fluctúa"/>
    <m/>
    <m/>
    <m/>
    <m/>
    <m/>
    <m/>
    <n v="21259680"/>
    <m/>
  </r>
  <r>
    <n v="11"/>
    <x v="10"/>
    <n v="2016"/>
    <s v="Noviembre"/>
    <s v="LILACARA"/>
    <n v="1017141451"/>
    <x v="17"/>
    <n v="56248486"/>
    <n v="1957600"/>
    <n v="11859000"/>
    <n v="42431886"/>
    <n v="36000000"/>
    <n v="1.1786635000000001"/>
    <x v="1"/>
    <n v="24"/>
    <x v="1"/>
    <s v="Antioquia"/>
    <s v="Siempre Cumple"/>
    <m/>
    <m/>
    <m/>
    <m/>
    <m/>
    <m/>
    <n v="56248486"/>
    <m/>
  </r>
  <r>
    <n v="11"/>
    <x v="10"/>
    <n v="2016"/>
    <s v="Noviembre"/>
    <s v="LUZNHEGO"/>
    <n v="43745192"/>
    <x v="19"/>
    <n v="15435591"/>
    <n v="160200"/>
    <n v="0"/>
    <n v="15275391"/>
    <n v="21000000"/>
    <n v="0.72739957142857148"/>
    <x v="1"/>
    <n v="24"/>
    <x v="10"/>
    <s v="Antioquia"/>
    <s v="Cumple"/>
    <m/>
    <m/>
    <m/>
    <m/>
    <m/>
    <m/>
    <n v="15435591"/>
    <m/>
  </r>
  <r>
    <n v="11"/>
    <x v="10"/>
    <n v="2016"/>
    <s v="Noviembre"/>
    <s v="MARGGAPA"/>
    <n v="43866877"/>
    <x v="20"/>
    <n v="42231606"/>
    <n v="606000"/>
    <n v="10548013"/>
    <n v="31077593"/>
    <n v="40000000"/>
    <n v="0.77693982500000003"/>
    <x v="1"/>
    <n v="24"/>
    <x v="5"/>
    <s v="Antioquia"/>
    <s v="Siempre Cumple"/>
    <m/>
    <m/>
    <m/>
    <m/>
    <m/>
    <m/>
    <n v="42231606"/>
    <m/>
  </r>
  <r>
    <n v="11"/>
    <x v="10"/>
    <n v="2016"/>
    <s v="Noviembre"/>
    <s v="MARIMASA"/>
    <n v="43113640"/>
    <x v="34"/>
    <n v="37342552"/>
    <n v="915400"/>
    <n v="5396300"/>
    <n v="31030852"/>
    <n v="30100000"/>
    <n v="1.0309253156146179"/>
    <x v="1"/>
    <n v="24"/>
    <x v="4"/>
    <s v="Antioquia"/>
    <s v="Cumple"/>
    <m/>
    <m/>
    <m/>
    <m/>
    <m/>
    <m/>
    <n v="37342552"/>
    <m/>
  </r>
  <r>
    <n v="11"/>
    <x v="10"/>
    <n v="2016"/>
    <s v="Noviembre"/>
    <s v="MARIOCOC"/>
    <n v="39448823"/>
    <x v="21"/>
    <n v="38596912"/>
    <n v="990800"/>
    <n v="5490405"/>
    <n v="32115707"/>
    <n v="30100000"/>
    <n v="1.0669670099667774"/>
    <x v="1"/>
    <n v="24"/>
    <x v="7"/>
    <s v="Antioquia"/>
    <s v="Siempre Cumple"/>
    <m/>
    <m/>
    <m/>
    <m/>
    <m/>
    <m/>
    <n v="38596912"/>
    <m/>
  </r>
  <r>
    <n v="11"/>
    <x v="10"/>
    <n v="2016"/>
    <s v="Noviembre"/>
    <s v="MARISEAR"/>
    <n v="43109744"/>
    <x v="22"/>
    <n v="52177473"/>
    <n v="1265400"/>
    <n v="10677046"/>
    <n v="40235027"/>
    <n v="40000000"/>
    <n v="1.005875675"/>
    <x v="0"/>
    <n v="24"/>
    <x v="0"/>
    <s v=""/>
    <s v="No Aplica"/>
    <m/>
    <m/>
    <m/>
    <m/>
    <m/>
    <m/>
    <n v="52177473"/>
    <m/>
  </r>
  <r>
    <n v="11"/>
    <x v="10"/>
    <n v="2016"/>
    <s v="Noviembre"/>
    <s v="MONIMEME"/>
    <n v="42689970"/>
    <x v="24"/>
    <n v="61473433"/>
    <n v="1390700"/>
    <n v="11399700"/>
    <n v="48683033"/>
    <n v="40000000"/>
    <n v="1.217075825"/>
    <x v="0"/>
    <n v="24"/>
    <x v="0"/>
    <s v=""/>
    <s v="No Aplica"/>
    <m/>
    <m/>
    <m/>
    <m/>
    <m/>
    <m/>
    <n v="61473433"/>
    <m/>
  </r>
  <r>
    <n v="11"/>
    <x v="10"/>
    <n v="2016"/>
    <s v="Noviembre"/>
    <s v="NATAPIDU"/>
    <n v="43907427"/>
    <x v="25"/>
    <n v="8983388"/>
    <n v="0"/>
    <n v="1204000"/>
    <n v="7779388"/>
    <n v="18000000"/>
    <n v="0.4321882222222222"/>
    <x v="1"/>
    <n v="24"/>
    <x v="11"/>
    <s v="Antioquia"/>
    <s v="Siempre Cumple"/>
    <m/>
    <m/>
    <m/>
    <m/>
    <m/>
    <m/>
    <n v="8983388"/>
    <m/>
  </r>
  <r>
    <n v="11"/>
    <x v="10"/>
    <n v="2016"/>
    <s v="Noviembre"/>
    <s v="OSCADESU"/>
    <n v="91511871"/>
    <x v="26"/>
    <n v="36734397"/>
    <n v="420000"/>
    <n v="10206400"/>
    <n v="26107997"/>
    <n v="26000000"/>
    <n v="1.0041537307692308"/>
    <x v="0"/>
    <n v="24"/>
    <x v="0"/>
    <s v=""/>
    <s v="No Aplica"/>
    <m/>
    <m/>
    <m/>
    <m/>
    <m/>
    <m/>
    <n v="36734397"/>
    <m/>
  </r>
  <r>
    <n v="11"/>
    <x v="10"/>
    <n v="2016"/>
    <s v="Noviembre"/>
    <s v="PAULGOBA"/>
    <n v="32256379"/>
    <x v="36"/>
    <n v="20540722"/>
    <n v="0"/>
    <n v="1524500"/>
    <n v="19016222"/>
    <n v="40100000"/>
    <n v="0.47421999999999997"/>
    <x v="1"/>
    <n v="24"/>
    <x v="13"/>
    <s v="Antioquia"/>
    <s v="Fluctúa"/>
    <m/>
    <m/>
    <m/>
    <m/>
    <m/>
    <m/>
    <n v="20540722"/>
    <m/>
  </r>
  <r>
    <n v="11"/>
    <x v="10"/>
    <n v="2016"/>
    <s v="Noviembre"/>
    <s v="RAULMOGA"/>
    <n v="79701425"/>
    <x v="27"/>
    <n v="31746999"/>
    <n v="420000"/>
    <n v="5215800"/>
    <n v="26111199"/>
    <n v="21000000"/>
    <n v="1.2433904285714286"/>
    <x v="0"/>
    <n v="24"/>
    <x v="6"/>
    <s v="Centro"/>
    <s v="No Aplica"/>
    <m/>
    <m/>
    <m/>
    <m/>
    <m/>
    <m/>
    <n v="31746999"/>
    <m/>
  </r>
  <r>
    <n v="11"/>
    <x v="10"/>
    <n v="2016"/>
    <s v="Noviembre"/>
    <s v="ROCIFASA"/>
    <n v="34542470"/>
    <x v="28"/>
    <n v="25974657"/>
    <n v="531000"/>
    <n v="0"/>
    <n v="25443657"/>
    <n v="21000000"/>
    <n v="1.2116027142857142"/>
    <x v="1"/>
    <n v="24"/>
    <x v="12"/>
    <s v="Occidente"/>
    <s v="Siempre Cumple"/>
    <m/>
    <m/>
    <m/>
    <m/>
    <m/>
    <m/>
    <n v="25974657"/>
    <m/>
  </r>
  <r>
    <n v="11"/>
    <x v="10"/>
    <n v="2016"/>
    <s v="Noviembre"/>
    <s v="RUBYHIGA"/>
    <n v="43636530"/>
    <x v="42"/>
    <n v="29792300"/>
    <n v="1398000"/>
    <n v="9952800"/>
    <n v="18441500"/>
    <n v="40000000"/>
    <n v="0.46103749999999999"/>
    <x v="0"/>
    <n v="24"/>
    <x v="0"/>
    <s v=""/>
    <s v="No Aplica"/>
    <m/>
    <m/>
    <m/>
    <m/>
    <m/>
    <m/>
    <n v="29792300"/>
    <m/>
  </r>
  <r>
    <n v="11"/>
    <x v="10"/>
    <n v="2016"/>
    <s v="Noviembre"/>
    <s v="VIVIVAZA"/>
    <n v="43745952"/>
    <x v="30"/>
    <n v="68703047"/>
    <n v="285400"/>
    <n v="13484900"/>
    <n v="54932747"/>
    <n v="40100000"/>
    <n v="1.369893940149626"/>
    <x v="1"/>
    <n v="24"/>
    <x v="3"/>
    <s v="Antioquia"/>
    <s v="Siempre Cumple"/>
    <m/>
    <m/>
    <m/>
    <m/>
    <m/>
    <m/>
    <n v="68703047"/>
    <m/>
  </r>
  <r>
    <n v="11"/>
    <x v="10"/>
    <n v="2016"/>
    <s v="Noviembre"/>
    <s v="ZULYARGA"/>
    <n v="43259130"/>
    <x v="31"/>
    <n v="54581443"/>
    <n v="2494700"/>
    <n v="15360400"/>
    <n v="36726343"/>
    <n v="40100000"/>
    <n v="0.91586890274314214"/>
    <x v="1"/>
    <n v="24"/>
    <x v="1"/>
    <s v="Antioquia"/>
    <s v="Fluctúa"/>
    <m/>
    <m/>
    <m/>
    <m/>
    <m/>
    <m/>
    <n v="54581443"/>
    <m/>
  </r>
  <r>
    <n v="12"/>
    <x v="11"/>
    <n v="2016"/>
    <s v="Diciembre"/>
    <s v="ADRIMOLU"/>
    <n v="43169964"/>
    <x v="1"/>
    <n v="62495645"/>
    <n v="1309400"/>
    <n v="13511100"/>
    <n v="47675145"/>
    <n v="26000000"/>
    <n v="1.833659423076923"/>
    <x v="1"/>
    <n v="26"/>
    <x v="1"/>
    <s v="Antioquia"/>
    <s v="Cumple"/>
    <m/>
    <m/>
    <m/>
    <m/>
    <m/>
    <m/>
    <n v="62495645"/>
    <m/>
  </r>
  <r>
    <n v="12"/>
    <x v="11"/>
    <n v="2016"/>
    <s v="Diciembre"/>
    <s v="ALEXLOGR"/>
    <n v="43253531"/>
    <x v="2"/>
    <n v="52543880"/>
    <n v="1669400"/>
    <n v="8131156"/>
    <n v="42743324"/>
    <n v="33146153.846153848"/>
    <n v="1.2895409886284519"/>
    <x v="1"/>
    <n v="26"/>
    <x v="2"/>
    <s v="Antioquia"/>
    <s v="Cumple"/>
    <m/>
    <m/>
    <m/>
    <m/>
    <m/>
    <m/>
    <n v="52543880"/>
    <m/>
  </r>
  <r>
    <n v="12"/>
    <x v="11"/>
    <n v="2016"/>
    <s v="Diciembre"/>
    <s v="ALVAOSOS"/>
    <n v="3438422"/>
    <x v="37"/>
    <n v="57262608"/>
    <n v="166800"/>
    <n v="8627900"/>
    <n v="48467908"/>
    <n v="30100000"/>
    <n v="1.6102295016611297"/>
    <x v="1"/>
    <n v="26"/>
    <x v="8"/>
    <s v="Antioquia"/>
    <s v="Fluctúa"/>
    <m/>
    <m/>
    <m/>
    <m/>
    <m/>
    <m/>
    <n v="57262608"/>
    <m/>
  </r>
  <r>
    <n v="12"/>
    <x v="11"/>
    <n v="2016"/>
    <s v="Diciembre"/>
    <s v="ANAMLOBE"/>
    <n v="43821410"/>
    <x v="3"/>
    <n v="85664518"/>
    <n v="1366700"/>
    <n v="11584300"/>
    <n v="72713518"/>
    <n v="40100000"/>
    <n v="1.8133046882793018"/>
    <x v="1"/>
    <n v="26"/>
    <x v="3"/>
    <s v="Antioquia"/>
    <s v="Siempre Cumple"/>
    <m/>
    <m/>
    <m/>
    <m/>
    <m/>
    <m/>
    <n v="85664518"/>
    <m/>
  </r>
  <r>
    <n v="12"/>
    <x v="11"/>
    <n v="2016"/>
    <s v="Diciembre"/>
    <s v="ANDRSAZA"/>
    <n v="1020736461"/>
    <x v="45"/>
    <n v="29948898"/>
    <n v="1305400"/>
    <n v="3611000"/>
    <n v="25032498"/>
    <n v="20800000"/>
    <n v="1.2034854807692308"/>
    <x v="1"/>
    <n v="26"/>
    <x v="9"/>
    <s v="Centro"/>
    <s v="Siempre Cumple"/>
    <m/>
    <m/>
    <m/>
    <m/>
    <m/>
    <m/>
    <n v="29948898"/>
    <m/>
  </r>
  <r>
    <n v="12"/>
    <x v="11"/>
    <n v="2016"/>
    <s v="Diciembre"/>
    <s v="ANGEGAAR"/>
    <n v="39442617"/>
    <x v="4"/>
    <n v="67672254"/>
    <n v="256860"/>
    <n v="9852100"/>
    <n v="57563294"/>
    <n v="40000000"/>
    <n v="1.4390823500000001"/>
    <x v="1"/>
    <n v="26"/>
    <x v="4"/>
    <s v="Antioquia"/>
    <s v="Cumple"/>
    <m/>
    <m/>
    <m/>
    <m/>
    <m/>
    <m/>
    <n v="67672254"/>
    <m/>
  </r>
  <r>
    <n v="12"/>
    <x v="11"/>
    <n v="2016"/>
    <s v="Diciembre"/>
    <s v="ANGEROPI"/>
    <n v="43800272"/>
    <x v="46"/>
    <n v="41848489"/>
    <n v="1666600"/>
    <n v="7731700"/>
    <n v="32450189"/>
    <n v="32000000"/>
    <n v="1.0140684062500001"/>
    <x v="0"/>
    <n v="26"/>
    <x v="0"/>
    <s v=""/>
    <s v="No Aplica"/>
    <m/>
    <m/>
    <m/>
    <m/>
    <m/>
    <m/>
    <n v="41848489"/>
    <m/>
  </r>
  <r>
    <n v="12"/>
    <x v="11"/>
    <n v="2016"/>
    <s v="Diciembre"/>
    <s v="ANLLLIZO"/>
    <n v="1013628003"/>
    <x v="5"/>
    <n v="6859925"/>
    <n v="0"/>
    <n v="983100"/>
    <n v="5876825"/>
    <n v="9692307.692307692"/>
    <n v="0.60633908730158736"/>
    <x v="0"/>
    <n v="26"/>
    <x v="0"/>
    <s v=""/>
    <s v="No Aplica"/>
    <m/>
    <m/>
    <m/>
    <m/>
    <m/>
    <m/>
    <n v="6859925"/>
    <m/>
  </r>
  <r>
    <n v="12"/>
    <x v="11"/>
    <n v="2016"/>
    <s v="Diciembre"/>
    <s v="BIBIBECA"/>
    <n v="43971430"/>
    <x v="6"/>
    <n v="38817954"/>
    <n v="293400"/>
    <n v="5940100"/>
    <n v="32584454"/>
    <n v="27692307.692307692"/>
    <n v="1.1766608388888888"/>
    <x v="1"/>
    <n v="26"/>
    <x v="5"/>
    <s v="Antioquia"/>
    <s v="Siempre Cumple"/>
    <m/>
    <m/>
    <m/>
    <m/>
    <m/>
    <m/>
    <n v="38817954"/>
    <m/>
  </r>
  <r>
    <n v="12"/>
    <x v="11"/>
    <n v="2016"/>
    <s v="Diciembre"/>
    <s v="CAROVABE"/>
    <n v="1030634664"/>
    <x v="32"/>
    <n v="54142522"/>
    <n v="1422000"/>
    <n v="10247900"/>
    <n v="42472622"/>
    <n v="40000000"/>
    <n v="1.0618155499999999"/>
    <x v="0"/>
    <n v="26"/>
    <x v="0"/>
    <s v=""/>
    <s v="No Aplica"/>
    <m/>
    <m/>
    <m/>
    <m/>
    <m/>
    <m/>
    <n v="54142522"/>
    <m/>
  </r>
  <r>
    <n v="12"/>
    <x v="11"/>
    <n v="2016"/>
    <s v="Diciembre"/>
    <s v="CLAUBLAR"/>
    <n v="43554403"/>
    <x v="8"/>
    <n v="63982759"/>
    <n v="3165400"/>
    <n v="13362400"/>
    <n v="47454959"/>
    <n v="40000000"/>
    <n v="1.186373975"/>
    <x v="1"/>
    <n v="26"/>
    <x v="5"/>
    <s v="Antioquia"/>
    <s v="Siempre Cumple"/>
    <m/>
    <m/>
    <m/>
    <m/>
    <m/>
    <m/>
    <n v="63982759"/>
    <m/>
  </r>
  <r>
    <n v="12"/>
    <x v="11"/>
    <n v="2016"/>
    <s v="Diciembre"/>
    <s v="CLAUPACO"/>
    <n v="23857915"/>
    <x v="9"/>
    <n v="28563107"/>
    <n v="420000"/>
    <n v="5978600"/>
    <n v="22164507"/>
    <n v="21000000"/>
    <n v="1.0554527142857142"/>
    <x v="0"/>
    <n v="26"/>
    <x v="0"/>
    <s v=""/>
    <s v="No Aplica"/>
    <m/>
    <m/>
    <m/>
    <m/>
    <m/>
    <m/>
    <n v="28563107"/>
    <m/>
  </r>
  <r>
    <n v="12"/>
    <x v="11"/>
    <n v="2016"/>
    <s v="Diciembre"/>
    <s v="DERLARMO"/>
    <n v="52725011"/>
    <x v="10"/>
    <n v="32310394"/>
    <n v="1036000"/>
    <n v="7237000"/>
    <n v="24037394"/>
    <n v="21000000"/>
    <n v="1.1446378095238094"/>
    <x v="1"/>
    <n v="26"/>
    <x v="6"/>
    <s v="Centro"/>
    <s v="Fluctúa"/>
    <m/>
    <m/>
    <m/>
    <m/>
    <m/>
    <m/>
    <n v="32310394"/>
    <m/>
  </r>
  <r>
    <n v="12"/>
    <x v="11"/>
    <n v="2016"/>
    <s v="Diciembre"/>
    <s v="DIANPAAL"/>
    <n v="1040030764"/>
    <x v="11"/>
    <n v="50353471"/>
    <n v="1664100"/>
    <n v="7242591"/>
    <n v="41446780"/>
    <n v="30100000"/>
    <n v="1.3769694352159469"/>
    <x v="1"/>
    <n v="26"/>
    <x v="7"/>
    <s v="Antioquia"/>
    <s v="Cumple"/>
    <m/>
    <m/>
    <m/>
    <m/>
    <m/>
    <m/>
    <n v="50353471"/>
    <m/>
  </r>
  <r>
    <n v="12"/>
    <x v="11"/>
    <n v="2016"/>
    <s v="Diciembre"/>
    <s v="DIANPOPA"/>
    <n v="31307503"/>
    <x v="33"/>
    <n v="22389696"/>
    <n v="378000"/>
    <n v="2281278"/>
    <n v="19730418"/>
    <n v="13892308"/>
    <n v="1.4202404668828246"/>
    <x v="0"/>
    <n v="26"/>
    <x v="0"/>
    <s v=""/>
    <s v="No Aplica"/>
    <m/>
    <m/>
    <m/>
    <m/>
    <m/>
    <m/>
    <n v="22389696"/>
    <m/>
  </r>
  <r>
    <n v="12"/>
    <x v="11"/>
    <n v="2016"/>
    <s v="Diciembre"/>
    <s v="DIANQUME"/>
    <n v="42164020"/>
    <x v="12"/>
    <n v="55081590"/>
    <n v="1494300"/>
    <n v="9700500"/>
    <n v="43886790"/>
    <n v="36000000"/>
    <n v="1.2190775"/>
    <x v="1"/>
    <n v="26"/>
    <x v="1"/>
    <s v="Antioquia"/>
    <s v="Siempre Cumple"/>
    <m/>
    <m/>
    <m/>
    <m/>
    <m/>
    <m/>
    <n v="55081590"/>
    <m/>
  </r>
  <r>
    <n v="12"/>
    <x v="11"/>
    <n v="2016"/>
    <s v="Diciembre"/>
    <s v="ELIZVESU"/>
    <n v="1035417626"/>
    <x v="13"/>
    <n v="71152687"/>
    <n v="1993300"/>
    <n v="13182600"/>
    <n v="55976787"/>
    <n v="36000000"/>
    <n v="1.5549107499999999"/>
    <x v="1"/>
    <n v="26"/>
    <x v="3"/>
    <s v="Antioquia"/>
    <s v="Cumple"/>
    <m/>
    <m/>
    <m/>
    <m/>
    <m/>
    <m/>
    <n v="71152687"/>
    <m/>
  </r>
  <r>
    <n v="12"/>
    <x v="11"/>
    <n v="2016"/>
    <s v="Diciembre"/>
    <s v="ERIKSAVA"/>
    <n v="1017200970"/>
    <x v="44"/>
    <n v="54161475"/>
    <n v="1592400"/>
    <n v="9215700"/>
    <n v="43353375"/>
    <n v="40000000"/>
    <n v="1.0838343749999999"/>
    <x v="1"/>
    <n v="26"/>
    <x v="4"/>
    <s v="Antioquia"/>
    <s v="Cumple"/>
    <m/>
    <m/>
    <m/>
    <m/>
    <m/>
    <m/>
    <n v="54161475"/>
    <m/>
  </r>
  <r>
    <n v="12"/>
    <x v="11"/>
    <n v="2016"/>
    <s v="Diciembre"/>
    <s v="GENNHEPO"/>
    <n v="43874518"/>
    <x v="14"/>
    <n v="54638181"/>
    <n v="1565600"/>
    <n v="10395600"/>
    <n v="42676981"/>
    <n v="40000000"/>
    <n v="1.0669245249999999"/>
    <x v="1"/>
    <n v="26"/>
    <x v="8"/>
    <s v="Antioquia"/>
    <s v="Fluctúa"/>
    <m/>
    <m/>
    <m/>
    <m/>
    <m/>
    <m/>
    <n v="54638181"/>
    <m/>
  </r>
  <r>
    <n v="12"/>
    <x v="11"/>
    <n v="2016"/>
    <s v="Diciembre"/>
    <s v="ISABMOGO"/>
    <n v="52260671"/>
    <x v="15"/>
    <n v="35212342"/>
    <n v="0"/>
    <n v="5698100"/>
    <n v="29514242"/>
    <n v="26000000"/>
    <n v="1.1351631538461537"/>
    <x v="1"/>
    <n v="26"/>
    <x v="9"/>
    <s v="Centro"/>
    <s v="Siempre Cumple"/>
    <m/>
    <m/>
    <m/>
    <m/>
    <m/>
    <m/>
    <n v="35212342"/>
    <m/>
  </r>
  <r>
    <n v="12"/>
    <x v="11"/>
    <n v="2016"/>
    <s v="Diciembre"/>
    <s v="JAQUVEGU"/>
    <n v="1036779770"/>
    <x v="16"/>
    <n v="50027265"/>
    <n v="1961500"/>
    <n v="7483027"/>
    <n v="40582738"/>
    <n v="30100000"/>
    <n v="1.3482637209302326"/>
    <x v="0"/>
    <n v="26"/>
    <x v="7"/>
    <s v="Antioquia"/>
    <s v="No Aplica"/>
    <m/>
    <m/>
    <m/>
    <m/>
    <m/>
    <m/>
    <n v="50027265"/>
    <m/>
  </r>
  <r>
    <n v="12"/>
    <x v="11"/>
    <n v="2016"/>
    <s v="Diciembre"/>
    <s v="LEIDGOVI"/>
    <n v="1036598360"/>
    <x v="39"/>
    <n v="62248119"/>
    <n v="1323400"/>
    <n v="9935800"/>
    <n v="50988919"/>
    <n v="30100000"/>
    <n v="1.6939840199335547"/>
    <x v="1"/>
    <n v="26"/>
    <x v="8"/>
    <s v="Antioquia"/>
    <s v="Fluctúa"/>
    <m/>
    <m/>
    <m/>
    <m/>
    <m/>
    <m/>
    <n v="62248119"/>
    <m/>
  </r>
  <r>
    <n v="12"/>
    <x v="11"/>
    <n v="2016"/>
    <s v="Diciembre"/>
    <s v="LILACARA"/>
    <n v="1017141451"/>
    <x v="17"/>
    <n v="65100908"/>
    <n v="840000"/>
    <n v="11533600"/>
    <n v="52727308"/>
    <n v="36000000"/>
    <n v="1.4646474444444444"/>
    <x v="1"/>
    <n v="26"/>
    <x v="1"/>
    <s v="Antioquia"/>
    <s v="Siempre Cumple"/>
    <m/>
    <m/>
    <m/>
    <m/>
    <m/>
    <m/>
    <n v="65100908"/>
    <m/>
  </r>
  <r>
    <n v="12"/>
    <x v="11"/>
    <n v="2016"/>
    <s v="Diciembre"/>
    <s v="LUZNHEGO"/>
    <n v="43745192"/>
    <x v="19"/>
    <n v="18989393"/>
    <n v="495630"/>
    <n v="125500"/>
    <n v="18368263"/>
    <n v="11307692.307692308"/>
    <n v="1.6244042108843537"/>
    <x v="1"/>
    <n v="26"/>
    <x v="10"/>
    <s v="Antioquia"/>
    <s v="Cumple"/>
    <m/>
    <m/>
    <m/>
    <m/>
    <m/>
    <m/>
    <n v="18989393"/>
    <m/>
  </r>
  <r>
    <n v="12"/>
    <x v="11"/>
    <n v="2016"/>
    <s v="Diciembre"/>
    <s v="MARGGAPA"/>
    <n v="43866877"/>
    <x v="20"/>
    <n v="68292897"/>
    <n v="681400"/>
    <n v="15684400"/>
    <n v="51927097"/>
    <n v="40000000"/>
    <n v="1.298177425"/>
    <x v="1"/>
    <n v="26"/>
    <x v="5"/>
    <s v="Antioquia"/>
    <s v="Siempre Cumple"/>
    <m/>
    <m/>
    <m/>
    <m/>
    <m/>
    <m/>
    <n v="68292897"/>
    <m/>
  </r>
  <r>
    <n v="12"/>
    <x v="11"/>
    <n v="2016"/>
    <s v="Diciembre"/>
    <s v="MARIMASA"/>
    <n v="43113640"/>
    <x v="34"/>
    <n v="56235057"/>
    <n v="1459030"/>
    <n v="7236600"/>
    <n v="47539427"/>
    <n v="30100000"/>
    <n v="1.5793829568106312"/>
    <x v="1"/>
    <n v="26"/>
    <x v="4"/>
    <s v="Antioquia"/>
    <s v="Cumple"/>
    <m/>
    <m/>
    <m/>
    <m/>
    <m/>
    <m/>
    <n v="56235057"/>
    <m/>
  </r>
  <r>
    <n v="12"/>
    <x v="11"/>
    <n v="2016"/>
    <s v="Diciembre"/>
    <s v="MARIOCOC"/>
    <n v="39448823"/>
    <x v="21"/>
    <n v="21192491"/>
    <n v="1260000"/>
    <n v="2533113"/>
    <n v="17399378"/>
    <n v="9261538.461538462"/>
    <n v="1.8786703820598005"/>
    <x v="1"/>
    <n v="26"/>
    <x v="7"/>
    <s v="Antioquia"/>
    <s v="Siempre Cumple"/>
    <m/>
    <m/>
    <m/>
    <m/>
    <m/>
    <m/>
    <n v="21192491"/>
    <m/>
  </r>
  <r>
    <n v="12"/>
    <x v="11"/>
    <n v="2016"/>
    <s v="Diciembre"/>
    <s v="MARISEAR"/>
    <n v="43109744"/>
    <x v="22"/>
    <n v="54431896"/>
    <n v="958700"/>
    <n v="10299112"/>
    <n v="43174084"/>
    <n v="40000000"/>
    <n v="1.0793520999999999"/>
    <x v="0"/>
    <n v="26"/>
    <x v="0"/>
    <s v=""/>
    <s v="No Aplica"/>
    <m/>
    <m/>
    <m/>
    <m/>
    <m/>
    <m/>
    <n v="54431896"/>
    <m/>
  </r>
  <r>
    <n v="12"/>
    <x v="11"/>
    <n v="2016"/>
    <s v="Diciembre"/>
    <s v="MONIMEME"/>
    <n v="42689970"/>
    <x v="24"/>
    <n v="73254937"/>
    <n v="1838100"/>
    <n v="12418000"/>
    <n v="58998837"/>
    <n v="40000000"/>
    <n v="1.474970925"/>
    <x v="0"/>
    <n v="26"/>
    <x v="0"/>
    <s v=""/>
    <s v="No Aplica"/>
    <m/>
    <m/>
    <m/>
    <m/>
    <m/>
    <m/>
    <n v="73254937"/>
    <m/>
  </r>
  <r>
    <n v="12"/>
    <x v="11"/>
    <n v="2016"/>
    <s v="Diciembre"/>
    <s v="NATAPIDU"/>
    <n v="43907427"/>
    <x v="25"/>
    <n v="53029054"/>
    <n v="791460"/>
    <n v="4929700"/>
    <n v="47307894"/>
    <n v="36000000"/>
    <n v="1.3141081666666667"/>
    <x v="1"/>
    <n v="26"/>
    <x v="11"/>
    <s v="Antioquia"/>
    <s v="Siempre Cumple"/>
    <m/>
    <m/>
    <m/>
    <m/>
    <m/>
    <m/>
    <n v="53029054"/>
    <m/>
  </r>
  <r>
    <n v="12"/>
    <x v="11"/>
    <n v="2016"/>
    <s v="Diciembre"/>
    <s v="OSCADESU"/>
    <n v="91511871"/>
    <x v="26"/>
    <n v="30193487"/>
    <n v="0"/>
    <n v="7090400"/>
    <n v="23103087"/>
    <n v="19000000"/>
    <n v="1.215951947368421"/>
    <x v="0"/>
    <n v="26"/>
    <x v="0"/>
    <s v=""/>
    <s v="No Aplica"/>
    <m/>
    <m/>
    <m/>
    <m/>
    <m/>
    <m/>
    <n v="30193487"/>
    <m/>
  </r>
  <r>
    <n v="12"/>
    <x v="11"/>
    <n v="2016"/>
    <s v="Diciembre"/>
    <s v="PAULGOBA"/>
    <n v="32256379"/>
    <x v="36"/>
    <n v="37837791"/>
    <n v="1905400"/>
    <n v="4908000"/>
    <n v="31024391"/>
    <n v="23423076.92307692"/>
    <n v="1.3245224400656816"/>
    <x v="1"/>
    <n v="26"/>
    <x v="13"/>
    <s v="Antioquia"/>
    <s v="Fluctúa"/>
    <m/>
    <m/>
    <m/>
    <m/>
    <m/>
    <m/>
    <n v="37837791"/>
    <m/>
  </r>
  <r>
    <n v="12"/>
    <x v="11"/>
    <n v="2016"/>
    <s v="Diciembre"/>
    <s v="RAULMOGA"/>
    <n v="79701425"/>
    <x v="27"/>
    <n v="31680871"/>
    <n v="372000"/>
    <n v="3179600"/>
    <n v="28129271"/>
    <n v="26000000"/>
    <n v="1.0818950384615384"/>
    <x v="0"/>
    <n v="26"/>
    <x v="6"/>
    <s v="Centro"/>
    <s v="No Aplica"/>
    <m/>
    <m/>
    <m/>
    <m/>
    <m/>
    <m/>
    <n v="31680871"/>
    <m/>
  </r>
  <r>
    <n v="12"/>
    <x v="11"/>
    <n v="2016"/>
    <s v="Diciembre"/>
    <s v="ROCIFASA"/>
    <n v="34542470"/>
    <x v="28"/>
    <n v="31420086"/>
    <n v="932400"/>
    <n v="0"/>
    <n v="30487686"/>
    <n v="21000000"/>
    <n v="1.4517945714285714"/>
    <x v="1"/>
    <n v="26"/>
    <x v="12"/>
    <s v="Occidente"/>
    <s v="Siempre Cumple"/>
    <m/>
    <m/>
    <m/>
    <m/>
    <m/>
    <m/>
    <n v="31420086"/>
    <m/>
  </r>
  <r>
    <n v="12"/>
    <x v="11"/>
    <n v="2016"/>
    <s v="Diciembre"/>
    <s v="RUBYHIGA"/>
    <n v="43636530"/>
    <x v="42"/>
    <n v="55991788"/>
    <n v="2042200"/>
    <n v="9551300"/>
    <n v="44398288"/>
    <n v="40000000"/>
    <n v="1.1099572"/>
    <x v="0"/>
    <n v="26"/>
    <x v="0"/>
    <s v=""/>
    <s v="No Aplica"/>
    <m/>
    <m/>
    <m/>
    <m/>
    <m/>
    <m/>
    <n v="55991788"/>
    <m/>
  </r>
  <r>
    <n v="12"/>
    <x v="11"/>
    <n v="2016"/>
    <s v="Diciembre"/>
    <s v="VIVIVAZA"/>
    <n v="43745952"/>
    <x v="30"/>
    <n v="90756427"/>
    <n v="3458830"/>
    <n v="14499300"/>
    <n v="72798297"/>
    <n v="40100000"/>
    <n v="1.8154188778054863"/>
    <x v="1"/>
    <n v="26"/>
    <x v="3"/>
    <s v="Antioquia"/>
    <s v="Siempre Cumple"/>
    <m/>
    <m/>
    <m/>
    <m/>
    <m/>
    <m/>
    <n v="90756427"/>
    <m/>
  </r>
  <r>
    <n v="12"/>
    <x v="11"/>
    <n v="2016"/>
    <s v="Diciembre"/>
    <s v="ZULYARGA"/>
    <n v="43259130"/>
    <x v="31"/>
    <n v="48054614"/>
    <n v="1874100"/>
    <n v="11492700"/>
    <n v="34687814"/>
    <n v="24676923.076923076"/>
    <n v="1.4056782481296759"/>
    <x v="1"/>
    <n v="26"/>
    <x v="1"/>
    <s v="Antioquia"/>
    <s v="Fluctúa"/>
    <m/>
    <m/>
    <m/>
    <m/>
    <m/>
    <m/>
    <n v="48054614"/>
    <m/>
  </r>
  <r>
    <n v="1"/>
    <x v="12"/>
    <n v="2017"/>
    <s v="Enero"/>
    <s v="ADRIMOLU"/>
    <n v="43169964"/>
    <x v="1"/>
    <n v="54961827"/>
    <n v="1188800"/>
    <n v="12570500"/>
    <n v="41202527"/>
    <n v="41000000"/>
    <n v="1.0049396829268293"/>
    <x v="1"/>
    <n v="25"/>
    <x v="1"/>
    <s v="Antioquia"/>
    <s v="Cumple"/>
    <n v="113"/>
    <n v="8570400"/>
    <n v="300"/>
    <n v="28246405"/>
    <n v="145"/>
    <n v="12570500"/>
    <n v="5574522"/>
    <m/>
  </r>
  <r>
    <n v="1"/>
    <x v="12"/>
    <n v="2017"/>
    <s v="Enero"/>
    <s v="ALEXLOGR"/>
    <n v="43253531"/>
    <x v="2"/>
    <n v="45800632"/>
    <n v="640000"/>
    <n v="13883491"/>
    <n v="31277141"/>
    <n v="29000000"/>
    <n v="1.0785221034482759"/>
    <x v="1"/>
    <n v="25"/>
    <x v="2"/>
    <s v="Antioquia"/>
    <s v="Cumple"/>
    <n v="92"/>
    <n v="7144055"/>
    <n v="186"/>
    <n v="18346050"/>
    <n v="170"/>
    <n v="13883491"/>
    <n v="6427036"/>
    <m/>
  </r>
  <r>
    <n v="1"/>
    <x v="12"/>
    <n v="2017"/>
    <s v="Enero"/>
    <s v="ALVAOSOS"/>
    <n v="3438422"/>
    <x v="37"/>
    <n v="45666555"/>
    <n v="1101400"/>
    <n v="10140200"/>
    <n v="34424955"/>
    <n v="30100000"/>
    <n v="1.1436862126245848"/>
    <x v="1"/>
    <n v="25"/>
    <x v="8"/>
    <s v="Antioquia"/>
    <s v="Fluctúa"/>
    <n v="64"/>
    <n v="6599241"/>
    <n v="152"/>
    <n v="22070500"/>
    <n v="119"/>
    <n v="10140200"/>
    <n v="6856614"/>
    <m/>
  </r>
  <r>
    <n v="1"/>
    <x v="12"/>
    <n v="2017"/>
    <s v="Enero"/>
    <s v="ANAMLOBE"/>
    <n v="43821410"/>
    <x v="3"/>
    <n v="74789056"/>
    <n v="2837000"/>
    <n v="13471100"/>
    <n v="58480956"/>
    <n v="43000000"/>
    <n v="1.3600222325581395"/>
    <x v="1"/>
    <n v="25"/>
    <x v="3"/>
    <s v="Antioquia"/>
    <s v="Siempre Cumple"/>
    <n v="114"/>
    <n v="13482799"/>
    <n v="289"/>
    <n v="36571460"/>
    <n v="160"/>
    <n v="13471100"/>
    <n v="11263697"/>
    <m/>
  </r>
  <r>
    <n v="1"/>
    <x v="12"/>
    <n v="2017"/>
    <s v="Enero"/>
    <s v="ANGEGAAR"/>
    <n v="39442617"/>
    <x v="4"/>
    <n v="58773753"/>
    <n v="1333400"/>
    <n v="14052700"/>
    <n v="43387653"/>
    <n v="41280000"/>
    <n v="1.0510574854651162"/>
    <x v="1"/>
    <n v="25"/>
    <x v="4"/>
    <s v="Antioquia"/>
    <s v="Cumple"/>
    <n v="101"/>
    <n v="9675500"/>
    <n v="244"/>
    <n v="24947400"/>
    <n v="162"/>
    <n v="14052700"/>
    <n v="10098153"/>
    <m/>
  </r>
  <r>
    <n v="1"/>
    <x v="12"/>
    <n v="2017"/>
    <s v="Enero"/>
    <s v="ANLLLIZO"/>
    <n v="1013628003"/>
    <x v="5"/>
    <n v="2449527"/>
    <n v="0"/>
    <n v="125500"/>
    <n v="2324027"/>
    <n v="6000000"/>
    <n v="0.38733783333333333"/>
    <x v="0"/>
    <n v="25"/>
    <x v="0"/>
    <s v=""/>
    <s v="No Aplica"/>
    <n v="1"/>
    <n v="70345"/>
    <n v="10"/>
    <n v="2121380"/>
    <n v="1"/>
    <n v="125500"/>
    <n v="132302"/>
    <m/>
  </r>
  <r>
    <n v="1"/>
    <x v="12"/>
    <n v="2017"/>
    <s v="Enero"/>
    <s v="BIBIBECA"/>
    <n v="43971430"/>
    <x v="6"/>
    <n v="60278941"/>
    <n v="816000"/>
    <n v="15004200"/>
    <n v="44458741"/>
    <n v="41000000"/>
    <n v="1.0843595365853658"/>
    <x v="1"/>
    <n v="25"/>
    <x v="5"/>
    <s v="Antioquia"/>
    <s v="Siempre Cumple"/>
    <n v="116"/>
    <n v="9223873"/>
    <n v="272"/>
    <n v="29208380"/>
    <n v="178"/>
    <n v="15004200"/>
    <n v="6842488"/>
    <m/>
  </r>
  <r>
    <n v="1"/>
    <x v="12"/>
    <n v="2017"/>
    <s v="Enero"/>
    <s v="CAROVABE"/>
    <n v="1030634664"/>
    <x v="32"/>
    <n v="55637912"/>
    <n v="285400"/>
    <n v="14783400"/>
    <n v="40569112"/>
    <n v="41000000"/>
    <n v="0.9894905365853659"/>
    <x v="0"/>
    <n v="25"/>
    <x v="0"/>
    <s v=""/>
    <s v="No Aplica"/>
    <n v="96"/>
    <n v="7522641"/>
    <n v="244"/>
    <n v="27465790"/>
    <n v="168"/>
    <n v="14783400"/>
    <n v="5866081"/>
    <m/>
  </r>
  <r>
    <n v="1"/>
    <x v="12"/>
    <n v="2017"/>
    <s v="Enero"/>
    <s v="CLAUPACO"/>
    <n v="23857915"/>
    <x v="9"/>
    <n v="18208820"/>
    <n v="0"/>
    <n v="5025200"/>
    <n v="13183620"/>
    <n v="8800000"/>
    <n v="1.4981386363636364"/>
    <x v="0"/>
    <n v="25"/>
    <x v="0"/>
    <s v=""/>
    <s v="No Aplica"/>
    <n v="34"/>
    <n v="2072994"/>
    <n v="90"/>
    <n v="9578520"/>
    <n v="81"/>
    <n v="5025200"/>
    <n v="1532106"/>
    <m/>
  </r>
  <r>
    <n v="1"/>
    <x v="12"/>
    <n v="2017"/>
    <s v="Enero"/>
    <s v="CLAUBLAR"/>
    <n v="43554403"/>
    <x v="8"/>
    <n v="55244605"/>
    <n v="1210800"/>
    <n v="10929000"/>
    <n v="43104805"/>
    <n v="41000000"/>
    <n v="1.0513367073170732"/>
    <x v="1"/>
    <n v="25"/>
    <x v="5"/>
    <s v="Antioquia"/>
    <s v="Siempre Cumple"/>
    <n v="99"/>
    <n v="8770746"/>
    <n v="218"/>
    <n v="26501220"/>
    <n v="130"/>
    <n v="10929000"/>
    <n v="9043639"/>
    <m/>
  </r>
  <r>
    <n v="1"/>
    <x v="12"/>
    <n v="2017"/>
    <s v="Enero"/>
    <s v="DERLARMO"/>
    <n v="52725011"/>
    <x v="10"/>
    <n v="28302999"/>
    <n v="1468800"/>
    <n v="5746400"/>
    <n v="21087799"/>
    <n v="20000000"/>
    <n v="1.05438995"/>
    <x v="1"/>
    <n v="25"/>
    <x v="6"/>
    <s v="Centro"/>
    <s v="Fluctúa"/>
    <n v="61"/>
    <n v="3814234"/>
    <n v="160"/>
    <n v="15096880"/>
    <n v="91"/>
    <n v="5746400"/>
    <n v="3645485"/>
    <m/>
  </r>
  <r>
    <n v="1"/>
    <x v="12"/>
    <n v="2017"/>
    <s v="Enero"/>
    <s v="DIANQUME"/>
    <n v="42164020"/>
    <x v="12"/>
    <n v="33170804"/>
    <n v="1224100"/>
    <n v="10697000"/>
    <n v="21249704"/>
    <n v="43000000"/>
    <n v="0.49417916279069768"/>
    <x v="1"/>
    <n v="25"/>
    <x v="1"/>
    <s v="Antioquia"/>
    <s v="Siempre Cumple"/>
    <n v="58"/>
    <n v="4602281"/>
    <n v="138"/>
    <n v="12891200"/>
    <n v="129"/>
    <n v="10697000"/>
    <n v="4980323"/>
    <m/>
  </r>
  <r>
    <n v="1"/>
    <x v="12"/>
    <n v="2017"/>
    <s v="Enero"/>
    <s v="DIANPAAL"/>
    <n v="1040030764"/>
    <x v="11"/>
    <n v="30905776"/>
    <n v="1914300"/>
    <n v="8487761"/>
    <n v="20503715"/>
    <n v="33000000"/>
    <n v="0.62132469696969694"/>
    <x v="1"/>
    <n v="25"/>
    <x v="7"/>
    <s v="Antioquia"/>
    <s v="Cumple"/>
    <n v="51"/>
    <n v="5106234"/>
    <n v="146"/>
    <n v="13870754"/>
    <n v="130"/>
    <n v="8487761"/>
    <n v="3441027"/>
    <m/>
  </r>
  <r>
    <n v="1"/>
    <x v="12"/>
    <n v="2017"/>
    <s v="Enero"/>
    <s v="DIANPOPA"/>
    <n v="31307503"/>
    <x v="33"/>
    <n v="22191237"/>
    <n v="0"/>
    <n v="9437100"/>
    <n v="12754137"/>
    <n v="30000000"/>
    <n v="0.42513790000000001"/>
    <x v="0"/>
    <n v="25"/>
    <x v="0"/>
    <s v=""/>
    <s v="No Aplica"/>
    <n v="65"/>
    <n v="5202607"/>
    <n v="146"/>
    <n v="6787242"/>
    <n v="112"/>
    <n v="9437100"/>
    <n v="764288"/>
    <m/>
  </r>
  <r>
    <n v="1"/>
    <x v="12"/>
    <n v="2017"/>
    <s v="Enero"/>
    <s v="ELIZVESU"/>
    <n v="1035417626"/>
    <x v="13"/>
    <n v="61778110"/>
    <n v="0"/>
    <n v="15552100"/>
    <n v="46226010"/>
    <n v="43000000"/>
    <n v="1.0750234883720931"/>
    <x v="1"/>
    <n v="25"/>
    <x v="3"/>
    <s v="Antioquia"/>
    <s v="Cumple"/>
    <n v="97"/>
    <n v="10698695"/>
    <n v="243"/>
    <n v="27288070"/>
    <n v="183"/>
    <n v="15552100"/>
    <n v="8239245"/>
    <m/>
  </r>
  <r>
    <n v="1"/>
    <x v="12"/>
    <n v="2017"/>
    <s v="Enero"/>
    <s v="LILACARA"/>
    <n v="1017141451"/>
    <x v="17"/>
    <n v="66153612"/>
    <n v="1690800"/>
    <n v="12441500"/>
    <n v="52021312"/>
    <n v="43000000"/>
    <n v="1.209797953488372"/>
    <x v="1"/>
    <n v="25"/>
    <x v="1"/>
    <s v="Antioquia"/>
    <s v="Siempre Cumple"/>
    <n v="126"/>
    <n v="11386511"/>
    <n v="334"/>
    <n v="30947100"/>
    <n v="146"/>
    <n v="12441500"/>
    <n v="11378501"/>
    <m/>
  </r>
  <r>
    <n v="1"/>
    <x v="12"/>
    <n v="2017"/>
    <s v="Enero"/>
    <s v="ISABMOGO"/>
    <n v="52260671"/>
    <x v="15"/>
    <n v="32836689"/>
    <n v="840000"/>
    <n v="7310800"/>
    <n v="24685889"/>
    <n v="22000000"/>
    <n v="1.1220858636363635"/>
    <x v="1"/>
    <n v="25"/>
    <x v="9"/>
    <s v="Centro"/>
    <s v="Siempre Cumple"/>
    <n v="68"/>
    <n v="6847867"/>
    <n v="176"/>
    <n v="14966680"/>
    <n v="110"/>
    <n v="7310800"/>
    <n v="3711342"/>
    <m/>
  </r>
  <r>
    <n v="1"/>
    <x v="12"/>
    <n v="2017"/>
    <s v="Enero"/>
    <s v="JAQUVEGU"/>
    <n v="1036779770"/>
    <x v="16"/>
    <n v="30534573"/>
    <n v="1742100"/>
    <n v="6640843"/>
    <n v="22151630"/>
    <n v="33000000"/>
    <n v="0.67126151515151511"/>
    <x v="0"/>
    <n v="25"/>
    <x v="7"/>
    <s v="Antioquia"/>
    <s v="No Aplica"/>
    <n v="59"/>
    <n v="5656136"/>
    <n v="150"/>
    <n v="13267004"/>
    <n v="96"/>
    <n v="6640843"/>
    <n v="4970590"/>
    <m/>
  </r>
  <r>
    <n v="1"/>
    <x v="12"/>
    <n v="2017"/>
    <s v="Enero"/>
    <s v="LEIDGOVI"/>
    <n v="1036598360"/>
    <x v="39"/>
    <n v="45642084"/>
    <n v="352700"/>
    <n v="12238600"/>
    <n v="33050784"/>
    <n v="30100000"/>
    <n v="1.0980326910299003"/>
    <x v="1"/>
    <n v="25"/>
    <x v="8"/>
    <s v="Antioquia"/>
    <s v="Fluctúa"/>
    <n v="75"/>
    <n v="8343106"/>
    <n v="162"/>
    <n v="19582660"/>
    <n v="139"/>
    <n v="12238600"/>
    <n v="5477718"/>
    <m/>
  </r>
  <r>
    <n v="1"/>
    <x v="12"/>
    <n v="2017"/>
    <s v="Enero"/>
    <s v="LUZNHEGO"/>
    <n v="43745192"/>
    <x v="19"/>
    <n v="15643626"/>
    <n v="0"/>
    <n v="0"/>
    <n v="15643626"/>
    <n v="19000000"/>
    <n v="0.8233487368421053"/>
    <x v="1"/>
    <n v="25"/>
    <x v="10"/>
    <s v="Antioquia"/>
    <s v="Cumple"/>
    <n v="36"/>
    <n v="4365614"/>
    <n v="118"/>
    <n v="10404880"/>
    <n v="0"/>
    <n v="0"/>
    <n v="873132"/>
    <m/>
  </r>
  <r>
    <n v="1"/>
    <x v="12"/>
    <n v="2017"/>
    <s v="Enero"/>
    <s v="MARGGAPA"/>
    <n v="43866877"/>
    <x v="20"/>
    <n v="59167759"/>
    <n v="2075400"/>
    <n v="13904400"/>
    <n v="43187959"/>
    <n v="41000000"/>
    <n v="1.0533648536585365"/>
    <x v="1"/>
    <n v="25"/>
    <x v="5"/>
    <s v="Antioquia"/>
    <s v="Siempre Cumple"/>
    <n v="117"/>
    <n v="10595338"/>
    <n v="268"/>
    <n v="26252480"/>
    <n v="162"/>
    <n v="13904400"/>
    <n v="8415541"/>
    <m/>
  </r>
  <r>
    <n v="1"/>
    <x v="12"/>
    <n v="2017"/>
    <s v="Enero"/>
    <s v="MARIMASA"/>
    <n v="43113640"/>
    <x v="34"/>
    <n v="40445872"/>
    <n v="1048860"/>
    <n v="7724200"/>
    <n v="31672812"/>
    <n v="30100000"/>
    <n v="1.0522528903654484"/>
    <x v="1"/>
    <n v="25"/>
    <x v="4"/>
    <s v="Antioquia"/>
    <s v="Cumple"/>
    <n v="81"/>
    <n v="8844225"/>
    <n v="152"/>
    <n v="18090050"/>
    <n v="88"/>
    <n v="7724200"/>
    <n v="5787397"/>
    <m/>
  </r>
  <r>
    <n v="1"/>
    <x v="12"/>
    <n v="2017"/>
    <s v="Enero"/>
    <s v="MARIOCOC"/>
    <n v="39448823"/>
    <x v="21"/>
    <n v="28904390"/>
    <n v="756000"/>
    <n v="4116305"/>
    <n v="24032085"/>
    <n v="33000000"/>
    <n v="0.72824500000000003"/>
    <x v="1"/>
    <n v="25"/>
    <x v="7"/>
    <s v="Antioquia"/>
    <s v="Siempre Cumple"/>
    <n v="51"/>
    <n v="5453428"/>
    <n v="136"/>
    <n v="15633758"/>
    <n v="63"/>
    <n v="4116305"/>
    <n v="3700899"/>
    <m/>
  </r>
  <r>
    <n v="1"/>
    <x v="12"/>
    <n v="2017"/>
    <s v="Enero"/>
    <s v="MARISEAR"/>
    <n v="43109744"/>
    <x v="22"/>
    <n v="31863196"/>
    <n v="2064000"/>
    <n v="8209200"/>
    <n v="21589996"/>
    <n v="30960000"/>
    <n v="0.69735129198966406"/>
    <x v="0"/>
    <n v="25"/>
    <x v="0"/>
    <s v=""/>
    <s v="No Aplica"/>
    <n v="57"/>
    <n v="5391599"/>
    <n v="114"/>
    <n v="12442350"/>
    <n v="107"/>
    <n v="8209200"/>
    <n v="5820047"/>
    <m/>
  </r>
  <r>
    <n v="1"/>
    <x v="12"/>
    <n v="2017"/>
    <s v="Enero"/>
    <s v="MONIMEME"/>
    <n v="42689970"/>
    <x v="24"/>
    <n v="17325601"/>
    <n v="420000"/>
    <n v="4167500"/>
    <n v="12738101"/>
    <n v="12040000"/>
    <n v="1.0579818106312293"/>
    <x v="0"/>
    <n v="25"/>
    <x v="0"/>
    <s v=""/>
    <s v="No Aplica"/>
    <n v="30"/>
    <n v="2749326"/>
    <n v="76"/>
    <n v="7824662"/>
    <n v="46"/>
    <n v="4167500"/>
    <n v="2584113"/>
    <m/>
  </r>
  <r>
    <n v="1"/>
    <x v="12"/>
    <n v="2017"/>
    <s v="Enero"/>
    <s v="NATAPIDU"/>
    <n v="43907427"/>
    <x v="25"/>
    <n v="31257255"/>
    <n v="649260"/>
    <n v="3200500"/>
    <n v="27407495"/>
    <n v="36000000"/>
    <n v="0.7613193055555556"/>
    <x v="1"/>
    <n v="25"/>
    <x v="11"/>
    <s v="Antioquia"/>
    <s v="Siempre Cumple"/>
    <n v="33"/>
    <n v="5401402"/>
    <n v="120"/>
    <n v="17701020"/>
    <n v="41"/>
    <n v="3200500"/>
    <n v="4954333"/>
    <m/>
  </r>
  <r>
    <n v="1"/>
    <x v="12"/>
    <n v="2017"/>
    <s v="Enero"/>
    <s v="OSCADESU"/>
    <n v="91511871"/>
    <x v="26"/>
    <n v="42050578"/>
    <n v="681400"/>
    <n v="12134200"/>
    <n v="29234978"/>
    <n v="29000000"/>
    <n v="1.0081026896551724"/>
    <x v="0"/>
    <n v="25"/>
    <x v="0"/>
    <s v=""/>
    <s v="No Aplica"/>
    <n v="99"/>
    <n v="6917296"/>
    <n v="254"/>
    <n v="18955360"/>
    <n v="145"/>
    <n v="12134200"/>
    <n v="4043722"/>
    <m/>
  </r>
  <r>
    <n v="1"/>
    <x v="12"/>
    <n v="2017"/>
    <s v="Enero"/>
    <s v="PAULGOBA"/>
    <n v="32256379"/>
    <x v="7"/>
    <n v="6839768"/>
    <n v="0"/>
    <n v="3665400"/>
    <n v="3174368"/>
    <m/>
    <m/>
    <x v="1"/>
    <n v="25"/>
    <x v="13"/>
    <s v="Antioquia"/>
    <s v="Fluctúa"/>
    <n v="2"/>
    <n v="208616"/>
    <n v="18"/>
    <n v="2000460"/>
    <n v="47"/>
    <n v="3665400"/>
    <n v="965292"/>
    <m/>
  </r>
  <r>
    <n v="1"/>
    <x v="12"/>
    <n v="2017"/>
    <s v="Enero"/>
    <s v="RAULMOGA"/>
    <n v="79701425"/>
    <x v="27"/>
    <n v="21099930"/>
    <n v="748800"/>
    <n v="4275100"/>
    <n v="16076030"/>
    <n v="20000000"/>
    <n v="0.80380149999999995"/>
    <x v="0"/>
    <n v="25"/>
    <x v="6"/>
    <s v="Centro"/>
    <s v="No Aplica"/>
    <n v="39"/>
    <n v="3354966"/>
    <n v="118"/>
    <n v="10944450"/>
    <n v="74"/>
    <n v="4275100"/>
    <n v="2525414"/>
    <m/>
  </r>
  <r>
    <n v="1"/>
    <x v="12"/>
    <n v="2017"/>
    <s v="Enero"/>
    <s v="ROCIFASA"/>
    <n v="34542470"/>
    <x v="28"/>
    <n v="17393581"/>
    <n v="198000"/>
    <n v="3228700"/>
    <n v="13966881"/>
    <n v="25000000"/>
    <n v="0.55867524000000002"/>
    <x v="1"/>
    <n v="25"/>
    <x v="12"/>
    <s v="Occidente"/>
    <s v="Siempre Cumple"/>
    <n v="33"/>
    <n v="3769507"/>
    <n v="90"/>
    <n v="6654450"/>
    <n v="39"/>
    <n v="3228700"/>
    <n v="3740924"/>
    <m/>
  </r>
  <r>
    <n v="1"/>
    <x v="12"/>
    <n v="2017"/>
    <s v="Enero"/>
    <s v="VIVIVAZA"/>
    <n v="43745952"/>
    <x v="30"/>
    <n v="79796185"/>
    <n v="3147200"/>
    <n v="15630100"/>
    <n v="61018885"/>
    <n v="43000000"/>
    <n v="1.4190438372093024"/>
    <x v="1"/>
    <n v="25"/>
    <x v="3"/>
    <s v="Antioquia"/>
    <s v="Siempre Cumple"/>
    <n v="139"/>
    <n v="13484738"/>
    <n v="316"/>
    <n v="36827380"/>
    <n v="187"/>
    <n v="15630100"/>
    <n v="13853967"/>
    <m/>
  </r>
  <r>
    <n v="1"/>
    <x v="12"/>
    <n v="2017"/>
    <s v="Enero"/>
    <s v="ZULYARGA"/>
    <n v="43259130"/>
    <x v="31"/>
    <n v="50021159"/>
    <n v="2877000"/>
    <n v="10864000"/>
    <n v="36280159"/>
    <n v="43000000"/>
    <n v="0.84372462790697678"/>
    <x v="1"/>
    <n v="25"/>
    <x v="1"/>
    <s v="Antioquia"/>
    <s v="Fluctúa"/>
    <n v="89"/>
    <n v="7090276"/>
    <n v="230"/>
    <n v="22865460"/>
    <n v="126"/>
    <n v="10864000"/>
    <n v="9201423"/>
    <m/>
  </r>
  <r>
    <n v="1"/>
    <x v="12"/>
    <n v="2017"/>
    <s v="Enero"/>
    <s v="KATHVABE"/>
    <n v="1030611855"/>
    <x v="7"/>
    <n v="286183"/>
    <n v="0"/>
    <n v="159700"/>
    <n v="126483"/>
    <m/>
    <m/>
    <x v="0"/>
    <n v="25"/>
    <x v="0"/>
    <s v=""/>
    <s v="No Aplica"/>
    <n v="1"/>
    <n v="46163"/>
    <n v="2"/>
    <n v="80320"/>
    <n v="1"/>
    <n v="159700"/>
    <n v="0"/>
    <m/>
  </r>
  <r>
    <n v="1"/>
    <x v="12"/>
    <n v="2017"/>
    <s v="Enero"/>
    <s v="GENNHEPO"/>
    <n v="43874518"/>
    <x v="14"/>
    <n v="40738450"/>
    <n v="681400"/>
    <n v="12358500"/>
    <n v="27698550"/>
    <n v="43000000"/>
    <n v="0.64415232558139535"/>
    <x v="1"/>
    <n v="25"/>
    <x v="8"/>
    <s v="Antioquia"/>
    <s v="Fluctúa"/>
    <n v="84"/>
    <n v="6420695"/>
    <n v="188"/>
    <n v="16003822"/>
    <n v="146"/>
    <n v="12358500"/>
    <n v="5955433"/>
    <m/>
  </r>
  <r>
    <n v="1"/>
    <x v="12"/>
    <n v="2017"/>
    <s v="Enero"/>
    <s v="LUZMARMO"/>
    <m/>
    <x v="7"/>
    <n v="125500"/>
    <n v="0"/>
    <n v="125500"/>
    <n v="0"/>
    <m/>
    <m/>
    <x v="0"/>
    <n v="25"/>
    <x v="0"/>
    <s v=""/>
    <s v="No Aplica"/>
    <n v="0"/>
    <n v="0"/>
    <n v="0"/>
    <n v="0"/>
    <n v="1"/>
    <n v="125500"/>
    <n v="0"/>
    <m/>
  </r>
  <r>
    <n v="1"/>
    <x v="12"/>
    <n v="2017"/>
    <s v="Enero"/>
    <s v="ANDRSAZA"/>
    <n v="1020736461"/>
    <x v="45"/>
    <n v="32721519"/>
    <n v="408000"/>
    <n v="6569600"/>
    <n v="25743919"/>
    <n v="20240000"/>
    <n v="1.271932756916996"/>
    <x v="1"/>
    <n v="25"/>
    <x v="9"/>
    <s v="Centro"/>
    <s v="Siempre Cumple"/>
    <n v="56"/>
    <n v="5083138"/>
    <n v="188"/>
    <n v="18701980"/>
    <n v="109"/>
    <n v="6569600"/>
    <n v="2366801"/>
    <m/>
  </r>
  <r>
    <n v="1"/>
    <x v="12"/>
    <n v="2017"/>
    <s v="Enero"/>
    <s v="ERIKSAVA"/>
    <n v="1017200970"/>
    <x v="44"/>
    <n v="33276050"/>
    <n v="1850100"/>
    <n v="9665800"/>
    <n v="21760150"/>
    <n v="43000000"/>
    <n v="0.50605"/>
    <x v="1"/>
    <n v="25"/>
    <x v="4"/>
    <s v="Antioquia"/>
    <s v="Cumple"/>
    <n v="60"/>
    <n v="5118754"/>
    <n v="106"/>
    <n v="9468480"/>
    <n v="121"/>
    <n v="9665800"/>
    <n v="9023016"/>
    <m/>
  </r>
  <r>
    <n v="1"/>
    <x v="12"/>
    <n v="2017"/>
    <s v="Enero"/>
    <s v="RUBYHIGA"/>
    <n v="43636530"/>
    <x v="42"/>
    <n v="54945610"/>
    <n v="1656000"/>
    <n v="12769500"/>
    <n v="40520110"/>
    <n v="41000000"/>
    <n v="0.98829536585365851"/>
    <x v="0"/>
    <n v="25"/>
    <x v="0"/>
    <s v=""/>
    <s v="No Aplica"/>
    <n v="100"/>
    <n v="8442151"/>
    <n v="271"/>
    <n v="26190060"/>
    <n v="154"/>
    <n v="12769500"/>
    <n v="7543899"/>
    <m/>
  </r>
  <r>
    <n v="1"/>
    <x v="12"/>
    <n v="2017"/>
    <s v="Enero"/>
    <s v="PAOLPACA"/>
    <n v="31445278"/>
    <x v="47"/>
    <n v="18191397"/>
    <n v="0"/>
    <n v="6955446"/>
    <n v="11235951"/>
    <n v="24000000"/>
    <n v="0.468164625"/>
    <x v="1"/>
    <n v="25"/>
    <x v="14"/>
    <s v="Occidente"/>
    <s v="Cumple"/>
    <n v="47"/>
    <n v="3649208"/>
    <n v="130"/>
    <n v="6381922"/>
    <n v="111"/>
    <n v="6955446"/>
    <n v="1204821"/>
    <m/>
  </r>
  <r>
    <n v="1"/>
    <x v="12"/>
    <n v="2017"/>
    <s v="Enero"/>
    <s v="GISECACA"/>
    <n v="1144140699"/>
    <x v="48"/>
    <n v="16480910"/>
    <n v="0"/>
    <n v="6686000"/>
    <n v="9794910"/>
    <n v="24000000"/>
    <n v="0.40812124999999999"/>
    <x v="0"/>
    <n v="25"/>
    <x v="0"/>
    <s v=""/>
    <s v="No Aplica"/>
    <n v="36"/>
    <n v="2764525"/>
    <n v="108"/>
    <n v="6088160"/>
    <n v="0"/>
    <n v="0"/>
    <n v="7628225"/>
    <m/>
  </r>
  <r>
    <n v="1"/>
    <x v="12"/>
    <n v="2017"/>
    <s v="Enero"/>
    <s v="HISNOSPI"/>
    <n v="43114534"/>
    <x v="49"/>
    <n v="22183332"/>
    <n v="396000"/>
    <n v="3861200"/>
    <n v="17926132"/>
    <n v="15750400"/>
    <n v="1.1381382060138154"/>
    <x v="0"/>
    <n v="25"/>
    <x v="4"/>
    <s v="Antioquia"/>
    <s v="No Aplica"/>
    <n v="46"/>
    <n v="4934981"/>
    <n v="100"/>
    <n v="9967180"/>
    <n v="40"/>
    <n v="3861200"/>
    <n v="3419971"/>
    <m/>
  </r>
  <r>
    <n v="1"/>
    <x v="12"/>
    <n v="2017"/>
    <s v="Enero"/>
    <s v="DEISCACR"/>
    <n v="1017167720"/>
    <x v="50"/>
    <n v="26532000"/>
    <n v="420000"/>
    <n v="5901100"/>
    <n v="20210900"/>
    <n v="34400000"/>
    <n v="0.58752616279069769"/>
    <x v="1"/>
    <n v="25"/>
    <x v="8"/>
    <s v="Antioquia"/>
    <s v="Cumple"/>
    <n v="46"/>
    <n v="3878087"/>
    <n v="116"/>
    <n v="11164100"/>
    <n v="68"/>
    <n v="5901100"/>
    <n v="5588713"/>
    <m/>
  </r>
  <r>
    <n v="1"/>
    <x v="12"/>
    <n v="2017"/>
    <s v="Enero"/>
    <s v="YENYSUPE"/>
    <n v="1020419011"/>
    <x v="51"/>
    <n v="20309515"/>
    <n v="1798700"/>
    <n v="5144600"/>
    <n v="13366215"/>
    <n v="34400000"/>
    <n v="0.38855276162790697"/>
    <x v="1"/>
    <n v="25"/>
    <x v="8"/>
    <s v="Antioquia"/>
    <s v="Cumple"/>
    <n v="42"/>
    <n v="3138286"/>
    <n v="92"/>
    <n v="7869710"/>
    <n v="66"/>
    <n v="5144600"/>
    <n v="4156919"/>
    <m/>
  </r>
  <r>
    <n v="1"/>
    <x v="12"/>
    <n v="2017"/>
    <s v="Enero"/>
    <s v="ANGEROPI"/>
    <n v="43800272"/>
    <x v="46"/>
    <n v="30466493"/>
    <n v="804000"/>
    <n v="9652900"/>
    <n v="20009593"/>
    <n v="43000000"/>
    <n v="0.46533937209302323"/>
    <x v="0"/>
    <n v="25"/>
    <x v="0"/>
    <s v=""/>
    <s v="No Aplica"/>
    <n v="48"/>
    <n v="4177415"/>
    <n v="135"/>
    <n v="12347860"/>
    <n v="115"/>
    <n v="9652900"/>
    <n v="4288318"/>
    <m/>
  </r>
  <r>
    <n v="1"/>
    <x v="12"/>
    <n v="2017"/>
    <s v="Enero"/>
    <s v="(en blanco)"/>
    <m/>
    <x v="7"/>
    <n v="-795174"/>
    <n v="0"/>
    <n v="0"/>
    <n v="-795174"/>
    <m/>
    <m/>
    <x v="0"/>
    <n v="25"/>
    <x v="0"/>
    <s v=""/>
    <s v="No Aplica"/>
    <n v="21"/>
    <n v="-127431"/>
    <n v="42"/>
    <n v="-201847"/>
    <n v="0"/>
    <n v="0"/>
    <n v="-465896"/>
    <m/>
  </r>
  <r>
    <n v="1"/>
    <x v="12"/>
    <n v="2017"/>
    <s v="Enero"/>
    <s v="HERIRORO"/>
    <m/>
    <x v="7"/>
    <n v="925002"/>
    <n v="0"/>
    <n v="41000"/>
    <n v="884002"/>
    <m/>
    <m/>
    <x v="0"/>
    <n v="25"/>
    <x v="0"/>
    <s v=""/>
    <s v="No Aplica"/>
    <n v="2"/>
    <n v="74741"/>
    <n v="8"/>
    <n v="809260"/>
    <n v="1"/>
    <n v="41000"/>
    <n v="1"/>
    <m/>
  </r>
  <r>
    <n v="1"/>
    <x v="12"/>
    <n v="2017"/>
    <s v="Enero"/>
    <s v="MILEGIMA"/>
    <m/>
    <x v="7"/>
    <n v="231900"/>
    <n v="0"/>
    <n v="0"/>
    <n v="231900"/>
    <m/>
    <m/>
    <x v="0"/>
    <n v="25"/>
    <x v="0"/>
    <s v=""/>
    <s v="No Aplica"/>
    <n v="0"/>
    <n v="0"/>
    <n v="0"/>
    <n v="0"/>
    <n v="0"/>
    <n v="0"/>
    <n v="231900"/>
    <m/>
  </r>
  <r>
    <n v="1"/>
    <x v="12"/>
    <n v="2017"/>
    <s v="Enero"/>
    <s v="CAMIPUHE"/>
    <m/>
    <x v="7"/>
    <n v="600700"/>
    <n v="0"/>
    <n v="600700"/>
    <n v="0"/>
    <m/>
    <m/>
    <x v="0"/>
    <n v="25"/>
    <x v="0"/>
    <s v=""/>
    <s v="No Aplica"/>
    <n v="0"/>
    <n v="0"/>
    <n v="0"/>
    <n v="0"/>
    <n v="12"/>
    <n v="600700"/>
    <n v="0"/>
    <m/>
  </r>
  <r>
    <n v="1"/>
    <x v="12"/>
    <n v="2017"/>
    <s v="Enero"/>
    <s v="SUANHECO"/>
    <m/>
    <x v="7"/>
    <n v="166500"/>
    <n v="0"/>
    <n v="166500"/>
    <n v="0"/>
    <m/>
    <m/>
    <x v="0"/>
    <n v="25"/>
    <x v="0"/>
    <s v=""/>
    <s v="No Aplica"/>
    <n v="0"/>
    <n v="0"/>
    <n v="0"/>
    <n v="0"/>
    <n v="2"/>
    <n v="166500"/>
    <n v="0"/>
    <m/>
  </r>
  <r>
    <n v="1"/>
    <x v="12"/>
    <n v="2017"/>
    <s v="Enero"/>
    <s v="MARIREAR"/>
    <m/>
    <x v="7"/>
    <n v="162600"/>
    <n v="0"/>
    <n v="0"/>
    <n v="162600"/>
    <m/>
    <m/>
    <x v="0"/>
    <n v="25"/>
    <x v="0"/>
    <s v=""/>
    <s v="No Aplica"/>
    <n v="0"/>
    <n v="0"/>
    <n v="0"/>
    <n v="0"/>
    <n v="0"/>
    <n v="0"/>
    <n v="162600"/>
    <m/>
  </r>
  <r>
    <n v="1"/>
    <x v="12"/>
    <n v="2017"/>
    <s v="Enero"/>
    <s v="KATHCASG"/>
    <m/>
    <x v="7"/>
    <n v="72600"/>
    <n v="0"/>
    <n v="0"/>
    <n v="72600"/>
    <m/>
    <m/>
    <x v="0"/>
    <n v="25"/>
    <x v="0"/>
    <s v=""/>
    <s v="No Aplica"/>
    <n v="0"/>
    <n v="0"/>
    <n v="0"/>
    <n v="0"/>
    <n v="0"/>
    <n v="0"/>
    <n v="72600"/>
    <m/>
  </r>
  <r>
    <n v="1"/>
    <x v="12"/>
    <n v="2017"/>
    <s v="Enero"/>
    <s v="LILIFOVI"/>
    <m/>
    <x v="7"/>
    <n v="1334500"/>
    <n v="0"/>
    <n v="1334500"/>
    <n v="0"/>
    <m/>
    <m/>
    <x v="0"/>
    <n v="25"/>
    <x v="0"/>
    <s v=""/>
    <s v="No Aplica"/>
    <n v="0"/>
    <n v="0"/>
    <n v="0"/>
    <n v="0"/>
    <n v="14"/>
    <n v="1334500"/>
    <n v="0"/>
    <m/>
  </r>
  <r>
    <n v="1"/>
    <x v="12"/>
    <n v="2017"/>
    <s v="Enero"/>
    <s v="ANAMSAPV"/>
    <m/>
    <x v="7"/>
    <n v="44000"/>
    <n v="0"/>
    <n v="44000"/>
    <n v="0"/>
    <m/>
    <m/>
    <x v="0"/>
    <n v="25"/>
    <x v="0"/>
    <s v=""/>
    <s v="No Aplica"/>
    <n v="0"/>
    <n v="0"/>
    <n v="0"/>
    <n v="0"/>
    <n v="1"/>
    <n v="44000"/>
    <n v="0"/>
    <m/>
  </r>
  <r>
    <n v="2"/>
    <x v="13"/>
    <n v="2017"/>
    <s v="Febrero"/>
    <s v="ADRIMOLU"/>
    <n v="43169964"/>
    <x v="1"/>
    <n v="24478886"/>
    <n v="925900"/>
    <n v="10780400"/>
    <n v="12772586"/>
    <n v="41000000"/>
    <n v="0.31152648780487807"/>
    <x v="1"/>
    <n v="24"/>
    <x v="1"/>
    <s v="Antioquia"/>
    <s v="Cumple"/>
    <n v="44"/>
    <n v="3138490"/>
    <n v="103"/>
    <n v="7336845"/>
    <n v="130"/>
    <n v="10780400"/>
    <n v="3223151"/>
    <m/>
  </r>
  <r>
    <n v="2"/>
    <x v="13"/>
    <n v="2017"/>
    <s v="Febrero"/>
    <s v="ALEXLOGR"/>
    <n v="43253531"/>
    <x v="2"/>
    <n v="49735172"/>
    <n v="198000"/>
    <n v="13828100"/>
    <n v="35709072"/>
    <n v="29000000"/>
    <n v="1.2313473103448276"/>
    <x v="1"/>
    <n v="24"/>
    <x v="2"/>
    <s v="Antioquia"/>
    <s v="Cumple"/>
    <n v="93"/>
    <n v="6767366"/>
    <n v="215"/>
    <n v="24210767"/>
    <n v="147"/>
    <n v="13828100"/>
    <n v="4928939"/>
    <m/>
  </r>
  <r>
    <n v="2"/>
    <x v="13"/>
    <n v="2017"/>
    <s v="Febrero"/>
    <s v="ALVAOSOS"/>
    <n v="3438422"/>
    <x v="37"/>
    <n v="42643165"/>
    <n v="850860"/>
    <n v="8363000"/>
    <n v="33429305"/>
    <n v="30100000"/>
    <n v="1.1106081395348837"/>
    <x v="1"/>
    <n v="24"/>
    <x v="8"/>
    <s v="Antioquia"/>
    <s v="Fluctúa"/>
    <n v="72"/>
    <n v="6702268"/>
    <n v="166"/>
    <n v="19630020"/>
    <n v="102"/>
    <n v="8363000"/>
    <n v="7947877"/>
    <m/>
  </r>
  <r>
    <n v="2"/>
    <x v="13"/>
    <n v="2017"/>
    <s v="Febrero"/>
    <s v="ANAMLOBE"/>
    <n v="43821410"/>
    <x v="3"/>
    <n v="72224082"/>
    <n v="1343500"/>
    <n v="12324700"/>
    <n v="58555882"/>
    <n v="43000000"/>
    <n v="1.3617646976744187"/>
    <x v="1"/>
    <n v="24"/>
    <x v="3"/>
    <s v="Antioquia"/>
    <s v="Siempre Cumple"/>
    <n v="109"/>
    <n v="13203332"/>
    <n v="266"/>
    <n v="36848940"/>
    <n v="154"/>
    <n v="12324700"/>
    <n v="9847110"/>
    <m/>
  </r>
  <r>
    <n v="2"/>
    <x v="13"/>
    <n v="2017"/>
    <s v="Febrero"/>
    <s v="ANGEGAAR"/>
    <n v="39442617"/>
    <x v="4"/>
    <n v="8040790"/>
    <n v="861400"/>
    <n v="2619000"/>
    <n v="4560390"/>
    <n v="12541666.666666668"/>
    <n v="0.36361913621262454"/>
    <x v="1"/>
    <n v="24"/>
    <x v="4"/>
    <s v="Antioquia"/>
    <s v="Cumple"/>
    <n v="9"/>
    <n v="905650"/>
    <n v="26"/>
    <n v="2187580"/>
    <n v="33"/>
    <n v="2619000"/>
    <n v="2328560"/>
    <m/>
  </r>
  <r>
    <n v="2"/>
    <x v="13"/>
    <n v="2017"/>
    <s v="Febrero"/>
    <s v="BIBIBECA"/>
    <n v="43971430"/>
    <x v="6"/>
    <n v="53776794"/>
    <n v="506000"/>
    <n v="11484400"/>
    <n v="41786394"/>
    <n v="41000000"/>
    <n v="1.0191803414634146"/>
    <x v="1"/>
    <n v="24"/>
    <x v="5"/>
    <s v="Antioquia"/>
    <s v="Siempre Cumple"/>
    <n v="106"/>
    <n v="8959463"/>
    <n v="256"/>
    <n v="25355509"/>
    <n v="139"/>
    <n v="11484400"/>
    <n v="7977422"/>
    <m/>
  </r>
  <r>
    <n v="2"/>
    <x v="13"/>
    <n v="2017"/>
    <s v="Febrero"/>
    <s v="CAROVABE"/>
    <n v="1030634664"/>
    <x v="32"/>
    <n v="38619632"/>
    <n v="0"/>
    <n v="10790300"/>
    <n v="27829332"/>
    <n v="41000000"/>
    <n v="0.67876419512195119"/>
    <x v="0"/>
    <n v="24"/>
    <x v="0"/>
    <s v=""/>
    <s v="No Aplica"/>
    <n v="63"/>
    <n v="5227585"/>
    <n v="164"/>
    <n v="17855622"/>
    <n v="126"/>
    <n v="10790300"/>
    <n v="4746125"/>
    <m/>
  </r>
  <r>
    <n v="2"/>
    <x v="13"/>
    <n v="2017"/>
    <s v="Febrero"/>
    <s v="CLAUBLAR"/>
    <n v="43554403"/>
    <x v="8"/>
    <n v="55979590"/>
    <n v="792000"/>
    <n v="13380100"/>
    <n v="41807490"/>
    <n v="41000000"/>
    <n v="1.0196948780487805"/>
    <x v="1"/>
    <n v="24"/>
    <x v="5"/>
    <s v="Antioquia"/>
    <s v="Siempre Cumple"/>
    <n v="96"/>
    <n v="9560047"/>
    <n v="210"/>
    <n v="24013112"/>
    <n v="157"/>
    <n v="13380100"/>
    <n v="9026331"/>
    <m/>
  </r>
  <r>
    <n v="2"/>
    <x v="13"/>
    <n v="2017"/>
    <s v="Febrero"/>
    <s v="DERLARMO"/>
    <n v="52725011"/>
    <x v="10"/>
    <n v="32540485"/>
    <n v="692000"/>
    <n v="6361900"/>
    <n v="25486585"/>
    <n v="20000000"/>
    <n v="1.2743292500000001"/>
    <x v="1"/>
    <n v="24"/>
    <x v="6"/>
    <s v="Centro"/>
    <s v="Fluctúa"/>
    <n v="77"/>
    <n v="4398506"/>
    <n v="188"/>
    <n v="18797680"/>
    <n v="101"/>
    <n v="6361900"/>
    <n v="2982399"/>
    <m/>
  </r>
  <r>
    <n v="2"/>
    <x v="13"/>
    <n v="2017"/>
    <s v="Febrero"/>
    <s v="DIANQUME"/>
    <n v="42164020"/>
    <x v="12"/>
    <n v="56948213"/>
    <n v="705400"/>
    <n v="12157600"/>
    <n v="43763514"/>
    <n v="43000000"/>
    <n v="1.0177561395348838"/>
    <x v="1"/>
    <n v="24"/>
    <x v="1"/>
    <s v="Antioquia"/>
    <s v="Siempre Cumple"/>
    <n v="95"/>
    <n v="9634080"/>
    <n v="236"/>
    <n v="26994145"/>
    <n v="135"/>
    <n v="12157600"/>
    <n v="8162388"/>
    <m/>
  </r>
  <r>
    <n v="2"/>
    <x v="13"/>
    <n v="2017"/>
    <s v="Febrero"/>
    <s v="DIANPAAL"/>
    <n v="1040030764"/>
    <x v="11"/>
    <n v="28598406"/>
    <n v="1322700"/>
    <n v="4537028"/>
    <n v="22738678"/>
    <n v="15125000"/>
    <n v="1.5033836694214877"/>
    <x v="1"/>
    <n v="24"/>
    <x v="7"/>
    <s v="Antioquia"/>
    <s v="Cumple"/>
    <n v="58"/>
    <n v="5860428"/>
    <n v="160"/>
    <n v="15162260"/>
    <n v="72"/>
    <n v="4537028"/>
    <n v="3038690"/>
    <m/>
  </r>
  <r>
    <n v="2"/>
    <x v="13"/>
    <n v="2017"/>
    <s v="Febrero"/>
    <s v="DIANPOPA"/>
    <n v="31307503"/>
    <x v="33"/>
    <n v="30041156"/>
    <n v="0"/>
    <n v="9908800"/>
    <n v="20132356"/>
    <n v="30000000"/>
    <n v="0.67107853333333334"/>
    <x v="0"/>
    <n v="24"/>
    <x v="0"/>
    <s v=""/>
    <s v="No Aplica"/>
    <n v="77"/>
    <n v="5630943"/>
    <n v="222"/>
    <n v="11533176"/>
    <n v="127"/>
    <n v="9908800"/>
    <n v="2968237"/>
    <m/>
  </r>
  <r>
    <n v="2"/>
    <x v="13"/>
    <n v="2017"/>
    <s v="Febrero"/>
    <s v="ELIZVESU"/>
    <n v="1035417626"/>
    <x v="13"/>
    <n v="18693280"/>
    <n v="748700"/>
    <n v="7019700"/>
    <n v="10924880"/>
    <n v="21500000"/>
    <n v="0.50813395348837209"/>
    <x v="1"/>
    <n v="24"/>
    <x v="3"/>
    <s v="Antioquia"/>
    <s v="Cumple"/>
    <n v="26"/>
    <n v="2240270"/>
    <n v="60"/>
    <n v="7055600"/>
    <n v="82"/>
    <n v="7019700"/>
    <n v="2377710"/>
    <m/>
  </r>
  <r>
    <n v="2"/>
    <x v="13"/>
    <n v="2017"/>
    <s v="Febrero"/>
    <s v="LILACARA"/>
    <n v="1017141451"/>
    <x v="17"/>
    <n v="58537514"/>
    <n v="0"/>
    <n v="14171300"/>
    <n v="44366214"/>
    <n v="43000000"/>
    <n v="1.0317724186046511"/>
    <x v="1"/>
    <n v="24"/>
    <x v="1"/>
    <s v="Antioquia"/>
    <s v="Siempre Cumple"/>
    <n v="99"/>
    <n v="10247657"/>
    <n v="279"/>
    <n v="28342500"/>
    <n v="160"/>
    <n v="14171300"/>
    <n v="5776057"/>
    <m/>
  </r>
  <r>
    <n v="2"/>
    <x v="13"/>
    <n v="2017"/>
    <s v="Febrero"/>
    <s v="ISABMOGO"/>
    <n v="52260671"/>
    <x v="15"/>
    <n v="34403177"/>
    <n v="1322000"/>
    <n v="6080500"/>
    <n v="27000677"/>
    <n v="22000000"/>
    <n v="1.2273035000000001"/>
    <x v="1"/>
    <n v="24"/>
    <x v="9"/>
    <s v="Centro"/>
    <s v="Siempre Cumple"/>
    <n v="66"/>
    <n v="5950640"/>
    <n v="181"/>
    <n v="17832837"/>
    <n v="95"/>
    <n v="6080500"/>
    <n v="4539200"/>
    <m/>
  </r>
  <r>
    <n v="2"/>
    <x v="13"/>
    <n v="2017"/>
    <s v="Febrero"/>
    <s v="JAQUVEGU"/>
    <n v="1036779770"/>
    <x v="16"/>
    <n v="40294571"/>
    <n v="2339830"/>
    <n v="7444397"/>
    <n v="30510344"/>
    <n v="33000000"/>
    <n v="0.92455587878787882"/>
    <x v="0"/>
    <n v="24"/>
    <x v="7"/>
    <s v="Antioquia"/>
    <s v="No Aplica"/>
    <n v="88"/>
    <n v="8338603"/>
    <n v="227"/>
    <n v="19153900"/>
    <n v="126"/>
    <n v="7444397"/>
    <n v="5357671"/>
    <m/>
  </r>
  <r>
    <n v="2"/>
    <x v="13"/>
    <n v="2017"/>
    <s v="Febrero"/>
    <s v="LEIDGOVI"/>
    <n v="1036598360"/>
    <x v="39"/>
    <n v="41686372"/>
    <n v="840000"/>
    <n v="8585900"/>
    <n v="32260472"/>
    <n v="30100000"/>
    <n v="1.0717764784053156"/>
    <x v="1"/>
    <n v="24"/>
    <x v="8"/>
    <s v="Antioquia"/>
    <s v="Fluctúa"/>
    <n v="56"/>
    <n v="6179617"/>
    <n v="144"/>
    <n v="21098534"/>
    <n v="100"/>
    <n v="8585900"/>
    <n v="5822321"/>
    <m/>
  </r>
  <r>
    <n v="2"/>
    <x v="13"/>
    <n v="2017"/>
    <s v="Febrero"/>
    <s v="LUZNHEGO"/>
    <n v="43745192"/>
    <x v="19"/>
    <n v="25133155"/>
    <n v="0"/>
    <n v="0"/>
    <n v="25133155"/>
    <n v="22916666.666666664"/>
    <n v="1.0967194909090909"/>
    <x v="1"/>
    <n v="24"/>
    <x v="10"/>
    <s v="Antioquia"/>
    <s v="Cumple"/>
    <n v="38"/>
    <n v="4709573"/>
    <n v="145"/>
    <n v="19261760"/>
    <n v="0"/>
    <n v="0"/>
    <n v="1161822"/>
    <m/>
  </r>
  <r>
    <n v="2"/>
    <x v="13"/>
    <n v="2017"/>
    <s v="Febrero"/>
    <s v="MARGGAPA"/>
    <n v="43866877"/>
    <x v="20"/>
    <n v="59675003"/>
    <n v="1149600"/>
    <n v="16494300"/>
    <n v="42031103"/>
    <n v="41000000"/>
    <n v="1.0251488536585367"/>
    <x v="1"/>
    <n v="24"/>
    <x v="5"/>
    <s v="Antioquia"/>
    <s v="Siempre Cumple"/>
    <n v="118"/>
    <n v="10242970"/>
    <n v="254"/>
    <n v="24085330"/>
    <n v="192"/>
    <n v="16494300"/>
    <n v="8852403"/>
    <m/>
  </r>
  <r>
    <n v="2"/>
    <x v="13"/>
    <n v="2017"/>
    <s v="Febrero"/>
    <s v="MARIMASA"/>
    <n v="43113640"/>
    <x v="34"/>
    <n v="40444878"/>
    <n v="804000"/>
    <n v="8178300"/>
    <n v="31462578"/>
    <n v="30100000"/>
    <n v="1.0452683720930231"/>
    <x v="1"/>
    <n v="24"/>
    <x v="4"/>
    <s v="Antioquia"/>
    <s v="Cumple"/>
    <n v="69"/>
    <n v="7378285"/>
    <n v="158"/>
    <n v="18873815"/>
    <n v="94"/>
    <n v="8178300"/>
    <n v="6014478"/>
    <m/>
  </r>
  <r>
    <n v="2"/>
    <x v="13"/>
    <n v="2017"/>
    <s v="Febrero"/>
    <s v="MARIOCOC"/>
    <n v="39448823"/>
    <x v="21"/>
    <n v="44055027"/>
    <n v="2346200"/>
    <n v="6594218"/>
    <n v="35114609"/>
    <n v="33000000"/>
    <n v="1.0640790606060606"/>
    <x v="1"/>
    <n v="24"/>
    <x v="7"/>
    <s v="Antioquia"/>
    <s v="Siempre Cumple"/>
    <n v="76"/>
    <n v="8961328"/>
    <n v="206"/>
    <n v="22799833"/>
    <n v="119"/>
    <n v="6594218"/>
    <n v="5699648"/>
    <m/>
  </r>
  <r>
    <n v="2"/>
    <x v="13"/>
    <n v="2017"/>
    <s v="Febrero"/>
    <s v="MARISEAR"/>
    <n v="43109744"/>
    <x v="22"/>
    <n v="12340397"/>
    <n v="0"/>
    <n v="3533500"/>
    <n v="8806897"/>
    <n v="23291666.666666668"/>
    <n v="0.37811364579606438"/>
    <x v="0"/>
    <n v="24"/>
    <x v="0"/>
    <s v=""/>
    <s v="No Aplica"/>
    <n v="25"/>
    <n v="2041772"/>
    <n v="50"/>
    <n v="4401300"/>
    <n v="45"/>
    <n v="3533500"/>
    <n v="2363825"/>
    <m/>
  </r>
  <r>
    <n v="2"/>
    <x v="13"/>
    <n v="2017"/>
    <s v="Febrero"/>
    <s v="MONIMEME"/>
    <n v="42689970"/>
    <x v="24"/>
    <n v="35569171"/>
    <n v="1479400"/>
    <n v="10331400"/>
    <n v="23758371"/>
    <n v="43000000"/>
    <n v="0.55252025581395348"/>
    <x v="0"/>
    <n v="24"/>
    <x v="0"/>
    <s v=""/>
    <s v="No Aplica"/>
    <n v="53"/>
    <n v="4971660"/>
    <n v="112"/>
    <n v="13473420"/>
    <n v="121"/>
    <n v="10331400"/>
    <n v="6792691"/>
    <m/>
  </r>
  <r>
    <n v="2"/>
    <x v="13"/>
    <n v="2017"/>
    <s v="Febrero"/>
    <s v="NATAPIDU"/>
    <n v="43907427"/>
    <x v="25"/>
    <n v="46979824"/>
    <n v="1116090"/>
    <n v="5768200"/>
    <n v="40095534"/>
    <n v="36000000"/>
    <n v="1.1137648333333334"/>
    <x v="1"/>
    <n v="24"/>
    <x v="11"/>
    <s v="Antioquia"/>
    <s v="Siempre Cumple"/>
    <n v="50"/>
    <n v="8827453"/>
    <n v="142"/>
    <n v="26701000"/>
    <n v="68"/>
    <n v="5768200"/>
    <n v="5683171"/>
    <m/>
  </r>
  <r>
    <n v="2"/>
    <x v="13"/>
    <n v="2017"/>
    <s v="Febrero"/>
    <s v="OSCADESU"/>
    <n v="91511871"/>
    <x v="26"/>
    <n v="38308469"/>
    <n v="628000"/>
    <n v="10619900"/>
    <n v="27060569"/>
    <n v="22958333.333333332"/>
    <n v="1.1786817713248638"/>
    <x v="0"/>
    <n v="24"/>
    <x v="0"/>
    <s v=""/>
    <s v="No Aplica"/>
    <n v="94"/>
    <n v="6957996"/>
    <n v="207"/>
    <n v="17344140"/>
    <n v="124"/>
    <n v="10619900"/>
    <n v="3386433"/>
    <m/>
  </r>
  <r>
    <n v="2"/>
    <x v="13"/>
    <n v="2017"/>
    <s v="Febrero"/>
    <s v="PAULGOBA"/>
    <n v="32256379"/>
    <x v="36"/>
    <n v="16653931"/>
    <n v="0"/>
    <n v="3199400"/>
    <n v="13454531"/>
    <n v="30458333.333333336"/>
    <n v="0.44173562790697674"/>
    <x v="1"/>
    <n v="24"/>
    <x v="13"/>
    <s v="Antioquia"/>
    <s v="Fluctúa"/>
    <n v="30"/>
    <n v="3351844"/>
    <n v="76"/>
    <n v="7802200"/>
    <n v="48"/>
    <n v="3199400"/>
    <n v="2300487"/>
    <m/>
  </r>
  <r>
    <n v="2"/>
    <x v="13"/>
    <n v="2017"/>
    <s v="Febrero"/>
    <s v="RAULMOGA"/>
    <n v="79701425"/>
    <x v="27"/>
    <n v="31599381"/>
    <n v="420000"/>
    <n v="6160400"/>
    <n v="25018981"/>
    <n v="20000000"/>
    <n v="1.25094905"/>
    <x v="0"/>
    <n v="24"/>
    <x v="6"/>
    <s v="Centro"/>
    <s v="No Aplica"/>
    <n v="84"/>
    <n v="5677307"/>
    <n v="188"/>
    <n v="15928510"/>
    <n v="101"/>
    <n v="6160400"/>
    <n v="3833164"/>
    <m/>
  </r>
  <r>
    <n v="2"/>
    <x v="13"/>
    <n v="2017"/>
    <s v="Febrero"/>
    <s v="ROCIFASA"/>
    <n v="34542470"/>
    <x v="28"/>
    <n v="29945140"/>
    <n v="1080600"/>
    <n v="3788500"/>
    <n v="25076040"/>
    <n v="22916666.666666664"/>
    <n v="1.0942272000000002"/>
    <x v="1"/>
    <n v="24"/>
    <x v="12"/>
    <s v="Occidente"/>
    <s v="Siempre Cumple"/>
    <n v="77"/>
    <n v="9072439"/>
    <n v="186"/>
    <n v="13613875"/>
    <n v="45"/>
    <n v="3788500"/>
    <n v="3470326"/>
    <m/>
  </r>
  <r>
    <n v="2"/>
    <x v="13"/>
    <n v="2017"/>
    <s v="Febrero"/>
    <s v="VIVIVAZA"/>
    <n v="43745952"/>
    <x v="30"/>
    <n v="72939379"/>
    <n v="824100"/>
    <n v="16643800"/>
    <n v="57357876"/>
    <n v="43000000"/>
    <n v="1.3339040930232557"/>
    <x v="1"/>
    <n v="24"/>
    <x v="3"/>
    <s v="Antioquia"/>
    <s v="Siempre Cumple"/>
    <n v="131"/>
    <n v="11846122"/>
    <n v="301"/>
    <n v="34700815"/>
    <n v="203"/>
    <n v="16643800"/>
    <n v="9748642"/>
    <m/>
  </r>
  <r>
    <n v="2"/>
    <x v="13"/>
    <n v="2017"/>
    <s v="Febrero"/>
    <s v="ZULYARGA"/>
    <n v="43259130"/>
    <x v="31"/>
    <n v="63025137"/>
    <n v="1386000"/>
    <n v="15148400"/>
    <n v="45082940"/>
    <n v="43000000"/>
    <n v="1.0484404651162791"/>
    <x v="1"/>
    <n v="24"/>
    <x v="1"/>
    <s v="Antioquia"/>
    <s v="Fluctúa"/>
    <n v="106"/>
    <n v="9580283"/>
    <n v="287"/>
    <n v="32278585"/>
    <n v="179"/>
    <n v="15148400"/>
    <n v="6017869"/>
    <m/>
  </r>
  <r>
    <n v="2"/>
    <x v="13"/>
    <n v="2017"/>
    <s v="Febrero"/>
    <s v="GENNHEPO"/>
    <n v="43874518"/>
    <x v="14"/>
    <n v="56895592"/>
    <n v="1244100"/>
    <n v="10255900"/>
    <n v="45395592"/>
    <n v="43000000"/>
    <n v="1.0557114418604652"/>
    <x v="1"/>
    <n v="24"/>
    <x v="8"/>
    <s v="Antioquia"/>
    <s v="Fluctúa"/>
    <n v="101"/>
    <n v="9220354"/>
    <n v="262"/>
    <n v="27566042"/>
    <n v="115"/>
    <n v="10255900"/>
    <n v="9853296"/>
    <m/>
  </r>
  <r>
    <n v="2"/>
    <x v="13"/>
    <n v="2017"/>
    <s v="Febrero"/>
    <s v="ANDRSAZA"/>
    <n v="1020736461"/>
    <x v="45"/>
    <n v="34777339"/>
    <n v="792000"/>
    <n v="5689700"/>
    <n v="28295639"/>
    <n v="22000000"/>
    <n v="1.2861654090909092"/>
    <x v="1"/>
    <n v="24"/>
    <x v="9"/>
    <s v="Centro"/>
    <s v="Siempre Cumple"/>
    <n v="66"/>
    <n v="5609081"/>
    <n v="186"/>
    <n v="21302080"/>
    <n v="97"/>
    <n v="5689700"/>
    <n v="2176478"/>
    <m/>
  </r>
  <r>
    <n v="2"/>
    <x v="13"/>
    <n v="2017"/>
    <s v="Febrero"/>
    <s v="ERIKSAVA"/>
    <n v="1017200970"/>
    <x v="44"/>
    <n v="37910378"/>
    <n v="2283400"/>
    <n v="8744900"/>
    <n v="27203777"/>
    <n v="43000000"/>
    <n v="0.6326459767441861"/>
    <x v="1"/>
    <n v="24"/>
    <x v="4"/>
    <s v="Antioquia"/>
    <s v="Cumple"/>
    <n v="64"/>
    <n v="5903671"/>
    <n v="144"/>
    <n v="14652970"/>
    <n v="107"/>
    <n v="8744900"/>
    <n v="8608837"/>
    <m/>
  </r>
  <r>
    <n v="2"/>
    <x v="13"/>
    <n v="2017"/>
    <s v="Febrero"/>
    <s v="RUBYHIGA"/>
    <n v="43636530"/>
    <x v="42"/>
    <n v="54093944"/>
    <n v="2627000"/>
    <n v="9531900"/>
    <n v="41935044"/>
    <n v="41000000"/>
    <n v="1.0228059512195122"/>
    <x v="0"/>
    <n v="24"/>
    <x v="0"/>
    <s v=""/>
    <s v="No Aplica"/>
    <n v="119"/>
    <n v="9631072"/>
    <n v="298"/>
    <n v="27082440"/>
    <n v="115"/>
    <n v="9531900"/>
    <n v="7848532"/>
    <m/>
  </r>
  <r>
    <n v="2"/>
    <x v="13"/>
    <n v="2017"/>
    <s v="Febrero"/>
    <s v="PAOLPACA"/>
    <n v="31445278"/>
    <x v="47"/>
    <n v="28558040"/>
    <n v="0"/>
    <n v="10418500"/>
    <n v="18139540"/>
    <n v="27000000"/>
    <n v="0.67183481481481477"/>
    <x v="1"/>
    <n v="24"/>
    <x v="14"/>
    <s v="Occidente"/>
    <s v="Cumple"/>
    <n v="72"/>
    <n v="5358361"/>
    <n v="192"/>
    <n v="10208432"/>
    <n v="149"/>
    <n v="10418500"/>
    <n v="2572747"/>
    <m/>
  </r>
  <r>
    <n v="2"/>
    <x v="13"/>
    <n v="2017"/>
    <s v="Febrero"/>
    <s v="GISECACA"/>
    <n v="1144140699"/>
    <x v="48"/>
    <n v="27244642"/>
    <n v="0"/>
    <n v="10184900"/>
    <n v="17059742"/>
    <n v="27000000"/>
    <n v="0.63184229629629629"/>
    <x v="0"/>
    <n v="24"/>
    <x v="0"/>
    <s v=""/>
    <s v="No Aplica"/>
    <n v="59"/>
    <n v="4231413"/>
    <n v="184"/>
    <n v="10087970"/>
    <n v="0"/>
    <n v="0"/>
    <n v="12925259"/>
    <m/>
  </r>
  <r>
    <n v="2"/>
    <x v="13"/>
    <n v="2017"/>
    <s v="Febrero"/>
    <s v="HISNOSPI"/>
    <n v="43114534"/>
    <x v="49"/>
    <n v="17955208"/>
    <n v="0"/>
    <n v="1288500"/>
    <n v="16666708"/>
    <n v="16200000"/>
    <n v="1.0288091358024691"/>
    <x v="0"/>
    <n v="24"/>
    <x v="4"/>
    <s v="Antioquia"/>
    <s v="No Aplica"/>
    <n v="33"/>
    <n v="4013111"/>
    <n v="82"/>
    <n v="9547040"/>
    <n v="17"/>
    <n v="1288500"/>
    <n v="3106557"/>
    <m/>
  </r>
  <r>
    <n v="2"/>
    <x v="13"/>
    <n v="2017"/>
    <s v="Febrero"/>
    <s v="DEISCACR"/>
    <n v="1017167720"/>
    <x v="50"/>
    <n v="49254760"/>
    <n v="538700"/>
    <n v="9229900"/>
    <n v="39486160"/>
    <n v="38700000"/>
    <n v="1.0203142118863049"/>
    <x v="1"/>
    <n v="24"/>
    <x v="8"/>
    <s v="Antioquia"/>
    <s v="Cumple"/>
    <n v="88"/>
    <n v="8571702"/>
    <n v="194"/>
    <n v="21641518"/>
    <n v="121"/>
    <n v="9229900"/>
    <n v="9811640"/>
    <m/>
  </r>
  <r>
    <n v="2"/>
    <x v="13"/>
    <n v="2017"/>
    <s v="Febrero"/>
    <s v="YENYSUPE"/>
    <n v="1020419011"/>
    <x v="51"/>
    <n v="50447652"/>
    <n v="903400"/>
    <n v="10485200"/>
    <n v="39059052"/>
    <n v="38700000"/>
    <n v="1.0092778294573643"/>
    <x v="1"/>
    <n v="24"/>
    <x v="8"/>
    <s v="Antioquia"/>
    <s v="Cumple"/>
    <n v="109"/>
    <n v="8554225"/>
    <n v="243"/>
    <n v="22276610"/>
    <n v="115"/>
    <n v="10485200"/>
    <n v="9131617"/>
    <m/>
  </r>
  <r>
    <n v="2"/>
    <x v="13"/>
    <n v="2017"/>
    <s v="Febrero"/>
    <s v="ANGEROPI"/>
    <n v="43800272"/>
    <x v="46"/>
    <n v="27901206"/>
    <n v="840000"/>
    <n v="6045600"/>
    <n v="21015606"/>
    <n v="37583333.333333336"/>
    <n v="0.55917355210643016"/>
    <x v="0"/>
    <n v="24"/>
    <x v="0"/>
    <s v=""/>
    <s v="No Aplica"/>
    <n v="48"/>
    <n v="4260947"/>
    <n v="132"/>
    <n v="13153480"/>
    <n v="83"/>
    <n v="6045600"/>
    <n v="4441179"/>
    <m/>
  </r>
  <r>
    <n v="2"/>
    <x v="13"/>
    <n v="2017"/>
    <s v="Febrero"/>
    <s v="HERIRORO"/>
    <n v="21428423"/>
    <x v="52"/>
    <n v="32190930"/>
    <n v="705400"/>
    <n v="8896200"/>
    <n v="22589330"/>
    <n v="33600000"/>
    <n v="0.67230148809523804"/>
    <x v="1"/>
    <n v="24"/>
    <x v="5"/>
    <s v="Antioquia"/>
    <s v="Fluctúa"/>
    <n v="60"/>
    <n v="4820871"/>
    <n v="142"/>
    <n v="12581280"/>
    <n v="97"/>
    <n v="8896200"/>
    <n v="5892579"/>
    <m/>
  </r>
  <r>
    <n v="2"/>
    <x v="13"/>
    <n v="2017"/>
    <s v="Febrero"/>
    <s v="CAMIPUHE"/>
    <n v="79850984"/>
    <x v="53"/>
    <n v="16043355"/>
    <n v="1398000"/>
    <n v="4523300"/>
    <n v="10122055"/>
    <n v="17600000"/>
    <n v="0.57511676136363632"/>
    <x v="1"/>
    <n v="24"/>
    <x v="15"/>
    <s v="Centro"/>
    <s v="Fluctúa"/>
    <n v="28"/>
    <n v="2533238"/>
    <n v="74"/>
    <n v="6235480"/>
    <n v="73"/>
    <n v="4523300"/>
    <n v="2751337"/>
    <m/>
  </r>
  <r>
    <n v="2"/>
    <x v="13"/>
    <n v="2017"/>
    <s v="Febrero"/>
    <s v="LILIFOVI"/>
    <n v="1234189600"/>
    <x v="54"/>
    <n v="1686976"/>
    <n v="0"/>
    <n v="584000"/>
    <n v="1102976"/>
    <n v="25376800"/>
    <n v="4.3463951325620254E-2"/>
    <x v="0"/>
    <n v="24"/>
    <x v="0"/>
    <s v=""/>
    <s v="No Aplica"/>
    <n v="1"/>
    <n v="134276"/>
    <n v="6"/>
    <n v="705700"/>
    <n v="6"/>
    <n v="584000"/>
    <n v="263000"/>
    <m/>
  </r>
  <r>
    <n v="2"/>
    <x v="13"/>
    <n v="2017"/>
    <s v="Febrero"/>
    <s v="CINDGACU"/>
    <n v="1020443426"/>
    <x v="55"/>
    <n v="3649115"/>
    <n v="0"/>
    <n v="1914500"/>
    <n v="1734615"/>
    <n v="4833333.3333333302"/>
    <n v="0.35888586206896572"/>
    <x v="1"/>
    <n v="24"/>
    <x v="4"/>
    <s v="Antioquia"/>
    <s v="Fluctúa"/>
    <n v="7"/>
    <n v="468012"/>
    <n v="14"/>
    <n v="1266600"/>
    <n v="22"/>
    <n v="1914500"/>
    <n v="3"/>
    <m/>
  </r>
  <r>
    <n v="2"/>
    <x v="13"/>
    <n v="2017"/>
    <s v="Febrero"/>
    <s v="LUZMARMO"/>
    <m/>
    <x v="7"/>
    <n v="41000"/>
    <n v="0"/>
    <n v="41000"/>
    <n v="0"/>
    <m/>
    <m/>
    <x v="0"/>
    <n v="24"/>
    <x v="0"/>
    <s v=""/>
    <s v="No Aplica"/>
    <n v="0"/>
    <n v="0"/>
    <n v="0"/>
    <n v="0"/>
    <n v="1"/>
    <n v="41000"/>
    <n v="0"/>
    <m/>
  </r>
  <r>
    <n v="2"/>
    <x v="13"/>
    <n v="2017"/>
    <s v="Febrero"/>
    <s v="SUANHECO"/>
    <m/>
    <x v="7"/>
    <n v="125500"/>
    <n v="0"/>
    <n v="125500"/>
    <n v="0"/>
    <m/>
    <m/>
    <x v="0"/>
    <n v="24"/>
    <x v="0"/>
    <s v=""/>
    <s v="No Aplica"/>
    <n v="0"/>
    <n v="0"/>
    <n v="0"/>
    <n v="0"/>
    <n v="1"/>
    <n v="125500"/>
    <n v="0"/>
    <m/>
  </r>
  <r>
    <n v="2"/>
    <x v="13"/>
    <n v="2017"/>
    <s v="Febrero"/>
    <s v="(en blanco)"/>
    <m/>
    <x v="7"/>
    <n v="-147200"/>
    <n v="0"/>
    <n v="0"/>
    <n v="-147200"/>
    <m/>
    <m/>
    <x v="0"/>
    <n v="24"/>
    <x v="0"/>
    <s v=""/>
    <s v="No Aplica"/>
    <n v="0"/>
    <n v="0"/>
    <n v="0"/>
    <n v="0"/>
    <n v="0"/>
    <n v="0"/>
    <n v="-147200"/>
    <m/>
  </r>
  <r>
    <n v="2"/>
    <x v="13"/>
    <n v="2017"/>
    <s v="Febrero"/>
    <s v="ANAMSAPV"/>
    <m/>
    <x v="7"/>
    <n v="41000"/>
    <n v="0"/>
    <n v="41000"/>
    <n v="0"/>
    <m/>
    <m/>
    <x v="0"/>
    <n v="24"/>
    <x v="0"/>
    <s v=""/>
    <s v="No Aplica"/>
    <n v="0"/>
    <n v="0"/>
    <n v="0"/>
    <n v="0"/>
    <n v="1"/>
    <n v="41000"/>
    <n v="0"/>
    <m/>
  </r>
  <r>
    <n v="2"/>
    <x v="13"/>
    <n v="2017"/>
    <s v="Febrero"/>
    <s v="ANLLLIZO"/>
    <m/>
    <x v="7"/>
    <n v="222979"/>
    <n v="0"/>
    <n v="82000"/>
    <n v="140979"/>
    <m/>
    <m/>
    <x v="0"/>
    <n v="24"/>
    <x v="0"/>
    <s v=""/>
    <s v="No Aplica"/>
    <n v="1"/>
    <n v="76939"/>
    <n v="2"/>
    <n v="64040"/>
    <n v="2"/>
    <n v="82000"/>
    <n v="0"/>
    <m/>
  </r>
  <r>
    <n v="2"/>
    <x v="13"/>
    <n v="2017"/>
    <s v="Febrero"/>
    <s v="CLAUPACO"/>
    <m/>
    <x v="7"/>
    <n v="975024"/>
    <n v="0"/>
    <n v="82000"/>
    <n v="893024"/>
    <m/>
    <m/>
    <x v="0"/>
    <n v="24"/>
    <x v="0"/>
    <s v=""/>
    <s v="No Aplica"/>
    <n v="2"/>
    <n v="114824"/>
    <n v="4"/>
    <n v="259100"/>
    <n v="2"/>
    <n v="82000"/>
    <n v="519100"/>
    <m/>
  </r>
  <r>
    <n v="3"/>
    <x v="14"/>
    <n v="2017"/>
    <s v="Marzo"/>
    <s v="ADRIMOLU"/>
    <n v="43169964"/>
    <x v="1"/>
    <n v="48625505"/>
    <n v="2900200"/>
    <n v="10747080"/>
    <n v="34978225"/>
    <n v="36269230.769230768"/>
    <n v="0.96440493107104985"/>
    <x v="1"/>
    <n v="26"/>
    <x v="1"/>
    <s v="Antioquia"/>
    <s v="Cumple"/>
    <n v="102"/>
    <n v="7417409"/>
    <n v="244"/>
    <n v="22590713"/>
    <n v="107"/>
    <n v="10747080"/>
    <n v="7870303"/>
    <m/>
  </r>
  <r>
    <n v="3"/>
    <x v="14"/>
    <n v="2017"/>
    <s v="Marzo"/>
    <s v="ALEXLOGR"/>
    <n v="43253531"/>
    <x v="2"/>
    <n v="53388830"/>
    <n v="1486200"/>
    <n v="12155842"/>
    <n v="39746788"/>
    <n v="29000000.000000004"/>
    <n v="1.370578896551724"/>
    <x v="1"/>
    <n v="26"/>
    <x v="2"/>
    <s v="Antioquia"/>
    <s v="Cumple"/>
    <n v="98"/>
    <n v="7124597"/>
    <n v="251"/>
    <n v="26416714"/>
    <n v="127"/>
    <n v="12155842"/>
    <n v="7691677"/>
    <m/>
  </r>
  <r>
    <n v="3"/>
    <x v="14"/>
    <n v="2017"/>
    <s v="Marzo"/>
    <s v="ALVAOSOS"/>
    <n v="3438422"/>
    <x v="37"/>
    <n v="44483086"/>
    <n v="1236000"/>
    <n v="7802604"/>
    <n v="35444482"/>
    <n v="30100000"/>
    <n v="1.1775575415282391"/>
    <x v="1"/>
    <n v="26"/>
    <x v="8"/>
    <s v="Antioquia"/>
    <s v="Fluctúa"/>
    <n v="83"/>
    <n v="8299866"/>
    <n v="186"/>
    <n v="20821681"/>
    <n v="94"/>
    <n v="7802604"/>
    <n v="7558935"/>
    <m/>
  </r>
  <r>
    <n v="3"/>
    <x v="14"/>
    <n v="2017"/>
    <s v="Marzo"/>
    <s v="ANAMLOBE"/>
    <n v="43821410"/>
    <x v="3"/>
    <n v="75111406"/>
    <n v="1194000"/>
    <n v="10989435"/>
    <n v="62927971"/>
    <n v="39692307.692307688"/>
    <n v="1.5853946182170544"/>
    <x v="1"/>
    <n v="26"/>
    <x v="3"/>
    <s v="Antioquia"/>
    <s v="Siempre Cumple"/>
    <n v="160"/>
    <n v="17048283"/>
    <n v="340"/>
    <n v="38114066"/>
    <n v="124"/>
    <n v="10989435"/>
    <n v="8959622"/>
    <m/>
  </r>
  <r>
    <n v="3"/>
    <x v="14"/>
    <n v="2017"/>
    <s v="Marzo"/>
    <s v="ANGEGAAR"/>
    <n v="39442617"/>
    <x v="4"/>
    <n v="53303479"/>
    <n v="1088860"/>
    <n v="8550798"/>
    <n v="43663821"/>
    <n v="43000000"/>
    <n v="1.0154376976744186"/>
    <x v="1"/>
    <n v="26"/>
    <x v="4"/>
    <s v="Antioquia"/>
    <s v="Cumple"/>
    <n v="95"/>
    <n v="10054271"/>
    <n v="224"/>
    <n v="24674136"/>
    <n v="99"/>
    <n v="8550798"/>
    <n v="10024274"/>
    <m/>
  </r>
  <r>
    <n v="3"/>
    <x v="14"/>
    <n v="2017"/>
    <s v="Marzo"/>
    <s v="BIBIBECA"/>
    <n v="43971430"/>
    <x v="6"/>
    <n v="52851576"/>
    <n v="1505000"/>
    <n v="10789559"/>
    <n v="40557017"/>
    <n v="41000000"/>
    <n v="0.98919553658536585"/>
    <x v="1"/>
    <n v="26"/>
    <x v="5"/>
    <s v="Antioquia"/>
    <s v="Siempre Cumple"/>
    <n v="110"/>
    <n v="9010658"/>
    <n v="290"/>
    <n v="25785684"/>
    <n v="126"/>
    <n v="10789559"/>
    <n v="7265675"/>
    <m/>
  </r>
  <r>
    <n v="3"/>
    <x v="14"/>
    <n v="2017"/>
    <s v="Marzo"/>
    <s v="CAROVABE"/>
    <n v="1030634664"/>
    <x v="32"/>
    <n v="15760421"/>
    <n v="0"/>
    <n v="2543283"/>
    <n v="13217138"/>
    <n v="12615384.615384616"/>
    <n v="1.047699963414634"/>
    <x v="0"/>
    <n v="26"/>
    <x v="0"/>
    <s v=""/>
    <s v="No Aplica"/>
    <n v="31"/>
    <n v="2694989"/>
    <n v="72"/>
    <n v="9149542"/>
    <n v="30"/>
    <n v="2543283"/>
    <n v="1372607"/>
    <m/>
  </r>
  <r>
    <n v="3"/>
    <x v="14"/>
    <n v="2017"/>
    <s v="Marzo"/>
    <s v="CLAUBLAR"/>
    <n v="43554403"/>
    <x v="8"/>
    <n v="52894496"/>
    <n v="903400"/>
    <n v="9622296"/>
    <n v="42368800"/>
    <n v="41000000"/>
    <n v="1.0333853658536585"/>
    <x v="1"/>
    <n v="26"/>
    <x v="5"/>
    <s v="Antioquia"/>
    <s v="Siempre Cumple"/>
    <n v="94"/>
    <n v="9556214"/>
    <n v="212"/>
    <n v="25917899"/>
    <n v="114"/>
    <n v="9622296"/>
    <n v="7798087"/>
    <m/>
  </r>
  <r>
    <n v="3"/>
    <x v="14"/>
    <n v="2017"/>
    <s v="Marzo"/>
    <s v="DERLARMO"/>
    <n v="52725011"/>
    <x v="10"/>
    <n v="36429241"/>
    <n v="2878200"/>
    <n v="6320001"/>
    <n v="27231040"/>
    <n v="20000000"/>
    <n v="1.3615520000000001"/>
    <x v="1"/>
    <n v="26"/>
    <x v="6"/>
    <s v="Centro"/>
    <s v="Fluctúa"/>
    <n v="88"/>
    <n v="4998827"/>
    <n v="205"/>
    <n v="17480847"/>
    <n v="86"/>
    <n v="6320001"/>
    <n v="7629566"/>
    <m/>
  </r>
  <r>
    <n v="3"/>
    <x v="14"/>
    <n v="2017"/>
    <s v="Marzo"/>
    <s v="DIANQUME"/>
    <n v="42164020"/>
    <x v="12"/>
    <n v="56598250"/>
    <n v="1386800"/>
    <n v="11185138"/>
    <n v="44026312"/>
    <n v="43000000"/>
    <n v="1.0238677209302325"/>
    <x v="1"/>
    <n v="26"/>
    <x v="1"/>
    <s v="Antioquia"/>
    <s v="Siempre Cumple"/>
    <n v="105"/>
    <n v="10506374"/>
    <n v="271"/>
    <n v="28440690"/>
    <n v="126"/>
    <n v="11185138"/>
    <n v="6466048"/>
    <m/>
  </r>
  <r>
    <n v="3"/>
    <x v="14"/>
    <n v="2017"/>
    <s v="Marzo"/>
    <s v="DIANPAAL"/>
    <n v="1040030764"/>
    <x v="11"/>
    <n v="19073307"/>
    <n v="638100"/>
    <n v="3070673"/>
    <n v="15364534"/>
    <n v="26653846.153846156"/>
    <n v="0.57644716305916299"/>
    <x v="1"/>
    <n v="26"/>
    <x v="7"/>
    <s v="Antioquia"/>
    <s v="Cumple"/>
    <n v="47"/>
    <n v="4809864"/>
    <n v="110"/>
    <n v="8543087"/>
    <n v="44"/>
    <n v="3070673"/>
    <n v="2649683"/>
    <m/>
  </r>
  <r>
    <n v="3"/>
    <x v="14"/>
    <n v="2017"/>
    <s v="Marzo"/>
    <s v="DIANPOPA"/>
    <n v="31307503"/>
    <x v="33"/>
    <n v="15186136"/>
    <n v="356400"/>
    <n v="7549530"/>
    <n v="7280206"/>
    <n v="29999999.999999996"/>
    <n v="0.24267353333333336"/>
    <x v="0"/>
    <n v="26"/>
    <x v="0"/>
    <s v=""/>
    <s v="No Aplica"/>
    <n v="30"/>
    <n v="1996448"/>
    <n v="106"/>
    <n v="4387729"/>
    <n v="91"/>
    <n v="7549530"/>
    <n v="1252429"/>
    <m/>
  </r>
  <r>
    <n v="3"/>
    <x v="14"/>
    <n v="2017"/>
    <s v="Marzo"/>
    <s v="ELIZVESU"/>
    <n v="1035417626"/>
    <x v="13"/>
    <n v="63318193"/>
    <n v="285400"/>
    <n v="12047879"/>
    <n v="50984914"/>
    <n v="43000000"/>
    <n v="1.1856956744186047"/>
    <x v="1"/>
    <n v="26"/>
    <x v="3"/>
    <s v="Antioquia"/>
    <s v="Cumple"/>
    <n v="106"/>
    <n v="12512143"/>
    <n v="258"/>
    <n v="31017860"/>
    <n v="133"/>
    <n v="12047879"/>
    <n v="7740311"/>
    <m/>
  </r>
  <r>
    <n v="3"/>
    <x v="14"/>
    <n v="2017"/>
    <s v="Marzo"/>
    <s v="LILACARA"/>
    <n v="1017141451"/>
    <x v="17"/>
    <n v="55876203"/>
    <n v="576000"/>
    <n v="9427449"/>
    <n v="45872754"/>
    <n v="43000000"/>
    <n v="1.0668082325581396"/>
    <x v="1"/>
    <n v="26"/>
    <x v="1"/>
    <s v="Antioquia"/>
    <s v="Siempre Cumple"/>
    <n v="106"/>
    <n v="9486677"/>
    <n v="268"/>
    <n v="27372883"/>
    <n v="100"/>
    <n v="9427449"/>
    <n v="9589194"/>
    <m/>
  </r>
  <r>
    <n v="3"/>
    <x v="14"/>
    <n v="2017"/>
    <s v="Marzo"/>
    <s v="ISABMOGO"/>
    <n v="52260671"/>
    <x v="15"/>
    <n v="37190828"/>
    <n v="2469500"/>
    <n v="5028679"/>
    <n v="29692649"/>
    <n v="22000000"/>
    <n v="1.3496658636363636"/>
    <x v="1"/>
    <n v="26"/>
    <x v="9"/>
    <s v="Centro"/>
    <s v="Siempre Cumple"/>
    <n v="72"/>
    <n v="6350683"/>
    <n v="200"/>
    <n v="20249228"/>
    <n v="72"/>
    <n v="5028679"/>
    <n v="5562238"/>
    <m/>
  </r>
  <r>
    <n v="3"/>
    <x v="14"/>
    <n v="2017"/>
    <s v="Marzo"/>
    <s v="JAQUVEGU"/>
    <n v="1036779770"/>
    <x v="16"/>
    <n v="34876000"/>
    <n v="2516100"/>
    <n v="5859943"/>
    <n v="26499957"/>
    <n v="33000000"/>
    <n v="0.80302899999999999"/>
    <x v="0"/>
    <n v="26"/>
    <x v="7"/>
    <s v="Antioquia"/>
    <s v="No Aplica"/>
    <n v="77"/>
    <n v="6808184"/>
    <n v="195"/>
    <n v="16746610"/>
    <n v="91"/>
    <n v="5859943"/>
    <n v="5461263"/>
    <m/>
  </r>
  <r>
    <n v="3"/>
    <x v="14"/>
    <n v="2017"/>
    <s v="Marzo"/>
    <s v="LEIDGOVI"/>
    <n v="1036598360"/>
    <x v="39"/>
    <n v="46664885"/>
    <n v="3054460"/>
    <n v="8212285"/>
    <n v="35398140"/>
    <n v="30100000"/>
    <n v="1.1760179401993356"/>
    <x v="1"/>
    <n v="26"/>
    <x v="8"/>
    <s v="Antioquia"/>
    <s v="Fluctúa"/>
    <n v="78"/>
    <n v="8492487"/>
    <n v="172"/>
    <n v="20777038"/>
    <n v="92"/>
    <n v="8212285"/>
    <n v="9183075"/>
    <m/>
  </r>
  <r>
    <n v="3"/>
    <x v="14"/>
    <n v="2017"/>
    <s v="Marzo"/>
    <s v="LUZNHEGO"/>
    <n v="43745192"/>
    <x v="19"/>
    <n v="32657311"/>
    <n v="556200"/>
    <n v="69764"/>
    <n v="32031347"/>
    <n v="25000000"/>
    <n v="1.28125388"/>
    <x v="1"/>
    <n v="26"/>
    <x v="10"/>
    <s v="Antioquia"/>
    <s v="Cumple"/>
    <n v="54"/>
    <n v="6343339"/>
    <n v="174"/>
    <n v="24266136"/>
    <n v="1"/>
    <n v="69764"/>
    <n v="1978072"/>
    <m/>
  </r>
  <r>
    <n v="3"/>
    <x v="14"/>
    <n v="2017"/>
    <s v="Marzo"/>
    <s v="MARGGAPA"/>
    <n v="43866877"/>
    <x v="20"/>
    <n v="55070854"/>
    <n v="1510000"/>
    <n v="11453601"/>
    <n v="42107253"/>
    <n v="41000000"/>
    <n v="1.0270061707317073"/>
    <x v="1"/>
    <n v="26"/>
    <x v="5"/>
    <s v="Antioquia"/>
    <s v="Siempre Cumple"/>
    <n v="109"/>
    <n v="10265824"/>
    <n v="252"/>
    <n v="27076665"/>
    <n v="128"/>
    <n v="11453601"/>
    <n v="6274764"/>
    <m/>
  </r>
  <r>
    <n v="3"/>
    <x v="14"/>
    <n v="2017"/>
    <s v="Marzo"/>
    <s v="MARIMASA"/>
    <n v="43113640"/>
    <x v="34"/>
    <n v="45030668"/>
    <n v="1276130"/>
    <n v="8587502"/>
    <n v="35167036"/>
    <n v="30100000"/>
    <n v="1.1683400664451826"/>
    <x v="1"/>
    <n v="26"/>
    <x v="4"/>
    <s v="Antioquia"/>
    <s v="Cumple"/>
    <n v="67"/>
    <n v="7479572"/>
    <n v="164"/>
    <n v="20456810"/>
    <n v="90"/>
    <n v="8587502"/>
    <n v="8506784"/>
    <m/>
  </r>
  <r>
    <n v="3"/>
    <x v="14"/>
    <n v="2017"/>
    <s v="Marzo"/>
    <s v="MARIOCOC"/>
    <n v="39448823"/>
    <x v="21"/>
    <n v="43806622"/>
    <n v="3026900"/>
    <n v="4504916"/>
    <n v="36274806"/>
    <n v="33000000"/>
    <n v="1.0992365454545454"/>
    <x v="1"/>
    <n v="26"/>
    <x v="7"/>
    <s v="Antioquia"/>
    <s v="Siempre Cumple"/>
    <n v="83"/>
    <n v="8076944"/>
    <n v="216"/>
    <n v="24552147"/>
    <n v="70"/>
    <n v="4504916"/>
    <n v="6672615"/>
    <m/>
  </r>
  <r>
    <n v="3"/>
    <x v="14"/>
    <n v="2017"/>
    <s v="Marzo"/>
    <s v="MARISEAR"/>
    <n v="43109744"/>
    <x v="22"/>
    <n v="48052706"/>
    <n v="2198800"/>
    <n v="7339558"/>
    <n v="38514348"/>
    <n v="43000000"/>
    <n v="0.89568251162790702"/>
    <x v="0"/>
    <n v="26"/>
    <x v="0"/>
    <s v=""/>
    <s v="No Aplica"/>
    <n v="99"/>
    <n v="8678740"/>
    <n v="212"/>
    <n v="23496594"/>
    <n v="93"/>
    <n v="7339558"/>
    <n v="8537814"/>
    <m/>
  </r>
  <r>
    <n v="3"/>
    <x v="14"/>
    <n v="2017"/>
    <s v="Marzo"/>
    <s v="MONIMEME"/>
    <n v="42689970"/>
    <x v="24"/>
    <n v="51733447"/>
    <n v="1276000"/>
    <n v="6921937"/>
    <n v="43535510"/>
    <n v="39692307.692307688"/>
    <n v="1.0968248643410854"/>
    <x v="0"/>
    <n v="26"/>
    <x v="0"/>
    <s v=""/>
    <s v="No Aplica"/>
    <n v="98"/>
    <n v="9434651"/>
    <n v="238"/>
    <n v="25837178"/>
    <n v="88"/>
    <n v="6921937"/>
    <n v="9539681"/>
    <m/>
  </r>
  <r>
    <n v="3"/>
    <x v="14"/>
    <n v="2017"/>
    <s v="Marzo"/>
    <s v="NATAPIDU"/>
    <n v="43907427"/>
    <x v="25"/>
    <n v="44595430"/>
    <n v="695430"/>
    <n v="3774230"/>
    <n v="40125770"/>
    <n v="36000000"/>
    <n v="1.1146047222222222"/>
    <x v="1"/>
    <n v="26"/>
    <x v="11"/>
    <s v="Antioquia"/>
    <s v="Siempre Cumple"/>
    <n v="49"/>
    <n v="7789687"/>
    <n v="136"/>
    <n v="26948215"/>
    <n v="49"/>
    <n v="3774230"/>
    <n v="6083298"/>
    <m/>
  </r>
  <r>
    <n v="3"/>
    <x v="14"/>
    <n v="2017"/>
    <s v="Marzo"/>
    <s v="OSCADESU"/>
    <n v="91511871"/>
    <x v="7"/>
    <n v="3638726"/>
    <n v="0"/>
    <n v="0"/>
    <n v="3638726"/>
    <m/>
    <m/>
    <x v="0"/>
    <n v="26"/>
    <x v="0"/>
    <s v=""/>
    <s v="No Aplica"/>
    <n v="15"/>
    <n v="840681"/>
    <n v="25"/>
    <n v="1555810"/>
    <n v="0"/>
    <n v="0"/>
    <n v="1242235"/>
    <m/>
  </r>
  <r>
    <n v="3"/>
    <x v="14"/>
    <n v="2017"/>
    <s v="Marzo"/>
    <s v="PAULGOBA"/>
    <n v="32256379"/>
    <x v="36"/>
    <n v="28926420"/>
    <n v="396000"/>
    <n v="3761799"/>
    <n v="24768621"/>
    <n v="42000000"/>
    <n v="0.58972907142857145"/>
    <x v="1"/>
    <n v="26"/>
    <x v="13"/>
    <s v="Antioquia"/>
    <s v="Fluctúa"/>
    <n v="21"/>
    <n v="1834248"/>
    <n v="70"/>
    <n v="6320941"/>
    <n v="46"/>
    <n v="3761799"/>
    <n v="17009432"/>
    <m/>
  </r>
  <r>
    <n v="3"/>
    <x v="14"/>
    <n v="2017"/>
    <s v="Marzo"/>
    <s v="RAULMOGA"/>
    <n v="79701425"/>
    <x v="27"/>
    <n v="33920765"/>
    <n v="1384000"/>
    <n v="5582511"/>
    <n v="26954254"/>
    <n v="20000000"/>
    <n v="1.3477127"/>
    <x v="0"/>
    <n v="26"/>
    <x v="6"/>
    <s v="Centro"/>
    <s v="No Aplica"/>
    <n v="79"/>
    <n v="5038040"/>
    <n v="204"/>
    <n v="18709420"/>
    <n v="83"/>
    <n v="5582511"/>
    <n v="4590794"/>
    <m/>
  </r>
  <r>
    <n v="3"/>
    <x v="14"/>
    <n v="2017"/>
    <s v="Marzo"/>
    <s v="ROCIFASA"/>
    <n v="34542470"/>
    <x v="28"/>
    <n v="34474696"/>
    <n v="558000"/>
    <n v="4782491"/>
    <n v="29134205"/>
    <n v="25000000"/>
    <n v="1.1653682000000001"/>
    <x v="1"/>
    <n v="26"/>
    <x v="12"/>
    <s v="Occidente"/>
    <s v="Siempre Cumple"/>
    <n v="61"/>
    <n v="6774902"/>
    <n v="170"/>
    <n v="20242090"/>
    <n v="52"/>
    <n v="4782491"/>
    <n v="2675213"/>
    <m/>
  </r>
  <r>
    <n v="3"/>
    <x v="14"/>
    <n v="2017"/>
    <s v="Marzo"/>
    <s v="VIVIVAZA"/>
    <n v="43745952"/>
    <x v="30"/>
    <n v="74244460"/>
    <n v="1102100"/>
    <n v="12520070"/>
    <n v="60622290"/>
    <n v="43000000"/>
    <n v="1.4098206976744185"/>
    <x v="1"/>
    <n v="26"/>
    <x v="3"/>
    <s v="Antioquia"/>
    <s v="Siempre Cumple"/>
    <n v="132"/>
    <n v="12177797"/>
    <n v="326"/>
    <n v="42689634"/>
    <n v="130"/>
    <n v="12520070"/>
    <n v="6856959"/>
    <m/>
  </r>
  <r>
    <n v="3"/>
    <x v="14"/>
    <n v="2017"/>
    <s v="Marzo"/>
    <s v="ZULYARGA"/>
    <n v="43259130"/>
    <x v="31"/>
    <n v="57512734"/>
    <n v="2509800"/>
    <n v="10896345"/>
    <n v="44106589"/>
    <n v="43000000"/>
    <n v="1.0257346279069768"/>
    <x v="1"/>
    <n v="26"/>
    <x v="1"/>
    <s v="Antioquia"/>
    <s v="Fluctúa"/>
    <n v="124"/>
    <n v="10756632"/>
    <n v="284"/>
    <n v="30086403"/>
    <n v="125"/>
    <n v="10896345"/>
    <n v="5773354"/>
    <m/>
  </r>
  <r>
    <n v="3"/>
    <x v="14"/>
    <n v="2017"/>
    <s v="Marzo"/>
    <s v="GENNHEPO"/>
    <n v="43874518"/>
    <x v="14"/>
    <n v="34424399"/>
    <n v="1672200"/>
    <n v="8412233"/>
    <n v="24339966"/>
    <n v="43000000"/>
    <n v="0.56604572093023253"/>
    <x v="1"/>
    <n v="26"/>
    <x v="8"/>
    <s v="Antioquia"/>
    <s v="Fluctúa"/>
    <n v="66"/>
    <n v="5766353"/>
    <n v="172"/>
    <n v="14706212"/>
    <n v="99"/>
    <n v="8412233"/>
    <n v="5539601"/>
    <m/>
  </r>
  <r>
    <n v="3"/>
    <x v="14"/>
    <n v="2017"/>
    <s v="Marzo"/>
    <s v="ANDRSAZA"/>
    <n v="1020736461"/>
    <x v="45"/>
    <n v="43098002"/>
    <n v="894000"/>
    <n v="6526358"/>
    <n v="35677644"/>
    <n v="22000000"/>
    <n v="1.6217110909090908"/>
    <x v="1"/>
    <n v="26"/>
    <x v="9"/>
    <s v="Centro"/>
    <s v="Siempre Cumple"/>
    <n v="77"/>
    <n v="6962784"/>
    <n v="234"/>
    <n v="27531342"/>
    <n v="94"/>
    <n v="6526358"/>
    <n v="2077518"/>
    <m/>
  </r>
  <r>
    <n v="3"/>
    <x v="14"/>
    <n v="2017"/>
    <s v="Marzo"/>
    <s v="ERIKSAVA"/>
    <n v="1017200970"/>
    <x v="44"/>
    <n v="52222104"/>
    <n v="1454100"/>
    <n v="7100199"/>
    <n v="43667805"/>
    <n v="43000000"/>
    <n v="1.0155303488372094"/>
    <x v="1"/>
    <n v="26"/>
    <x v="4"/>
    <s v="Antioquia"/>
    <s v="Cumple"/>
    <n v="97"/>
    <n v="9623967"/>
    <n v="202"/>
    <n v="24670436"/>
    <n v="85"/>
    <n v="7100199"/>
    <n v="10827502"/>
    <m/>
  </r>
  <r>
    <n v="3"/>
    <x v="14"/>
    <n v="2017"/>
    <s v="Marzo"/>
    <s v="RUBYHIGA"/>
    <n v="43636530"/>
    <x v="42"/>
    <n v="49593086"/>
    <n v="1448200"/>
    <n v="8855320"/>
    <n v="39289566"/>
    <n v="41000000"/>
    <n v="0.9582820975609756"/>
    <x v="0"/>
    <n v="26"/>
    <x v="0"/>
    <s v=""/>
    <s v="No Aplica"/>
    <n v="88"/>
    <n v="7551090"/>
    <n v="218"/>
    <n v="23596134"/>
    <n v="95"/>
    <n v="8855320"/>
    <n v="9590542"/>
    <m/>
  </r>
  <r>
    <n v="3"/>
    <x v="14"/>
    <n v="2017"/>
    <s v="Marzo"/>
    <s v="PAOLPACA"/>
    <n v="31445278"/>
    <x v="47"/>
    <n v="41609228"/>
    <n v="0"/>
    <n v="9201580"/>
    <n v="32407648"/>
    <n v="29999999.999999996"/>
    <n v="1.0802549333333336"/>
    <x v="1"/>
    <n v="26"/>
    <x v="14"/>
    <s v="Occidente"/>
    <s v="Cumple"/>
    <n v="115"/>
    <n v="8184695"/>
    <n v="338"/>
    <n v="20167198"/>
    <n v="107"/>
    <n v="9201580"/>
    <n v="4055755"/>
    <m/>
  </r>
  <r>
    <n v="3"/>
    <x v="14"/>
    <n v="2017"/>
    <s v="Marzo"/>
    <s v="HISNOSPI"/>
    <n v="43114534"/>
    <x v="49"/>
    <n v="20841332"/>
    <n v="609660"/>
    <n v="1644590"/>
    <n v="18587082"/>
    <n v="18000000"/>
    <n v="1.0326156666666666"/>
    <x v="0"/>
    <n v="26"/>
    <x v="4"/>
    <s v="Antioquia"/>
    <s v="No Aplica"/>
    <n v="29"/>
    <n v="4019463"/>
    <n v="90"/>
    <n v="13079080"/>
    <n v="21"/>
    <n v="1644590"/>
    <n v="2098199"/>
    <m/>
  </r>
  <r>
    <n v="3"/>
    <x v="14"/>
    <n v="2017"/>
    <s v="Marzo"/>
    <s v="DEISCACR"/>
    <n v="1017167720"/>
    <x v="50"/>
    <n v="53806511"/>
    <n v="550700"/>
    <n v="9793710"/>
    <n v="43462101"/>
    <n v="43000000"/>
    <n v="1.010746534883721"/>
    <x v="1"/>
    <n v="26"/>
    <x v="8"/>
    <s v="Antioquia"/>
    <s v="Cumple"/>
    <n v="112"/>
    <n v="10653313"/>
    <n v="244"/>
    <n v="24832763"/>
    <n v="109"/>
    <n v="9793710"/>
    <n v="8526725"/>
    <m/>
  </r>
  <r>
    <n v="3"/>
    <x v="14"/>
    <n v="2017"/>
    <s v="Marzo"/>
    <s v="YENYSUPE"/>
    <n v="1020419011"/>
    <x v="51"/>
    <n v="40607946"/>
    <n v="780000"/>
    <n v="7722832"/>
    <n v="32105114"/>
    <n v="43000000"/>
    <n v="0.74663055813953494"/>
    <x v="1"/>
    <n v="26"/>
    <x v="8"/>
    <s v="Antioquia"/>
    <s v="Cumple"/>
    <n v="72"/>
    <n v="5902884"/>
    <n v="168"/>
    <n v="20592263"/>
    <n v="93"/>
    <n v="7722832"/>
    <n v="6389967"/>
    <m/>
  </r>
  <r>
    <n v="3"/>
    <x v="14"/>
    <n v="2017"/>
    <s v="Marzo"/>
    <s v="ANGEROPI"/>
    <n v="43800272"/>
    <x v="46"/>
    <n v="39903185"/>
    <n v="748700"/>
    <n v="7569501"/>
    <n v="31584984"/>
    <n v="39461538.461538464"/>
    <n v="0.80039920467836256"/>
    <x v="0"/>
    <n v="26"/>
    <x v="0"/>
    <s v=""/>
    <s v="No Aplica"/>
    <n v="79"/>
    <n v="6650092"/>
    <n v="242"/>
    <n v="20492982"/>
    <n v="94"/>
    <n v="7569501"/>
    <n v="5190610"/>
    <m/>
  </r>
  <r>
    <n v="3"/>
    <x v="14"/>
    <n v="2017"/>
    <s v="Marzo"/>
    <s v="HERIRORO"/>
    <n v="21428423"/>
    <x v="52"/>
    <n v="33434333"/>
    <n v="1660000"/>
    <n v="8405064"/>
    <n v="23369269"/>
    <n v="36900000"/>
    <n v="0.63331352303523036"/>
    <x v="1"/>
    <n v="26"/>
    <x v="5"/>
    <s v="Antioquia"/>
    <s v="Fluctúa"/>
    <n v="76"/>
    <n v="5514319"/>
    <n v="162"/>
    <n v="14175791"/>
    <n v="86"/>
    <n v="8405064"/>
    <n v="5339159"/>
    <m/>
  </r>
  <r>
    <n v="3"/>
    <x v="14"/>
    <n v="2017"/>
    <s v="Marzo"/>
    <s v="CAMIPUHE"/>
    <n v="79850984"/>
    <x v="53"/>
    <n v="26572179"/>
    <n v="1236000"/>
    <n v="2613475"/>
    <n v="22722704"/>
    <n v="19800000"/>
    <n v="1.147611313131313"/>
    <x v="1"/>
    <n v="26"/>
    <x v="15"/>
    <s v="Centro"/>
    <s v="Fluctúa"/>
    <n v="59"/>
    <n v="6207544"/>
    <n v="132"/>
    <n v="13653822"/>
    <n v="39"/>
    <n v="2613475"/>
    <n v="4097338"/>
    <m/>
  </r>
  <r>
    <n v="3"/>
    <x v="14"/>
    <n v="2017"/>
    <s v="Marzo"/>
    <s v="LILIFOVI"/>
    <n v="1234189600"/>
    <x v="54"/>
    <n v="14263321"/>
    <n v="0"/>
    <n v="2059964"/>
    <n v="12203357"/>
    <n v="28548900"/>
    <n v="0.42745454290708224"/>
    <x v="0"/>
    <n v="26"/>
    <x v="0"/>
    <s v=""/>
    <s v="No Aplica"/>
    <n v="41"/>
    <n v="3420686"/>
    <n v="96"/>
    <n v="8782671"/>
    <n v="34"/>
    <n v="2059964"/>
    <n v="0"/>
    <m/>
  </r>
  <r>
    <n v="3"/>
    <x v="14"/>
    <n v="2017"/>
    <s v="Marzo"/>
    <s v="CINDGACU"/>
    <n v="1020443426"/>
    <x v="55"/>
    <n v="37726319"/>
    <n v="0"/>
    <n v="11050318"/>
    <n v="26676001"/>
    <n v="23200000.000000004"/>
    <n v="1.1498276293103447"/>
    <x v="1"/>
    <n v="26"/>
    <x v="4"/>
    <s v="Antioquia"/>
    <s v="Fluctúa"/>
    <n v="89"/>
    <n v="5818180"/>
    <n v="181"/>
    <n v="17935473"/>
    <n v="115"/>
    <n v="11050318"/>
    <n v="2922348"/>
    <m/>
  </r>
  <r>
    <n v="3"/>
    <x v="14"/>
    <n v="2017"/>
    <s v="Marzo"/>
    <s v="GISECACM"/>
    <n v="1144140699"/>
    <x v="48"/>
    <n v="16239928"/>
    <n v="0"/>
    <n v="8653614"/>
    <n v="7586314"/>
    <n v="29999999.999999996"/>
    <n v="0.25287713333333334"/>
    <x v="0"/>
    <n v="26"/>
    <x v="0"/>
    <s v=""/>
    <s v="No Aplica"/>
    <n v="16"/>
    <n v="1426241"/>
    <n v="50"/>
    <n v="3256825"/>
    <n v="100"/>
    <n v="8653614"/>
    <n v="2903248"/>
    <m/>
  </r>
  <r>
    <n v="3"/>
    <x v="14"/>
    <n v="2017"/>
    <s v="Marzo"/>
    <s v="KATHCASG"/>
    <m/>
    <x v="7"/>
    <n v="158400"/>
    <n v="0"/>
    <n v="0"/>
    <n v="158400"/>
    <m/>
    <m/>
    <x v="0"/>
    <n v="26"/>
    <x v="0"/>
    <s v=""/>
    <s v="No Aplica"/>
    <n v="0"/>
    <n v="0"/>
    <n v="0"/>
    <n v="0"/>
    <n v="0"/>
    <n v="0"/>
    <n v="158400"/>
    <m/>
  </r>
  <r>
    <n v="3"/>
    <x v="14"/>
    <n v="2017"/>
    <s v="Marzo"/>
    <s v="EMMAARMA"/>
    <m/>
    <x v="7"/>
    <n v="158400"/>
    <n v="0"/>
    <n v="0"/>
    <n v="158400"/>
    <m/>
    <m/>
    <x v="0"/>
    <n v="26"/>
    <x v="0"/>
    <s v=""/>
    <s v="No Aplica"/>
    <n v="0"/>
    <n v="0"/>
    <n v="0"/>
    <n v="0"/>
    <n v="0"/>
    <n v="0"/>
    <n v="158400"/>
    <m/>
  </r>
  <r>
    <n v="3"/>
    <x v="14"/>
    <n v="2017"/>
    <s v="Marzo"/>
    <s v="LUZMARMO"/>
    <m/>
    <x v="7"/>
    <n v="0"/>
    <n v="0"/>
    <n v="0"/>
    <n v="0"/>
    <m/>
    <m/>
    <x v="0"/>
    <n v="26"/>
    <x v="0"/>
    <s v=""/>
    <s v="No Aplica"/>
    <n v="0"/>
    <n v="0"/>
    <n v="0"/>
    <n v="0"/>
    <n v="0"/>
    <n v="0"/>
    <n v="0"/>
    <m/>
  </r>
  <r>
    <n v="3"/>
    <x v="14"/>
    <n v="2017"/>
    <s v="Marzo"/>
    <s v="SUANHECO"/>
    <m/>
    <x v="7"/>
    <n v="222025"/>
    <n v="0"/>
    <n v="222025"/>
    <n v="0"/>
    <m/>
    <m/>
    <x v="0"/>
    <n v="26"/>
    <x v="0"/>
    <s v=""/>
    <s v="No Aplica"/>
    <n v="0"/>
    <n v="0"/>
    <n v="0"/>
    <n v="0"/>
    <n v="3"/>
    <n v="222025"/>
    <n v="0"/>
    <m/>
  </r>
  <r>
    <n v="3"/>
    <x v="14"/>
    <n v="2017"/>
    <s v="Marzo"/>
    <s v="ANAMSAPV"/>
    <m/>
    <x v="7"/>
    <n v="113634"/>
    <n v="0"/>
    <n v="113634"/>
    <n v="0"/>
    <m/>
    <m/>
    <x v="0"/>
    <n v="26"/>
    <x v="0"/>
    <s v=""/>
    <s v="No Aplica"/>
    <n v="0"/>
    <n v="0"/>
    <n v="0"/>
    <n v="0"/>
    <n v="2"/>
    <n v="113634"/>
    <n v="0"/>
    <m/>
  </r>
  <r>
    <n v="3"/>
    <x v="14"/>
    <n v="2017"/>
    <s v="Marzo"/>
    <s v="CLAUPACO"/>
    <m/>
    <x v="7"/>
    <n v="786716"/>
    <n v="0"/>
    <n v="0"/>
    <n v="786716"/>
    <m/>
    <m/>
    <x v="0"/>
    <n v="26"/>
    <x v="0"/>
    <s v=""/>
    <s v="No Aplica"/>
    <n v="3"/>
    <n v="235215"/>
    <n v="6"/>
    <n v="367700"/>
    <n v="0"/>
    <n v="0"/>
    <n v="183801"/>
    <m/>
  </r>
  <r>
    <n v="3"/>
    <x v="14"/>
    <n v="2017"/>
    <s v="Marzo"/>
    <s v="ANLLLIZO"/>
    <m/>
    <x v="7"/>
    <n v="0"/>
    <n v="0"/>
    <n v="0"/>
    <n v="0"/>
    <m/>
    <m/>
    <x v="0"/>
    <n v="26"/>
    <x v="0"/>
    <s v=""/>
    <s v="No Aplica"/>
    <n v="0"/>
    <n v="0"/>
    <n v="0"/>
    <n v="0"/>
    <n v="0"/>
    <n v="0"/>
    <n v="0"/>
    <m/>
  </r>
  <r>
    <n v="3"/>
    <x v="14"/>
    <n v="2017"/>
    <s v="Marzo"/>
    <s v="LAURECFE"/>
    <m/>
    <x v="7"/>
    <n v="102046"/>
    <n v="0"/>
    <n v="0"/>
    <n v="102046"/>
    <m/>
    <m/>
    <x v="0"/>
    <n v="26"/>
    <x v="0"/>
    <s v=""/>
    <s v="No Aplica"/>
    <n v="1"/>
    <n v="94526"/>
    <n v="2"/>
    <n v="7520"/>
    <n v="0"/>
    <n v="0"/>
    <n v="0"/>
    <m/>
  </r>
  <r>
    <n v="3"/>
    <x v="14"/>
    <n v="2017"/>
    <s v="Marzo"/>
    <s v="KATHVABE"/>
    <m/>
    <x v="7"/>
    <n v="279497"/>
    <n v="0"/>
    <n v="0"/>
    <n v="279497"/>
    <m/>
    <m/>
    <x v="0"/>
    <n v="26"/>
    <x v="0"/>
    <s v=""/>
    <s v="No Aplica"/>
    <n v="1"/>
    <n v="131677"/>
    <n v="2"/>
    <n v="147820"/>
    <n v="0"/>
    <n v="0"/>
    <n v="0"/>
    <m/>
  </r>
  <r>
    <n v="3"/>
    <x v="14"/>
    <n v="2017"/>
    <s v="Marzo"/>
    <s v="(en blanco)"/>
    <m/>
    <x v="7"/>
    <n v="-166500"/>
    <n v="0"/>
    <n v="0"/>
    <n v="-166500"/>
    <m/>
    <m/>
    <x v="0"/>
    <n v="26"/>
    <x v="0"/>
    <s v=""/>
    <s v="No Aplica"/>
    <n v="2"/>
    <n v="0"/>
    <n v="4"/>
    <n v="0"/>
    <n v="0"/>
    <n v="0"/>
    <n v="-166500"/>
    <m/>
  </r>
  <r>
    <n v="4"/>
    <x v="15"/>
    <n v="2017"/>
    <s v="Abril"/>
    <s v="ADRIMOLU"/>
    <n v="43169964"/>
    <x v="1"/>
    <n v="7400690"/>
    <n v="0"/>
    <n v="2741822"/>
    <n v="4658868"/>
    <n v="14260869.565217391"/>
    <n v="0.32668891463414634"/>
    <x v="1"/>
    <n v="23"/>
    <x v="1"/>
    <s v="Antioquia"/>
    <s v="Cumple"/>
    <n v="15"/>
    <n v="1065364"/>
    <n v="34"/>
    <n v="2841594"/>
    <n v="31"/>
    <n v="2741822"/>
    <n v="751910"/>
    <m/>
  </r>
  <r>
    <n v="4"/>
    <x v="15"/>
    <n v="2017"/>
    <s v="Abril"/>
    <s v="ALEXLOGR"/>
    <n v="43253531"/>
    <x v="2"/>
    <n v="49627094"/>
    <n v="396000"/>
    <n v="12002936"/>
    <n v="37228158"/>
    <n v="29000000"/>
    <n v="1.2837295862068965"/>
    <x v="1"/>
    <n v="23"/>
    <x v="2"/>
    <s v="Antioquia"/>
    <s v="Cumple"/>
    <n v="99"/>
    <n v="7431908"/>
    <n v="252"/>
    <n v="25118996"/>
    <n v="144"/>
    <n v="12002936"/>
    <n v="5073254"/>
    <m/>
  </r>
  <r>
    <n v="4"/>
    <x v="15"/>
    <n v="2017"/>
    <s v="Abril"/>
    <s v="ALVAOSOS"/>
    <n v="3438422"/>
    <x v="37"/>
    <n v="42725307"/>
    <n v="414000"/>
    <n v="7857117"/>
    <n v="34454190"/>
    <n v="30100000"/>
    <n v="1.1446574750830565"/>
    <x v="1"/>
    <n v="23"/>
    <x v="8"/>
    <s v="Antioquia"/>
    <s v="Fluctúa"/>
    <n v="66"/>
    <n v="6143082"/>
    <n v="168"/>
    <n v="22501142"/>
    <n v="98"/>
    <n v="7857117"/>
    <n v="6223966"/>
    <m/>
  </r>
  <r>
    <n v="4"/>
    <x v="15"/>
    <n v="2017"/>
    <s v="Abril"/>
    <s v="ANAMLOBE"/>
    <n v="43821410"/>
    <x v="3"/>
    <n v="70425234"/>
    <n v="936000"/>
    <n v="11927397"/>
    <n v="57561837"/>
    <n v="43000000"/>
    <n v="1.3386473720930232"/>
    <x v="1"/>
    <n v="23"/>
    <x v="3"/>
    <s v="Antioquia"/>
    <s v="Siempre Cumple"/>
    <n v="123"/>
    <n v="12070375"/>
    <n v="286"/>
    <n v="41386425"/>
    <n v="130"/>
    <n v="11927397"/>
    <n v="5041037"/>
    <m/>
  </r>
  <r>
    <n v="4"/>
    <x v="15"/>
    <n v="2017"/>
    <s v="Abril"/>
    <s v="ANGEGAAR"/>
    <n v="39442617"/>
    <x v="4"/>
    <n v="57833459"/>
    <n v="872000"/>
    <n v="13017941"/>
    <n v="43943518"/>
    <n v="43000000"/>
    <n v="1.0219422790697674"/>
    <x v="1"/>
    <n v="23"/>
    <x v="4"/>
    <s v="Antioquia"/>
    <s v="Cumple"/>
    <n v="119"/>
    <n v="11647486"/>
    <n v="266"/>
    <n v="25858332"/>
    <n v="144"/>
    <n v="13017941"/>
    <n v="7309700"/>
    <m/>
  </r>
  <r>
    <n v="4"/>
    <x v="15"/>
    <n v="2017"/>
    <s v="Abril"/>
    <s v="BIBIBECA"/>
    <n v="43971430"/>
    <x v="6"/>
    <n v="57117995"/>
    <n v="640000"/>
    <n v="13179324"/>
    <n v="43298671"/>
    <n v="41000000"/>
    <n v="1.0560651463414634"/>
    <x v="1"/>
    <n v="23"/>
    <x v="5"/>
    <s v="Antioquia"/>
    <s v="Siempre Cumple"/>
    <n v="117"/>
    <n v="9619342"/>
    <n v="270"/>
    <n v="27256827"/>
    <n v="148"/>
    <n v="13179324"/>
    <n v="7062502"/>
    <m/>
  </r>
  <r>
    <n v="4"/>
    <x v="15"/>
    <n v="2017"/>
    <s v="Abril"/>
    <s v="CAROVABE"/>
    <n v="1030634664"/>
    <x v="32"/>
    <n v="42307224"/>
    <n v="304000"/>
    <n v="8082994"/>
    <n v="33920230"/>
    <n v="41000000"/>
    <n v="0.82732268292682931"/>
    <x v="0"/>
    <n v="23"/>
    <x v="0"/>
    <s v=""/>
    <s v="No Aplica"/>
    <n v="84"/>
    <n v="6855557"/>
    <n v="209"/>
    <n v="22935210"/>
    <n v="88"/>
    <n v="8082994"/>
    <n v="4433463"/>
    <m/>
  </r>
  <r>
    <n v="4"/>
    <x v="15"/>
    <n v="2017"/>
    <s v="Abril"/>
    <s v="CLAUBLAR"/>
    <n v="43554403"/>
    <x v="8"/>
    <n v="55727710"/>
    <n v="285400"/>
    <n v="13105003"/>
    <n v="42337307"/>
    <n v="41000000"/>
    <n v="1.032617243902439"/>
    <x v="1"/>
    <n v="23"/>
    <x v="5"/>
    <s v="Antioquia"/>
    <s v="Siempre Cumple"/>
    <n v="90"/>
    <n v="8486961"/>
    <n v="220"/>
    <n v="26312342"/>
    <n v="139"/>
    <n v="13105003"/>
    <n v="7823404"/>
    <m/>
  </r>
  <r>
    <n v="4"/>
    <x v="15"/>
    <n v="2017"/>
    <s v="Abril"/>
    <s v="DERLARMO"/>
    <n v="52725011"/>
    <x v="10"/>
    <n v="28884239"/>
    <n v="1306000"/>
    <n v="6752059"/>
    <n v="20826180"/>
    <n v="20000000"/>
    <n v="1.041309"/>
    <x v="1"/>
    <n v="23"/>
    <x v="6"/>
    <s v="Centro"/>
    <s v="Fluctúa"/>
    <n v="73"/>
    <n v="4167352"/>
    <n v="174"/>
    <n v="13634173"/>
    <n v="96"/>
    <n v="6752059"/>
    <n v="4330655"/>
    <m/>
  </r>
  <r>
    <n v="4"/>
    <x v="15"/>
    <n v="2017"/>
    <s v="Abril"/>
    <s v="DIANQUME"/>
    <n v="42164020"/>
    <x v="12"/>
    <n v="33026870"/>
    <n v="2014800"/>
    <n v="10707704"/>
    <n v="20304366"/>
    <n v="43000000"/>
    <n v="0.47219455813953487"/>
    <x v="1"/>
    <n v="23"/>
    <x v="1"/>
    <s v="Antioquia"/>
    <s v="Siempre Cumple"/>
    <n v="30"/>
    <n v="3824270"/>
    <n v="121"/>
    <n v="13605104"/>
    <n v="121"/>
    <n v="10707704"/>
    <n v="4889792"/>
    <m/>
  </r>
  <r>
    <n v="4"/>
    <x v="15"/>
    <n v="2017"/>
    <s v="Abril"/>
    <s v="DIANPAAL"/>
    <n v="1040030764"/>
    <x v="11"/>
    <n v="33856469"/>
    <n v="1524800"/>
    <n v="6931260"/>
    <n v="25400409"/>
    <n v="33000000"/>
    <n v="0.76970936363636366"/>
    <x v="1"/>
    <n v="23"/>
    <x v="7"/>
    <s v="Antioquia"/>
    <s v="Cumple"/>
    <n v="70"/>
    <n v="6945676"/>
    <n v="170"/>
    <n v="15792527"/>
    <n v="87"/>
    <n v="6931260"/>
    <n v="4187006"/>
    <m/>
  </r>
  <r>
    <n v="4"/>
    <x v="15"/>
    <n v="2017"/>
    <s v="Abril"/>
    <s v="DIANPOPA"/>
    <n v="31307503"/>
    <x v="33"/>
    <n v="26814354"/>
    <n v="0"/>
    <n v="9292415"/>
    <n v="17521939"/>
    <n v="30000000"/>
    <n v="0.58406463333333336"/>
    <x v="0"/>
    <n v="23"/>
    <x v="0"/>
    <s v=""/>
    <s v="No Aplica"/>
    <n v="55"/>
    <n v="4434557"/>
    <n v="214"/>
    <n v="11240456"/>
    <n v="114"/>
    <n v="9292415"/>
    <n v="1846926"/>
    <m/>
  </r>
  <r>
    <n v="4"/>
    <x v="15"/>
    <n v="2017"/>
    <s v="Abril"/>
    <s v="ELIZVESU"/>
    <n v="1035417626"/>
    <x v="13"/>
    <n v="53615146"/>
    <n v="762000"/>
    <n v="10549665"/>
    <n v="42303481"/>
    <n v="41130434.782608695"/>
    <n v="1.0285201511627906"/>
    <x v="1"/>
    <n v="23"/>
    <x v="3"/>
    <s v="Antioquia"/>
    <s v="Cumple"/>
    <n v="89"/>
    <n v="10195025"/>
    <n v="232"/>
    <n v="26413279"/>
    <n v="116"/>
    <n v="10549665"/>
    <n v="6457177"/>
    <m/>
  </r>
  <r>
    <n v="4"/>
    <x v="15"/>
    <n v="2017"/>
    <s v="Abril"/>
    <s v="LILACARA"/>
    <n v="1017141451"/>
    <x v="17"/>
    <n v="61551230"/>
    <n v="2867400"/>
    <n v="12617440"/>
    <n v="46066390"/>
    <n v="43000000"/>
    <n v="1.0713113953488371"/>
    <x v="1"/>
    <n v="23"/>
    <x v="1"/>
    <s v="Antioquia"/>
    <s v="Siempre Cumple"/>
    <n v="101"/>
    <n v="10632433"/>
    <n v="269"/>
    <n v="27069090"/>
    <n v="126"/>
    <n v="12617440"/>
    <n v="11232267"/>
    <m/>
  </r>
  <r>
    <n v="4"/>
    <x v="15"/>
    <n v="2017"/>
    <s v="Abril"/>
    <s v="ISABMOGO"/>
    <n v="52260671"/>
    <x v="15"/>
    <n v="34906218"/>
    <n v="2019000"/>
    <n v="6367677"/>
    <n v="26519541"/>
    <n v="22000000"/>
    <n v="1.2054336818181819"/>
    <x v="1"/>
    <n v="23"/>
    <x v="9"/>
    <s v="Centro"/>
    <s v="Siempre Cumple"/>
    <n v="75"/>
    <n v="7100177"/>
    <n v="186"/>
    <n v="15733420"/>
    <n v="91"/>
    <n v="6367677"/>
    <n v="5704944"/>
    <m/>
  </r>
  <r>
    <n v="4"/>
    <x v="15"/>
    <n v="2017"/>
    <s v="Abril"/>
    <s v="JAQUVEGU"/>
    <n v="1036779770"/>
    <x v="16"/>
    <n v="32886751"/>
    <n v="3274800"/>
    <n v="7308806"/>
    <n v="22303145"/>
    <n v="33000000"/>
    <n v="0.67585287878787881"/>
    <x v="0"/>
    <n v="23"/>
    <x v="7"/>
    <s v="Antioquia"/>
    <s v="No Aplica"/>
    <n v="64"/>
    <n v="6033032"/>
    <n v="159"/>
    <n v="13095835"/>
    <n v="92"/>
    <n v="7308806"/>
    <n v="6449078"/>
    <m/>
  </r>
  <r>
    <n v="4"/>
    <x v="15"/>
    <n v="2017"/>
    <s v="Abril"/>
    <s v="LEIDGOVI"/>
    <n v="1036598360"/>
    <x v="39"/>
    <n v="42438963"/>
    <n v="440000"/>
    <n v="7903876"/>
    <n v="34095087"/>
    <n v="30100000"/>
    <n v="1.1327271428571428"/>
    <x v="1"/>
    <n v="23"/>
    <x v="8"/>
    <s v="Antioquia"/>
    <s v="Fluctúa"/>
    <n v="76"/>
    <n v="7622061"/>
    <n v="170"/>
    <n v="19482304"/>
    <n v="85"/>
    <n v="7903876"/>
    <n v="7430722"/>
    <m/>
  </r>
  <r>
    <n v="4"/>
    <x v="15"/>
    <n v="2017"/>
    <s v="Abril"/>
    <s v="LUZNHEGO"/>
    <n v="43745192"/>
    <x v="19"/>
    <n v="31632703"/>
    <n v="198000"/>
    <n v="935715"/>
    <n v="30498988"/>
    <n v="25000000"/>
    <n v="1.21995952"/>
    <x v="1"/>
    <n v="23"/>
    <x v="10"/>
    <s v="Antioquia"/>
    <s v="Cumple"/>
    <n v="62"/>
    <n v="7830489"/>
    <n v="175"/>
    <n v="19814605"/>
    <n v="9"/>
    <n v="935715"/>
    <n v="3051894"/>
    <m/>
  </r>
  <r>
    <n v="4"/>
    <x v="15"/>
    <n v="2017"/>
    <s v="Abril"/>
    <s v="MARGGAPA"/>
    <n v="43866877"/>
    <x v="20"/>
    <n v="56381404"/>
    <n v="860000"/>
    <n v="14280440"/>
    <n v="41240964"/>
    <n v="39217391.304347828"/>
    <n v="1.0515988603104212"/>
    <x v="1"/>
    <n v="23"/>
    <x v="5"/>
    <s v="Antioquia"/>
    <s v="Siempre Cumple"/>
    <n v="113"/>
    <n v="11289983"/>
    <n v="248"/>
    <n v="23488599"/>
    <n v="154"/>
    <n v="14280440"/>
    <n v="7322382"/>
    <m/>
  </r>
  <r>
    <n v="4"/>
    <x v="15"/>
    <n v="2017"/>
    <s v="Abril"/>
    <s v="MARIMASA"/>
    <n v="43113640"/>
    <x v="34"/>
    <n v="39066990"/>
    <n v="1120000"/>
    <n v="6330655"/>
    <n v="31616335"/>
    <n v="30100000"/>
    <n v="1.0503765780730896"/>
    <x v="1"/>
    <n v="23"/>
    <x v="4"/>
    <s v="Antioquia"/>
    <s v="Cumple"/>
    <n v="62"/>
    <n v="6246765"/>
    <n v="126"/>
    <n v="20822649"/>
    <n v="65"/>
    <n v="6330655"/>
    <n v="5666921"/>
    <m/>
  </r>
  <r>
    <n v="4"/>
    <x v="15"/>
    <n v="2017"/>
    <s v="Abril"/>
    <s v="MARIOCOC"/>
    <n v="39448823"/>
    <x v="21"/>
    <n v="42511776"/>
    <n v="334800"/>
    <n v="7432502"/>
    <n v="34744474"/>
    <n v="33000000"/>
    <n v="1.0528628484848486"/>
    <x v="1"/>
    <n v="23"/>
    <x v="7"/>
    <s v="Antioquia"/>
    <s v="Siempre Cumple"/>
    <n v="87"/>
    <n v="8336647"/>
    <n v="206"/>
    <n v="23285268"/>
    <n v="93"/>
    <n v="7432502"/>
    <n v="3457359"/>
    <m/>
  </r>
  <r>
    <n v="4"/>
    <x v="15"/>
    <n v="2017"/>
    <s v="Abril"/>
    <s v="MARISEAR"/>
    <n v="43109744"/>
    <x v="22"/>
    <n v="9371836"/>
    <n v="210000"/>
    <n v="3289180"/>
    <n v="5872656"/>
    <n v="9347826.0869565215"/>
    <n v="0.62823761860465122"/>
    <x v="0"/>
    <n v="23"/>
    <x v="0"/>
    <s v=""/>
    <s v="No Aplica"/>
    <n v="15"/>
    <n v="974031"/>
    <n v="36"/>
    <n v="3558340"/>
    <n v="42"/>
    <n v="3289180"/>
    <n v="1550285"/>
    <m/>
  </r>
  <r>
    <n v="4"/>
    <x v="15"/>
    <n v="2017"/>
    <s v="Abril"/>
    <s v="NATAPIDU"/>
    <n v="43907427"/>
    <x v="25"/>
    <n v="41097230"/>
    <n v="0"/>
    <n v="3493229"/>
    <n v="37604001"/>
    <n v="36000000"/>
    <n v="1.0445555833333333"/>
    <x v="1"/>
    <n v="23"/>
    <x v="11"/>
    <s v="Antioquia"/>
    <s v="Siempre Cumple"/>
    <n v="50"/>
    <n v="9246306"/>
    <n v="124"/>
    <n v="21551706"/>
    <n v="44"/>
    <n v="3493229"/>
    <n v="6805989"/>
    <m/>
  </r>
  <r>
    <n v="4"/>
    <x v="15"/>
    <n v="2017"/>
    <s v="Abril"/>
    <s v="PAULGOBA"/>
    <n v="32256379"/>
    <x v="36"/>
    <n v="62437572"/>
    <n v="725400"/>
    <n v="5009194"/>
    <n v="56702978"/>
    <n v="42086956.521739125"/>
    <n v="1.347281502066116"/>
    <x v="1"/>
    <n v="23"/>
    <x v="13"/>
    <s v="Antioquia"/>
    <s v="Fluctúa"/>
    <n v="71"/>
    <n v="6872908"/>
    <n v="162"/>
    <n v="42684314"/>
    <n v="52"/>
    <n v="5009194"/>
    <n v="7871156"/>
    <m/>
  </r>
  <r>
    <n v="4"/>
    <x v="15"/>
    <n v="2017"/>
    <s v="Abril"/>
    <s v="RAULMOGA"/>
    <n v="79701425"/>
    <x v="27"/>
    <n v="29106841"/>
    <n v="0"/>
    <n v="7317088"/>
    <n v="21789753"/>
    <n v="20000000"/>
    <n v="1.0894876499999999"/>
    <x v="0"/>
    <n v="23"/>
    <x v="6"/>
    <s v="Centro"/>
    <s v="No Aplica"/>
    <n v="76"/>
    <n v="4372695"/>
    <n v="204"/>
    <n v="15429427"/>
    <n v="106"/>
    <n v="7317088"/>
    <n v="1987631"/>
    <m/>
  </r>
  <r>
    <n v="4"/>
    <x v="15"/>
    <n v="2017"/>
    <s v="Abril"/>
    <s v="ROCIFASA"/>
    <n v="34542470"/>
    <x v="28"/>
    <n v="32766045"/>
    <n v="1081800"/>
    <n v="4718601"/>
    <n v="26965644"/>
    <n v="25000000"/>
    <n v="1.07862576"/>
    <x v="1"/>
    <n v="23"/>
    <x v="12"/>
    <s v="Occidente"/>
    <s v="Siempre Cumple"/>
    <n v="57"/>
    <n v="6976150"/>
    <n v="160"/>
    <n v="17637782"/>
    <n v="56"/>
    <n v="4718601"/>
    <n v="3433512"/>
    <m/>
  </r>
  <r>
    <n v="4"/>
    <x v="15"/>
    <n v="2017"/>
    <s v="Abril"/>
    <s v="VIVIVAZA"/>
    <n v="43745952"/>
    <x v="30"/>
    <n v="75260268"/>
    <n v="738000"/>
    <n v="15013598"/>
    <n v="59508670"/>
    <n v="43000000"/>
    <n v="1.3839225581395349"/>
    <x v="1"/>
    <n v="23"/>
    <x v="3"/>
    <s v="Antioquia"/>
    <s v="Siempre Cumple"/>
    <n v="139"/>
    <n v="12371150"/>
    <n v="299"/>
    <n v="41233731"/>
    <n v="168"/>
    <n v="15013598"/>
    <n v="6641789"/>
    <m/>
  </r>
  <r>
    <n v="4"/>
    <x v="15"/>
    <n v="2017"/>
    <s v="Abril"/>
    <s v="ZULYARGA"/>
    <n v="43259130"/>
    <x v="31"/>
    <n v="56264329"/>
    <n v="3328800"/>
    <n v="10755212"/>
    <n v="42180317"/>
    <n v="43000000"/>
    <n v="0.98093760465116275"/>
    <x v="1"/>
    <n v="23"/>
    <x v="1"/>
    <s v="Antioquia"/>
    <s v="Fluctúa"/>
    <n v="93"/>
    <n v="8307873"/>
    <n v="244"/>
    <n v="28962120"/>
    <n v="123"/>
    <n v="10755212"/>
    <n v="8239124"/>
    <m/>
  </r>
  <r>
    <n v="4"/>
    <x v="15"/>
    <n v="2017"/>
    <s v="Abril"/>
    <s v="GENNHEPO"/>
    <n v="43874518"/>
    <x v="14"/>
    <n v="44585588"/>
    <n v="1405400"/>
    <n v="10810959"/>
    <n v="32369229"/>
    <n v="28043478.260869566"/>
    <n v="1.1542515767441861"/>
    <x v="1"/>
    <n v="23"/>
    <x v="8"/>
    <s v="Antioquia"/>
    <s v="Fluctúa"/>
    <n v="85"/>
    <n v="6445005"/>
    <n v="230"/>
    <n v="19839117"/>
    <n v="116"/>
    <n v="10810959"/>
    <n v="7490507"/>
    <m/>
  </r>
  <r>
    <n v="4"/>
    <x v="15"/>
    <n v="2017"/>
    <s v="Abril"/>
    <s v="ANDRSAZA"/>
    <n v="1020736461"/>
    <x v="45"/>
    <n v="39892994"/>
    <n v="2404000"/>
    <n v="7101911"/>
    <n v="30387083"/>
    <n v="22000000"/>
    <n v="1.3812310454545456"/>
    <x v="1"/>
    <n v="23"/>
    <x v="9"/>
    <s v="Centro"/>
    <s v="Siempre Cumple"/>
    <n v="78"/>
    <n v="6734506"/>
    <n v="187"/>
    <n v="21858647"/>
    <n v="108"/>
    <n v="7101911"/>
    <n v="4197930"/>
    <m/>
  </r>
  <r>
    <n v="4"/>
    <x v="15"/>
    <n v="2017"/>
    <s v="Abril"/>
    <s v="ERIKSAVA"/>
    <n v="1017200970"/>
    <x v="44"/>
    <n v="35444630"/>
    <n v="832000"/>
    <n v="8119802"/>
    <n v="26492828"/>
    <n v="43000000"/>
    <n v="0.6161122790697674"/>
    <x v="1"/>
    <n v="23"/>
    <x v="4"/>
    <s v="Antioquia"/>
    <s v="Cumple"/>
    <n v="70"/>
    <n v="6462744"/>
    <n v="134"/>
    <n v="14252095"/>
    <n v="105"/>
    <n v="8119802"/>
    <n v="6609989"/>
    <m/>
  </r>
  <r>
    <n v="4"/>
    <x v="15"/>
    <n v="2017"/>
    <s v="Abril"/>
    <s v="RUBYHIGA"/>
    <n v="43636530"/>
    <x v="42"/>
    <n v="22037792"/>
    <n v="958800"/>
    <n v="9549346"/>
    <n v="11529646"/>
    <n v="41000000"/>
    <n v="0.28121087804878048"/>
    <x v="0"/>
    <n v="23"/>
    <x v="0"/>
    <s v=""/>
    <s v="No Aplica"/>
    <n v="28"/>
    <n v="2163074"/>
    <n v="80"/>
    <n v="7141563"/>
    <n v="111"/>
    <n v="9549346"/>
    <n v="3183809"/>
    <m/>
  </r>
  <r>
    <n v="4"/>
    <x v="15"/>
    <n v="2017"/>
    <s v="Abril"/>
    <s v="PAOLPACA"/>
    <n v="31445278"/>
    <x v="47"/>
    <n v="22595457"/>
    <n v="0"/>
    <n v="7929449"/>
    <n v="14666008"/>
    <n v="30000000"/>
    <n v="0.48886693333333331"/>
    <x v="1"/>
    <n v="23"/>
    <x v="14"/>
    <s v="Occidente"/>
    <s v="Cumple"/>
    <n v="48"/>
    <n v="3831327"/>
    <n v="158"/>
    <n v="8947661"/>
    <n v="107"/>
    <n v="7929449"/>
    <n v="1887020"/>
    <m/>
  </r>
  <r>
    <n v="4"/>
    <x v="15"/>
    <n v="2017"/>
    <s v="Abril"/>
    <s v="HISNOSPI"/>
    <n v="43114534"/>
    <x v="49"/>
    <n v="21221451"/>
    <n v="0"/>
    <n v="3271204"/>
    <n v="17950247"/>
    <n v="18000000"/>
    <n v="0.99723594444444441"/>
    <x v="0"/>
    <n v="23"/>
    <x v="4"/>
    <s v="Antioquia"/>
    <s v="No Aplica"/>
    <n v="40"/>
    <n v="4292681"/>
    <n v="105"/>
    <n v="10592030"/>
    <n v="41"/>
    <n v="3271204"/>
    <n v="3065536"/>
    <m/>
  </r>
  <r>
    <n v="4"/>
    <x v="15"/>
    <n v="2017"/>
    <s v="Abril"/>
    <s v="DEISCACR"/>
    <n v="1017167720"/>
    <x v="50"/>
    <n v="53784295"/>
    <n v="1652700"/>
    <n v="8609541"/>
    <n v="43522054"/>
    <n v="43000000"/>
    <n v="1.0121407906976745"/>
    <x v="1"/>
    <n v="23"/>
    <x v="8"/>
    <s v="Antioquia"/>
    <s v="Cumple"/>
    <n v="103"/>
    <n v="10307485"/>
    <n v="219"/>
    <n v="24237376"/>
    <n v="95"/>
    <n v="8609541"/>
    <n v="10629893"/>
    <m/>
  </r>
  <r>
    <n v="4"/>
    <x v="15"/>
    <n v="2017"/>
    <s v="Abril"/>
    <s v="YENYSUPE"/>
    <n v="1020419011"/>
    <x v="51"/>
    <n v="56201028"/>
    <n v="1924000"/>
    <n v="10056930"/>
    <n v="44220098"/>
    <n v="43000000"/>
    <n v="1.0283743720930232"/>
    <x v="1"/>
    <n v="23"/>
    <x v="8"/>
    <s v="Antioquia"/>
    <s v="Cumple"/>
    <n v="106"/>
    <n v="8698819"/>
    <n v="258"/>
    <n v="26761934"/>
    <n v="115"/>
    <n v="10056930"/>
    <n v="10683345"/>
    <m/>
  </r>
  <r>
    <n v="4"/>
    <x v="15"/>
    <n v="2017"/>
    <s v="Abril"/>
    <s v="ANGEROPI"/>
    <n v="43800272"/>
    <x v="46"/>
    <n v="38076284"/>
    <n v="1323400"/>
    <n v="9892273"/>
    <n v="26860611"/>
    <n v="41695652.173913047"/>
    <n v="0.64420652033368087"/>
    <x v="0"/>
    <n v="23"/>
    <x v="0"/>
    <s v=""/>
    <s v="No Aplica"/>
    <n v="68"/>
    <n v="5877577"/>
    <n v="193"/>
    <n v="17100132"/>
    <n v="112"/>
    <n v="9892273"/>
    <n v="5206302"/>
    <m/>
  </r>
  <r>
    <n v="4"/>
    <x v="15"/>
    <n v="2017"/>
    <s v="Abril"/>
    <s v="HERIRORO"/>
    <n v="21428423"/>
    <x v="52"/>
    <n v="51412692"/>
    <n v="0"/>
    <n v="10279918"/>
    <n v="41132774"/>
    <n v="41000000"/>
    <n v="1.0032383902439024"/>
    <x v="1"/>
    <n v="23"/>
    <x v="5"/>
    <s v="Antioquia"/>
    <s v="Fluctúa"/>
    <n v="114"/>
    <n v="8783309"/>
    <n v="258"/>
    <n v="28709887"/>
    <n v="121"/>
    <n v="10279918"/>
    <n v="3639578"/>
    <m/>
  </r>
  <r>
    <n v="4"/>
    <x v="15"/>
    <n v="2017"/>
    <s v="Abril"/>
    <s v="CAMIPUHE"/>
    <n v="79850984"/>
    <x v="53"/>
    <n v="28903344"/>
    <n v="352700"/>
    <n v="5631838"/>
    <n v="22918806"/>
    <n v="22000000"/>
    <n v="1.041763909090909"/>
    <x v="1"/>
    <n v="23"/>
    <x v="15"/>
    <s v="Centro"/>
    <s v="Fluctúa"/>
    <n v="46"/>
    <n v="4300774"/>
    <n v="138"/>
    <n v="16124093"/>
    <n v="82"/>
    <n v="5631838"/>
    <n v="2846639"/>
    <m/>
  </r>
  <r>
    <n v="4"/>
    <x v="15"/>
    <n v="2017"/>
    <s v="Abril"/>
    <s v="LILIFOVI"/>
    <n v="1234189600"/>
    <x v="54"/>
    <n v="14733510"/>
    <n v="0"/>
    <n v="487920"/>
    <n v="14245590"/>
    <n v="31721000"/>
    <n v="0.44909019261687838"/>
    <x v="0"/>
    <n v="23"/>
    <x v="0"/>
    <s v=""/>
    <s v="No Aplica"/>
    <n v="17"/>
    <n v="1601411"/>
    <n v="40"/>
    <n v="4610115"/>
    <n v="7"/>
    <n v="487920"/>
    <n v="8034064"/>
    <m/>
  </r>
  <r>
    <n v="4"/>
    <x v="15"/>
    <n v="2017"/>
    <s v="Abril"/>
    <s v="CINDGACU"/>
    <n v="1020443426"/>
    <x v="55"/>
    <n v="36830246"/>
    <n v="744000"/>
    <n v="9886586"/>
    <n v="26199660"/>
    <n v="24965217.391304348"/>
    <n v="1.0494464994775339"/>
    <x v="1"/>
    <n v="23"/>
    <x v="4"/>
    <s v="Antioquia"/>
    <s v="Fluctúa"/>
    <n v="83"/>
    <n v="5411199"/>
    <n v="192"/>
    <n v="19155476"/>
    <n v="117"/>
    <n v="9886586"/>
    <n v="2376985"/>
    <m/>
  </r>
  <r>
    <n v="4"/>
    <x v="15"/>
    <n v="2017"/>
    <s v="Abril"/>
    <s v="GISECACM"/>
    <n v="1144140699"/>
    <x v="48"/>
    <n v="23126266"/>
    <n v="0"/>
    <n v="8471618"/>
    <n v="14654648"/>
    <n v="30000000"/>
    <n v="0.48848826666666667"/>
    <x v="0"/>
    <n v="23"/>
    <x v="0"/>
    <s v=""/>
    <s v="No Aplica"/>
    <n v="46"/>
    <n v="3555686"/>
    <n v="124"/>
    <n v="6599520"/>
    <n v="93"/>
    <n v="8471618"/>
    <n v="4499442"/>
    <m/>
  </r>
  <r>
    <n v="4"/>
    <x v="15"/>
    <n v="2017"/>
    <s v="Abril"/>
    <s v="ANAMSAPV"/>
    <m/>
    <x v="7"/>
    <n v="0"/>
    <n v="0"/>
    <n v="0"/>
    <n v="0"/>
    <m/>
    <m/>
    <x v="0"/>
    <n v="23"/>
    <x v="0"/>
    <s v=""/>
    <s v="No Aplica"/>
    <n v="0"/>
    <n v="0"/>
    <n v="0"/>
    <n v="0"/>
    <n v="0"/>
    <n v="0"/>
    <n v="0"/>
    <m/>
  </r>
  <r>
    <n v="4"/>
    <x v="15"/>
    <n v="2017"/>
    <s v="Abril"/>
    <s v="CLAUPACO"/>
    <m/>
    <x v="7"/>
    <n v="828000"/>
    <n v="0"/>
    <n v="0"/>
    <n v="828000"/>
    <m/>
    <m/>
    <x v="0"/>
    <n v="23"/>
    <x v="0"/>
    <s v=""/>
    <s v="No Aplica"/>
    <n v="0"/>
    <n v="0"/>
    <n v="0"/>
    <n v="0"/>
    <n v="0"/>
    <n v="0"/>
    <n v="828000"/>
    <m/>
  </r>
  <r>
    <n v="4"/>
    <x v="15"/>
    <n v="2017"/>
    <s v="Abril"/>
    <s v="LUZMARMO"/>
    <m/>
    <x v="7"/>
    <n v="0"/>
    <n v="0"/>
    <n v="0"/>
    <n v="0"/>
    <m/>
    <m/>
    <x v="0"/>
    <n v="23"/>
    <x v="0"/>
    <s v=""/>
    <s v="No Aplica"/>
    <n v="0"/>
    <n v="0"/>
    <n v="0"/>
    <n v="0"/>
    <n v="0"/>
    <n v="0"/>
    <n v="0"/>
    <m/>
  </r>
  <r>
    <n v="4"/>
    <x v="15"/>
    <n v="2017"/>
    <s v="Abril"/>
    <s v="SUANHECO"/>
    <m/>
    <x v="7"/>
    <n v="69764"/>
    <n v="0"/>
    <n v="69764"/>
    <n v="0"/>
    <m/>
    <m/>
    <x v="0"/>
    <n v="23"/>
    <x v="0"/>
    <s v=""/>
    <s v="No Aplica"/>
    <n v="0"/>
    <n v="0"/>
    <n v="0"/>
    <n v="0"/>
    <n v="1"/>
    <n v="69764"/>
    <n v="0"/>
    <m/>
  </r>
  <r>
    <n v="4"/>
    <x v="15"/>
    <n v="2017"/>
    <s v="Abril"/>
    <s v="MONIMEME"/>
    <m/>
    <x v="7"/>
    <n v="4728272"/>
    <n v="0"/>
    <n v="2227740"/>
    <n v="2500532"/>
    <m/>
    <m/>
    <x v="0"/>
    <n v="23"/>
    <x v="0"/>
    <s v=""/>
    <s v="No Aplica"/>
    <n v="4"/>
    <n v="379073"/>
    <n v="6"/>
    <n v="1063231"/>
    <n v="22"/>
    <n v="2227740"/>
    <n v="1058228"/>
    <m/>
  </r>
  <r>
    <n v="4"/>
    <x v="15"/>
    <n v="2017"/>
    <s v="Abril"/>
    <s v="OSCADESU"/>
    <m/>
    <x v="7"/>
    <n v="0"/>
    <n v="0"/>
    <n v="0"/>
    <n v="0"/>
    <m/>
    <m/>
    <x v="0"/>
    <n v="23"/>
    <x v="0"/>
    <s v=""/>
    <s v="No Aplica"/>
    <n v="0"/>
    <n v="0"/>
    <n v="0"/>
    <n v="0"/>
    <n v="0"/>
    <n v="0"/>
    <n v="0"/>
    <m/>
  </r>
  <r>
    <n v="4"/>
    <x v="15"/>
    <n v="2017"/>
    <s v="Abril"/>
    <s v="KATHCASG"/>
    <m/>
    <x v="7"/>
    <n v="0"/>
    <n v="0"/>
    <n v="0"/>
    <n v="0"/>
    <m/>
    <m/>
    <x v="0"/>
    <n v="23"/>
    <x v="0"/>
    <s v=""/>
    <s v="No Aplica"/>
    <n v="0"/>
    <n v="0"/>
    <n v="0"/>
    <n v="0"/>
    <n v="0"/>
    <n v="0"/>
    <n v="0"/>
    <m/>
  </r>
  <r>
    <n v="4"/>
    <x v="15"/>
    <n v="2017"/>
    <s v="Abril"/>
    <s v="KATHVABE"/>
    <m/>
    <x v="7"/>
    <n v="276559"/>
    <n v="0"/>
    <n v="0"/>
    <n v="276559"/>
    <m/>
    <m/>
    <x v="0"/>
    <n v="23"/>
    <x v="0"/>
    <s v=""/>
    <s v="No Aplica"/>
    <n v="1"/>
    <n v="103319"/>
    <n v="2"/>
    <n v="168440"/>
    <n v="0"/>
    <n v="0"/>
    <n v="4800"/>
    <m/>
  </r>
  <r>
    <n v="4"/>
    <x v="15"/>
    <n v="2017"/>
    <s v="Abril"/>
    <s v="MARISOCA"/>
    <m/>
    <x v="7"/>
    <n v="417500"/>
    <n v="0"/>
    <n v="417500"/>
    <n v="0"/>
    <m/>
    <m/>
    <x v="0"/>
    <n v="23"/>
    <x v="0"/>
    <s v=""/>
    <s v="No Aplica"/>
    <n v="0"/>
    <n v="0"/>
    <n v="0"/>
    <n v="0"/>
    <n v="4"/>
    <n v="417500"/>
    <n v="0"/>
    <m/>
  </r>
  <r>
    <n v="4"/>
    <x v="15"/>
    <n v="2017"/>
    <s v="Abril"/>
    <s v="CA"/>
    <m/>
    <x v="7"/>
    <n v="125500"/>
    <n v="0"/>
    <n v="125500"/>
    <n v="0"/>
    <m/>
    <m/>
    <x v="0"/>
    <n v="23"/>
    <x v="0"/>
    <s v=""/>
    <s v="No Aplica"/>
    <n v="0"/>
    <n v="0"/>
    <n v="0"/>
    <n v="0"/>
    <n v="1"/>
    <n v="125500"/>
    <n v="0"/>
    <m/>
  </r>
  <r>
    <n v="4"/>
    <x v="15"/>
    <n v="2017"/>
    <s v="Abril"/>
    <s v="USERPI"/>
    <m/>
    <x v="7"/>
    <n v="850070"/>
    <n v="0"/>
    <n v="850070"/>
    <n v="0"/>
    <m/>
    <m/>
    <x v="0"/>
    <n v="23"/>
    <x v="0"/>
    <s v=""/>
    <s v="No Aplica"/>
    <n v="0"/>
    <n v="0"/>
    <n v="0"/>
    <n v="0"/>
    <n v="10"/>
    <n v="850070"/>
    <n v="0"/>
    <m/>
  </r>
  <r>
    <n v="5"/>
    <x v="16"/>
    <n v="2017"/>
    <s v="Mayo"/>
    <s v="LILIFOVI"/>
    <n v="1234189600"/>
    <x v="54"/>
    <n v="3668017"/>
    <n v="0"/>
    <n v="1578571"/>
    <n v="2089446"/>
    <n v="13544200"/>
    <n v="0.15426869065725601"/>
    <x v="0"/>
    <n v="25"/>
    <x v="0"/>
    <s v=""/>
    <s v="No Aplica"/>
    <n v="3"/>
    <n v="107588"/>
    <n v="16"/>
    <n v="1831199"/>
    <n v="16"/>
    <n v="1578571"/>
    <n v="150659"/>
    <m/>
  </r>
  <r>
    <n v="5"/>
    <x v="16"/>
    <n v="2017"/>
    <s v="Mayo"/>
    <s v="PAULGOBA"/>
    <n v="32256379"/>
    <x v="36"/>
    <n v="88570101"/>
    <n v="408000"/>
    <n v="12298794"/>
    <n v="75863307"/>
    <n v="42000000"/>
    <n v="1.8062692142857142"/>
    <x v="1"/>
    <n v="25"/>
    <x v="13"/>
    <s v="Antioquia"/>
    <s v="Fluctúa"/>
    <n v="81"/>
    <n v="8153370"/>
    <n v="184"/>
    <n v="44202470"/>
    <n v="119"/>
    <n v="12298794"/>
    <n v="23915467"/>
    <m/>
  </r>
  <r>
    <n v="5"/>
    <x v="16"/>
    <n v="2017"/>
    <s v="Mayo"/>
    <s v="ANGEROPI"/>
    <n v="43800272"/>
    <x v="46"/>
    <n v="27243766"/>
    <n v="412000"/>
    <n v="8236753"/>
    <n v="18595013"/>
    <n v="41000000"/>
    <n v="0.45353690243902439"/>
    <x v="0"/>
    <n v="25"/>
    <x v="0"/>
    <s v=""/>
    <s v="No Aplica"/>
    <n v="51"/>
    <n v="3998390"/>
    <n v="143"/>
    <n v="12127181"/>
    <n v="95"/>
    <n v="8236753"/>
    <n v="2881442"/>
    <m/>
  </r>
  <r>
    <n v="5"/>
    <x v="16"/>
    <n v="2017"/>
    <s v="Mayo"/>
    <s v="BIBIBECA"/>
    <n v="43971430"/>
    <x v="6"/>
    <n v="58971433"/>
    <n v="1674000"/>
    <n v="13479237"/>
    <n v="43818196"/>
    <n v="41000000"/>
    <n v="1.068736487804878"/>
    <x v="1"/>
    <n v="25"/>
    <x v="5"/>
    <s v="Antioquia"/>
    <s v="Siempre Cumple"/>
    <n v="93"/>
    <n v="7946456"/>
    <n v="263"/>
    <n v="31100642"/>
    <n v="147"/>
    <n v="13479237"/>
    <n v="6445098"/>
    <m/>
  </r>
  <r>
    <n v="5"/>
    <x v="16"/>
    <n v="2017"/>
    <s v="Mayo"/>
    <s v="CAROVABE"/>
    <n v="1030634664"/>
    <x v="32"/>
    <n v="51155402"/>
    <n v="1891000"/>
    <n v="12708497"/>
    <n v="36555905"/>
    <n v="41000000"/>
    <n v="0.89160743902439021"/>
    <x v="0"/>
    <n v="25"/>
    <x v="0"/>
    <s v=""/>
    <s v="No Aplica"/>
    <n v="95"/>
    <n v="7967378"/>
    <n v="224"/>
    <n v="22611711"/>
    <n v="144"/>
    <n v="12708497"/>
    <n v="7867816"/>
    <m/>
  </r>
  <r>
    <n v="5"/>
    <x v="16"/>
    <n v="2017"/>
    <s v="Mayo"/>
    <s v="CLAUBLAR"/>
    <n v="43554403"/>
    <x v="8"/>
    <n v="62717121"/>
    <n v="304000"/>
    <n v="13755920"/>
    <n v="48657201"/>
    <n v="41000000"/>
    <n v="1.186761"/>
    <x v="1"/>
    <n v="25"/>
    <x v="5"/>
    <s v="Antioquia"/>
    <s v="Siempre Cumple"/>
    <n v="98"/>
    <n v="9925064"/>
    <n v="248"/>
    <n v="32063930"/>
    <n v="157"/>
    <n v="13755920"/>
    <n v="6972207"/>
    <m/>
  </r>
  <r>
    <n v="5"/>
    <x v="16"/>
    <n v="2017"/>
    <s v="Mayo"/>
    <s v="HERIRORO"/>
    <n v="21428423"/>
    <x v="52"/>
    <n v="55976916"/>
    <n v="992800"/>
    <n v="11480244"/>
    <n v="43503872"/>
    <n v="41000000"/>
    <n v="1.0610700487804878"/>
    <x v="1"/>
    <n v="25"/>
    <x v="5"/>
    <s v="Antioquia"/>
    <s v="Fluctúa"/>
    <n v="122"/>
    <n v="10209768"/>
    <n v="280"/>
    <n v="28029322"/>
    <n v="118"/>
    <n v="11480244"/>
    <n v="6257582"/>
    <m/>
  </r>
  <r>
    <n v="5"/>
    <x v="16"/>
    <n v="2017"/>
    <s v="Mayo"/>
    <s v="MARGGAPA"/>
    <n v="43866877"/>
    <x v="20"/>
    <n v="62552566"/>
    <n v="824000"/>
    <n v="14888622"/>
    <n v="46839944"/>
    <n v="41000000"/>
    <n v="1.1424376585365854"/>
    <x v="1"/>
    <n v="25"/>
    <x v="5"/>
    <s v="Antioquia"/>
    <s v="Siempre Cumple"/>
    <n v="112"/>
    <n v="11752298"/>
    <n v="260"/>
    <n v="29104686"/>
    <n v="176"/>
    <n v="14888622"/>
    <n v="6806960"/>
    <m/>
  </r>
  <r>
    <n v="5"/>
    <x v="16"/>
    <n v="2017"/>
    <s v="Mayo"/>
    <s v="RUBYHIGA"/>
    <n v="43636530"/>
    <x v="42"/>
    <n v="6697457"/>
    <n v="412000"/>
    <n v="864774"/>
    <n v="5420683"/>
    <n v="8200000"/>
    <n v="0.66105890243902443"/>
    <x v="0"/>
    <n v="25"/>
    <x v="0"/>
    <s v=""/>
    <s v="No Aplica"/>
    <n v="17"/>
    <n v="1200035"/>
    <n v="40"/>
    <n v="3126616"/>
    <n v="15"/>
    <n v="864774"/>
    <n v="1506032"/>
    <m/>
  </r>
  <r>
    <n v="5"/>
    <x v="16"/>
    <n v="2017"/>
    <s v="Mayo"/>
    <s v="ANGEGAAR"/>
    <n v="39442617"/>
    <x v="4"/>
    <n v="34228064"/>
    <n v="1136400"/>
    <n v="6610781"/>
    <n v="26480883"/>
    <n v="18000000"/>
    <n v="1.4711601666666667"/>
    <x v="1"/>
    <n v="25"/>
    <x v="4"/>
    <s v="Antioquia"/>
    <s v="Cumple"/>
    <n v="47"/>
    <n v="6345610"/>
    <n v="122"/>
    <n v="18372791"/>
    <n v="73"/>
    <n v="6610781"/>
    <n v="2898882"/>
    <m/>
  </r>
  <r>
    <n v="5"/>
    <x v="16"/>
    <n v="2017"/>
    <s v="Mayo"/>
    <s v="NATAPIDU"/>
    <n v="43907427"/>
    <x v="25"/>
    <n v="43819408"/>
    <n v="0"/>
    <n v="5034885"/>
    <n v="38784523"/>
    <n v="36000000"/>
    <n v="1.0773478611111111"/>
    <x v="1"/>
    <n v="25"/>
    <x v="11"/>
    <s v="Antioquia"/>
    <s v="Siempre Cumple"/>
    <n v="45"/>
    <n v="8088460"/>
    <n v="133"/>
    <n v="26584580"/>
    <n v="55"/>
    <n v="5034885"/>
    <n v="4111483"/>
    <m/>
  </r>
  <r>
    <n v="5"/>
    <x v="16"/>
    <n v="2017"/>
    <s v="Mayo"/>
    <s v="ELIZVESU"/>
    <n v="1035417626"/>
    <x v="13"/>
    <n v="58857561"/>
    <n v="285400"/>
    <n v="14286319"/>
    <n v="44285842"/>
    <n v="43000000"/>
    <n v="1.0299033023255815"/>
    <x v="1"/>
    <n v="25"/>
    <x v="3"/>
    <s v="Antioquia"/>
    <s v="Cumple"/>
    <n v="87"/>
    <n v="10969268"/>
    <n v="238"/>
    <n v="27709698"/>
    <n v="147"/>
    <n v="14286319"/>
    <n v="5892276"/>
    <m/>
  </r>
  <r>
    <n v="5"/>
    <x v="16"/>
    <n v="2017"/>
    <s v="Mayo"/>
    <s v="LILACARA"/>
    <n v="1017141451"/>
    <x v="17"/>
    <n v="66887701"/>
    <n v="602000"/>
    <n v="16752241"/>
    <n v="49533460"/>
    <n v="43000000"/>
    <n v="1.1519409302325581"/>
    <x v="1"/>
    <n v="25"/>
    <x v="1"/>
    <s v="Antioquia"/>
    <s v="Siempre Cumple"/>
    <n v="113"/>
    <n v="14259106"/>
    <n v="299"/>
    <n v="30461378"/>
    <n v="190"/>
    <n v="16752241"/>
    <n v="5414976"/>
    <m/>
  </r>
  <r>
    <n v="5"/>
    <x v="16"/>
    <n v="2017"/>
    <s v="Mayo"/>
    <s v="ZULYARGA"/>
    <n v="43259130"/>
    <x v="31"/>
    <n v="64708305"/>
    <n v="744000"/>
    <n v="18233228"/>
    <n v="45731077"/>
    <n v="43000000"/>
    <n v="1.0635134186046511"/>
    <x v="1"/>
    <n v="25"/>
    <x v="1"/>
    <s v="Antioquia"/>
    <s v="Fluctúa"/>
    <n v="103"/>
    <n v="10498946"/>
    <n v="294"/>
    <n v="30801716"/>
    <n v="191"/>
    <n v="18233228"/>
    <n v="5174415"/>
    <m/>
  </r>
  <r>
    <n v="5"/>
    <x v="16"/>
    <n v="2017"/>
    <s v="Mayo"/>
    <s v="DERLARMO"/>
    <n v="52725011"/>
    <x v="10"/>
    <n v="28256476"/>
    <n v="0"/>
    <n v="6694600"/>
    <n v="21561876"/>
    <n v="20000000"/>
    <n v="1.0780938"/>
    <x v="1"/>
    <n v="25"/>
    <x v="6"/>
    <s v="Centro"/>
    <s v="Fluctúa"/>
    <n v="80"/>
    <n v="4438288"/>
    <n v="196"/>
    <n v="15764555"/>
    <n v="95"/>
    <n v="6694600"/>
    <n v="1359033"/>
    <m/>
  </r>
  <r>
    <n v="5"/>
    <x v="16"/>
    <n v="2017"/>
    <s v="Mayo"/>
    <s v="RAULMOGA"/>
    <n v="79701425"/>
    <x v="27"/>
    <n v="31033644"/>
    <n v="440000"/>
    <n v="7906872"/>
    <n v="22686772"/>
    <n v="20000000"/>
    <n v="1.1343386"/>
    <x v="0"/>
    <n v="25"/>
    <x v="6"/>
    <s v="Centro"/>
    <s v="No Aplica"/>
    <n v="95"/>
    <n v="5895803"/>
    <n v="218"/>
    <n v="14741613"/>
    <n v="118"/>
    <n v="7906872"/>
    <n v="2489356"/>
    <m/>
  </r>
  <r>
    <n v="5"/>
    <x v="16"/>
    <n v="2017"/>
    <s v="Mayo"/>
    <s v="ADRIMOLU"/>
    <n v="43169964"/>
    <x v="1"/>
    <n v="55127749"/>
    <n v="2036000"/>
    <n v="13855537"/>
    <n v="39236212"/>
    <n v="35776000"/>
    <n v="1.096718805903399"/>
    <x v="1"/>
    <n v="25"/>
    <x v="1"/>
    <s v="Antioquia"/>
    <s v="Cumple"/>
    <n v="109"/>
    <n v="9291250"/>
    <n v="248"/>
    <n v="26724587"/>
    <n v="143"/>
    <n v="13855537"/>
    <n v="5256375"/>
    <m/>
  </r>
  <r>
    <n v="5"/>
    <x v="16"/>
    <n v="2017"/>
    <s v="Mayo"/>
    <s v="ALVAOSOS"/>
    <n v="3438422"/>
    <x v="37"/>
    <n v="55683083"/>
    <n v="304000"/>
    <n v="13037094"/>
    <n v="42341989"/>
    <n v="34400000"/>
    <n v="1.2308717732558139"/>
    <x v="1"/>
    <n v="25"/>
    <x v="8"/>
    <s v="Antioquia"/>
    <s v="Fluctúa"/>
    <n v="79"/>
    <n v="8781658"/>
    <n v="210"/>
    <n v="27043320"/>
    <n v="140"/>
    <n v="13037094"/>
    <n v="6821011"/>
    <m/>
  </r>
  <r>
    <n v="5"/>
    <x v="16"/>
    <n v="2017"/>
    <s v="Mayo"/>
    <s v="DEISCACR"/>
    <n v="1017167720"/>
    <x v="50"/>
    <n v="60634453"/>
    <n v="1766860"/>
    <n v="13129542"/>
    <n v="45738051"/>
    <n v="43000000"/>
    <n v="1.0636756046511628"/>
    <x v="1"/>
    <n v="25"/>
    <x v="8"/>
    <s v="Antioquia"/>
    <s v="Cumple"/>
    <n v="99"/>
    <n v="10577757"/>
    <n v="235"/>
    <n v="27490946"/>
    <n v="146"/>
    <n v="13129542"/>
    <n v="9436208"/>
    <m/>
  </r>
  <r>
    <n v="5"/>
    <x v="16"/>
    <n v="2017"/>
    <s v="Mayo"/>
    <s v="GENNHEPO"/>
    <n v="43874518"/>
    <x v="14"/>
    <n v="31318331"/>
    <n v="223000"/>
    <n v="4255069"/>
    <n v="26840262"/>
    <n v="25800000"/>
    <n v="1.0403202325581395"/>
    <x v="1"/>
    <n v="25"/>
    <x v="8"/>
    <s v="Antioquia"/>
    <s v="Fluctúa"/>
    <n v="58"/>
    <n v="5133158"/>
    <n v="168"/>
    <n v="18376677"/>
    <n v="49"/>
    <n v="4255069"/>
    <n v="3553427"/>
    <m/>
  </r>
  <r>
    <n v="5"/>
    <x v="16"/>
    <n v="2017"/>
    <s v="Mayo"/>
    <s v="LEIDGOVI"/>
    <n v="1036598360"/>
    <x v="39"/>
    <n v="60533661"/>
    <n v="412000"/>
    <n v="12480373"/>
    <n v="47641288"/>
    <n v="34400000"/>
    <n v="1.3849211627906977"/>
    <x v="1"/>
    <n v="25"/>
    <x v="8"/>
    <s v="Antioquia"/>
    <s v="Fluctúa"/>
    <n v="92"/>
    <n v="11309875"/>
    <n v="250"/>
    <n v="32832422"/>
    <n v="136"/>
    <n v="12480373"/>
    <n v="3910991"/>
    <m/>
  </r>
  <r>
    <n v="5"/>
    <x v="16"/>
    <n v="2017"/>
    <s v="Mayo"/>
    <s v="YENYSUPE"/>
    <n v="1020419011"/>
    <x v="51"/>
    <n v="57429441"/>
    <n v="1692400"/>
    <n v="13334661"/>
    <n v="42402380"/>
    <n v="43000000"/>
    <n v="0.98610186046511628"/>
    <x v="1"/>
    <n v="25"/>
    <x v="8"/>
    <s v="Antioquia"/>
    <s v="Cumple"/>
    <n v="88"/>
    <n v="9110324"/>
    <n v="248"/>
    <n v="27791133"/>
    <n v="145"/>
    <n v="13334661"/>
    <n v="7193323"/>
    <m/>
  </r>
  <r>
    <n v="5"/>
    <x v="16"/>
    <n v="2017"/>
    <s v="Mayo"/>
    <s v="YURAUSVE"/>
    <n v="1020419615"/>
    <x v="56"/>
    <n v="30432461"/>
    <n v="412000"/>
    <n v="7332282"/>
    <n v="22688179"/>
    <n v="34400000"/>
    <n v="0.65954008720930235"/>
    <x v="1"/>
    <n v="25"/>
    <x v="8"/>
    <s v="Antioquia"/>
    <s v="Cumple"/>
    <n v="50"/>
    <n v="5438243"/>
    <n v="118"/>
    <n v="13605903"/>
    <n v="75"/>
    <n v="7332282"/>
    <n v="4056033"/>
    <m/>
  </r>
  <r>
    <n v="5"/>
    <x v="16"/>
    <n v="2017"/>
    <s v="Mayo"/>
    <s v="DIANPAAL"/>
    <n v="1040030764"/>
    <x v="11"/>
    <n v="43677122"/>
    <n v="2709400"/>
    <n v="7004676"/>
    <n v="33963046"/>
    <n v="33000000"/>
    <n v="1.0291832121212121"/>
    <x v="1"/>
    <n v="25"/>
    <x v="7"/>
    <s v="Antioquia"/>
    <s v="Cumple"/>
    <n v="74"/>
    <n v="7707622"/>
    <n v="188"/>
    <n v="23983600"/>
    <n v="86"/>
    <n v="7004676"/>
    <n v="4981224"/>
    <m/>
  </r>
  <r>
    <n v="5"/>
    <x v="16"/>
    <n v="2017"/>
    <s v="Mayo"/>
    <s v="JAQUVEGU"/>
    <n v="1036779770"/>
    <x v="16"/>
    <n v="44291879"/>
    <n v="3894800"/>
    <n v="7159910"/>
    <n v="33237169"/>
    <n v="33000000"/>
    <n v="1.0071869393939394"/>
    <x v="0"/>
    <n v="25"/>
    <x v="7"/>
    <s v="Antioquia"/>
    <s v="No Aplica"/>
    <n v="84"/>
    <n v="8388176"/>
    <n v="200"/>
    <n v="20882641"/>
    <n v="94"/>
    <n v="7159910"/>
    <n v="7861152"/>
    <m/>
  </r>
  <r>
    <n v="5"/>
    <x v="16"/>
    <n v="2017"/>
    <s v="Mayo"/>
    <s v="MARIOCOC"/>
    <n v="39448823"/>
    <x v="21"/>
    <n v="44186637"/>
    <n v="1352000"/>
    <n v="8243795"/>
    <n v="34590842"/>
    <n v="33000000"/>
    <n v="1.0482073333333333"/>
    <x v="1"/>
    <n v="25"/>
    <x v="7"/>
    <s v="Antioquia"/>
    <s v="Siempre Cumple"/>
    <n v="95"/>
    <n v="8674908"/>
    <n v="209"/>
    <n v="22760329"/>
    <n v="95"/>
    <n v="8243795"/>
    <n v="4507605"/>
    <m/>
  </r>
  <r>
    <n v="5"/>
    <x v="16"/>
    <n v="2017"/>
    <s v="Mayo"/>
    <s v="ERIKSAVA"/>
    <n v="1017200970"/>
    <x v="44"/>
    <n v="42506238"/>
    <n v="1968400"/>
    <n v="9005976"/>
    <n v="31531862"/>
    <n v="30100000"/>
    <n v="1.0475701661129568"/>
    <x v="1"/>
    <n v="25"/>
    <x v="4"/>
    <s v="Antioquia"/>
    <s v="Cumple"/>
    <n v="75"/>
    <n v="7474900"/>
    <n v="156"/>
    <n v="17896405"/>
    <n v="104"/>
    <n v="9005976"/>
    <n v="8128957"/>
    <m/>
  </r>
  <r>
    <n v="5"/>
    <x v="16"/>
    <n v="2017"/>
    <s v="Mayo"/>
    <s v="HISNOSPI"/>
    <n v="43114534"/>
    <x v="49"/>
    <n v="41599337"/>
    <n v="440000"/>
    <n v="10956907"/>
    <n v="30202430"/>
    <n v="24080000"/>
    <n v="1.2542537375415281"/>
    <x v="0"/>
    <n v="25"/>
    <x v="4"/>
    <s v="Antioquia"/>
    <s v="No Aplica"/>
    <n v="74"/>
    <n v="6714226"/>
    <n v="200"/>
    <n v="20420512"/>
    <n v="114"/>
    <n v="10956907"/>
    <n v="3507692"/>
    <m/>
  </r>
  <r>
    <n v="5"/>
    <x v="16"/>
    <n v="2017"/>
    <s v="Mayo"/>
    <s v="MARIMASA"/>
    <n v="43113640"/>
    <x v="34"/>
    <n v="29845018"/>
    <n v="1058000"/>
    <n v="6282505"/>
    <n v="22504513"/>
    <n v="13244000"/>
    <n v="1.6992232709151314"/>
    <x v="1"/>
    <n v="25"/>
    <x v="4"/>
    <s v="Antioquia"/>
    <s v="Cumple"/>
    <n v="44"/>
    <n v="5030483"/>
    <n v="109"/>
    <n v="15054345"/>
    <n v="66"/>
    <n v="6282505"/>
    <n v="3477685"/>
    <m/>
  </r>
  <r>
    <n v="5"/>
    <x v="16"/>
    <n v="2017"/>
    <s v="Mayo"/>
    <s v="ANDRSAZA"/>
    <n v="1020736461"/>
    <x v="45"/>
    <n v="47467189"/>
    <n v="1139000"/>
    <n v="8125045"/>
    <n v="38203144"/>
    <n v="22000000"/>
    <n v="1.7365065454545454"/>
    <x v="1"/>
    <n v="25"/>
    <x v="9"/>
    <s v="Centro"/>
    <s v="Siempre Cumple"/>
    <n v="73"/>
    <n v="7030028"/>
    <n v="228"/>
    <n v="29162055"/>
    <n v="106"/>
    <n v="8125045"/>
    <n v="3150061"/>
    <m/>
  </r>
  <r>
    <n v="5"/>
    <x v="16"/>
    <n v="2017"/>
    <s v="Mayo"/>
    <s v="CAMIPUHE"/>
    <n v="79850984"/>
    <x v="53"/>
    <n v="29831406"/>
    <n v="865600"/>
    <n v="5409385"/>
    <n v="23556421"/>
    <n v="22000000"/>
    <n v="1.0707464090909091"/>
    <x v="1"/>
    <n v="25"/>
    <x v="15"/>
    <s v="Centro"/>
    <s v="Fluctúa"/>
    <n v="53"/>
    <n v="4488132"/>
    <n v="152"/>
    <n v="16947490"/>
    <n v="72"/>
    <n v="5409385"/>
    <n v="2986399"/>
    <m/>
  </r>
  <r>
    <n v="5"/>
    <x v="16"/>
    <n v="2017"/>
    <s v="Mayo"/>
    <s v="ISABMOGO"/>
    <n v="52260671"/>
    <x v="15"/>
    <n v="40376699"/>
    <n v="880000"/>
    <n v="7925490"/>
    <n v="31571209"/>
    <n v="22000000"/>
    <n v="1.4350549545454545"/>
    <x v="1"/>
    <n v="25"/>
    <x v="9"/>
    <s v="Centro"/>
    <s v="Siempre Cumple"/>
    <n v="82"/>
    <n v="6636584"/>
    <n v="224"/>
    <n v="21745005"/>
    <n v="113"/>
    <n v="7925490"/>
    <n v="4069620"/>
    <m/>
  </r>
  <r>
    <n v="5"/>
    <x v="16"/>
    <n v="2017"/>
    <s v="Mayo"/>
    <s v="LUZNHEGO"/>
    <n v="43745192"/>
    <x v="19"/>
    <n v="18332971"/>
    <n v="166680"/>
    <n v="733164"/>
    <n v="17433127"/>
    <n v="25000000"/>
    <n v="0.69732508000000004"/>
    <x v="1"/>
    <n v="25"/>
    <x v="10"/>
    <s v="Antioquia"/>
    <s v="Cumple"/>
    <n v="33"/>
    <n v="4362207"/>
    <n v="124"/>
    <n v="12370686"/>
    <n v="12"/>
    <n v="733164"/>
    <n v="866914"/>
    <m/>
  </r>
  <r>
    <n v="5"/>
    <x v="16"/>
    <n v="2017"/>
    <s v="Mayo"/>
    <s v="ANAMLOBE"/>
    <n v="43821410"/>
    <x v="3"/>
    <n v="74655979"/>
    <n v="812000"/>
    <n v="14533604"/>
    <n v="59310375"/>
    <n v="43000000"/>
    <n v="1.3793110465116278"/>
    <x v="1"/>
    <n v="25"/>
    <x v="3"/>
    <s v="Antioquia"/>
    <s v="Siempre Cumple"/>
    <n v="130"/>
    <n v="15318400"/>
    <n v="288"/>
    <n v="37269358"/>
    <n v="155"/>
    <n v="14533604"/>
    <n v="7534617"/>
    <m/>
  </r>
  <r>
    <n v="5"/>
    <x v="16"/>
    <n v="2017"/>
    <s v="Mayo"/>
    <s v="DIANQUME"/>
    <n v="42164020"/>
    <x v="12"/>
    <n v="59603135"/>
    <n v="2150000"/>
    <n v="11040581"/>
    <n v="46412554"/>
    <n v="43000000"/>
    <n v="1.0793617209302326"/>
    <x v="1"/>
    <n v="25"/>
    <x v="1"/>
    <s v="Antioquia"/>
    <s v="Siempre Cumple"/>
    <n v="106"/>
    <n v="10665452"/>
    <n v="266"/>
    <n v="28437279"/>
    <n v="133"/>
    <n v="11040581"/>
    <n v="9459823"/>
    <m/>
  </r>
  <r>
    <n v="5"/>
    <x v="16"/>
    <n v="2017"/>
    <s v="Mayo"/>
    <s v="VIVIVAZA"/>
    <n v="43745952"/>
    <x v="30"/>
    <n v="75506782"/>
    <n v="1204600"/>
    <n v="14331344"/>
    <n v="59970838"/>
    <n v="43000000"/>
    <n v="1.3946706511627907"/>
    <x v="1"/>
    <n v="25"/>
    <x v="3"/>
    <s v="Antioquia"/>
    <s v="Siempre Cumple"/>
    <n v="141"/>
    <n v="14134073"/>
    <n v="344"/>
    <n v="38045045"/>
    <n v="169"/>
    <n v="14331344"/>
    <n v="8996320"/>
    <m/>
  </r>
  <r>
    <n v="5"/>
    <x v="16"/>
    <n v="2017"/>
    <s v="Mayo"/>
    <s v="ALEXLOGR"/>
    <n v="43253531"/>
    <x v="2"/>
    <n v="49088008"/>
    <n v="2003400"/>
    <n v="10837602"/>
    <n v="36247006"/>
    <n v="29000000"/>
    <n v="1.2498967586206897"/>
    <x v="1"/>
    <n v="25"/>
    <x v="2"/>
    <s v="Antioquia"/>
    <s v="Cumple"/>
    <n v="89"/>
    <n v="7276233"/>
    <n v="214"/>
    <n v="24297429"/>
    <n v="122"/>
    <n v="10837602"/>
    <n v="6676744"/>
    <m/>
  </r>
  <r>
    <n v="5"/>
    <x v="16"/>
    <n v="2017"/>
    <s v="Mayo"/>
    <s v="CINDGACU"/>
    <n v="1020443426"/>
    <x v="55"/>
    <n v="42764394"/>
    <n v="429000"/>
    <n v="12872956"/>
    <n v="29462438"/>
    <n v="29000000"/>
    <n v="1.0159461379310344"/>
    <x v="1"/>
    <n v="25"/>
    <x v="4"/>
    <s v="Antioquia"/>
    <s v="Fluctúa"/>
    <n v="83"/>
    <n v="5695970"/>
    <n v="208"/>
    <n v="21112283"/>
    <n v="143"/>
    <n v="12872956"/>
    <n v="3083185"/>
    <m/>
  </r>
  <r>
    <n v="5"/>
    <x v="16"/>
    <n v="2017"/>
    <s v="Mayo"/>
    <s v="DIANPOPA"/>
    <n v="31307503"/>
    <x v="33"/>
    <n v="32656426"/>
    <n v="0"/>
    <n v="4395667"/>
    <n v="28260759"/>
    <n v="31376800"/>
    <n v="0.90068964967746867"/>
    <x v="0"/>
    <n v="25"/>
    <x v="0"/>
    <s v=""/>
    <s v="No Aplica"/>
    <n v="55"/>
    <n v="5305067"/>
    <n v="140"/>
    <n v="12055919"/>
    <n v="50"/>
    <n v="4395667"/>
    <n v="10899773"/>
    <m/>
  </r>
  <r>
    <n v="5"/>
    <x v="16"/>
    <n v="2017"/>
    <s v="Mayo"/>
    <s v="GISECACM"/>
    <n v="1144140699"/>
    <x v="48"/>
    <n v="29988473"/>
    <n v="0"/>
    <n v="10820268"/>
    <n v="19168205"/>
    <n v="30000000"/>
    <n v="0.63894016666666664"/>
    <x v="0"/>
    <n v="25"/>
    <x v="0"/>
    <s v=""/>
    <s v="No Aplica"/>
    <n v="44"/>
    <n v="3608999"/>
    <n v="124"/>
    <n v="9413786"/>
    <n v="126"/>
    <n v="10820268"/>
    <n v="6145420"/>
    <m/>
  </r>
  <r>
    <n v="5"/>
    <x v="16"/>
    <n v="2017"/>
    <s v="Mayo"/>
    <s v="PAOLPACA"/>
    <n v="31445278"/>
    <x v="47"/>
    <n v="28403809"/>
    <n v="0"/>
    <n v="9796053"/>
    <n v="18607756"/>
    <n v="30000000"/>
    <n v="0.62025853333333336"/>
    <x v="1"/>
    <n v="25"/>
    <x v="14"/>
    <s v="Occidente"/>
    <s v="Cumple"/>
    <n v="63"/>
    <n v="4941376"/>
    <n v="192"/>
    <n v="10802139"/>
    <n v="110"/>
    <n v="9796053"/>
    <n v="2864241"/>
    <m/>
  </r>
  <r>
    <n v="5"/>
    <x v="16"/>
    <n v="2017"/>
    <s v="Mayo"/>
    <s v="ROCIFASA"/>
    <n v="34542470"/>
    <x v="28"/>
    <n v="35211083"/>
    <n v="680400"/>
    <n v="4501490"/>
    <n v="30029193"/>
    <n v="25000000"/>
    <n v="1.2011677199999999"/>
    <x v="1"/>
    <n v="25"/>
    <x v="12"/>
    <s v="Occidente"/>
    <s v="Siempre Cumple"/>
    <n v="57"/>
    <n v="7391018"/>
    <n v="159"/>
    <n v="20006920"/>
    <n v="47"/>
    <n v="4501490"/>
    <n v="3311655"/>
    <m/>
  </r>
  <r>
    <n v="5"/>
    <x v="16"/>
    <n v="2017"/>
    <s v="Mayo"/>
    <s v="ANAMSAPV"/>
    <m/>
    <x v="7"/>
    <n v="0"/>
    <n v="0"/>
    <n v="0"/>
    <n v="0"/>
    <m/>
    <m/>
    <x v="0"/>
    <n v="25"/>
    <x v="0"/>
    <s v=""/>
    <s v="No Aplica"/>
    <n v="0"/>
    <n v="0"/>
    <n v="0"/>
    <n v="0"/>
    <n v="0"/>
    <n v="0"/>
    <n v="0"/>
    <m/>
  </r>
  <r>
    <n v="5"/>
    <x v="16"/>
    <n v="2017"/>
    <s v="Mayo"/>
    <s v="CLAUPACO"/>
    <m/>
    <x v="7"/>
    <n v="0"/>
    <n v="0"/>
    <n v="0"/>
    <n v="0"/>
    <m/>
    <m/>
    <x v="0"/>
    <n v="25"/>
    <x v="0"/>
    <s v=""/>
    <s v="No Aplica"/>
    <n v="0"/>
    <n v="0"/>
    <n v="0"/>
    <n v="0"/>
    <n v="0"/>
    <n v="0"/>
    <n v="0"/>
    <m/>
  </r>
  <r>
    <n v="5"/>
    <x v="16"/>
    <n v="2017"/>
    <s v="Mayo"/>
    <s v="DARWHERI"/>
    <m/>
    <x v="7"/>
    <n v="87740"/>
    <n v="0"/>
    <n v="87740"/>
    <n v="0"/>
    <m/>
    <m/>
    <x v="0"/>
    <n v="25"/>
    <x v="0"/>
    <s v=""/>
    <s v="No Aplica"/>
    <n v="0"/>
    <n v="0"/>
    <n v="0"/>
    <n v="0"/>
    <n v="2"/>
    <n v="87740"/>
    <n v="0"/>
    <m/>
  </r>
  <r>
    <n v="5"/>
    <x v="16"/>
    <n v="2017"/>
    <s v="Mayo"/>
    <s v="ESTESESE"/>
    <m/>
    <x v="7"/>
    <n v="113634"/>
    <n v="0"/>
    <n v="113634"/>
    <n v="0"/>
    <m/>
    <m/>
    <x v="0"/>
    <n v="25"/>
    <x v="0"/>
    <s v=""/>
    <s v="No Aplica"/>
    <n v="0"/>
    <n v="0"/>
    <n v="0"/>
    <n v="0"/>
    <n v="2"/>
    <n v="113634"/>
    <n v="0"/>
    <m/>
  </r>
  <r>
    <n v="5"/>
    <x v="16"/>
    <n v="2017"/>
    <s v="Mayo"/>
    <s v="KATHCASG"/>
    <m/>
    <x v="7"/>
    <n v="0"/>
    <n v="0"/>
    <n v="0"/>
    <n v="0"/>
    <m/>
    <m/>
    <x v="0"/>
    <n v="25"/>
    <x v="0"/>
    <s v=""/>
    <s v="No Aplica"/>
    <n v="0"/>
    <n v="0"/>
    <n v="0"/>
    <n v="0"/>
    <n v="0"/>
    <n v="0"/>
    <n v="0"/>
    <m/>
  </r>
  <r>
    <n v="5"/>
    <x v="16"/>
    <n v="2017"/>
    <s v="Mayo"/>
    <s v="KATHVABE"/>
    <m/>
    <x v="7"/>
    <n v="0"/>
    <n v="0"/>
    <n v="0"/>
    <n v="0"/>
    <m/>
    <m/>
    <x v="0"/>
    <n v="25"/>
    <x v="0"/>
    <s v=""/>
    <s v="No Aplica"/>
    <n v="0"/>
    <n v="0"/>
    <n v="0"/>
    <n v="0"/>
    <n v="0"/>
    <n v="0"/>
    <n v="0"/>
    <m/>
  </r>
  <r>
    <n v="5"/>
    <x v="16"/>
    <n v="2017"/>
    <s v="Mayo"/>
    <s v="LUZMARMO"/>
    <m/>
    <x v="7"/>
    <n v="0"/>
    <n v="0"/>
    <n v="0"/>
    <n v="0"/>
    <m/>
    <m/>
    <x v="0"/>
    <n v="25"/>
    <x v="0"/>
    <s v=""/>
    <s v="No Aplica"/>
    <n v="0"/>
    <n v="0"/>
    <n v="0"/>
    <n v="0"/>
    <n v="0"/>
    <n v="0"/>
    <n v="0"/>
    <m/>
  </r>
  <r>
    <n v="5"/>
    <x v="16"/>
    <n v="2017"/>
    <s v="Mayo"/>
    <s v="MARISOCA"/>
    <m/>
    <x v="7"/>
    <n v="0"/>
    <n v="0"/>
    <n v="0"/>
    <n v="0"/>
    <m/>
    <m/>
    <x v="0"/>
    <n v="25"/>
    <x v="0"/>
    <s v=""/>
    <s v="No Aplica"/>
    <n v="0"/>
    <n v="0"/>
    <n v="0"/>
    <n v="0"/>
    <n v="0"/>
    <n v="0"/>
    <n v="0"/>
    <m/>
  </r>
  <r>
    <n v="5"/>
    <x v="16"/>
    <n v="2017"/>
    <s v="Mayo"/>
    <s v="MARISEAR"/>
    <m/>
    <x v="7"/>
    <n v="461983"/>
    <n v="0"/>
    <n v="0"/>
    <n v="461983"/>
    <m/>
    <m/>
    <x v="0"/>
    <n v="25"/>
    <x v="0"/>
    <s v=""/>
    <s v="No Aplica"/>
    <n v="1"/>
    <n v="85733"/>
    <n v="2"/>
    <n v="376250"/>
    <n v="0"/>
    <n v="0"/>
    <n v="0"/>
    <m/>
  </r>
  <r>
    <n v="5"/>
    <x v="16"/>
    <n v="2017"/>
    <s v="Mayo"/>
    <s v="MONIMEME"/>
    <m/>
    <x v="7"/>
    <n v="0"/>
    <n v="0"/>
    <n v="0"/>
    <n v="0"/>
    <m/>
    <m/>
    <x v="0"/>
    <n v="25"/>
    <x v="0"/>
    <s v=""/>
    <s v="No Aplica"/>
    <n v="0"/>
    <n v="0"/>
    <n v="0"/>
    <n v="0"/>
    <n v="0"/>
    <n v="0"/>
    <n v="0"/>
    <m/>
  </r>
  <r>
    <n v="5"/>
    <x v="16"/>
    <n v="2017"/>
    <s v="Mayo"/>
    <s v="OSCADESU"/>
    <m/>
    <x v="7"/>
    <n v="90212"/>
    <n v="0"/>
    <n v="0"/>
    <n v="90212"/>
    <m/>
    <m/>
    <x v="0"/>
    <n v="25"/>
    <x v="0"/>
    <s v=""/>
    <s v="No Aplica"/>
    <n v="1"/>
    <n v="35172"/>
    <n v="2"/>
    <n v="55040"/>
    <n v="0"/>
    <n v="0"/>
    <n v="0"/>
    <m/>
  </r>
  <r>
    <n v="5"/>
    <x v="16"/>
    <n v="2017"/>
    <s v="Mayo"/>
    <s v="SUANHECO"/>
    <m/>
    <x v="7"/>
    <n v="419226"/>
    <n v="0"/>
    <n v="419226"/>
    <n v="0"/>
    <m/>
    <m/>
    <x v="0"/>
    <n v="25"/>
    <x v="0"/>
    <s v=""/>
    <s v="No Aplica"/>
    <n v="0"/>
    <n v="0"/>
    <n v="0"/>
    <n v="0"/>
    <n v="4"/>
    <n v="419226"/>
    <n v="0"/>
    <m/>
  </r>
  <r>
    <n v="5"/>
    <x v="16"/>
    <n v="2017"/>
    <s v="Mayo"/>
    <s v="YULIRIRE"/>
    <m/>
    <x v="7"/>
    <n v="7589362"/>
    <n v="0"/>
    <n v="3509172"/>
    <n v="4080190"/>
    <m/>
    <m/>
    <x v="0"/>
    <n v="25"/>
    <x v="0"/>
    <s v=""/>
    <s v="No Aplica"/>
    <n v="8"/>
    <n v="734124"/>
    <n v="32"/>
    <n v="2391845"/>
    <n v="37"/>
    <n v="3509172"/>
    <n v="954221"/>
    <m/>
  </r>
  <r>
    <n v="5"/>
    <x v="16"/>
    <n v="2017"/>
    <s v="Mayo"/>
    <s v="(en blanco)"/>
    <m/>
    <x v="7"/>
    <n v="-1868916"/>
    <n v="0"/>
    <n v="0"/>
    <n v="-1868916"/>
    <m/>
    <m/>
    <x v="0"/>
    <n v="25"/>
    <x v="0"/>
    <s v=""/>
    <s v="No Aplica"/>
    <n v="2"/>
    <n v="-292988"/>
    <n v="4"/>
    <n v="-1036830"/>
    <n v="0"/>
    <n v="0"/>
    <n v="-539098"/>
    <m/>
  </r>
  <r>
    <n v="6"/>
    <x v="17"/>
    <n v="2017"/>
    <s v="Junio"/>
    <s v="DIANPOPA"/>
    <n v="31307503"/>
    <x v="33"/>
    <n v="26864371"/>
    <n v="0"/>
    <n v="974235"/>
    <n v="25890136"/>
    <n v="31721000"/>
    <n v="0.8161828441726301"/>
    <x v="0"/>
    <n v="24"/>
    <x v="0"/>
    <s v=""/>
    <s v="No Aplica"/>
    <n v="31"/>
    <n v="2249704"/>
    <n v="84"/>
    <n v="5351485"/>
    <n v="14"/>
    <n v="974235"/>
    <n v="18288947"/>
    <m/>
  </r>
  <r>
    <n v="6"/>
    <x v="17"/>
    <n v="2017"/>
    <s v="Junio"/>
    <s v="PAULGOBA"/>
    <n v="32256379"/>
    <x v="36"/>
    <n v="99846027"/>
    <n v="0"/>
    <n v="5938500"/>
    <n v="93907527"/>
    <n v="42000000"/>
    <n v="2.2358935"/>
    <x v="1"/>
    <n v="24"/>
    <x v="13"/>
    <s v="Antioquia"/>
    <s v="Fluctúa"/>
    <n v="143"/>
    <n v="20584005"/>
    <n v="254"/>
    <n v="37383406"/>
    <n v="88"/>
    <n v="5938500"/>
    <n v="35940116"/>
    <m/>
  </r>
  <r>
    <n v="6"/>
    <x v="17"/>
    <n v="2017"/>
    <s v="Junio"/>
    <s v="ANGEROPI"/>
    <n v="43800272"/>
    <x v="46"/>
    <n v="32371984"/>
    <n v="69800"/>
    <n v="8405312"/>
    <n v="23896872"/>
    <n v="41000000"/>
    <n v="0.5828505365853659"/>
    <x v="0"/>
    <n v="24"/>
    <x v="0"/>
    <s v=""/>
    <s v="No Aplica"/>
    <n v="58"/>
    <n v="5316570"/>
    <n v="160"/>
    <n v="15786991"/>
    <n v="95"/>
    <n v="8405312"/>
    <n v="2863111"/>
    <m/>
  </r>
  <r>
    <n v="6"/>
    <x v="17"/>
    <n v="2017"/>
    <s v="Junio"/>
    <s v="BIBIBECA"/>
    <n v="43971430"/>
    <x v="6"/>
    <n v="63999634"/>
    <n v="101520"/>
    <n v="11791828"/>
    <n v="52106286"/>
    <n v="41583333.333333328"/>
    <n v="1.253056977955912"/>
    <x v="1"/>
    <n v="24"/>
    <x v="5"/>
    <s v="Antioquia"/>
    <s v="Siempre Cumple"/>
    <n v="125"/>
    <n v="18006727"/>
    <n v="260"/>
    <n v="29653906"/>
    <n v="142"/>
    <n v="11791828"/>
    <n v="4547173"/>
    <m/>
  </r>
  <r>
    <n v="6"/>
    <x v="17"/>
    <n v="2017"/>
    <s v="Junio"/>
    <s v="CAROVABE"/>
    <n v="1030634664"/>
    <x v="32"/>
    <n v="57430281"/>
    <n v="866000"/>
    <n v="14558527"/>
    <n v="42005754"/>
    <n v="41000000"/>
    <n v="1.0245305853658537"/>
    <x v="0"/>
    <n v="24"/>
    <x v="0"/>
    <s v=""/>
    <s v="No Aplica"/>
    <n v="89"/>
    <n v="7833921"/>
    <n v="227"/>
    <n v="22837426"/>
    <n v="150"/>
    <n v="14558527"/>
    <n v="12200407"/>
    <m/>
  </r>
  <r>
    <n v="6"/>
    <x v="17"/>
    <n v="2017"/>
    <s v="Junio"/>
    <s v="CLAUBLAR"/>
    <n v="43554403"/>
    <x v="8"/>
    <n v="57342626"/>
    <n v="1184000"/>
    <n v="12056225"/>
    <n v="44102401"/>
    <n v="41000000"/>
    <n v="1.0756683170731707"/>
    <x v="1"/>
    <n v="24"/>
    <x v="5"/>
    <s v="Antioquia"/>
    <s v="Siempre Cumple"/>
    <n v="101"/>
    <n v="10443186"/>
    <n v="248"/>
    <n v="26602077"/>
    <n v="141"/>
    <n v="12056225"/>
    <n v="8241138"/>
    <m/>
  </r>
  <r>
    <n v="6"/>
    <x v="17"/>
    <n v="2017"/>
    <s v="Junio"/>
    <s v="HERIRORO"/>
    <n v="21428423"/>
    <x v="52"/>
    <n v="32198150"/>
    <n v="152000"/>
    <n v="8177047"/>
    <n v="23869103"/>
    <n v="41000000"/>
    <n v="0.58217324390243907"/>
    <x v="1"/>
    <n v="24"/>
    <x v="5"/>
    <s v="Antioquia"/>
    <s v="Fluctúa"/>
    <n v="65"/>
    <n v="4877995"/>
    <n v="160"/>
    <n v="15315518"/>
    <n v="96"/>
    <n v="8177047"/>
    <n v="3827590"/>
    <m/>
  </r>
  <r>
    <n v="6"/>
    <x v="17"/>
    <n v="2017"/>
    <s v="Junio"/>
    <s v="MARGGAPA"/>
    <n v="43866877"/>
    <x v="20"/>
    <n v="56007009"/>
    <n v="412000"/>
    <n v="12484974"/>
    <n v="43110035"/>
    <n v="41000000"/>
    <n v="1.0514642682926829"/>
    <x v="1"/>
    <n v="24"/>
    <x v="5"/>
    <s v="Antioquia"/>
    <s v="Siempre Cumple"/>
    <n v="108"/>
    <n v="11433551"/>
    <n v="258"/>
    <n v="26449526"/>
    <n v="144"/>
    <n v="12484974"/>
    <n v="5638958"/>
    <m/>
  </r>
  <r>
    <n v="6"/>
    <x v="17"/>
    <n v="2017"/>
    <s v="Junio"/>
    <s v="YULIRIRE"/>
    <n v="21982241"/>
    <x v="57"/>
    <n v="27953653"/>
    <n v="426000"/>
    <n v="6911986"/>
    <n v="20615667"/>
    <n v="32800000"/>
    <n v="0.6285264329268293"/>
    <x v="1"/>
    <n v="24"/>
    <x v="2"/>
    <s v="Antioquia"/>
    <s v="Fluctúa"/>
    <n v="56"/>
    <n v="4896699"/>
    <n v="158"/>
    <n v="14146964"/>
    <n v="81"/>
    <n v="6911986"/>
    <n v="1998004"/>
    <m/>
  </r>
  <r>
    <n v="6"/>
    <x v="17"/>
    <n v="2017"/>
    <s v="Junio"/>
    <s v="ANGEGAAR"/>
    <n v="39442617"/>
    <x v="4"/>
    <n v="27139619"/>
    <n v="238680"/>
    <n v="2968149"/>
    <n v="23932790"/>
    <n v="18000000"/>
    <n v="1.3295994444444443"/>
    <x v="1"/>
    <n v="24"/>
    <x v="4"/>
    <s v="Antioquia"/>
    <s v="Cumple"/>
    <n v="41"/>
    <n v="6717699"/>
    <n v="104"/>
    <n v="13509600"/>
    <n v="34"/>
    <n v="2968149"/>
    <n v="3944171"/>
    <m/>
  </r>
  <r>
    <n v="6"/>
    <x v="17"/>
    <n v="2017"/>
    <s v="Junio"/>
    <s v="NATAPIDU"/>
    <n v="43907427"/>
    <x v="25"/>
    <n v="45985201"/>
    <n v="0"/>
    <n v="4583773"/>
    <n v="41401428"/>
    <n v="36000000"/>
    <n v="1.1500396666666666"/>
    <x v="1"/>
    <n v="24"/>
    <x v="11"/>
    <s v="Antioquia"/>
    <s v="Siempre Cumple"/>
    <n v="41"/>
    <n v="8257624"/>
    <n v="132"/>
    <n v="28347145"/>
    <n v="58"/>
    <n v="4583773"/>
    <n v="4796659"/>
    <m/>
  </r>
  <r>
    <n v="6"/>
    <x v="17"/>
    <n v="2017"/>
    <s v="Junio"/>
    <s v="ELIZVESU"/>
    <n v="1035417626"/>
    <x v="13"/>
    <n v="71855061"/>
    <n v="852000"/>
    <n v="12646758"/>
    <n v="58356303"/>
    <n v="43000000"/>
    <n v="1.3571233255813953"/>
    <x v="1"/>
    <n v="24"/>
    <x v="3"/>
    <s v="Antioquia"/>
    <s v="Cumple"/>
    <n v="108"/>
    <n v="13635350"/>
    <n v="299"/>
    <n v="39214284"/>
    <n v="145"/>
    <n v="12646758"/>
    <n v="6358669"/>
    <m/>
  </r>
  <r>
    <n v="6"/>
    <x v="17"/>
    <n v="2017"/>
    <s v="Junio"/>
    <s v="SUANHECO"/>
    <n v="1020409789"/>
    <x v="58"/>
    <n v="39681098"/>
    <n v="2024200"/>
    <n v="9460084"/>
    <n v="28196814"/>
    <n v="24366666.666666672"/>
    <n v="1.1571879890560872"/>
    <x v="1"/>
    <n v="24"/>
    <x v="1"/>
    <s v="Antioquia"/>
    <s v="Cumple"/>
    <n v="58"/>
    <n v="6902429"/>
    <n v="168"/>
    <n v="19203532"/>
    <n v="105"/>
    <n v="9460084"/>
    <n v="4115053"/>
    <m/>
  </r>
  <r>
    <n v="6"/>
    <x v="17"/>
    <n v="2017"/>
    <s v="Junio"/>
    <s v="ZULYARGA"/>
    <n v="43259130"/>
    <x v="31"/>
    <n v="76089022"/>
    <n v="1194800"/>
    <n v="15124557"/>
    <n v="59769665"/>
    <n v="43000000"/>
    <n v="1.3899922093023256"/>
    <x v="1"/>
    <n v="24"/>
    <x v="1"/>
    <s v="Antioquia"/>
    <s v="Fluctúa"/>
    <n v="135"/>
    <n v="15812354"/>
    <n v="336"/>
    <n v="37704240"/>
    <n v="164"/>
    <n v="15124557"/>
    <n v="7447871"/>
    <m/>
  </r>
  <r>
    <n v="6"/>
    <x v="17"/>
    <n v="2017"/>
    <s v="Junio"/>
    <s v="VIVIVAZA"/>
    <n v="43745952"/>
    <x v="30"/>
    <n v="83563443"/>
    <n v="1019000"/>
    <n v="18764055"/>
    <n v="63780388"/>
    <n v="43000000"/>
    <n v="1.4832648372093022"/>
    <x v="1"/>
    <n v="24"/>
    <x v="3"/>
    <s v="Antioquia"/>
    <s v="Siempre Cumple"/>
    <n v="141"/>
    <n v="15942182"/>
    <n v="358"/>
    <n v="40363522"/>
    <n v="196"/>
    <n v="18764055"/>
    <n v="8493684"/>
    <m/>
  </r>
  <r>
    <n v="6"/>
    <x v="17"/>
    <n v="2017"/>
    <s v="Junio"/>
    <s v="DERLARMO"/>
    <n v="52725011"/>
    <x v="10"/>
    <n v="34315438"/>
    <n v="440000"/>
    <n v="7950697"/>
    <n v="25924741"/>
    <n v="20000000"/>
    <n v="1.29623705"/>
    <x v="1"/>
    <n v="24"/>
    <x v="6"/>
    <s v="Centro"/>
    <s v="Fluctúa"/>
    <n v="98"/>
    <n v="5817492"/>
    <n v="242"/>
    <n v="18168107"/>
    <n v="119"/>
    <n v="7950697"/>
    <n v="2379142"/>
    <m/>
  </r>
  <r>
    <n v="6"/>
    <x v="17"/>
    <n v="2017"/>
    <s v="Junio"/>
    <s v="RAULMOGA"/>
    <n v="79701425"/>
    <x v="27"/>
    <n v="31996252"/>
    <n v="440000"/>
    <n v="6328729"/>
    <n v="25227523"/>
    <n v="20000000"/>
    <n v="1.26137615"/>
    <x v="0"/>
    <n v="24"/>
    <x v="6"/>
    <s v="Centro"/>
    <s v="No Aplica"/>
    <n v="93"/>
    <n v="5811931"/>
    <n v="227"/>
    <n v="17092578"/>
    <n v="101"/>
    <n v="6328729"/>
    <n v="2763014"/>
    <m/>
  </r>
  <r>
    <n v="6"/>
    <x v="17"/>
    <n v="2017"/>
    <s v="Junio"/>
    <s v="ALVAOSOS"/>
    <n v="3438422"/>
    <x v="37"/>
    <n v="52468369"/>
    <n v="852000"/>
    <n v="10411314"/>
    <n v="41205055"/>
    <n v="38700000"/>
    <n v="1.0647301033591732"/>
    <x v="1"/>
    <n v="24"/>
    <x v="8"/>
    <s v="Antioquia"/>
    <s v="Fluctúa"/>
    <n v="81"/>
    <n v="8990136"/>
    <n v="177"/>
    <n v="24454101"/>
    <n v="109"/>
    <n v="10411314"/>
    <n v="8612818"/>
    <m/>
  </r>
  <r>
    <n v="6"/>
    <x v="17"/>
    <n v="2017"/>
    <s v="Junio"/>
    <s v="DEISCACR"/>
    <n v="1017167720"/>
    <x v="50"/>
    <n v="53105446"/>
    <n v="1184000"/>
    <n v="8298706"/>
    <n v="43622740"/>
    <n v="43000000"/>
    <n v="1.0144823255813953"/>
    <x v="1"/>
    <n v="24"/>
    <x v="8"/>
    <s v="Antioquia"/>
    <s v="Cumple"/>
    <n v="102"/>
    <n v="12220255"/>
    <n v="239"/>
    <n v="24845411"/>
    <n v="93"/>
    <n v="8298706"/>
    <n v="7741074"/>
    <m/>
  </r>
  <r>
    <n v="6"/>
    <x v="17"/>
    <n v="2017"/>
    <s v="Junio"/>
    <s v="GENNHEPO"/>
    <n v="43874518"/>
    <x v="14"/>
    <n v="56107941"/>
    <n v="1047600"/>
    <n v="10799636"/>
    <n v="44260705"/>
    <n v="43000000"/>
    <n v="1.0293187209302326"/>
    <x v="1"/>
    <n v="24"/>
    <x v="8"/>
    <s v="Antioquia"/>
    <s v="Fluctúa"/>
    <n v="96"/>
    <n v="9348763"/>
    <n v="252"/>
    <n v="27797967"/>
    <n v="115"/>
    <n v="10799636"/>
    <n v="8161575"/>
    <m/>
  </r>
  <r>
    <n v="6"/>
    <x v="17"/>
    <n v="2017"/>
    <s v="Junio"/>
    <s v="LEIDGOVI"/>
    <n v="1036598360"/>
    <x v="39"/>
    <n v="61450915"/>
    <n v="1086000"/>
    <n v="11791710"/>
    <n v="48573205"/>
    <n v="38700000"/>
    <n v="1.2551215762273902"/>
    <x v="1"/>
    <n v="24"/>
    <x v="8"/>
    <s v="Antioquia"/>
    <s v="Fluctúa"/>
    <n v="82"/>
    <n v="10142140"/>
    <n v="212"/>
    <n v="30160325"/>
    <n v="121"/>
    <n v="11791710"/>
    <n v="9356740"/>
    <m/>
  </r>
  <r>
    <n v="6"/>
    <x v="17"/>
    <n v="2017"/>
    <s v="Junio"/>
    <s v="YENYSUPE"/>
    <n v="1020419011"/>
    <x v="51"/>
    <n v="56421701"/>
    <n v="705400"/>
    <n v="10686751"/>
    <n v="45029550"/>
    <n v="43000000"/>
    <n v="1.0471988372093024"/>
    <x v="1"/>
    <n v="24"/>
    <x v="8"/>
    <s v="Antioquia"/>
    <s v="Cumple"/>
    <n v="92"/>
    <n v="9620397"/>
    <n v="240"/>
    <n v="24797288"/>
    <n v="126"/>
    <n v="10686751"/>
    <n v="11317265"/>
    <m/>
  </r>
  <r>
    <n v="6"/>
    <x v="17"/>
    <n v="2017"/>
    <s v="Junio"/>
    <s v="YURAUSVE"/>
    <n v="1020419615"/>
    <x v="56"/>
    <n v="50662810"/>
    <n v="0"/>
    <n v="9075633"/>
    <n v="41587177"/>
    <n v="38700000"/>
    <n v="1.0746040568475452"/>
    <x v="1"/>
    <n v="24"/>
    <x v="8"/>
    <s v="Antioquia"/>
    <s v="Cumple"/>
    <n v="89"/>
    <n v="8796109"/>
    <n v="216"/>
    <n v="24810274"/>
    <n v="111"/>
    <n v="9075633"/>
    <n v="7980794"/>
    <m/>
  </r>
  <r>
    <n v="6"/>
    <x v="17"/>
    <n v="2017"/>
    <s v="Junio"/>
    <s v="DIANPAAL"/>
    <n v="1040030764"/>
    <x v="11"/>
    <n v="43679817"/>
    <n v="3632000"/>
    <n v="6586706"/>
    <n v="33461111"/>
    <n v="33000000"/>
    <n v="1.0139730606060606"/>
    <x v="1"/>
    <n v="24"/>
    <x v="7"/>
    <s v="Antioquia"/>
    <s v="Cumple"/>
    <n v="77"/>
    <n v="8549122"/>
    <n v="203"/>
    <n v="21836786"/>
    <n v="84"/>
    <n v="6586706"/>
    <n v="6707203"/>
    <m/>
  </r>
  <r>
    <n v="6"/>
    <x v="17"/>
    <n v="2017"/>
    <s v="Junio"/>
    <s v="JAQUVEGU"/>
    <n v="1036779770"/>
    <x v="16"/>
    <n v="33249619"/>
    <n v="1316000"/>
    <n v="7211975"/>
    <n v="24721644"/>
    <n v="33000000"/>
    <n v="0.74914072727272729"/>
    <x v="0"/>
    <n v="24"/>
    <x v="7"/>
    <s v="Antioquia"/>
    <s v="No Aplica"/>
    <n v="61"/>
    <n v="5926027"/>
    <n v="156"/>
    <n v="15081132"/>
    <n v="95"/>
    <n v="7211975"/>
    <n v="5030485"/>
    <m/>
  </r>
  <r>
    <n v="6"/>
    <x v="17"/>
    <n v="2017"/>
    <s v="Junio"/>
    <s v="MARIOCOC"/>
    <n v="39448823"/>
    <x v="21"/>
    <n v="42313791"/>
    <n v="1827400"/>
    <n v="5592581"/>
    <n v="34893810"/>
    <n v="33000000"/>
    <n v="1.0573881818181818"/>
    <x v="1"/>
    <n v="24"/>
    <x v="7"/>
    <s v="Antioquia"/>
    <s v="Siempre Cumple"/>
    <n v="87"/>
    <n v="8172866"/>
    <n v="201"/>
    <n v="22240101"/>
    <n v="77"/>
    <n v="5592581"/>
    <n v="6308243"/>
    <m/>
  </r>
  <r>
    <n v="6"/>
    <x v="17"/>
    <n v="2017"/>
    <s v="Junio"/>
    <s v="ADRIMOLU"/>
    <n v="43169964"/>
    <x v="1"/>
    <n v="45966507"/>
    <n v="744000"/>
    <n v="10753714"/>
    <n v="34468793"/>
    <n v="30350000"/>
    <n v="1.1357098187808896"/>
    <x v="1"/>
    <n v="24"/>
    <x v="1"/>
    <s v="Antioquia"/>
    <s v="Cumple"/>
    <n v="99"/>
    <n v="7933725"/>
    <n v="224"/>
    <n v="21786418"/>
    <n v="119"/>
    <n v="10753714"/>
    <n v="5492650"/>
    <m/>
  </r>
  <r>
    <n v="6"/>
    <x v="17"/>
    <n v="2017"/>
    <s v="Junio"/>
    <s v="ERIKSAVA"/>
    <n v="1017200970"/>
    <x v="44"/>
    <n v="39474197"/>
    <n v="1556000"/>
    <n v="6445680"/>
    <n v="31472517"/>
    <n v="30100000"/>
    <n v="1.0455985714285714"/>
    <x v="1"/>
    <n v="24"/>
    <x v="4"/>
    <s v="Antioquia"/>
    <s v="Cumple"/>
    <n v="78"/>
    <n v="7738946"/>
    <n v="172"/>
    <n v="18348482"/>
    <n v="76"/>
    <n v="6445680"/>
    <n v="6941089"/>
    <m/>
  </r>
  <r>
    <n v="6"/>
    <x v="17"/>
    <n v="2017"/>
    <s v="Junio"/>
    <s v="HISNOSPI"/>
    <n v="43114534"/>
    <x v="49"/>
    <n v="44461114"/>
    <n v="1129760"/>
    <n v="11490623"/>
    <n v="31840731"/>
    <n v="27090000"/>
    <n v="1.1753684385382059"/>
    <x v="0"/>
    <n v="24"/>
    <x v="4"/>
    <s v="Antioquia"/>
    <s v="No Aplica"/>
    <n v="84"/>
    <n v="7633919"/>
    <n v="222"/>
    <n v="19838965"/>
    <n v="133"/>
    <n v="11490623"/>
    <n v="5497607"/>
    <m/>
  </r>
  <r>
    <n v="6"/>
    <x v="17"/>
    <n v="2017"/>
    <s v="Junio"/>
    <s v="MARIMASA"/>
    <n v="43113640"/>
    <x v="34"/>
    <n v="31196120"/>
    <n v="608000"/>
    <n v="5445123"/>
    <n v="25142997"/>
    <n v="25083333.333333336"/>
    <n v="1.0023786179401992"/>
    <x v="1"/>
    <n v="24"/>
    <x v="4"/>
    <s v="Antioquia"/>
    <s v="Cumple"/>
    <n v="62"/>
    <n v="7621611"/>
    <n v="126"/>
    <n v="13548371"/>
    <n v="57"/>
    <n v="5445123"/>
    <n v="4581015"/>
    <m/>
  </r>
  <r>
    <n v="6"/>
    <x v="17"/>
    <n v="2017"/>
    <s v="Junio"/>
    <s v="ANDRSAZA"/>
    <n v="1020736461"/>
    <x v="45"/>
    <n v="53113087"/>
    <n v="1334000"/>
    <n v="8163565"/>
    <n v="43615522"/>
    <n v="22000000"/>
    <n v="1.9825237272727272"/>
    <x v="1"/>
    <n v="24"/>
    <x v="9"/>
    <s v="Centro"/>
    <s v="Siempre Cumple"/>
    <n v="89"/>
    <n v="9055246"/>
    <n v="284"/>
    <n v="33225950"/>
    <n v="111"/>
    <n v="8163565"/>
    <n v="2668326"/>
    <m/>
  </r>
  <r>
    <n v="6"/>
    <x v="17"/>
    <n v="2017"/>
    <s v="Junio"/>
    <s v="CAMIPUHE"/>
    <n v="79850984"/>
    <x v="53"/>
    <n v="22742035"/>
    <n v="412000"/>
    <n v="3957288"/>
    <n v="18372747"/>
    <n v="13750000"/>
    <n v="1.3361997818181819"/>
    <x v="1"/>
    <n v="24"/>
    <x v="15"/>
    <s v="Centro"/>
    <s v="Fluctúa"/>
    <n v="41"/>
    <n v="3303310"/>
    <n v="114"/>
    <n v="13387551"/>
    <n v="53"/>
    <n v="3957288"/>
    <n v="2093886"/>
    <m/>
  </r>
  <r>
    <n v="6"/>
    <x v="17"/>
    <n v="2017"/>
    <s v="Junio"/>
    <s v="ISABMOGO"/>
    <n v="52260671"/>
    <x v="15"/>
    <n v="38407732"/>
    <n v="1787400"/>
    <n v="6726127"/>
    <n v="29894205"/>
    <n v="22000000"/>
    <n v="1.3588275000000001"/>
    <x v="1"/>
    <n v="24"/>
    <x v="9"/>
    <s v="Centro"/>
    <s v="Siempre Cumple"/>
    <n v="77"/>
    <n v="7056236"/>
    <n v="206"/>
    <n v="20300768"/>
    <n v="98"/>
    <n v="6726127"/>
    <n v="4324601"/>
    <m/>
  </r>
  <r>
    <n v="6"/>
    <x v="17"/>
    <n v="2017"/>
    <s v="Junio"/>
    <s v="LUZNHEGO"/>
    <n v="43745192"/>
    <x v="19"/>
    <n v="30697130"/>
    <n v="669600"/>
    <n v="691969"/>
    <n v="29335561"/>
    <n v="25000000"/>
    <n v="1.17342244"/>
    <x v="1"/>
    <n v="24"/>
    <x v="10"/>
    <s v="Antioquia"/>
    <s v="Cumple"/>
    <n v="50"/>
    <n v="6518830"/>
    <n v="159"/>
    <n v="20796206"/>
    <n v="9"/>
    <n v="691969"/>
    <n v="2690125"/>
    <m/>
  </r>
  <r>
    <n v="6"/>
    <x v="17"/>
    <n v="2017"/>
    <s v="Junio"/>
    <s v="ANAMLOBE"/>
    <n v="43821410"/>
    <x v="3"/>
    <n v="74256180"/>
    <n v="1196000"/>
    <n v="12454479"/>
    <n v="60605701"/>
    <n v="43000000"/>
    <n v="1.4094349069767442"/>
    <x v="1"/>
    <n v="24"/>
    <x v="3"/>
    <s v="Antioquia"/>
    <s v="Siempre Cumple"/>
    <n v="122"/>
    <n v="15262193"/>
    <n v="276"/>
    <n v="37908358"/>
    <n v="132"/>
    <n v="12454479"/>
    <n v="8631150"/>
    <m/>
  </r>
  <r>
    <n v="6"/>
    <x v="17"/>
    <n v="2017"/>
    <s v="Junio"/>
    <s v="DIANQUME"/>
    <n v="42164020"/>
    <x v="12"/>
    <n v="53586384"/>
    <n v="412000"/>
    <n v="11555251"/>
    <n v="41619133"/>
    <n v="39416666.666666672"/>
    <n v="1.0558765243128962"/>
    <x v="1"/>
    <n v="24"/>
    <x v="1"/>
    <s v="Antioquia"/>
    <s v="Siempre Cumple"/>
    <n v="84"/>
    <n v="8628881"/>
    <n v="232"/>
    <n v="28696773"/>
    <n v="120"/>
    <n v="11555251"/>
    <n v="4705479"/>
    <m/>
  </r>
  <r>
    <n v="6"/>
    <x v="17"/>
    <n v="2017"/>
    <s v="Junio"/>
    <s v="LILACARA"/>
    <n v="1017141451"/>
    <x v="17"/>
    <n v="56763919"/>
    <n v="2548000"/>
    <n v="9989208"/>
    <n v="44226711"/>
    <n v="43000000"/>
    <n v="1.0285281627906977"/>
    <x v="1"/>
    <n v="24"/>
    <x v="1"/>
    <s v="Antioquia"/>
    <s v="Siempre Cumple"/>
    <n v="100"/>
    <n v="12334360"/>
    <n v="258"/>
    <n v="26937636"/>
    <n v="115"/>
    <n v="9989208"/>
    <n v="7502715"/>
    <m/>
  </r>
  <r>
    <n v="6"/>
    <x v="17"/>
    <n v="2017"/>
    <s v="Junio"/>
    <s v="ALEXLOGR"/>
    <n v="43253531"/>
    <x v="2"/>
    <n v="19190423"/>
    <n v="304000"/>
    <n v="608945"/>
    <n v="18277478"/>
    <n v="7250000"/>
    <n v="2.521031448275862"/>
    <x v="1"/>
    <n v="24"/>
    <x v="2"/>
    <s v="Antioquia"/>
    <s v="Cumple"/>
    <n v="34"/>
    <n v="3089639"/>
    <n v="97"/>
    <n v="12952502"/>
    <n v="8"/>
    <n v="608945"/>
    <n v="2539337"/>
    <m/>
  </r>
  <r>
    <n v="6"/>
    <x v="17"/>
    <n v="2017"/>
    <s v="Junio"/>
    <s v="CINDGACU"/>
    <n v="1020443426"/>
    <x v="55"/>
    <n v="47046467"/>
    <n v="676000"/>
    <n v="14725768"/>
    <n v="31644699"/>
    <n v="30208333.333333332"/>
    <n v="1.0475486565517242"/>
    <x v="1"/>
    <n v="24"/>
    <x v="4"/>
    <s v="Antioquia"/>
    <s v="Fluctúa"/>
    <n v="96"/>
    <n v="7589179"/>
    <n v="216"/>
    <n v="21200553"/>
    <n v="169"/>
    <n v="14725768"/>
    <n v="3530967"/>
    <m/>
  </r>
  <r>
    <n v="6"/>
    <x v="17"/>
    <n v="2017"/>
    <s v="Junio"/>
    <s v="CARORICA"/>
    <n v="31309227"/>
    <x v="59"/>
    <n v="8792151"/>
    <n v="0"/>
    <n v="2747760"/>
    <n v="6044391"/>
    <n v="24000000"/>
    <n v="0.25184962500000002"/>
    <x v="0"/>
    <n v="24"/>
    <x v="0"/>
    <s v=""/>
    <s v="No Aplica"/>
    <n v="16"/>
    <n v="1302390"/>
    <n v="52"/>
    <n v="4084395"/>
    <n v="40"/>
    <n v="2747760"/>
    <n v="657606"/>
    <m/>
  </r>
  <r>
    <n v="6"/>
    <x v="17"/>
    <n v="2017"/>
    <s v="Junio"/>
    <s v="TATIRITR"/>
    <n v="1130597373"/>
    <x v="60"/>
    <n v="18435092"/>
    <n v="0"/>
    <n v="7135081"/>
    <n v="11300011"/>
    <n v="24000000"/>
    <n v="0.47083379166666667"/>
    <x v="1"/>
    <n v="24"/>
    <x v="16"/>
    <s v="Occidente"/>
    <s v="Fluctúa"/>
    <n v="28"/>
    <n v="2710399"/>
    <n v="86"/>
    <n v="6667642"/>
    <n v="82"/>
    <n v="7135081"/>
    <n v="1921970"/>
    <m/>
  </r>
  <r>
    <n v="6"/>
    <x v="17"/>
    <n v="2017"/>
    <s v="Junio"/>
    <s v="PAOLPACA"/>
    <n v="31445278"/>
    <x v="47"/>
    <n v="43263275"/>
    <n v="0"/>
    <n v="8453428"/>
    <n v="34809847"/>
    <n v="30000000"/>
    <n v="1.1603282333333333"/>
    <x v="1"/>
    <n v="24"/>
    <x v="14"/>
    <s v="Occidente"/>
    <s v="Cumple"/>
    <n v="96"/>
    <n v="8971814"/>
    <n v="292"/>
    <n v="21341093"/>
    <n v="104"/>
    <n v="8453428"/>
    <n v="4496940"/>
    <m/>
  </r>
  <r>
    <n v="6"/>
    <x v="17"/>
    <n v="2017"/>
    <s v="Junio"/>
    <s v="ROCIFASA"/>
    <n v="34542470"/>
    <x v="28"/>
    <n v="29745580"/>
    <n v="166680"/>
    <n v="3801496"/>
    <n v="25777404"/>
    <n v="25000000"/>
    <n v="1.0310961599999999"/>
    <x v="1"/>
    <n v="24"/>
    <x v="12"/>
    <s v="Occidente"/>
    <s v="Siempre Cumple"/>
    <n v="53"/>
    <n v="7155323"/>
    <n v="156"/>
    <n v="16270529"/>
    <n v="44"/>
    <n v="3801496"/>
    <n v="2518232"/>
    <m/>
  </r>
  <r>
    <n v="6"/>
    <x v="17"/>
    <n v="2017"/>
    <s v="Junio"/>
    <s v="ANAMSAPV"/>
    <m/>
    <x v="7"/>
    <n v="0"/>
    <n v="0"/>
    <n v="0"/>
    <n v="0"/>
    <m/>
    <m/>
    <x v="0"/>
    <n v="24"/>
    <x v="0"/>
    <s v=""/>
    <s v="No Aplica"/>
    <n v="0"/>
    <n v="0"/>
    <n v="0"/>
    <n v="0"/>
    <n v="0"/>
    <n v="0"/>
    <n v="0"/>
    <m/>
  </r>
  <r>
    <n v="6"/>
    <x v="17"/>
    <n v="2017"/>
    <s v="Junio"/>
    <s v="ANAUROCA"/>
    <m/>
    <x v="7"/>
    <n v="88400"/>
    <n v="0"/>
    <n v="0"/>
    <n v="88400"/>
    <m/>
    <m/>
    <x v="0"/>
    <n v="24"/>
    <x v="0"/>
    <s v=""/>
    <s v="No Aplica"/>
    <n v="0"/>
    <n v="0"/>
    <n v="0"/>
    <n v="0"/>
    <n v="0"/>
    <n v="0"/>
    <n v="88400"/>
    <m/>
  </r>
  <r>
    <n v="6"/>
    <x v="17"/>
    <n v="2017"/>
    <s v="Junio"/>
    <s v="DARWHERI"/>
    <m/>
    <x v="7"/>
    <n v="1752706"/>
    <n v="0"/>
    <n v="539708"/>
    <n v="1212998"/>
    <m/>
    <m/>
    <x v="0"/>
    <n v="24"/>
    <x v="0"/>
    <s v=""/>
    <s v="No Aplica"/>
    <n v="3"/>
    <n v="229854"/>
    <n v="4"/>
    <n v="646245"/>
    <n v="7"/>
    <n v="539708"/>
    <n v="336899"/>
    <m/>
  </r>
  <r>
    <n v="6"/>
    <x v="17"/>
    <n v="2017"/>
    <s v="Junio"/>
    <s v="ESTESESE"/>
    <m/>
    <x v="7"/>
    <n v="0"/>
    <n v="0"/>
    <n v="0"/>
    <n v="0"/>
    <m/>
    <m/>
    <x v="0"/>
    <n v="24"/>
    <x v="0"/>
    <s v=""/>
    <s v="No Aplica"/>
    <n v="0"/>
    <n v="0"/>
    <n v="0"/>
    <n v="0"/>
    <n v="0"/>
    <n v="0"/>
    <n v="0"/>
    <m/>
  </r>
  <r>
    <n v="6"/>
    <x v="17"/>
    <n v="2017"/>
    <s v="Junio"/>
    <s v="GISECACM"/>
    <m/>
    <x v="7"/>
    <n v="3621897"/>
    <n v="0"/>
    <n v="2044770"/>
    <n v="1577127"/>
    <m/>
    <m/>
    <x v="0"/>
    <n v="24"/>
    <x v="0"/>
    <s v=""/>
    <s v="No Aplica"/>
    <n v="8"/>
    <n v="668277"/>
    <n v="14"/>
    <n v="471965"/>
    <n v="26"/>
    <n v="2044770"/>
    <n v="436885"/>
    <m/>
  </r>
  <r>
    <n v="6"/>
    <x v="17"/>
    <n v="2017"/>
    <s v="Junio"/>
    <s v="GISECAM"/>
    <m/>
    <x v="7"/>
    <n v="0"/>
    <n v="0"/>
    <n v="0"/>
    <n v="0"/>
    <m/>
    <m/>
    <x v="0"/>
    <n v="24"/>
    <x v="0"/>
    <s v=""/>
    <s v="No Aplica"/>
    <n v="0"/>
    <n v="0"/>
    <n v="0"/>
    <n v="0"/>
    <n v="0"/>
    <n v="0"/>
    <n v="0"/>
    <m/>
  </r>
  <r>
    <n v="6"/>
    <x v="17"/>
    <n v="2017"/>
    <s v="Junio"/>
    <s v="GISECACA"/>
    <m/>
    <x v="7"/>
    <n v="213897"/>
    <n v="0"/>
    <n v="0"/>
    <n v="213897"/>
    <m/>
    <m/>
    <x v="0"/>
    <n v="24"/>
    <x v="0"/>
    <s v=""/>
    <s v="No Aplica"/>
    <n v="1"/>
    <n v="41767"/>
    <n v="2"/>
    <n v="172130"/>
    <n v="0"/>
    <n v="0"/>
    <n v="0"/>
    <m/>
  </r>
  <r>
    <n v="6"/>
    <x v="17"/>
    <n v="2017"/>
    <s v="Junio"/>
    <s v="KATHCASG"/>
    <m/>
    <x v="7"/>
    <n v="183200"/>
    <n v="0"/>
    <n v="0"/>
    <n v="183200"/>
    <m/>
    <m/>
    <x v="0"/>
    <n v="24"/>
    <x v="0"/>
    <s v=""/>
    <s v="No Aplica"/>
    <n v="0"/>
    <n v="0"/>
    <n v="0"/>
    <n v="0"/>
    <n v="0"/>
    <n v="0"/>
    <n v="183200"/>
    <m/>
  </r>
  <r>
    <n v="6"/>
    <x v="17"/>
    <n v="2017"/>
    <s v="Junio"/>
    <s v="LILIFOVI"/>
    <m/>
    <x v="7"/>
    <n v="300440"/>
    <n v="0"/>
    <n v="0"/>
    <n v="300440"/>
    <m/>
    <m/>
    <x v="0"/>
    <n v="24"/>
    <x v="0"/>
    <s v=""/>
    <s v="No Aplica"/>
    <n v="1"/>
    <n v="108440"/>
    <n v="2"/>
    <n v="192000"/>
    <n v="0"/>
    <n v="0"/>
    <n v="0"/>
    <m/>
  </r>
  <r>
    <n v="6"/>
    <x v="17"/>
    <n v="2017"/>
    <s v="Junio"/>
    <s v="MARISEAR"/>
    <m/>
    <x v="7"/>
    <n v="351170"/>
    <n v="0"/>
    <n v="351170"/>
    <n v="0"/>
    <m/>
    <m/>
    <x v="0"/>
    <n v="24"/>
    <x v="0"/>
    <s v=""/>
    <s v="No Aplica"/>
    <n v="0"/>
    <n v="0"/>
    <n v="0"/>
    <n v="0"/>
    <n v="5"/>
    <n v="351170"/>
    <n v="0"/>
    <m/>
  </r>
  <r>
    <n v="6"/>
    <x v="17"/>
    <n v="2017"/>
    <s v="Junio"/>
    <s v="MONIMEME"/>
    <m/>
    <x v="7"/>
    <n v="374000"/>
    <n v="0"/>
    <n v="374000"/>
    <n v="0"/>
    <m/>
    <m/>
    <x v="0"/>
    <n v="24"/>
    <x v="0"/>
    <s v=""/>
    <s v="No Aplica"/>
    <n v="0"/>
    <n v="0"/>
    <n v="0"/>
    <n v="0"/>
    <n v="5"/>
    <n v="374000"/>
    <n v="0"/>
    <m/>
  </r>
  <r>
    <n v="6"/>
    <x v="17"/>
    <n v="2017"/>
    <s v="Junio"/>
    <s v="OSCADESU"/>
    <m/>
    <x v="7"/>
    <n v="272607"/>
    <n v="0"/>
    <n v="134285"/>
    <n v="138322"/>
    <m/>
    <m/>
    <x v="0"/>
    <n v="24"/>
    <x v="0"/>
    <s v=""/>
    <s v="No Aplica"/>
    <n v="0"/>
    <n v="0"/>
    <n v="2"/>
    <n v="138322"/>
    <n v="1"/>
    <n v="134285"/>
    <n v="0"/>
    <m/>
  </r>
  <r>
    <n v="6"/>
    <x v="17"/>
    <n v="2017"/>
    <s v="Junio"/>
    <s v="RUBYHIGA"/>
    <m/>
    <x v="7"/>
    <n v="191970"/>
    <n v="0"/>
    <n v="0"/>
    <n v="191970"/>
    <m/>
    <m/>
    <x v="0"/>
    <n v="24"/>
    <x v="0"/>
    <s v=""/>
    <s v="No Aplica"/>
    <n v="0"/>
    <n v="0"/>
    <n v="4"/>
    <n v="191970"/>
    <n v="0"/>
    <n v="0"/>
    <n v="0"/>
    <m/>
  </r>
  <r>
    <n v="6"/>
    <x v="17"/>
    <n v="2017"/>
    <s v="Junio"/>
    <s v="(en blanco)"/>
    <m/>
    <x v="7"/>
    <n v="-150656"/>
    <n v="0"/>
    <n v="0"/>
    <n v="-150656"/>
    <m/>
    <m/>
    <x v="0"/>
    <n v="24"/>
    <x v="0"/>
    <s v=""/>
    <s v="No Aplica"/>
    <n v="0"/>
    <n v="0"/>
    <n v="0"/>
    <n v="0"/>
    <n v="0"/>
    <n v="0"/>
    <n v="-150656"/>
    <m/>
  </r>
  <r>
    <n v="7"/>
    <x v="18"/>
    <n v="2017"/>
    <s v="Julio"/>
    <s v="DIANPOPA"/>
    <n v="31307503"/>
    <x v="33"/>
    <n v="27164816"/>
    <n v="370800"/>
    <n v="1388111"/>
    <n v="25405905"/>
    <n v="31721000"/>
    <n v="0.80091753097317231"/>
    <x v="0"/>
    <n v="24"/>
    <x v="0"/>
    <s v=""/>
    <s v="No Aplica"/>
    <n v="59"/>
    <n v="6195217"/>
    <n v="128"/>
    <n v="11948999"/>
    <n v="22"/>
    <n v="1388111"/>
    <n v="7632489"/>
    <m/>
  </r>
  <r>
    <n v="7"/>
    <x v="18"/>
    <n v="2017"/>
    <s v="Julio"/>
    <s v="PAULGOBA"/>
    <n v="32256379"/>
    <x v="36"/>
    <n v="54520375"/>
    <n v="0"/>
    <n v="7179914"/>
    <n v="47340461"/>
    <n v="42000000"/>
    <n v="1.1271538333333333"/>
    <x v="1"/>
    <n v="24"/>
    <x v="13"/>
    <s v="Antioquia"/>
    <s v="Fluctúa"/>
    <n v="110"/>
    <n v="15020091"/>
    <n v="240"/>
    <n v="25658836"/>
    <n v="93"/>
    <n v="7179914"/>
    <n v="6661534"/>
    <m/>
  </r>
  <r>
    <n v="7"/>
    <x v="18"/>
    <n v="2017"/>
    <s v="Julio"/>
    <s v="ANGEROPI"/>
    <n v="43800272"/>
    <x v="46"/>
    <n v="56889664"/>
    <n v="2116000"/>
    <n v="12307996"/>
    <n v="42465668"/>
    <n v="41000000"/>
    <n v="1.0357479999999999"/>
    <x v="0"/>
    <n v="24"/>
    <x v="0"/>
    <s v=""/>
    <s v="No Aplica"/>
    <n v="113"/>
    <n v="11079221"/>
    <n v="280"/>
    <n v="24834467"/>
    <n v="134"/>
    <n v="12307996"/>
    <n v="8667980"/>
    <m/>
  </r>
  <r>
    <n v="7"/>
    <x v="18"/>
    <n v="2017"/>
    <s v="Julio"/>
    <s v="BIBIBECA"/>
    <n v="43971430"/>
    <x v="6"/>
    <n v="69453091"/>
    <n v="773360"/>
    <n v="11522616"/>
    <n v="57157115"/>
    <n v="41166666.666666664"/>
    <n v="1.3884319433198382"/>
    <x v="1"/>
    <n v="24"/>
    <x v="5"/>
    <s v="Antioquia"/>
    <s v="Siempre Cumple"/>
    <n v="115"/>
    <n v="16582902"/>
    <n v="292"/>
    <n v="34083168"/>
    <n v="144"/>
    <n v="11522616"/>
    <n v="7264405"/>
    <m/>
  </r>
  <r>
    <n v="7"/>
    <x v="18"/>
    <n v="2017"/>
    <s v="Julio"/>
    <s v="CAROVABE"/>
    <n v="1030634664"/>
    <x v="32"/>
    <n v="63237777"/>
    <n v="440000"/>
    <n v="15243541"/>
    <n v="47554236"/>
    <n v="41000000"/>
    <n v="1.1598594146341463"/>
    <x v="0"/>
    <n v="24"/>
    <x v="0"/>
    <s v=""/>
    <s v="No Aplica"/>
    <n v="120"/>
    <n v="10458616"/>
    <n v="293"/>
    <n v="30170205"/>
    <n v="170"/>
    <n v="15243541"/>
    <n v="7365415"/>
    <m/>
  </r>
  <r>
    <n v="7"/>
    <x v="18"/>
    <n v="2017"/>
    <s v="Julio"/>
    <s v="CLAUBLAR"/>
    <n v="43554403"/>
    <x v="8"/>
    <n v="72673039"/>
    <n v="866000"/>
    <n v="15645326"/>
    <n v="56161713"/>
    <n v="41000000"/>
    <n v="1.3697978780487805"/>
    <x v="1"/>
    <n v="24"/>
    <x v="5"/>
    <s v="Antioquia"/>
    <s v="Siempre Cumple"/>
    <n v="125"/>
    <n v="12969891"/>
    <n v="312"/>
    <n v="34680844"/>
    <n v="175"/>
    <n v="15645326"/>
    <n v="9376978"/>
    <m/>
  </r>
  <r>
    <n v="7"/>
    <x v="18"/>
    <n v="2017"/>
    <s v="Julio"/>
    <s v="HERIRORO"/>
    <n v="21428423"/>
    <x v="52"/>
    <n v="53457636"/>
    <n v="626000"/>
    <n v="10395799"/>
    <n v="42435837"/>
    <n v="41000000"/>
    <n v="1.0350204146341464"/>
    <x v="1"/>
    <n v="24"/>
    <x v="5"/>
    <s v="Antioquia"/>
    <s v="Fluctúa"/>
    <n v="111"/>
    <n v="10208242"/>
    <n v="270"/>
    <n v="23668730"/>
    <n v="121"/>
    <n v="10395799"/>
    <n v="9184865"/>
    <m/>
  </r>
  <r>
    <n v="7"/>
    <x v="18"/>
    <n v="2017"/>
    <s v="Julio"/>
    <s v="MARGGAPA"/>
    <n v="43866877"/>
    <x v="20"/>
    <n v="49969193"/>
    <n v="744000"/>
    <n v="13270247"/>
    <n v="35954946"/>
    <n v="25625000"/>
    <n v="1.403119843902439"/>
    <x v="1"/>
    <n v="24"/>
    <x v="5"/>
    <s v="Antioquia"/>
    <s v="Siempre Cumple"/>
    <n v="89"/>
    <n v="9623992"/>
    <n v="228"/>
    <n v="21820271"/>
    <n v="161"/>
    <n v="13270247"/>
    <n v="5254683"/>
    <m/>
  </r>
  <r>
    <n v="7"/>
    <x v="18"/>
    <n v="2017"/>
    <s v="Julio"/>
    <s v="YULIRIRE"/>
    <n v="21982241"/>
    <x v="57"/>
    <n v="42128113"/>
    <n v="304000"/>
    <n v="9143899"/>
    <n v="32680214"/>
    <n v="41000000"/>
    <n v="0.79707839024390248"/>
    <x v="1"/>
    <n v="24"/>
    <x v="2"/>
    <s v="Antioquia"/>
    <s v="Fluctúa"/>
    <n v="87"/>
    <n v="8036000"/>
    <n v="222"/>
    <n v="18580986"/>
    <n v="106"/>
    <n v="9143899"/>
    <n v="6367228"/>
    <m/>
  </r>
  <r>
    <n v="7"/>
    <x v="18"/>
    <n v="2017"/>
    <s v="Julio"/>
    <s v="ADRIMOLU"/>
    <n v="43169964"/>
    <x v="1"/>
    <n v="60228056"/>
    <n v="1830000"/>
    <n v="10530726"/>
    <n v="47867330"/>
    <n v="42250000"/>
    <n v="1.1329545562130177"/>
    <x v="1"/>
    <n v="24"/>
    <x v="1"/>
    <s v="Antioquia"/>
    <s v="Cumple"/>
    <n v="112"/>
    <n v="11623652"/>
    <n v="298"/>
    <n v="31702347"/>
    <n v="113"/>
    <n v="10530726"/>
    <n v="6371331"/>
    <m/>
  </r>
  <r>
    <n v="7"/>
    <x v="18"/>
    <n v="2017"/>
    <s v="Julio"/>
    <s v="ANGEGAAR"/>
    <n v="39442617"/>
    <x v="4"/>
    <n v="21809258"/>
    <n v="644400"/>
    <n v="2540608"/>
    <n v="18624250"/>
    <n v="18000000"/>
    <n v="1.0346805555555556"/>
    <x v="1"/>
    <n v="24"/>
    <x v="4"/>
    <s v="Antioquia"/>
    <s v="Cumple"/>
    <n v="30"/>
    <n v="4518658"/>
    <n v="78"/>
    <n v="11388854"/>
    <n v="32"/>
    <n v="2540608"/>
    <n v="3361138"/>
    <m/>
  </r>
  <r>
    <n v="7"/>
    <x v="18"/>
    <n v="2017"/>
    <s v="Julio"/>
    <s v="NATAPIDU"/>
    <n v="43907427"/>
    <x v="25"/>
    <n v="40606049"/>
    <n v="318680"/>
    <n v="4079589"/>
    <n v="36207780"/>
    <n v="36000000"/>
    <n v="1.0057716666666667"/>
    <x v="1"/>
    <n v="24"/>
    <x v="11"/>
    <s v="Antioquia"/>
    <s v="Siempre Cumple"/>
    <n v="51"/>
    <n v="10275644"/>
    <n v="108"/>
    <n v="21499300"/>
    <n v="45"/>
    <n v="4079589"/>
    <n v="4751516"/>
    <m/>
  </r>
  <r>
    <n v="7"/>
    <x v="18"/>
    <n v="2017"/>
    <s v="Julio"/>
    <s v="ELIZVESU"/>
    <n v="1035417626"/>
    <x v="13"/>
    <n v="57879690"/>
    <n v="1688800"/>
    <n v="11805310"/>
    <n v="44385580"/>
    <n v="34041666.666666672"/>
    <n v="1.3038603671970623"/>
    <x v="1"/>
    <n v="24"/>
    <x v="3"/>
    <s v="Antioquia"/>
    <s v="Cumple"/>
    <n v="94"/>
    <n v="10281587"/>
    <n v="240"/>
    <n v="29248537"/>
    <n v="126"/>
    <n v="11805310"/>
    <n v="6544256"/>
    <m/>
  </r>
  <r>
    <n v="7"/>
    <x v="18"/>
    <n v="2017"/>
    <s v="Julio"/>
    <s v="SUANHECO"/>
    <n v="1020409789"/>
    <x v="58"/>
    <n v="53143488"/>
    <n v="976000"/>
    <n v="9248652"/>
    <n v="42918836"/>
    <n v="34041666.666666672"/>
    <n v="1.2607736401468785"/>
    <x v="1"/>
    <n v="24"/>
    <x v="1"/>
    <s v="Antioquia"/>
    <s v="Cumple"/>
    <n v="88"/>
    <n v="9700054"/>
    <n v="230"/>
    <n v="27088398"/>
    <n v="106"/>
    <n v="9248652"/>
    <n v="7106384"/>
    <m/>
  </r>
  <r>
    <n v="7"/>
    <x v="18"/>
    <n v="2017"/>
    <s v="Julio"/>
    <s v="ZULYARGA"/>
    <n v="43259130"/>
    <x v="31"/>
    <n v="71842319"/>
    <n v="206000"/>
    <n v="15874199"/>
    <n v="55762120"/>
    <n v="43000000"/>
    <n v="1.2967934883720931"/>
    <x v="1"/>
    <n v="24"/>
    <x v="1"/>
    <s v="Antioquia"/>
    <s v="Fluctúa"/>
    <n v="128"/>
    <n v="12741239"/>
    <n v="328"/>
    <n v="36832241"/>
    <n v="179"/>
    <n v="15874199"/>
    <n v="6394640"/>
    <m/>
  </r>
  <r>
    <n v="7"/>
    <x v="18"/>
    <n v="2017"/>
    <s v="Julio"/>
    <s v="VIVIVAZA"/>
    <n v="43745952"/>
    <x v="30"/>
    <n v="103867711"/>
    <n v="639000"/>
    <n v="23386455"/>
    <n v="79842256"/>
    <n v="43000000"/>
    <n v="1.8567966511627907"/>
    <x v="1"/>
    <n v="24"/>
    <x v="3"/>
    <s v="Antioquia"/>
    <s v="Siempre Cumple"/>
    <n v="174"/>
    <n v="17431781"/>
    <n v="445"/>
    <n v="51060091"/>
    <n v="246"/>
    <n v="23386455"/>
    <n v="11989384"/>
    <m/>
  </r>
  <r>
    <n v="7"/>
    <x v="18"/>
    <n v="2017"/>
    <s v="Julio"/>
    <s v="DERLARMO"/>
    <n v="52725011"/>
    <x v="10"/>
    <n v="32211226"/>
    <n v="440000"/>
    <n v="6063688"/>
    <n v="25707538"/>
    <n v="20000000"/>
    <n v="1.2853768999999999"/>
    <x v="1"/>
    <n v="24"/>
    <x v="6"/>
    <s v="Centro"/>
    <s v="Fluctúa"/>
    <n v="96"/>
    <n v="6197831"/>
    <n v="216"/>
    <n v="17315995"/>
    <n v="95"/>
    <n v="6063688"/>
    <n v="2633712"/>
    <m/>
  </r>
  <r>
    <n v="7"/>
    <x v="18"/>
    <n v="2017"/>
    <s v="Julio"/>
    <s v="RAULMOGA"/>
    <n v="79701425"/>
    <x v="27"/>
    <n v="37181858"/>
    <n v="220000"/>
    <n v="8314449"/>
    <n v="28647409"/>
    <n v="20000000"/>
    <n v="1.4323704500000001"/>
    <x v="0"/>
    <n v="24"/>
    <x v="6"/>
    <s v="Centro"/>
    <s v="No Aplica"/>
    <n v="99"/>
    <n v="6615393"/>
    <n v="237"/>
    <n v="19240675"/>
    <n v="117"/>
    <n v="8314449"/>
    <n v="3011341"/>
    <m/>
  </r>
  <r>
    <n v="7"/>
    <x v="18"/>
    <n v="2017"/>
    <s v="Julio"/>
    <s v="ALVAOSOS"/>
    <n v="3438422"/>
    <x v="37"/>
    <n v="55256749"/>
    <n v="852000"/>
    <n v="10572991"/>
    <n v="43831758"/>
    <n v="43000000"/>
    <n v="1.0193432093023256"/>
    <x v="1"/>
    <n v="24"/>
    <x v="8"/>
    <s v="Antioquia"/>
    <s v="Fluctúa"/>
    <n v="88"/>
    <n v="8778905"/>
    <n v="217"/>
    <n v="27246022"/>
    <n v="114"/>
    <n v="10572991"/>
    <n v="8658831"/>
    <m/>
  </r>
  <r>
    <n v="7"/>
    <x v="18"/>
    <n v="2017"/>
    <s v="Julio"/>
    <s v="DEISCACR"/>
    <n v="1017167720"/>
    <x v="50"/>
    <n v="56871129"/>
    <n v="1216000"/>
    <n v="11795466"/>
    <n v="43859663"/>
    <n v="43000000"/>
    <n v="1.0199921627906976"/>
    <x v="1"/>
    <n v="24"/>
    <x v="8"/>
    <s v="Antioquia"/>
    <s v="Cumple"/>
    <n v="97"/>
    <n v="12483903"/>
    <n v="224"/>
    <n v="25092117"/>
    <n v="144"/>
    <n v="11795466"/>
    <n v="7499643"/>
    <m/>
  </r>
  <r>
    <n v="7"/>
    <x v="18"/>
    <n v="2017"/>
    <s v="Julio"/>
    <s v="GENNHEPO"/>
    <n v="43874518"/>
    <x v="14"/>
    <n v="58721303"/>
    <n v="744000"/>
    <n v="13725318"/>
    <n v="44251985"/>
    <n v="43000000"/>
    <n v="1.0291159302325581"/>
    <x v="1"/>
    <n v="24"/>
    <x v="8"/>
    <s v="Antioquia"/>
    <s v="Fluctúa"/>
    <n v="117"/>
    <n v="10415676"/>
    <n v="292"/>
    <n v="27383869"/>
    <n v="151"/>
    <n v="13725318"/>
    <n v="7196440"/>
    <m/>
  </r>
  <r>
    <n v="7"/>
    <x v="18"/>
    <n v="2017"/>
    <s v="Julio"/>
    <s v="LEIDGOVI"/>
    <n v="1036598360"/>
    <x v="39"/>
    <n v="34679994"/>
    <n v="808000"/>
    <n v="5519595"/>
    <n v="28352399"/>
    <n v="25083333.333333336"/>
    <n v="1.1303281993355481"/>
    <x v="1"/>
    <n v="24"/>
    <x v="8"/>
    <s v="Antioquia"/>
    <s v="Fluctúa"/>
    <n v="51"/>
    <n v="5729702"/>
    <n v="136"/>
    <n v="17135235"/>
    <n v="63"/>
    <n v="5519595"/>
    <n v="6295462"/>
    <m/>
  </r>
  <r>
    <n v="7"/>
    <x v="18"/>
    <n v="2017"/>
    <s v="Julio"/>
    <s v="YENYSUPE"/>
    <n v="1020419011"/>
    <x v="51"/>
    <n v="56119944"/>
    <n v="611000"/>
    <n v="11079957"/>
    <n v="44428987"/>
    <n v="43000000"/>
    <n v="1.0332322558139535"/>
    <x v="1"/>
    <n v="24"/>
    <x v="8"/>
    <s v="Antioquia"/>
    <s v="Cumple"/>
    <n v="86"/>
    <n v="8715998"/>
    <n v="226"/>
    <n v="26036876"/>
    <n v="119"/>
    <n v="11079957"/>
    <n v="10287113"/>
    <m/>
  </r>
  <r>
    <n v="7"/>
    <x v="18"/>
    <n v="2017"/>
    <s v="Julio"/>
    <s v="YURAUSVE"/>
    <n v="1020419615"/>
    <x v="56"/>
    <n v="55992143"/>
    <n v="880000"/>
    <n v="10313623"/>
    <n v="44798520"/>
    <n v="43000000"/>
    <n v="1.0418260465116278"/>
    <x v="1"/>
    <n v="24"/>
    <x v="8"/>
    <s v="Antioquia"/>
    <s v="Cumple"/>
    <n v="102"/>
    <n v="9069520"/>
    <n v="252"/>
    <n v="25797721"/>
    <n v="126"/>
    <n v="10313623"/>
    <n v="10811279"/>
    <m/>
  </r>
  <r>
    <n v="7"/>
    <x v="18"/>
    <n v="2017"/>
    <s v="Julio"/>
    <s v="DIANPAAL"/>
    <n v="1040030764"/>
    <x v="11"/>
    <n v="46635165"/>
    <n v="1634600"/>
    <n v="9246540"/>
    <n v="35754025"/>
    <n v="33000000"/>
    <n v="1.0834553030303031"/>
    <x v="1"/>
    <n v="24"/>
    <x v="7"/>
    <s v="Antioquia"/>
    <s v="Cumple"/>
    <n v="90"/>
    <n v="9991364"/>
    <n v="220"/>
    <n v="22865091"/>
    <n v="110"/>
    <n v="9246540"/>
    <n v="4532170"/>
    <m/>
  </r>
  <r>
    <n v="7"/>
    <x v="18"/>
    <n v="2017"/>
    <s v="Julio"/>
    <s v="JAQUVEGU"/>
    <n v="1036779770"/>
    <x v="16"/>
    <n v="46467443"/>
    <n v="2617800"/>
    <n v="8695601"/>
    <n v="35154042"/>
    <n v="33000000"/>
    <n v="1.0652740000000001"/>
    <x v="0"/>
    <n v="24"/>
    <x v="7"/>
    <s v="Antioquia"/>
    <s v="No Aplica"/>
    <n v="85"/>
    <n v="9781332"/>
    <n v="226"/>
    <n v="20413586"/>
    <n v="109"/>
    <n v="8695601"/>
    <n v="7576924"/>
    <m/>
  </r>
  <r>
    <n v="7"/>
    <x v="18"/>
    <n v="2017"/>
    <s v="Julio"/>
    <s v="MARIOCOC"/>
    <n v="39448823"/>
    <x v="21"/>
    <n v="48487735"/>
    <n v="3600400"/>
    <n v="8235801"/>
    <n v="36651534"/>
    <n v="33000000"/>
    <n v="1.1106525454545455"/>
    <x v="1"/>
    <n v="24"/>
    <x v="7"/>
    <s v="Antioquia"/>
    <s v="Siempre Cumple"/>
    <n v="79"/>
    <n v="8274587"/>
    <n v="208"/>
    <n v="22405839"/>
    <n v="105"/>
    <n v="8235801"/>
    <n v="9571508"/>
    <m/>
  </r>
  <r>
    <n v="7"/>
    <x v="18"/>
    <n v="2017"/>
    <s v="Julio"/>
    <s v="ERIKSAVA"/>
    <n v="1017200970"/>
    <x v="44"/>
    <n v="41669649"/>
    <n v="1996000"/>
    <n v="9349018"/>
    <n v="30324631"/>
    <n v="30100000"/>
    <n v="1.0074628239202659"/>
    <x v="1"/>
    <n v="24"/>
    <x v="4"/>
    <s v="Antioquia"/>
    <s v="Cumple"/>
    <n v="87"/>
    <n v="8249468"/>
    <n v="182"/>
    <n v="16642441"/>
    <n v="113"/>
    <n v="9349018"/>
    <n v="7428722"/>
    <m/>
  </r>
  <r>
    <n v="7"/>
    <x v="18"/>
    <n v="2017"/>
    <s v="Julio"/>
    <s v="HISNOSPI"/>
    <n v="43114534"/>
    <x v="49"/>
    <n v="49381950"/>
    <n v="1294000"/>
    <n v="12366204"/>
    <n v="35721746"/>
    <n v="30100000"/>
    <n v="1.1867689700996678"/>
    <x v="0"/>
    <n v="24"/>
    <x v="4"/>
    <s v="Antioquia"/>
    <s v="No Aplica"/>
    <n v="104"/>
    <n v="8522215"/>
    <n v="256"/>
    <n v="23451712"/>
    <n v="135"/>
    <n v="12366204"/>
    <n v="5041819"/>
    <m/>
  </r>
  <r>
    <n v="7"/>
    <x v="18"/>
    <n v="2017"/>
    <s v="Julio"/>
    <s v="MARIMASA"/>
    <n v="43113640"/>
    <x v="34"/>
    <n v="40278086"/>
    <n v="0"/>
    <n v="8294533"/>
    <n v="31983553"/>
    <n v="30100000"/>
    <n v="1.0625765116279069"/>
    <x v="1"/>
    <n v="24"/>
    <x v="4"/>
    <s v="Antioquia"/>
    <s v="Cumple"/>
    <n v="73"/>
    <n v="7817310"/>
    <n v="190"/>
    <n v="18953671"/>
    <n v="89"/>
    <n v="8294533"/>
    <n v="5212572"/>
    <m/>
  </r>
  <r>
    <n v="7"/>
    <x v="18"/>
    <n v="2017"/>
    <s v="Julio"/>
    <s v="ANDRSAZA"/>
    <n v="1020736461"/>
    <x v="45"/>
    <n v="42195965"/>
    <n v="1246000"/>
    <n v="5285051"/>
    <n v="35664914"/>
    <n v="22000000"/>
    <n v="1.6211324545454546"/>
    <x v="1"/>
    <n v="24"/>
    <x v="9"/>
    <s v="Centro"/>
    <s v="Siempre Cumple"/>
    <n v="81"/>
    <n v="8607276"/>
    <n v="237"/>
    <n v="25876038"/>
    <n v="84"/>
    <n v="5285051"/>
    <n v="2427600"/>
    <m/>
  </r>
  <r>
    <n v="7"/>
    <x v="18"/>
    <n v="2017"/>
    <s v="Julio"/>
    <s v="ISABMOGO"/>
    <n v="52260671"/>
    <x v="15"/>
    <n v="33327832"/>
    <n v="812000"/>
    <n v="5145416"/>
    <n v="27370416"/>
    <n v="15583333.333333332"/>
    <n v="1.7563903315508023"/>
    <x v="1"/>
    <n v="24"/>
    <x v="9"/>
    <s v="Centro"/>
    <s v="Siempre Cumple"/>
    <n v="55"/>
    <n v="5800191"/>
    <n v="168"/>
    <n v="18099137"/>
    <n v="79"/>
    <n v="5145416"/>
    <n v="4283088"/>
    <m/>
  </r>
  <r>
    <n v="7"/>
    <x v="18"/>
    <n v="2017"/>
    <s v="Julio"/>
    <s v="CAMIPUHE"/>
    <n v="79850984"/>
    <x v="53"/>
    <n v="26035110"/>
    <n v="1404000"/>
    <n v="4885513"/>
    <n v="19745597"/>
    <n v="22000000"/>
    <n v="0.89752713636363635"/>
    <x v="1"/>
    <n v="24"/>
    <x v="15"/>
    <s v="Centro"/>
    <s v="Fluctúa"/>
    <n v="43"/>
    <n v="4270661"/>
    <n v="94"/>
    <n v="13113006"/>
    <n v="63"/>
    <n v="4885513"/>
    <n v="3765930"/>
    <m/>
  </r>
  <r>
    <n v="7"/>
    <x v="18"/>
    <n v="2017"/>
    <s v="Julio"/>
    <s v="LUZNHEGO"/>
    <n v="43745192"/>
    <x v="19"/>
    <n v="33688961"/>
    <n v="581400"/>
    <n v="867449"/>
    <n v="32240112"/>
    <n v="25000000"/>
    <n v="1.2896044799999999"/>
    <x v="1"/>
    <n v="24"/>
    <x v="10"/>
    <s v="Antioquia"/>
    <s v="Cumple"/>
    <n v="52"/>
    <n v="8405513"/>
    <n v="142"/>
    <n v="21438316"/>
    <n v="13"/>
    <n v="867449"/>
    <n v="2977683"/>
    <m/>
  </r>
  <r>
    <n v="7"/>
    <x v="18"/>
    <n v="2017"/>
    <s v="Julio"/>
    <s v="ANAMLOBE"/>
    <n v="43821410"/>
    <x v="3"/>
    <n v="70340603"/>
    <n v="1706000"/>
    <n v="11639781"/>
    <n v="56994822"/>
    <n v="43000000"/>
    <n v="1.3254609767441861"/>
    <x v="1"/>
    <n v="24"/>
    <x v="3"/>
    <s v="Antioquia"/>
    <s v="Siempre Cumple"/>
    <n v="135"/>
    <n v="17719927"/>
    <n v="302"/>
    <n v="31732255"/>
    <n v="129"/>
    <n v="11639781"/>
    <n v="9248640"/>
    <m/>
  </r>
  <r>
    <n v="7"/>
    <x v="18"/>
    <n v="2017"/>
    <s v="Julio"/>
    <s v="DIANQUME"/>
    <n v="42164020"/>
    <x v="12"/>
    <n v="36556530"/>
    <n v="1652000"/>
    <n v="6212099"/>
    <n v="28692431"/>
    <n v="28666666.666666668"/>
    <n v="1.0008987558139535"/>
    <x v="1"/>
    <n v="24"/>
    <x v="1"/>
    <s v="Antioquia"/>
    <s v="Siempre Cumple"/>
    <n v="58"/>
    <n v="6353432"/>
    <n v="162"/>
    <n v="17833535"/>
    <n v="73"/>
    <n v="6212099"/>
    <n v="6157464"/>
    <m/>
  </r>
  <r>
    <n v="7"/>
    <x v="18"/>
    <n v="2017"/>
    <s v="Julio"/>
    <s v="LILACARA"/>
    <n v="1017141451"/>
    <x v="17"/>
    <n v="64273872"/>
    <n v="2081800"/>
    <n v="12711279"/>
    <n v="49480793"/>
    <n v="43000000"/>
    <n v="1.1507161162790698"/>
    <x v="1"/>
    <n v="24"/>
    <x v="1"/>
    <s v="Antioquia"/>
    <s v="Siempre Cumple"/>
    <n v="93"/>
    <n v="10732248"/>
    <n v="282"/>
    <n v="31305852"/>
    <n v="144"/>
    <n v="12711279"/>
    <n v="9524493"/>
    <m/>
  </r>
  <r>
    <n v="7"/>
    <x v="18"/>
    <n v="2017"/>
    <s v="Julio"/>
    <s v="ALEXLOGR"/>
    <n v="43253531"/>
    <x v="2"/>
    <n v="42436640"/>
    <n v="894000"/>
    <n v="10702354"/>
    <n v="30840286"/>
    <n v="29000000"/>
    <n v="1.0634581379310344"/>
    <x v="1"/>
    <n v="24"/>
    <x v="2"/>
    <s v="Antioquia"/>
    <s v="Cumple"/>
    <n v="56"/>
    <n v="5228596"/>
    <n v="190"/>
    <n v="21014098"/>
    <n v="118"/>
    <n v="10702354"/>
    <n v="5491592"/>
    <m/>
  </r>
  <r>
    <n v="7"/>
    <x v="18"/>
    <n v="2017"/>
    <s v="Julio"/>
    <s v="CINDGACU"/>
    <n v="1020443426"/>
    <x v="55"/>
    <n v="41941530"/>
    <n v="1266000"/>
    <n v="10283984"/>
    <n v="30391546"/>
    <n v="29000000"/>
    <n v="1.0479843448275863"/>
    <x v="1"/>
    <n v="24"/>
    <x v="4"/>
    <s v="Antioquia"/>
    <s v="Fluctúa"/>
    <n v="87"/>
    <n v="6867947"/>
    <n v="224"/>
    <n v="19764240"/>
    <n v="129"/>
    <n v="10283984"/>
    <n v="5025359"/>
    <m/>
  </r>
  <r>
    <n v="7"/>
    <x v="18"/>
    <n v="2017"/>
    <s v="Julio"/>
    <s v="CARORICA"/>
    <n v="31309227"/>
    <x v="59"/>
    <n v="16727419"/>
    <n v="0"/>
    <n v="4754010"/>
    <n v="11973409"/>
    <n v="30000000"/>
    <n v="0.39911363333333333"/>
    <x v="0"/>
    <n v="24"/>
    <x v="0"/>
    <s v=""/>
    <s v="No Aplica"/>
    <n v="25"/>
    <n v="2751671"/>
    <n v="110"/>
    <n v="6758071"/>
    <n v="61"/>
    <n v="4754010"/>
    <n v="2463667"/>
    <m/>
  </r>
  <r>
    <n v="7"/>
    <x v="18"/>
    <n v="2017"/>
    <s v="Julio"/>
    <s v="TATIRITR"/>
    <n v="1130597373"/>
    <x v="60"/>
    <n v="17224041"/>
    <n v="0"/>
    <n v="5396117"/>
    <n v="11827924"/>
    <n v="30000000"/>
    <n v="0.39426413333333332"/>
    <x v="1"/>
    <n v="24"/>
    <x v="16"/>
    <s v="Occidente"/>
    <s v="Fluctúa"/>
    <n v="26"/>
    <n v="2591075"/>
    <n v="96"/>
    <n v="7804113"/>
    <n v="76"/>
    <n v="5396117"/>
    <n v="1432736"/>
    <m/>
  </r>
  <r>
    <n v="7"/>
    <x v="18"/>
    <n v="2017"/>
    <s v="Julio"/>
    <s v="PAOLPACA"/>
    <n v="31445278"/>
    <x v="47"/>
    <n v="27688360"/>
    <n v="0"/>
    <n v="8042120"/>
    <n v="19646240"/>
    <n v="30000000"/>
    <n v="0.65487466666666672"/>
    <x v="1"/>
    <n v="24"/>
    <x v="14"/>
    <s v="Occidente"/>
    <s v="Cumple"/>
    <n v="42"/>
    <n v="3786076"/>
    <n v="156"/>
    <n v="13316300"/>
    <n v="98"/>
    <n v="8042120"/>
    <n v="2543864"/>
    <m/>
  </r>
  <r>
    <n v="7"/>
    <x v="18"/>
    <n v="2017"/>
    <s v="Julio"/>
    <s v="ROCIFASA"/>
    <n v="34542470"/>
    <x v="28"/>
    <n v="37606262"/>
    <n v="203040"/>
    <n v="6494044"/>
    <n v="30909178"/>
    <n v="25000000"/>
    <n v="1.2363671199999999"/>
    <x v="1"/>
    <n v="24"/>
    <x v="12"/>
    <s v="Occidente"/>
    <s v="Siempre Cumple"/>
    <n v="61"/>
    <n v="10083102"/>
    <n v="162"/>
    <n v="17147271"/>
    <n v="65"/>
    <n v="6494044"/>
    <n v="3881845"/>
    <m/>
  </r>
  <r>
    <n v="7"/>
    <x v="18"/>
    <n v="2017"/>
    <s v="Julio"/>
    <s v="DARWHERI"/>
    <m/>
    <x v="7"/>
    <n v="1218800"/>
    <n v="0"/>
    <n v="219350"/>
    <n v="999450"/>
    <m/>
    <m/>
    <x v="0"/>
    <n v="24"/>
    <x v="0"/>
    <s v=""/>
    <s v="No Aplica"/>
    <n v="3"/>
    <n v="274500"/>
    <n v="6"/>
    <n v="284950"/>
    <n v="5"/>
    <n v="219350"/>
    <n v="440000"/>
    <m/>
  </r>
  <r>
    <n v="7"/>
    <x v="18"/>
    <n v="2017"/>
    <s v="Julio"/>
    <s v="GISECACM"/>
    <m/>
    <x v="7"/>
    <n v="151361"/>
    <n v="0"/>
    <n v="0"/>
    <n v="151361"/>
    <m/>
    <m/>
    <x v="0"/>
    <n v="24"/>
    <x v="0"/>
    <s v=""/>
    <s v="No Aplica"/>
    <n v="1"/>
    <n v="109786"/>
    <n v="2"/>
    <n v="41575"/>
    <n v="0"/>
    <n v="0"/>
    <n v="0"/>
    <m/>
  </r>
  <r>
    <n v="7"/>
    <x v="18"/>
    <n v="2017"/>
    <s v="Julio"/>
    <s v="OSCADESU"/>
    <m/>
    <x v="7"/>
    <n v="43871"/>
    <n v="0"/>
    <n v="43870"/>
    <n v="1"/>
    <m/>
    <m/>
    <x v="0"/>
    <n v="24"/>
    <x v="0"/>
    <s v=""/>
    <s v="No Aplica"/>
    <n v="0"/>
    <n v="0"/>
    <n v="0"/>
    <n v="0"/>
    <n v="1"/>
    <n v="43870"/>
    <n v="1"/>
    <m/>
  </r>
  <r>
    <n v="7"/>
    <x v="18"/>
    <n v="2017"/>
    <s v="Julio"/>
    <s v="RUBYHIGA"/>
    <m/>
    <x v="7"/>
    <n v="696875"/>
    <n v="0"/>
    <n v="0"/>
    <n v="696875"/>
    <m/>
    <m/>
    <x v="0"/>
    <n v="24"/>
    <x v="0"/>
    <s v=""/>
    <s v="No Aplica"/>
    <n v="1"/>
    <n v="70345"/>
    <n v="2"/>
    <n v="186530"/>
    <n v="0"/>
    <n v="0"/>
    <n v="440000"/>
    <m/>
  </r>
  <r>
    <n v="7"/>
    <x v="18"/>
    <n v="2017"/>
    <s v="Julio"/>
    <s v="USERPI"/>
    <m/>
    <x v="7"/>
    <n v="43870"/>
    <n v="0"/>
    <n v="43870"/>
    <n v="0"/>
    <m/>
    <m/>
    <x v="0"/>
    <n v="24"/>
    <x v="0"/>
    <s v=""/>
    <s v="No Aplica"/>
    <n v="0"/>
    <n v="0"/>
    <n v="0"/>
    <n v="0"/>
    <n v="1"/>
    <n v="43870"/>
    <n v="0"/>
    <m/>
  </r>
  <r>
    <n v="7"/>
    <x v="18"/>
    <n v="2017"/>
    <s v="Julio"/>
    <n v="4433311064"/>
    <m/>
    <x v="7"/>
    <n v="134285"/>
    <n v="0"/>
    <n v="134285"/>
    <n v="0"/>
    <m/>
    <m/>
    <x v="0"/>
    <n v="24"/>
    <x v="0"/>
    <s v=""/>
    <s v="No Aplica"/>
    <n v="0"/>
    <n v="0"/>
    <n v="0"/>
    <n v="0"/>
    <n v="1"/>
    <n v="134285"/>
    <n v="0"/>
    <m/>
  </r>
  <r>
    <n v="7"/>
    <x v="18"/>
    <n v="2017"/>
    <s v="Julio"/>
    <n v="4433285837"/>
    <m/>
    <x v="7"/>
    <n v="134285"/>
    <n v="0"/>
    <n v="134285"/>
    <n v="0"/>
    <m/>
    <m/>
    <x v="0"/>
    <n v="24"/>
    <x v="0"/>
    <s v=""/>
    <s v="No Aplica"/>
    <n v="0"/>
    <n v="0"/>
    <n v="0"/>
    <n v="0"/>
    <n v="1"/>
    <n v="134285"/>
    <n v="0"/>
    <m/>
  </r>
  <r>
    <n v="7"/>
    <x v="18"/>
    <n v="2017"/>
    <s v="Julio"/>
    <n v="4433628391"/>
    <m/>
    <x v="7"/>
    <n v="134285"/>
    <n v="0"/>
    <n v="134285"/>
    <n v="0"/>
    <m/>
    <m/>
    <x v="0"/>
    <n v="24"/>
    <x v="0"/>
    <s v=""/>
    <s v="No Aplica"/>
    <n v="0"/>
    <n v="0"/>
    <n v="0"/>
    <n v="0"/>
    <n v="1"/>
    <n v="134285"/>
    <n v="0"/>
    <m/>
  </r>
  <r>
    <n v="7"/>
    <x v="18"/>
    <n v="2017"/>
    <s v="Julio"/>
    <s v="(en blanco)"/>
    <m/>
    <x v="7"/>
    <n v="-328017"/>
    <n v="0"/>
    <n v="0"/>
    <n v="-328017"/>
    <m/>
    <m/>
    <x v="0"/>
    <n v="24"/>
    <x v="0"/>
    <s v=""/>
    <s v="No Aplica"/>
    <n v="16"/>
    <n v="-67648"/>
    <n v="36"/>
    <n v="-138667"/>
    <n v="0"/>
    <n v="0"/>
    <n v="-121702"/>
    <m/>
  </r>
  <r>
    <n v="8"/>
    <x v="19"/>
    <n v="2017"/>
    <s v="Agosto"/>
    <s v="DIANPOPA"/>
    <n v="31307503"/>
    <x v="33"/>
    <n v="27183606"/>
    <n v="273600"/>
    <n v="1933704"/>
    <n v="24976302"/>
    <n v="31721000"/>
    <n v="0.78737435768103148"/>
    <x v="0"/>
    <n v="25"/>
    <x v="0"/>
    <s v=""/>
    <s v="No Aplica"/>
    <n v="52"/>
    <n v="4761564"/>
    <n v="114"/>
    <n v="11014495"/>
    <n v="27"/>
    <n v="1933704"/>
    <n v="9473843"/>
    <m/>
  </r>
  <r>
    <n v="8"/>
    <x v="19"/>
    <n v="2017"/>
    <s v="Agosto"/>
    <s v="PAULGOBA"/>
    <n v="32256379"/>
    <x v="36"/>
    <n v="34517374"/>
    <n v="0"/>
    <n v="3786944"/>
    <n v="30730430"/>
    <n v="42000000"/>
    <n v="0.73167690476190472"/>
    <x v="1"/>
    <n v="25"/>
    <x v="13"/>
    <s v="Antioquia"/>
    <s v="Fluctúa"/>
    <n v="38"/>
    <n v="3855032"/>
    <n v="96"/>
    <n v="10303755"/>
    <n v="61"/>
    <n v="3786944"/>
    <n v="16571643"/>
    <m/>
  </r>
  <r>
    <n v="8"/>
    <x v="19"/>
    <n v="2017"/>
    <s v="Agosto"/>
    <s v="ANGEROPI"/>
    <n v="43800272"/>
    <x v="46"/>
    <n v="35923773"/>
    <n v="2062000"/>
    <n v="9349018"/>
    <n v="24512755"/>
    <n v="37720000"/>
    <n v="0.64986094909862147"/>
    <x v="0"/>
    <n v="25"/>
    <x v="0"/>
    <s v=""/>
    <s v="No Aplica"/>
    <n v="55"/>
    <n v="5685069"/>
    <n v="150"/>
    <n v="14676705"/>
    <n v="106"/>
    <n v="9349018"/>
    <n v="6212981"/>
    <m/>
  </r>
  <r>
    <n v="8"/>
    <x v="19"/>
    <n v="2017"/>
    <s v="Agosto"/>
    <s v="BIBIBECA"/>
    <n v="43971430"/>
    <x v="6"/>
    <n v="64312735"/>
    <n v="1512000"/>
    <n v="14043964"/>
    <n v="48756771"/>
    <n v="41000000"/>
    <n v="1.1891895365853657"/>
    <x v="1"/>
    <n v="25"/>
    <x v="5"/>
    <s v="Antioquia"/>
    <s v="Siempre Cumple"/>
    <n v="112"/>
    <n v="11945797"/>
    <n v="282"/>
    <n v="30559914"/>
    <n v="158"/>
    <n v="14043964"/>
    <n v="7763060"/>
    <m/>
  </r>
  <r>
    <n v="8"/>
    <x v="19"/>
    <n v="2017"/>
    <s v="Agosto"/>
    <s v="CAROVABE"/>
    <n v="1030634664"/>
    <x v="32"/>
    <n v="55141619"/>
    <n v="2078000"/>
    <n v="11555037"/>
    <n v="41508582"/>
    <n v="41000000"/>
    <n v="1.0124044390243903"/>
    <x v="0"/>
    <n v="25"/>
    <x v="0"/>
    <s v=""/>
    <s v="No Aplica"/>
    <n v="107"/>
    <n v="10945310"/>
    <n v="262"/>
    <n v="25096309"/>
    <n v="131"/>
    <n v="11555037"/>
    <n v="7544963"/>
    <m/>
  </r>
  <r>
    <n v="8"/>
    <x v="19"/>
    <n v="2017"/>
    <s v="Agosto"/>
    <s v="CLAUBLAR"/>
    <n v="43554403"/>
    <x v="8"/>
    <n v="64809010"/>
    <n v="744000"/>
    <n v="13688189"/>
    <n v="50376821"/>
    <n v="41000000"/>
    <n v="1.2287029512195122"/>
    <x v="1"/>
    <n v="25"/>
    <x v="5"/>
    <s v="Antioquia"/>
    <s v="Siempre Cumple"/>
    <n v="112"/>
    <n v="13373766"/>
    <n v="261"/>
    <n v="28670350"/>
    <n v="149"/>
    <n v="13688189"/>
    <n v="9076705"/>
    <m/>
  </r>
  <r>
    <n v="8"/>
    <x v="19"/>
    <n v="2017"/>
    <s v="Agosto"/>
    <s v="HERIRORO"/>
    <n v="21428423"/>
    <x v="52"/>
    <n v="54199681"/>
    <n v="1130000"/>
    <n v="10780678"/>
    <n v="42289003"/>
    <n v="41000000"/>
    <n v="1.0314390975609755"/>
    <x v="1"/>
    <n v="25"/>
    <x v="5"/>
    <s v="Antioquia"/>
    <s v="Fluctúa"/>
    <n v="107"/>
    <n v="10852755"/>
    <n v="252"/>
    <n v="25378137"/>
    <n v="123"/>
    <n v="10780678"/>
    <n v="7188111"/>
    <m/>
  </r>
  <r>
    <n v="8"/>
    <x v="19"/>
    <n v="2017"/>
    <s v="Agosto"/>
    <s v="MARGGAPA"/>
    <n v="43866877"/>
    <x v="20"/>
    <n v="66742440"/>
    <n v="295000"/>
    <n v="15719905"/>
    <n v="50727535"/>
    <n v="41000000"/>
    <n v="1.2372569512195122"/>
    <x v="1"/>
    <n v="25"/>
    <x v="5"/>
    <s v="Antioquia"/>
    <s v="Siempre Cumple"/>
    <n v="119"/>
    <n v="14667593"/>
    <n v="277"/>
    <n v="30667295"/>
    <n v="170"/>
    <n v="15719905"/>
    <n v="5687647"/>
    <m/>
  </r>
  <r>
    <n v="8"/>
    <x v="19"/>
    <n v="2017"/>
    <s v="Agosto"/>
    <s v="YULIRIRE"/>
    <n v="21982241"/>
    <x v="57"/>
    <n v="29118923"/>
    <n v="426000"/>
    <n v="5385845"/>
    <n v="23307078"/>
    <n v="21320000"/>
    <n v="1.0932025328330206"/>
    <x v="1"/>
    <n v="25"/>
    <x v="2"/>
    <s v="Antioquia"/>
    <s v="Fluctúa"/>
    <n v="56"/>
    <n v="5792846"/>
    <n v="142"/>
    <n v="15022625"/>
    <n v="63"/>
    <n v="5385845"/>
    <n v="2917607"/>
    <m/>
  </r>
  <r>
    <n v="8"/>
    <x v="19"/>
    <n v="2017"/>
    <s v="Agosto"/>
    <s v="ADRIMOLU"/>
    <n v="43169964"/>
    <x v="1"/>
    <n v="57315194"/>
    <n v="2428400"/>
    <n v="13161321"/>
    <n v="41725473"/>
    <n v="37400000"/>
    <n v="1.1156543582887701"/>
    <x v="1"/>
    <n v="25"/>
    <x v="1"/>
    <s v="Antioquia"/>
    <s v="Cumple"/>
    <n v="111"/>
    <n v="10702655"/>
    <n v="270"/>
    <n v="27196745"/>
    <n v="137"/>
    <n v="13161321"/>
    <n v="6254473"/>
    <m/>
  </r>
  <r>
    <n v="8"/>
    <x v="19"/>
    <n v="2017"/>
    <s v="Agosto"/>
    <s v="ANGEGAAR"/>
    <n v="39442617"/>
    <x v="4"/>
    <n v="20641788"/>
    <n v="0"/>
    <n v="2093883"/>
    <n v="18547905"/>
    <n v="18000000"/>
    <n v="1.0304391666666666"/>
    <x v="1"/>
    <n v="25"/>
    <x v="4"/>
    <s v="Antioquia"/>
    <s v="Cumple"/>
    <n v="26"/>
    <n v="4096935"/>
    <n v="60"/>
    <n v="12034350"/>
    <n v="28"/>
    <n v="2093883"/>
    <n v="2416620"/>
    <m/>
  </r>
  <r>
    <n v="8"/>
    <x v="19"/>
    <n v="2017"/>
    <s v="Agosto"/>
    <s v="NATAPIDU"/>
    <n v="43907427"/>
    <x v="25"/>
    <n v="44153444"/>
    <n v="0"/>
    <n v="4111154"/>
    <n v="40042290"/>
    <n v="34560000"/>
    <n v="1.158631076388889"/>
    <x v="1"/>
    <n v="25"/>
    <x v="11"/>
    <s v="Antioquia"/>
    <s v="Siempre Cumple"/>
    <n v="46"/>
    <n v="8977774"/>
    <n v="148"/>
    <n v="23813836"/>
    <n v="54"/>
    <n v="4111154"/>
    <n v="7250680"/>
    <m/>
  </r>
  <r>
    <n v="8"/>
    <x v="19"/>
    <n v="2017"/>
    <s v="Agosto"/>
    <s v="ELIZVESU"/>
    <n v="1035417626"/>
    <x v="13"/>
    <n v="70469907"/>
    <n v="751000"/>
    <n v="14146577"/>
    <n v="55572330"/>
    <n v="39560000"/>
    <n v="1.4047606167846309"/>
    <x v="1"/>
    <n v="25"/>
    <x v="3"/>
    <s v="Antioquia"/>
    <s v="Cumple"/>
    <n v="129"/>
    <n v="13898625"/>
    <n v="296"/>
    <n v="34847503"/>
    <n v="156"/>
    <n v="14146577"/>
    <n v="7577202"/>
    <m/>
  </r>
  <r>
    <n v="8"/>
    <x v="19"/>
    <n v="2017"/>
    <s v="Agosto"/>
    <s v="SUANHECO"/>
    <n v="1020409789"/>
    <x v="58"/>
    <n v="74011946"/>
    <n v="440000"/>
    <n v="14617805"/>
    <n v="58954141"/>
    <n v="43000000"/>
    <n v="1.3710265348837209"/>
    <x v="1"/>
    <n v="25"/>
    <x v="1"/>
    <s v="Antioquia"/>
    <s v="Cumple"/>
    <n v="132"/>
    <n v="15283951"/>
    <n v="294"/>
    <n v="35306238"/>
    <n v="176"/>
    <n v="14617805"/>
    <n v="8803952"/>
    <m/>
  </r>
  <r>
    <n v="8"/>
    <x v="19"/>
    <n v="2017"/>
    <s v="Agosto"/>
    <s v="ZULYARGA"/>
    <n v="43259130"/>
    <x v="31"/>
    <n v="76183484"/>
    <n v="2186000"/>
    <n v="17359894"/>
    <n v="56637590"/>
    <n v="43000000"/>
    <n v="1.3171532558139536"/>
    <x v="1"/>
    <n v="25"/>
    <x v="1"/>
    <s v="Antioquia"/>
    <s v="Fluctúa"/>
    <n v="131"/>
    <n v="11876681"/>
    <n v="322"/>
    <n v="35323033"/>
    <n v="179"/>
    <n v="17359894"/>
    <n v="11623876"/>
    <m/>
  </r>
  <r>
    <n v="8"/>
    <x v="19"/>
    <n v="2017"/>
    <s v="Agosto"/>
    <s v="VIVIVAZA"/>
    <n v="43745952"/>
    <x v="30"/>
    <n v="101286717"/>
    <n v="2641600"/>
    <n v="16300273"/>
    <n v="82344844"/>
    <n v="43000000"/>
    <n v="1.9149963720930232"/>
    <x v="1"/>
    <n v="25"/>
    <x v="3"/>
    <s v="Antioquia"/>
    <s v="Siempre Cumple"/>
    <n v="159"/>
    <n v="18820540"/>
    <n v="423"/>
    <n v="54244230"/>
    <n v="184"/>
    <n v="16300273"/>
    <n v="11921674"/>
    <m/>
  </r>
  <r>
    <n v="8"/>
    <x v="19"/>
    <n v="2017"/>
    <s v="Agosto"/>
    <s v="DERLARMO"/>
    <n v="52725011"/>
    <x v="10"/>
    <n v="36279668"/>
    <n v="0"/>
    <n v="7082948"/>
    <n v="29196720"/>
    <n v="20000000"/>
    <n v="1.4598359999999999"/>
    <x v="1"/>
    <n v="25"/>
    <x v="6"/>
    <s v="Centro"/>
    <s v="Fluctúa"/>
    <n v="79"/>
    <n v="5711054"/>
    <n v="194"/>
    <n v="20536983"/>
    <n v="105"/>
    <n v="7082948"/>
    <n v="2948683"/>
    <m/>
  </r>
  <r>
    <n v="8"/>
    <x v="19"/>
    <n v="2017"/>
    <s v="Agosto"/>
    <s v="RAULMOGA"/>
    <n v="79701425"/>
    <x v="27"/>
    <n v="32086370"/>
    <n v="2200000"/>
    <n v="6295773"/>
    <n v="23590597"/>
    <n v="20000000"/>
    <n v="1.17952985"/>
    <x v="0"/>
    <n v="25"/>
    <x v="6"/>
    <s v="Centro"/>
    <s v="No Aplica"/>
    <n v="68"/>
    <n v="4724499"/>
    <n v="172"/>
    <n v="15940969"/>
    <n v="90"/>
    <n v="6295773"/>
    <n v="5125129"/>
    <m/>
  </r>
  <r>
    <n v="8"/>
    <x v="19"/>
    <n v="2017"/>
    <s v="Agosto"/>
    <s v="ALVAOSOS"/>
    <n v="3438422"/>
    <x v="37"/>
    <n v="53855064"/>
    <n v="1390000"/>
    <n v="11220020"/>
    <n v="41245044"/>
    <n v="37840000"/>
    <n v="1.0899853065539111"/>
    <x v="1"/>
    <n v="25"/>
    <x v="8"/>
    <s v="Antioquia"/>
    <s v="Fluctúa"/>
    <n v="75"/>
    <n v="8764809"/>
    <n v="176"/>
    <n v="26094808"/>
    <n v="124"/>
    <n v="11220020"/>
    <n v="7775427"/>
    <m/>
  </r>
  <r>
    <n v="8"/>
    <x v="19"/>
    <n v="2017"/>
    <s v="Agosto"/>
    <s v="DEISCACR"/>
    <n v="1017167720"/>
    <x v="50"/>
    <n v="52619314"/>
    <n v="426000"/>
    <n v="10088709"/>
    <n v="42104605"/>
    <n v="41280000"/>
    <n v="1.0199758963178294"/>
    <x v="1"/>
    <n v="25"/>
    <x v="8"/>
    <s v="Antioquia"/>
    <s v="Cumple"/>
    <n v="87"/>
    <n v="10225326"/>
    <n v="229"/>
    <n v="25716159"/>
    <n v="114"/>
    <n v="10088709"/>
    <n v="6589120"/>
    <m/>
  </r>
  <r>
    <n v="8"/>
    <x v="19"/>
    <n v="2017"/>
    <s v="Agosto"/>
    <s v="GENNHEPO"/>
    <n v="43874518"/>
    <x v="14"/>
    <n v="54672702"/>
    <n v="880000"/>
    <n v="10906403"/>
    <n v="42886299"/>
    <n v="43000000"/>
    <n v="0.99735579069767444"/>
    <x v="1"/>
    <n v="25"/>
    <x v="8"/>
    <s v="Antioquia"/>
    <s v="Fluctúa"/>
    <n v="101"/>
    <n v="9571402"/>
    <n v="252"/>
    <n v="26169343"/>
    <n v="127"/>
    <n v="10906403"/>
    <n v="8025554"/>
    <m/>
  </r>
  <r>
    <n v="8"/>
    <x v="19"/>
    <n v="2017"/>
    <s v="Agosto"/>
    <s v="LEIDGOVI"/>
    <n v="1036598360"/>
    <x v="39"/>
    <n v="28164960"/>
    <n v="426000"/>
    <n v="3633934"/>
    <n v="24105026"/>
    <n v="24080000"/>
    <n v="1.0010392857142858"/>
    <x v="1"/>
    <n v="25"/>
    <x v="8"/>
    <s v="Antioquia"/>
    <s v="Fluctúa"/>
    <n v="36"/>
    <n v="4729303"/>
    <n v="116"/>
    <n v="16437056"/>
    <n v="40"/>
    <n v="3633934"/>
    <n v="3364667"/>
    <m/>
  </r>
  <r>
    <n v="8"/>
    <x v="19"/>
    <n v="2017"/>
    <s v="Agosto"/>
    <s v="YENYSUPE"/>
    <n v="1020419011"/>
    <x v="51"/>
    <n v="56121130"/>
    <n v="980000"/>
    <n v="11698952"/>
    <n v="43442178"/>
    <n v="43000000"/>
    <n v="1.0102832093023255"/>
    <x v="1"/>
    <n v="25"/>
    <x v="8"/>
    <s v="Antioquia"/>
    <s v="Cumple"/>
    <n v="100"/>
    <n v="9450961"/>
    <n v="232"/>
    <n v="24277703"/>
    <n v="127"/>
    <n v="11698952"/>
    <n v="10693514"/>
    <m/>
  </r>
  <r>
    <n v="8"/>
    <x v="19"/>
    <n v="2017"/>
    <s v="Agosto"/>
    <s v="YURAUSVE"/>
    <n v="1020419615"/>
    <x v="56"/>
    <n v="56260542"/>
    <n v="0"/>
    <n v="12320194"/>
    <n v="43940348"/>
    <n v="43000000"/>
    <n v="1.0218685581395348"/>
    <x v="1"/>
    <n v="25"/>
    <x v="8"/>
    <s v="Antioquia"/>
    <s v="Cumple"/>
    <n v="87"/>
    <n v="8940664"/>
    <n v="188"/>
    <n v="25347673"/>
    <n v="132"/>
    <n v="12320194"/>
    <n v="9652011"/>
    <m/>
  </r>
  <r>
    <n v="8"/>
    <x v="19"/>
    <n v="2017"/>
    <s v="Agosto"/>
    <s v="DIANPAAL"/>
    <n v="1040030764"/>
    <x v="11"/>
    <n v="57028629"/>
    <n v="2064000"/>
    <n v="12323432"/>
    <n v="42641197"/>
    <n v="30360000"/>
    <n v="1.4045190052700922"/>
    <x v="1"/>
    <n v="25"/>
    <x v="7"/>
    <s v="Antioquia"/>
    <s v="Cumple"/>
    <n v="101"/>
    <n v="12035299"/>
    <n v="237"/>
    <n v="25771784"/>
    <n v="138"/>
    <n v="12323432"/>
    <n v="6898114"/>
    <m/>
  </r>
  <r>
    <n v="8"/>
    <x v="19"/>
    <n v="2017"/>
    <s v="Agosto"/>
    <s v="JAQUVEGU"/>
    <n v="1036779770"/>
    <x v="16"/>
    <n v="33881621"/>
    <n v="1102000"/>
    <n v="5530061"/>
    <n v="27249560"/>
    <n v="14520000"/>
    <n v="1.8766914600550963"/>
    <x v="0"/>
    <n v="25"/>
    <x v="7"/>
    <s v="Antioquia"/>
    <s v="No Aplica"/>
    <n v="69"/>
    <n v="7060411"/>
    <n v="178"/>
    <n v="17494330"/>
    <n v="72"/>
    <n v="5530061"/>
    <n v="3796819"/>
    <m/>
  </r>
  <r>
    <n v="8"/>
    <x v="19"/>
    <n v="2017"/>
    <s v="Agosto"/>
    <s v="MARIOCOC"/>
    <n v="39448823"/>
    <x v="21"/>
    <n v="49505696"/>
    <n v="1908800"/>
    <n v="8155399"/>
    <n v="39441497"/>
    <n v="33000000"/>
    <n v="1.1951968787878788"/>
    <x v="1"/>
    <n v="25"/>
    <x v="7"/>
    <s v="Antioquia"/>
    <s v="Siempre Cumple"/>
    <n v="104"/>
    <n v="10599067"/>
    <n v="274"/>
    <n v="25738406"/>
    <n v="106"/>
    <n v="8155399"/>
    <n v="5012824"/>
    <m/>
  </r>
  <r>
    <n v="8"/>
    <x v="19"/>
    <n v="2017"/>
    <s v="Agosto"/>
    <s v="ERIKSAVA"/>
    <n v="1017200970"/>
    <x v="44"/>
    <n v="42851536"/>
    <n v="304000"/>
    <n v="7867603"/>
    <n v="34679933"/>
    <n v="30100000"/>
    <n v="1.1521572425249169"/>
    <x v="1"/>
    <n v="25"/>
    <x v="4"/>
    <s v="Antioquia"/>
    <s v="Cumple"/>
    <n v="76"/>
    <n v="8928541"/>
    <n v="188"/>
    <n v="18969782"/>
    <n v="104"/>
    <n v="7867603"/>
    <n v="7085610"/>
    <m/>
  </r>
  <r>
    <n v="8"/>
    <x v="19"/>
    <n v="2017"/>
    <s v="Agosto"/>
    <s v="HISNOSPI"/>
    <n v="43114534"/>
    <x v="49"/>
    <n v="50398930"/>
    <n v="1568000"/>
    <n v="12157340"/>
    <n v="36673590"/>
    <n v="28896000"/>
    <n v="1.269158014950166"/>
    <x v="0"/>
    <n v="25"/>
    <x v="4"/>
    <s v="Antioquia"/>
    <s v="No Aplica"/>
    <n v="89"/>
    <n v="7443888"/>
    <n v="272"/>
    <n v="23786013"/>
    <n v="132"/>
    <n v="12157340"/>
    <n v="7011689"/>
    <m/>
  </r>
  <r>
    <n v="8"/>
    <x v="19"/>
    <n v="2017"/>
    <s v="Agosto"/>
    <s v="MARIMASA"/>
    <n v="43113640"/>
    <x v="34"/>
    <n v="45645860"/>
    <n v="744000"/>
    <n v="9743955"/>
    <n v="35157905"/>
    <n v="30100000"/>
    <n v="1.1680367109634551"/>
    <x v="1"/>
    <n v="25"/>
    <x v="4"/>
    <s v="Antioquia"/>
    <s v="Cumple"/>
    <n v="84"/>
    <n v="9599248"/>
    <n v="197"/>
    <n v="20861014"/>
    <n v="112"/>
    <n v="9743955"/>
    <n v="5441643"/>
    <m/>
  </r>
  <r>
    <n v="8"/>
    <x v="19"/>
    <n v="2017"/>
    <s v="Agosto"/>
    <s v="ANDRSAZA"/>
    <n v="1020736461"/>
    <x v="45"/>
    <n v="51831668"/>
    <n v="2989000"/>
    <n v="7422376"/>
    <n v="41420292"/>
    <n v="22000000"/>
    <n v="1.8827405454545454"/>
    <x v="1"/>
    <n v="25"/>
    <x v="9"/>
    <s v="Centro"/>
    <s v="Siempre Cumple"/>
    <n v="71"/>
    <n v="8318127"/>
    <n v="234"/>
    <n v="31441613"/>
    <n v="105"/>
    <n v="7422376"/>
    <n v="4649552"/>
    <m/>
  </r>
  <r>
    <n v="8"/>
    <x v="19"/>
    <n v="2017"/>
    <s v="Agosto"/>
    <s v="ISABMOGO"/>
    <n v="52260671"/>
    <x v="15"/>
    <n v="19993691"/>
    <n v="612000"/>
    <n v="2517175"/>
    <n v="16864516"/>
    <n v="13200000"/>
    <n v="1.2776148484848484"/>
    <x v="1"/>
    <n v="25"/>
    <x v="9"/>
    <s v="Centro"/>
    <s v="Siempre Cumple"/>
    <n v="37"/>
    <n v="3657586"/>
    <n v="96"/>
    <n v="10497178"/>
    <n v="40"/>
    <n v="2517175"/>
    <n v="3321752"/>
    <m/>
  </r>
  <r>
    <n v="8"/>
    <x v="19"/>
    <n v="2017"/>
    <s v="Agosto"/>
    <s v="CAMIPUHE"/>
    <n v="79850984"/>
    <x v="53"/>
    <n v="37676411"/>
    <n v="1684000"/>
    <n v="5915709"/>
    <n v="30076702"/>
    <n v="22000000"/>
    <n v="1.3671228181818182"/>
    <x v="1"/>
    <n v="25"/>
    <x v="15"/>
    <s v="Centro"/>
    <s v="Fluctúa"/>
    <n v="67"/>
    <n v="6287840"/>
    <n v="192"/>
    <n v="21777824"/>
    <n v="87"/>
    <n v="5915709"/>
    <n v="3695038"/>
    <m/>
  </r>
  <r>
    <n v="8"/>
    <x v="19"/>
    <n v="2017"/>
    <s v="Agosto"/>
    <s v="LUZNHEGO"/>
    <n v="43745192"/>
    <x v="19"/>
    <n v="32621064"/>
    <n v="779400"/>
    <n v="2729249"/>
    <n v="29112415"/>
    <n v="25000000"/>
    <n v="1.1644966000000001"/>
    <x v="1"/>
    <n v="25"/>
    <x v="10"/>
    <s v="Antioquia"/>
    <s v="Cumple"/>
    <n v="58"/>
    <n v="6653807"/>
    <n v="166"/>
    <n v="19759005"/>
    <n v="36"/>
    <n v="2729249"/>
    <n v="3479003"/>
    <m/>
  </r>
  <r>
    <n v="8"/>
    <x v="19"/>
    <n v="2017"/>
    <s v="Agosto"/>
    <s v="ANAMLOBE"/>
    <n v="43821410"/>
    <x v="3"/>
    <n v="88861905"/>
    <n v="440000"/>
    <n v="18967248"/>
    <n v="69454657"/>
    <n v="43000000"/>
    <n v="1.6152245813953487"/>
    <x v="1"/>
    <n v="25"/>
    <x v="3"/>
    <s v="Antioquia"/>
    <s v="Siempre Cumple"/>
    <n v="159"/>
    <n v="19187271"/>
    <n v="355"/>
    <n v="40017124"/>
    <n v="212"/>
    <n v="18967248"/>
    <n v="10690262"/>
    <m/>
  </r>
  <r>
    <n v="8"/>
    <x v="19"/>
    <n v="2017"/>
    <s v="Agosto"/>
    <s v="DIANQUME"/>
    <n v="42164020"/>
    <x v="12"/>
    <n v="56498367"/>
    <n v="1491600"/>
    <n v="10431216"/>
    <n v="44575551"/>
    <n v="43000000"/>
    <n v="1.0366407209302326"/>
    <x v="1"/>
    <n v="25"/>
    <x v="1"/>
    <s v="Antioquia"/>
    <s v="Siempre Cumple"/>
    <n v="91"/>
    <n v="9905509"/>
    <n v="234"/>
    <n v="29848492"/>
    <n v="120"/>
    <n v="10431216"/>
    <n v="6313150"/>
    <m/>
  </r>
  <r>
    <n v="8"/>
    <x v="19"/>
    <n v="2017"/>
    <s v="Agosto"/>
    <s v="LILACARA"/>
    <n v="1017141451"/>
    <x v="17"/>
    <n v="60589040"/>
    <n v="680000"/>
    <n v="11118370"/>
    <n v="48790670"/>
    <n v="39560000"/>
    <n v="1.2333334175935289"/>
    <x v="1"/>
    <n v="25"/>
    <x v="1"/>
    <s v="Antioquia"/>
    <s v="Siempre Cumple"/>
    <n v="110"/>
    <n v="12712988"/>
    <n v="274"/>
    <n v="30659237"/>
    <n v="128"/>
    <n v="11118370"/>
    <n v="6098445"/>
    <m/>
  </r>
  <r>
    <n v="8"/>
    <x v="19"/>
    <n v="2017"/>
    <s v="Agosto"/>
    <s v="ALEXLOGR"/>
    <n v="43253531"/>
    <x v="2"/>
    <n v="45652879"/>
    <n v="412000"/>
    <n v="11318567"/>
    <n v="33922312"/>
    <n v="26680000"/>
    <n v="1.2714509745127436"/>
    <x v="1"/>
    <n v="25"/>
    <x v="2"/>
    <s v="Antioquia"/>
    <s v="Cumple"/>
    <n v="87"/>
    <n v="7346884"/>
    <n v="218"/>
    <n v="21254415"/>
    <n v="140"/>
    <n v="11318567"/>
    <n v="5733013"/>
    <m/>
  </r>
  <r>
    <n v="8"/>
    <x v="19"/>
    <n v="2017"/>
    <s v="Agosto"/>
    <s v="CINDGACU"/>
    <n v="1020443426"/>
    <x v="55"/>
    <n v="41615616"/>
    <n v="1244400"/>
    <n v="11265923"/>
    <n v="29105293"/>
    <n v="29000000"/>
    <n v="1.0036307931034483"/>
    <x v="1"/>
    <n v="25"/>
    <x v="4"/>
    <s v="Antioquia"/>
    <s v="Fluctúa"/>
    <n v="75"/>
    <n v="7104775"/>
    <n v="206"/>
    <n v="18782721"/>
    <n v="125"/>
    <n v="11265923"/>
    <n v="4462197"/>
    <m/>
  </r>
  <r>
    <n v="8"/>
    <x v="19"/>
    <n v="2017"/>
    <s v="Agosto"/>
    <s v="CARORICA"/>
    <n v="31309227"/>
    <x v="59"/>
    <n v="18810560"/>
    <n v="0"/>
    <n v="4023414"/>
    <n v="14787146"/>
    <n v="30000000"/>
    <n v="0.49290486666666666"/>
    <x v="0"/>
    <n v="25"/>
    <x v="0"/>
    <s v=""/>
    <s v="No Aplica"/>
    <n v="37"/>
    <n v="3080938"/>
    <n v="140"/>
    <n v="8809441"/>
    <n v="52"/>
    <n v="4023414"/>
    <n v="2896767"/>
    <m/>
  </r>
  <r>
    <n v="8"/>
    <x v="19"/>
    <n v="2017"/>
    <s v="Agosto"/>
    <s v="TATIRITR"/>
    <n v="1130597373"/>
    <x v="60"/>
    <n v="30199796"/>
    <n v="0"/>
    <n v="7718124"/>
    <n v="22481672"/>
    <n v="30000000"/>
    <n v="0.74938906666666671"/>
    <x v="1"/>
    <n v="25"/>
    <x v="16"/>
    <s v="Occidente"/>
    <s v="Fluctúa"/>
    <n v="53"/>
    <n v="4119449"/>
    <n v="190"/>
    <n v="16461548"/>
    <n v="95"/>
    <n v="7718124"/>
    <n v="1900675"/>
    <m/>
  </r>
  <r>
    <n v="8"/>
    <x v="19"/>
    <n v="2017"/>
    <s v="Agosto"/>
    <s v="PAOLPACA"/>
    <n v="31445278"/>
    <x v="47"/>
    <n v="42470232"/>
    <n v="0"/>
    <n v="10423191"/>
    <n v="32047041"/>
    <n v="30000000"/>
    <n v="1.0682347000000001"/>
    <x v="1"/>
    <n v="25"/>
    <x v="14"/>
    <s v="Occidente"/>
    <s v="Cumple"/>
    <n v="87"/>
    <n v="6950521"/>
    <n v="276"/>
    <n v="20141824"/>
    <n v="128"/>
    <n v="10423191"/>
    <n v="4954696"/>
    <m/>
  </r>
  <r>
    <n v="8"/>
    <x v="19"/>
    <n v="2017"/>
    <s v="Agosto"/>
    <s v="ROCIFASA"/>
    <n v="34542470"/>
    <x v="28"/>
    <n v="44522211"/>
    <n v="1464600"/>
    <n v="7393165"/>
    <n v="35664446"/>
    <n v="25000000"/>
    <n v="1.42657784"/>
    <x v="1"/>
    <n v="25"/>
    <x v="12"/>
    <s v="Occidente"/>
    <s v="Siempre Cumple"/>
    <n v="82"/>
    <n v="11062312"/>
    <n v="228"/>
    <n v="20198838"/>
    <n v="82"/>
    <n v="7393165"/>
    <n v="5867896"/>
    <m/>
  </r>
  <r>
    <n v="8"/>
    <x v="19"/>
    <n v="2017"/>
    <s v="Agosto"/>
    <s v="CLAUREME"/>
    <m/>
    <x v="7"/>
    <n v="94800"/>
    <n v="0"/>
    <n v="0"/>
    <n v="94800"/>
    <m/>
    <m/>
    <x v="0"/>
    <n v="25"/>
    <x v="0"/>
    <s v=""/>
    <s v="No Aplica"/>
    <n v="0"/>
    <n v="0"/>
    <n v="0"/>
    <n v="0"/>
    <n v="0"/>
    <n v="0"/>
    <n v="94800"/>
    <m/>
  </r>
  <r>
    <n v="8"/>
    <x v="19"/>
    <n v="2017"/>
    <s v="Agosto"/>
    <s v="DARWHERI"/>
    <m/>
    <x v="7"/>
    <n v="4946494"/>
    <n v="0"/>
    <n v="1667809"/>
    <n v="3278685"/>
    <m/>
    <m/>
    <x v="0"/>
    <n v="25"/>
    <x v="0"/>
    <s v=""/>
    <s v="No Aplica"/>
    <n v="7"/>
    <n v="792405"/>
    <n v="18"/>
    <n v="2224280"/>
    <n v="23"/>
    <n v="1667809"/>
    <n v="262000"/>
    <m/>
  </r>
  <r>
    <n v="8"/>
    <x v="19"/>
    <n v="2017"/>
    <s v="Agosto"/>
    <s v="DIANCARD"/>
    <m/>
    <x v="7"/>
    <n v="134285"/>
    <n v="0"/>
    <n v="134285"/>
    <n v="0"/>
    <m/>
    <m/>
    <x v="0"/>
    <n v="25"/>
    <x v="0"/>
    <s v=""/>
    <s v="No Aplica"/>
    <n v="0"/>
    <n v="0"/>
    <n v="0"/>
    <n v="0"/>
    <n v="1"/>
    <n v="134285"/>
    <n v="0"/>
    <m/>
  </r>
  <r>
    <n v="8"/>
    <x v="19"/>
    <n v="2017"/>
    <s v="Agosto"/>
    <s v="GISECACM"/>
    <m/>
    <x v="7"/>
    <n v="154088"/>
    <n v="0"/>
    <n v="0"/>
    <n v="154088"/>
    <m/>
    <m/>
    <x v="0"/>
    <n v="25"/>
    <x v="0"/>
    <s v=""/>
    <s v="No Aplica"/>
    <n v="1"/>
    <n v="53418"/>
    <n v="2"/>
    <n v="100670"/>
    <n v="0"/>
    <n v="0"/>
    <n v="0"/>
    <m/>
  </r>
  <r>
    <n v="8"/>
    <x v="19"/>
    <n v="2017"/>
    <s v="Agosto"/>
    <s v="KATHCASG"/>
    <m/>
    <x v="7"/>
    <n v="94800"/>
    <n v="0"/>
    <n v="0"/>
    <n v="94800"/>
    <m/>
    <m/>
    <x v="0"/>
    <n v="25"/>
    <x v="0"/>
    <s v=""/>
    <s v="No Aplica"/>
    <n v="0"/>
    <n v="0"/>
    <n v="0"/>
    <n v="0"/>
    <n v="0"/>
    <n v="0"/>
    <n v="94800"/>
    <m/>
  </r>
  <r>
    <n v="8"/>
    <x v="19"/>
    <n v="2017"/>
    <s v="Agosto"/>
    <s v="LUZMARMO"/>
    <m/>
    <x v="7"/>
    <n v="396000"/>
    <n v="0"/>
    <n v="0"/>
    <n v="396000"/>
    <m/>
    <m/>
    <x v="0"/>
    <n v="25"/>
    <x v="0"/>
    <s v=""/>
    <s v="No Aplica"/>
    <n v="0"/>
    <n v="0"/>
    <n v="0"/>
    <n v="0"/>
    <n v="0"/>
    <n v="0"/>
    <n v="396000"/>
    <m/>
  </r>
  <r>
    <n v="8"/>
    <x v="19"/>
    <n v="2017"/>
    <s v="Agosto"/>
    <s v="OSCADESU"/>
    <m/>
    <x v="7"/>
    <n v="131610"/>
    <n v="0"/>
    <n v="131610"/>
    <n v="0"/>
    <m/>
    <m/>
    <x v="0"/>
    <n v="25"/>
    <x v="0"/>
    <s v=""/>
    <s v="No Aplica"/>
    <n v="0"/>
    <n v="0"/>
    <n v="0"/>
    <n v="0"/>
    <n v="3"/>
    <n v="131610"/>
    <n v="0"/>
    <m/>
  </r>
  <r>
    <n v="8"/>
    <x v="19"/>
    <n v="2017"/>
    <s v="Agosto"/>
    <s v="RAMOGAMO"/>
    <m/>
    <x v="7"/>
    <n v="94800"/>
    <n v="0"/>
    <n v="0"/>
    <n v="94800"/>
    <m/>
    <m/>
    <x v="0"/>
    <n v="25"/>
    <x v="0"/>
    <s v=""/>
    <s v="No Aplica"/>
    <n v="0"/>
    <n v="0"/>
    <n v="0"/>
    <n v="0"/>
    <n v="0"/>
    <n v="0"/>
    <n v="94800"/>
    <m/>
  </r>
  <r>
    <n v="8"/>
    <x v="19"/>
    <n v="2017"/>
    <s v="Agosto"/>
    <s v="UCERQUI"/>
    <m/>
    <x v="7"/>
    <n v="134285"/>
    <n v="0"/>
    <n v="134285"/>
    <n v="0"/>
    <m/>
    <m/>
    <x v="0"/>
    <n v="25"/>
    <x v="0"/>
    <s v=""/>
    <s v="No Aplica"/>
    <n v="0"/>
    <n v="0"/>
    <n v="0"/>
    <n v="0"/>
    <n v="1"/>
    <n v="134285"/>
    <n v="0"/>
    <m/>
  </r>
  <r>
    <n v="8"/>
    <x v="19"/>
    <n v="2017"/>
    <s v="Agosto"/>
    <s v="4434143186"/>
    <m/>
    <x v="7"/>
    <n v="134285"/>
    <n v="0"/>
    <n v="134285"/>
    <n v="0"/>
    <m/>
    <m/>
    <x v="0"/>
    <n v="25"/>
    <x v="0"/>
    <s v=""/>
    <s v="No Aplica"/>
    <n v="0"/>
    <n v="0"/>
    <n v="0"/>
    <n v="0"/>
    <n v="1"/>
    <n v="134285"/>
    <n v="0"/>
    <m/>
  </r>
  <r>
    <n v="8"/>
    <x v="19"/>
    <n v="2017"/>
    <s v="Agosto"/>
    <s v="4434465455"/>
    <m/>
    <x v="7"/>
    <n v="43870"/>
    <n v="0"/>
    <n v="43870"/>
    <n v="0"/>
    <m/>
    <m/>
    <x v="0"/>
    <n v="25"/>
    <x v="0"/>
    <s v=""/>
    <s v="No Aplica"/>
    <n v="0"/>
    <n v="0"/>
    <n v="0"/>
    <n v="0"/>
    <n v="1"/>
    <n v="43870"/>
    <n v="0"/>
    <m/>
  </r>
  <r>
    <n v="8"/>
    <x v="19"/>
    <n v="2017"/>
    <s v="Agosto"/>
    <s v="USERPI"/>
    <m/>
    <x v="7"/>
    <n v="312440"/>
    <n v="0"/>
    <n v="312440"/>
    <n v="0"/>
    <m/>
    <m/>
    <x v="0"/>
    <n v="25"/>
    <x v="0"/>
    <s v=""/>
    <s v="No Aplica"/>
    <n v="0"/>
    <n v="0"/>
    <n v="0"/>
    <n v="0"/>
    <n v="3"/>
    <n v="312440"/>
    <n v="0"/>
    <m/>
  </r>
  <r>
    <n v="8"/>
    <x v="19"/>
    <n v="2017"/>
    <s v="Agosto"/>
    <s v="(en blanco)"/>
    <m/>
    <x v="7"/>
    <n v="-43870"/>
    <n v="0"/>
    <n v="0"/>
    <n v="-43870"/>
    <m/>
    <m/>
    <x v="0"/>
    <n v="25"/>
    <x v="0"/>
    <s v=""/>
    <s v="No Aplica"/>
    <n v="0"/>
    <n v="0"/>
    <n v="0"/>
    <n v="0"/>
    <n v="0"/>
    <n v="0"/>
    <n v="-43870"/>
    <m/>
  </r>
  <r>
    <n v="9"/>
    <x v="20"/>
    <n v="2017"/>
    <s v="Septiembre"/>
    <s v="DIANPOPA"/>
    <n v="31307503"/>
    <x v="33"/>
    <n v="37407020"/>
    <n v="0"/>
    <n v="1533417"/>
    <n v="35873603"/>
    <n v="31721000"/>
    <n v="1.1309102172062671"/>
    <x v="0"/>
    <n v="26"/>
    <x v="0"/>
    <s v=""/>
    <s v="No Aplica"/>
    <n v="87"/>
    <n v="7748855"/>
    <n v="188"/>
    <n v="15421366"/>
    <n v="27"/>
    <n v="1533417"/>
    <n v="12703382"/>
    <m/>
  </r>
  <r>
    <n v="9"/>
    <x v="20"/>
    <n v="2017"/>
    <s v="Septiembre"/>
    <s v="PAULGOBA"/>
    <n v="32256379"/>
    <x v="36"/>
    <n v="33041811"/>
    <n v="0"/>
    <n v="8065981"/>
    <n v="24975830"/>
    <n v="42000000"/>
    <n v="0.59466261904761908"/>
    <x v="1"/>
    <n v="26"/>
    <x v="13"/>
    <s v="Antioquia"/>
    <s v="Fluctúa"/>
    <n v="2"/>
    <n v="346876"/>
    <n v="4"/>
    <n v="1569390"/>
    <n v="97"/>
    <n v="8065981"/>
    <n v="23059564"/>
    <m/>
  </r>
  <r>
    <n v="9"/>
    <x v="20"/>
    <n v="2017"/>
    <s v="Septiembre"/>
    <s v="ANGEROPI"/>
    <n v="43800272"/>
    <x v="46"/>
    <n v="34835410"/>
    <n v="838000"/>
    <n v="8820973"/>
    <n v="25176437"/>
    <n v="41000000"/>
    <n v="0.6140594390243902"/>
    <x v="0"/>
    <n v="26"/>
    <x v="0"/>
    <s v=""/>
    <s v="No Aplica"/>
    <n v="64"/>
    <n v="5883930"/>
    <n v="178"/>
    <n v="15331809"/>
    <n v="101"/>
    <n v="8820973"/>
    <n v="4798698"/>
    <m/>
  </r>
  <r>
    <n v="9"/>
    <x v="20"/>
    <n v="2017"/>
    <s v="Septiembre"/>
    <s v="BIBIBECA"/>
    <n v="43971430"/>
    <x v="6"/>
    <n v="56176589"/>
    <n v="1236000"/>
    <n v="11855065"/>
    <n v="43085524"/>
    <n v="41000000"/>
    <n v="1.0508664390243903"/>
    <x v="1"/>
    <n v="26"/>
    <x v="5"/>
    <s v="Antioquia"/>
    <s v="Siempre Cumple"/>
    <n v="100"/>
    <n v="8632075"/>
    <n v="298"/>
    <n v="27393093"/>
    <n v="120"/>
    <n v="11855065"/>
    <n v="8296356"/>
    <m/>
  </r>
  <r>
    <n v="9"/>
    <x v="20"/>
    <n v="2017"/>
    <s v="Septiembre"/>
    <s v="CAROVABE"/>
    <n v="1030634664"/>
    <x v="32"/>
    <n v="44509583"/>
    <n v="426000"/>
    <n v="10138250"/>
    <n v="33945333"/>
    <n v="41000000"/>
    <n v="0.82793495121951222"/>
    <x v="0"/>
    <n v="26"/>
    <x v="0"/>
    <s v=""/>
    <s v="No Aplica"/>
    <n v="91"/>
    <n v="8615495"/>
    <n v="214"/>
    <n v="19703600"/>
    <n v="117"/>
    <n v="10138250"/>
    <n v="6052238"/>
    <m/>
  </r>
  <r>
    <n v="9"/>
    <x v="20"/>
    <n v="2017"/>
    <s v="Septiembre"/>
    <s v="CLAUBLAR"/>
    <n v="43554403"/>
    <x v="8"/>
    <n v="56886729"/>
    <n v="1156600"/>
    <n v="12478340"/>
    <n v="43251789"/>
    <n v="41000000"/>
    <n v="1.0549216829268293"/>
    <x v="1"/>
    <n v="26"/>
    <x v="5"/>
    <s v="Antioquia"/>
    <s v="Siempre Cumple"/>
    <n v="85"/>
    <n v="9258118"/>
    <n v="231"/>
    <n v="27202012"/>
    <n v="132"/>
    <n v="12478340"/>
    <n v="7948259"/>
    <m/>
  </r>
  <r>
    <n v="9"/>
    <x v="20"/>
    <n v="2017"/>
    <s v="Septiembre"/>
    <s v="HERIRORO"/>
    <n v="21428423"/>
    <x v="52"/>
    <n v="47427043"/>
    <n v="1030000"/>
    <n v="9533058"/>
    <n v="36863985"/>
    <n v="41000000"/>
    <n v="0.89912158536585363"/>
    <x v="1"/>
    <n v="26"/>
    <x v="5"/>
    <s v="Antioquia"/>
    <s v="Fluctúa"/>
    <n v="98"/>
    <n v="9356741"/>
    <n v="206"/>
    <n v="20561613"/>
    <n v="106"/>
    <n v="9533058"/>
    <n v="7975631"/>
    <m/>
  </r>
  <r>
    <n v="9"/>
    <x v="20"/>
    <n v="2017"/>
    <s v="Septiembre"/>
    <s v="MARGGAPA"/>
    <n v="43866877"/>
    <x v="20"/>
    <n v="58148032"/>
    <n v="426000"/>
    <n v="11625978"/>
    <n v="46096054"/>
    <n v="41000000"/>
    <n v="1.1242939999999999"/>
    <x v="1"/>
    <n v="26"/>
    <x v="5"/>
    <s v="Antioquia"/>
    <s v="Siempre Cumple"/>
    <n v="108"/>
    <n v="12518841"/>
    <n v="255"/>
    <n v="27965188"/>
    <n v="133"/>
    <n v="11625978"/>
    <n v="6038025"/>
    <m/>
  </r>
  <r>
    <n v="9"/>
    <x v="20"/>
    <n v="2017"/>
    <s v="Septiembre"/>
    <s v="YULIRIRE"/>
    <n v="21982241"/>
    <x v="57"/>
    <n v="22947874"/>
    <n v="852000"/>
    <n v="6894117"/>
    <n v="15201757"/>
    <n v="41000000"/>
    <n v="0.37077456097560973"/>
    <x v="1"/>
    <n v="26"/>
    <x v="2"/>
    <s v="Antioquia"/>
    <s v="Fluctúa"/>
    <n v="32"/>
    <n v="3434839"/>
    <n v="98"/>
    <n v="7786286"/>
    <n v="75"/>
    <n v="6894117"/>
    <n v="4832632"/>
    <m/>
  </r>
  <r>
    <n v="9"/>
    <x v="20"/>
    <n v="2017"/>
    <s v="Septiembre"/>
    <s v="ANGEGAAR"/>
    <n v="39442617"/>
    <x v="4"/>
    <n v="22929379"/>
    <n v="370800"/>
    <n v="2525307"/>
    <n v="20033272"/>
    <n v="18000000"/>
    <n v="1.1129595555555556"/>
    <x v="1"/>
    <n v="26"/>
    <x v="4"/>
    <s v="Antioquia"/>
    <s v="Cumple"/>
    <n v="21"/>
    <n v="4040454"/>
    <n v="68"/>
    <n v="14674026"/>
    <n v="29"/>
    <n v="2525307"/>
    <n v="1689592"/>
    <m/>
  </r>
  <r>
    <n v="9"/>
    <x v="20"/>
    <n v="2017"/>
    <s v="Septiembre"/>
    <s v="NATAPIDU"/>
    <n v="43907427"/>
    <x v="25"/>
    <n v="54437237"/>
    <n v="829800"/>
    <n v="5118345"/>
    <n v="48489092"/>
    <n v="36000000"/>
    <n v="1.3469192222222222"/>
    <x v="1"/>
    <n v="26"/>
    <x v="11"/>
    <s v="Antioquia"/>
    <s v="Siempre Cumple"/>
    <n v="49"/>
    <n v="11071584"/>
    <n v="133"/>
    <n v="29469425"/>
    <n v="59"/>
    <n v="5118345"/>
    <n v="8777883"/>
    <m/>
  </r>
  <r>
    <n v="9"/>
    <x v="20"/>
    <n v="2017"/>
    <s v="Septiembre"/>
    <s v="ELIZVESU"/>
    <n v="1035417626"/>
    <x v="13"/>
    <n v="62567485"/>
    <n v="1210000"/>
    <n v="11962814"/>
    <n v="49394671"/>
    <n v="43000000"/>
    <n v="1.1487132790697674"/>
    <x v="1"/>
    <n v="26"/>
    <x v="3"/>
    <s v="Antioquia"/>
    <s v="Cumple"/>
    <n v="106"/>
    <n v="13483235"/>
    <n v="244"/>
    <n v="28740874"/>
    <n v="129"/>
    <n v="11962814"/>
    <n v="8380562"/>
    <m/>
  </r>
  <r>
    <n v="9"/>
    <x v="20"/>
    <n v="2017"/>
    <s v="Septiembre"/>
    <s v="SUANHECO"/>
    <n v="1020409789"/>
    <x v="58"/>
    <n v="68585081"/>
    <n v="2929400"/>
    <n v="15875162"/>
    <n v="49780519"/>
    <n v="43000000"/>
    <n v="1.157686488372093"/>
    <x v="1"/>
    <n v="26"/>
    <x v="1"/>
    <s v="Antioquia"/>
    <s v="Cumple"/>
    <n v="111"/>
    <n v="14121396"/>
    <n v="272"/>
    <n v="29057060"/>
    <n v="182"/>
    <n v="15875162"/>
    <n v="9531463"/>
    <m/>
  </r>
  <r>
    <n v="9"/>
    <x v="20"/>
    <n v="2017"/>
    <s v="Septiembre"/>
    <s v="ZULYARGA"/>
    <n v="43259130"/>
    <x v="31"/>
    <n v="76726342"/>
    <n v="1886000"/>
    <n v="15987298"/>
    <n v="58853044"/>
    <n v="43000000"/>
    <n v="1.3686754418604652"/>
    <x v="1"/>
    <n v="26"/>
    <x v="1"/>
    <s v="Antioquia"/>
    <s v="Fluctúa"/>
    <n v="126"/>
    <n v="15396336"/>
    <n v="281"/>
    <n v="33916689"/>
    <n v="171"/>
    <n v="15987298"/>
    <n v="11426019"/>
    <m/>
  </r>
  <r>
    <n v="9"/>
    <x v="20"/>
    <n v="2017"/>
    <s v="Septiembre"/>
    <s v="DIANQUME"/>
    <n v="42164020"/>
    <x v="12"/>
    <n v="67345706"/>
    <n v="4758800"/>
    <n v="14479668"/>
    <n v="48107238"/>
    <n v="43000000"/>
    <n v="1.1187729767441861"/>
    <x v="1"/>
    <n v="26"/>
    <x v="1"/>
    <s v="Antioquia"/>
    <s v="Siempre Cumple"/>
    <n v="119"/>
    <n v="12167525"/>
    <n v="272"/>
    <n v="28308013"/>
    <n v="157"/>
    <n v="14479668"/>
    <n v="12390500"/>
    <m/>
  </r>
  <r>
    <n v="9"/>
    <x v="20"/>
    <n v="2017"/>
    <s v="Septiembre"/>
    <s v="DERLARMO"/>
    <n v="52725011"/>
    <x v="10"/>
    <n v="32411292"/>
    <n v="440000"/>
    <n v="6580607"/>
    <n v="25390685"/>
    <n v="20000000"/>
    <n v="1.26953425"/>
    <x v="1"/>
    <n v="26"/>
    <x v="6"/>
    <s v="Centro"/>
    <s v="Fluctúa"/>
    <n v="91"/>
    <n v="5539263"/>
    <n v="214"/>
    <n v="17243595"/>
    <n v="95"/>
    <n v="6580607"/>
    <n v="3047827"/>
    <m/>
  </r>
  <r>
    <n v="9"/>
    <x v="20"/>
    <n v="2017"/>
    <s v="Septiembre"/>
    <s v="RAULMOGA"/>
    <n v="79701425"/>
    <x v="27"/>
    <n v="34609982"/>
    <n v="524000"/>
    <n v="7331319"/>
    <n v="26754663"/>
    <n v="20000000"/>
    <n v="1.33773315"/>
    <x v="0"/>
    <n v="26"/>
    <x v="6"/>
    <s v="Centro"/>
    <s v="No Aplica"/>
    <n v="80"/>
    <n v="5495349"/>
    <n v="203"/>
    <n v="17163688"/>
    <n v="103"/>
    <n v="7331319"/>
    <n v="4619626"/>
    <m/>
  </r>
  <r>
    <n v="9"/>
    <x v="20"/>
    <n v="2017"/>
    <s v="Septiembre"/>
    <s v="ALVAOSOS"/>
    <n v="3438422"/>
    <x v="37"/>
    <n v="53311193"/>
    <n v="852000"/>
    <n v="7294190"/>
    <n v="45165003"/>
    <n v="43000000"/>
    <n v="1.0503489069767442"/>
    <x v="1"/>
    <n v="26"/>
    <x v="8"/>
    <s v="Antioquia"/>
    <s v="Fluctúa"/>
    <n v="79"/>
    <n v="8323748"/>
    <n v="176"/>
    <n v="29083702"/>
    <n v="86"/>
    <n v="7294190"/>
    <n v="8609553"/>
    <m/>
  </r>
  <r>
    <n v="9"/>
    <x v="20"/>
    <n v="2017"/>
    <s v="Septiembre"/>
    <s v="DEISCACR"/>
    <n v="1017167720"/>
    <x v="50"/>
    <n v="57142964"/>
    <n v="812000"/>
    <n v="9906381"/>
    <n v="46424583"/>
    <n v="43000000"/>
    <n v="1.0796414651162791"/>
    <x v="1"/>
    <n v="26"/>
    <x v="8"/>
    <s v="Antioquia"/>
    <s v="Cumple"/>
    <n v="104"/>
    <n v="10993635"/>
    <n v="216"/>
    <n v="25596538"/>
    <n v="109"/>
    <n v="9906381"/>
    <n v="10646410"/>
    <m/>
  </r>
  <r>
    <n v="9"/>
    <x v="20"/>
    <n v="2017"/>
    <s v="Septiembre"/>
    <s v="GENNHEPO"/>
    <n v="43874518"/>
    <x v="14"/>
    <n v="55893206"/>
    <n v="1656400"/>
    <n v="9971865"/>
    <n v="44264941"/>
    <n v="43000000"/>
    <n v="1.0294172325581394"/>
    <x v="1"/>
    <n v="26"/>
    <x v="8"/>
    <s v="Antioquia"/>
    <s v="Fluctúa"/>
    <n v="103"/>
    <n v="9804701"/>
    <n v="260"/>
    <n v="26410338"/>
    <n v="111"/>
    <n v="9971865"/>
    <n v="9706302"/>
    <m/>
  </r>
  <r>
    <n v="9"/>
    <x v="20"/>
    <n v="2017"/>
    <s v="Septiembre"/>
    <s v="LEIDGOVI"/>
    <n v="1036598360"/>
    <x v="39"/>
    <n v="52026066"/>
    <n v="1645400"/>
    <n v="10145847"/>
    <n v="40234819"/>
    <n v="43000000"/>
    <n v="0.93569346511627904"/>
    <x v="1"/>
    <n v="26"/>
    <x v="8"/>
    <s v="Antioquia"/>
    <s v="Fluctúa"/>
    <n v="80"/>
    <n v="8931808"/>
    <n v="206"/>
    <n v="24479902"/>
    <n v="112"/>
    <n v="10145847"/>
    <n v="8468509"/>
    <m/>
  </r>
  <r>
    <n v="9"/>
    <x v="20"/>
    <n v="2017"/>
    <s v="Septiembre"/>
    <s v="YENYSUPE"/>
    <n v="1020419011"/>
    <x v="51"/>
    <n v="48657536"/>
    <n v="426000"/>
    <n v="9703402"/>
    <n v="38528134"/>
    <n v="43000000"/>
    <n v="0.89600311627906981"/>
    <x v="1"/>
    <n v="26"/>
    <x v="8"/>
    <s v="Antioquia"/>
    <s v="Cumple"/>
    <n v="98"/>
    <n v="9644037"/>
    <n v="229"/>
    <n v="22302665"/>
    <n v="105"/>
    <n v="9703402"/>
    <n v="7007432"/>
    <m/>
  </r>
  <r>
    <n v="9"/>
    <x v="20"/>
    <n v="2017"/>
    <s v="Septiembre"/>
    <s v="YURAUSVE"/>
    <n v="1020419615"/>
    <x v="56"/>
    <n v="43172678"/>
    <n v="713600"/>
    <n v="8285010"/>
    <n v="34174068"/>
    <n v="43000000"/>
    <n v="0.79474576744186043"/>
    <x v="1"/>
    <n v="26"/>
    <x v="8"/>
    <s v="Antioquia"/>
    <s v="Cumple"/>
    <n v="73"/>
    <n v="6960347"/>
    <n v="196"/>
    <n v="20670281"/>
    <n v="90"/>
    <n v="8285010"/>
    <n v="7257040"/>
    <m/>
  </r>
  <r>
    <n v="9"/>
    <x v="20"/>
    <n v="2017"/>
    <s v="Septiembre"/>
    <s v="CARORAMN"/>
    <n v="1020451288"/>
    <x v="61"/>
    <n v="25557271"/>
    <n v="824000"/>
    <n v="5186611"/>
    <n v="19546660"/>
    <n v="43000000"/>
    <n v="0.45457348837209305"/>
    <x v="1"/>
    <n v="26"/>
    <x v="8"/>
    <s v="Antioquia"/>
    <s v="Cumple"/>
    <n v="43"/>
    <n v="4643197"/>
    <n v="97"/>
    <n v="13128445"/>
    <n v="55"/>
    <n v="5186611"/>
    <n v="2599018"/>
    <m/>
  </r>
  <r>
    <n v="9"/>
    <x v="20"/>
    <n v="2017"/>
    <s v="Septiembre"/>
    <s v="DIANPAAL"/>
    <n v="1040030764"/>
    <x v="11"/>
    <n v="53556606"/>
    <n v="1994200"/>
    <n v="10268362"/>
    <n v="41294044"/>
    <n v="33000000"/>
    <n v="1.2513346666666667"/>
    <x v="1"/>
    <n v="26"/>
    <x v="7"/>
    <s v="Antioquia"/>
    <s v="Cumple"/>
    <n v="93"/>
    <n v="10581093"/>
    <n v="244"/>
    <n v="27068065"/>
    <n v="115"/>
    <n v="10268362"/>
    <n v="5639086"/>
    <m/>
  </r>
  <r>
    <n v="9"/>
    <x v="20"/>
    <n v="2017"/>
    <s v="Septiembre"/>
    <s v="JAQUVEGU"/>
    <n v="1036779770"/>
    <x v="16"/>
    <n v="21697024"/>
    <n v="598400"/>
    <n v="5315443"/>
    <n v="15783181"/>
    <n v="27923076.923076924"/>
    <n v="0.56523788705234157"/>
    <x v="0"/>
    <n v="26"/>
    <x v="7"/>
    <s v="Antioquia"/>
    <s v="No Aplica"/>
    <n v="38"/>
    <n v="3875038"/>
    <n v="92"/>
    <n v="9818332"/>
    <n v="58"/>
    <n v="5315443"/>
    <n v="2688211"/>
    <m/>
  </r>
  <r>
    <n v="9"/>
    <x v="20"/>
    <n v="2017"/>
    <s v="Septiembre"/>
    <s v="MARIOCOC"/>
    <n v="39448823"/>
    <x v="21"/>
    <n v="53581261"/>
    <n v="2172400"/>
    <n v="9094232"/>
    <n v="42314629"/>
    <n v="33000000"/>
    <n v="1.2822614848484848"/>
    <x v="1"/>
    <n v="26"/>
    <x v="7"/>
    <s v="Antioquia"/>
    <s v="Siempre Cumple"/>
    <n v="90"/>
    <n v="10834826"/>
    <n v="223"/>
    <n v="26909882"/>
    <n v="111"/>
    <n v="9094232"/>
    <n v="6742321"/>
    <m/>
  </r>
  <r>
    <n v="9"/>
    <x v="20"/>
    <n v="2017"/>
    <s v="Septiembre"/>
    <s v="ADRIMOLU"/>
    <n v="43169964"/>
    <x v="1"/>
    <n v="56854408"/>
    <n v="2988000"/>
    <n v="10278527"/>
    <n v="43587881"/>
    <n v="41461538.461538464"/>
    <n v="1.0512846994434137"/>
    <x v="1"/>
    <n v="26"/>
    <x v="1"/>
    <s v="Antioquia"/>
    <s v="Cumple"/>
    <n v="96"/>
    <n v="9999391"/>
    <n v="249"/>
    <n v="28425995"/>
    <n v="111"/>
    <n v="10278527"/>
    <n v="8150495"/>
    <m/>
  </r>
  <r>
    <n v="9"/>
    <x v="20"/>
    <n v="2017"/>
    <s v="Septiembre"/>
    <s v="ERIKSAVA"/>
    <n v="1017200970"/>
    <x v="44"/>
    <n v="46822213"/>
    <n v="1429600"/>
    <n v="10220747"/>
    <n v="35171866"/>
    <n v="30100000"/>
    <n v="1.1685005315614618"/>
    <x v="1"/>
    <n v="26"/>
    <x v="4"/>
    <s v="Antioquia"/>
    <s v="Cumple"/>
    <n v="71"/>
    <n v="8381286"/>
    <n v="168"/>
    <n v="19558892"/>
    <n v="117"/>
    <n v="10220747"/>
    <n v="8661288"/>
    <m/>
  </r>
  <r>
    <n v="9"/>
    <x v="20"/>
    <n v="2017"/>
    <s v="Septiembre"/>
    <s v="HISNOSPI"/>
    <n v="43114534"/>
    <x v="49"/>
    <n v="46390157"/>
    <n v="1720000"/>
    <n v="10023653"/>
    <n v="34646504"/>
    <n v="30100000"/>
    <n v="1.1510466445182723"/>
    <x v="0"/>
    <n v="26"/>
    <x v="4"/>
    <s v="Antioquia"/>
    <s v="No Aplica"/>
    <n v="86"/>
    <n v="8037824"/>
    <n v="260"/>
    <n v="22761688"/>
    <n v="111"/>
    <n v="10023653"/>
    <n v="5566992"/>
    <m/>
  </r>
  <r>
    <n v="9"/>
    <x v="20"/>
    <n v="2017"/>
    <s v="Septiembre"/>
    <s v="MARIMASA"/>
    <n v="43113640"/>
    <x v="34"/>
    <n v="44428487"/>
    <n v="1404000"/>
    <n v="8198768"/>
    <n v="34825719"/>
    <n v="30100000"/>
    <n v="1.1570006312292358"/>
    <x v="1"/>
    <n v="26"/>
    <x v="4"/>
    <s v="Antioquia"/>
    <s v="Cumple"/>
    <n v="81"/>
    <n v="9539533"/>
    <n v="173"/>
    <n v="20041948"/>
    <n v="94"/>
    <n v="8198768"/>
    <n v="6648238"/>
    <m/>
  </r>
  <r>
    <n v="9"/>
    <x v="20"/>
    <n v="2017"/>
    <s v="Septiembre"/>
    <s v="ANDRSAZA"/>
    <n v="1020736461"/>
    <x v="45"/>
    <n v="42520559"/>
    <n v="0"/>
    <n v="6340285"/>
    <n v="36180274"/>
    <n v="22000000"/>
    <n v="1.644557909090909"/>
    <x v="1"/>
    <n v="26"/>
    <x v="9"/>
    <s v="Centro"/>
    <s v="Siempre Cumple"/>
    <n v="73"/>
    <n v="7976423"/>
    <n v="194"/>
    <n v="25993759"/>
    <n v="93"/>
    <n v="6340285"/>
    <n v="2210092"/>
    <m/>
  </r>
  <r>
    <n v="9"/>
    <x v="20"/>
    <n v="2017"/>
    <s v="Septiembre"/>
    <s v="ISABMOGO"/>
    <n v="52260671"/>
    <x v="15"/>
    <n v="34475982"/>
    <n v="1577160"/>
    <n v="3980828"/>
    <n v="28917994"/>
    <n v="22000000"/>
    <n v="1.3144542727272728"/>
    <x v="1"/>
    <n v="26"/>
    <x v="9"/>
    <s v="Centro"/>
    <s v="Siempre Cumple"/>
    <n v="61"/>
    <n v="7507856"/>
    <n v="160"/>
    <n v="18273740"/>
    <n v="67"/>
    <n v="3980828"/>
    <n v="4713558"/>
    <m/>
  </r>
  <r>
    <n v="9"/>
    <x v="20"/>
    <n v="2017"/>
    <s v="Septiembre"/>
    <s v="CAMIPUHE"/>
    <n v="79850984"/>
    <x v="53"/>
    <n v="29780654"/>
    <n v="1156000"/>
    <n v="4967368"/>
    <n v="23657286"/>
    <n v="22000000"/>
    <n v="1.0753311818181819"/>
    <x v="1"/>
    <n v="26"/>
    <x v="15"/>
    <s v="Centro"/>
    <s v="Fluctúa"/>
    <n v="53"/>
    <n v="4698201"/>
    <n v="175"/>
    <n v="16247255"/>
    <n v="74"/>
    <n v="4967368"/>
    <n v="3867830"/>
    <m/>
  </r>
  <r>
    <n v="9"/>
    <x v="20"/>
    <n v="2017"/>
    <s v="Septiembre"/>
    <s v="LUZNHEGO"/>
    <n v="43745192"/>
    <x v="19"/>
    <n v="31456835"/>
    <n v="0"/>
    <n v="2297825"/>
    <n v="29159010"/>
    <n v="25000000"/>
    <n v="1.1663604000000001"/>
    <x v="1"/>
    <n v="26"/>
    <x v="10"/>
    <s v="Antioquia"/>
    <s v="Cumple"/>
    <n v="47"/>
    <n v="7268745"/>
    <n v="149"/>
    <n v="20742625"/>
    <n v="35"/>
    <n v="2297825"/>
    <n v="1147640"/>
    <m/>
  </r>
  <r>
    <n v="9"/>
    <x v="20"/>
    <n v="2017"/>
    <s v="Septiembre"/>
    <s v="VIVIVAZA"/>
    <n v="43745952"/>
    <x v="30"/>
    <n v="79553715"/>
    <n v="1622000"/>
    <n v="14051347"/>
    <n v="63880368"/>
    <n v="34730769.230769232"/>
    <n v="1.8393018471760796"/>
    <x v="1"/>
    <n v="26"/>
    <x v="3"/>
    <s v="Antioquia"/>
    <s v="Siempre Cumple"/>
    <n v="128"/>
    <n v="13934960"/>
    <n v="329"/>
    <n v="37611029"/>
    <n v="161"/>
    <n v="14051347"/>
    <n v="13956379"/>
    <m/>
  </r>
  <r>
    <n v="9"/>
    <x v="20"/>
    <n v="2017"/>
    <s v="Septiembre"/>
    <s v="ANAMLOBE"/>
    <n v="43821410"/>
    <x v="3"/>
    <n v="40625328"/>
    <n v="1157600"/>
    <n v="6733403"/>
    <n v="32734325"/>
    <n v="14884615.384615384"/>
    <n v="2.199205297157623"/>
    <x v="1"/>
    <n v="26"/>
    <x v="3"/>
    <s v="Antioquia"/>
    <s v="Siempre Cumple"/>
    <n v="71"/>
    <n v="7495671"/>
    <n v="169"/>
    <n v="20346152"/>
    <n v="72"/>
    <n v="6733403"/>
    <n v="6050102"/>
    <m/>
  </r>
  <r>
    <n v="9"/>
    <x v="20"/>
    <n v="2017"/>
    <s v="Septiembre"/>
    <s v="LILACARA"/>
    <n v="1017141451"/>
    <x v="17"/>
    <n v="61676787"/>
    <n v="2490000"/>
    <n v="12275185"/>
    <n v="46911602"/>
    <n v="43000000"/>
    <n v="1.090967488372093"/>
    <x v="1"/>
    <n v="26"/>
    <x v="1"/>
    <s v="Antioquia"/>
    <s v="Siempre Cumple"/>
    <n v="109"/>
    <n v="11897038"/>
    <n v="268"/>
    <n v="27518582"/>
    <n v="141"/>
    <n v="12275185"/>
    <n v="9985982"/>
    <m/>
  </r>
  <r>
    <n v="9"/>
    <x v="20"/>
    <n v="2017"/>
    <s v="Septiembre"/>
    <s v="ALEXLOGR"/>
    <n v="43253531"/>
    <x v="2"/>
    <n v="49989292"/>
    <n v="685600"/>
    <n v="10476584"/>
    <n v="38827108"/>
    <n v="29000000.000000004"/>
    <n v="1.338865793103448"/>
    <x v="1"/>
    <n v="26"/>
    <x v="2"/>
    <s v="Antioquia"/>
    <s v="Cumple"/>
    <n v="76"/>
    <n v="7591222"/>
    <n v="194"/>
    <n v="22881850"/>
    <n v="119"/>
    <n v="10476584"/>
    <n v="9039636"/>
    <m/>
  </r>
  <r>
    <n v="9"/>
    <x v="20"/>
    <n v="2017"/>
    <s v="Septiembre"/>
    <s v="CINDGACU"/>
    <n v="1020443426"/>
    <x v="55"/>
    <n v="39829814"/>
    <n v="304000"/>
    <n v="10058321"/>
    <n v="29467493"/>
    <n v="29000000.000000004"/>
    <n v="1.0161204482758619"/>
    <x v="1"/>
    <n v="26"/>
    <x v="4"/>
    <s v="Antioquia"/>
    <s v="Fluctúa"/>
    <n v="70"/>
    <n v="6558930"/>
    <n v="187"/>
    <n v="18888478"/>
    <n v="118"/>
    <n v="10058321"/>
    <n v="4324085"/>
    <m/>
  </r>
  <r>
    <n v="9"/>
    <x v="20"/>
    <n v="2017"/>
    <s v="Septiembre"/>
    <s v="CARORICA"/>
    <n v="31309227"/>
    <x v="59"/>
    <n v="18736439"/>
    <n v="0"/>
    <n v="5995745"/>
    <n v="12740694"/>
    <n v="29999999.999999996"/>
    <n v="0.42468980000000006"/>
    <x v="0"/>
    <n v="26"/>
    <x v="0"/>
    <s v=""/>
    <s v="No Aplica"/>
    <n v="28"/>
    <n v="2337645"/>
    <n v="94"/>
    <n v="6966934"/>
    <n v="79"/>
    <n v="5995745"/>
    <n v="3436115"/>
    <m/>
  </r>
  <r>
    <n v="9"/>
    <x v="20"/>
    <n v="2017"/>
    <s v="Septiembre"/>
    <s v="TATIRITR"/>
    <n v="1130597373"/>
    <x v="60"/>
    <n v="23380249"/>
    <n v="0"/>
    <n v="6101461"/>
    <n v="17278788"/>
    <n v="29999999.999999996"/>
    <n v="0.57595960000000013"/>
    <x v="1"/>
    <n v="26"/>
    <x v="16"/>
    <s v="Occidente"/>
    <s v="Fluctúa"/>
    <n v="35"/>
    <n v="3570717"/>
    <n v="106"/>
    <n v="11588114"/>
    <n v="82"/>
    <n v="6101461"/>
    <n v="2119957"/>
    <m/>
  </r>
  <r>
    <n v="9"/>
    <x v="20"/>
    <n v="2017"/>
    <s v="Septiembre"/>
    <s v="PAOLPACA"/>
    <n v="31445278"/>
    <x v="47"/>
    <n v="40775871"/>
    <n v="0"/>
    <n v="10737557"/>
    <n v="30038314"/>
    <n v="29999999.999999996"/>
    <n v="1.0012771333333335"/>
    <x v="1"/>
    <n v="26"/>
    <x v="14"/>
    <s v="Occidente"/>
    <s v="Cumple"/>
    <n v="57"/>
    <n v="4761246"/>
    <n v="200"/>
    <n v="22309374"/>
    <n v="109"/>
    <n v="10737557"/>
    <n v="2967694"/>
    <m/>
  </r>
  <r>
    <n v="9"/>
    <x v="20"/>
    <n v="2017"/>
    <s v="Septiembre"/>
    <s v="ROCIFASA"/>
    <n v="34542470"/>
    <x v="28"/>
    <n v="43993370"/>
    <n v="563760"/>
    <n v="6909418"/>
    <n v="36520192"/>
    <n v="25000000"/>
    <n v="1.4608076800000001"/>
    <x v="1"/>
    <n v="26"/>
    <x v="12"/>
    <s v="Occidente"/>
    <s v="Siempre Cumple"/>
    <n v="56"/>
    <n v="7909592"/>
    <n v="211"/>
    <n v="25711751"/>
    <n v="78"/>
    <n v="6909418"/>
    <n v="3462609"/>
    <m/>
  </r>
  <r>
    <n v="9"/>
    <x v="20"/>
    <n v="2017"/>
    <s v="Septiembre"/>
    <s v="CLAUREME"/>
    <m/>
    <x v="7"/>
    <n v="253200"/>
    <n v="0"/>
    <n v="0"/>
    <n v="253200"/>
    <m/>
    <m/>
    <x v="0"/>
    <n v="26"/>
    <x v="0"/>
    <s v=""/>
    <s v="No Aplica"/>
    <n v="0"/>
    <n v="0"/>
    <n v="0"/>
    <n v="0"/>
    <n v="0"/>
    <n v="0"/>
    <n v="253200"/>
    <m/>
  </r>
  <r>
    <n v="9"/>
    <x v="20"/>
    <n v="2017"/>
    <s v="Septiembre"/>
    <s v="DARWHERI"/>
    <m/>
    <x v="7"/>
    <n v="533295"/>
    <n v="0"/>
    <n v="312440"/>
    <n v="220855"/>
    <m/>
    <m/>
    <x v="0"/>
    <n v="26"/>
    <x v="0"/>
    <s v=""/>
    <s v="No Aplica"/>
    <n v="0"/>
    <n v="0"/>
    <n v="2"/>
    <n v="220855"/>
    <n v="3"/>
    <n v="312440"/>
    <n v="0"/>
    <m/>
  </r>
  <r>
    <n v="9"/>
    <x v="20"/>
    <n v="2017"/>
    <s v="Septiembre"/>
    <s v="EMMAARMA"/>
    <m/>
    <x v="7"/>
    <n v="91200"/>
    <n v="0"/>
    <n v="0"/>
    <n v="91200"/>
    <m/>
    <m/>
    <x v="0"/>
    <n v="26"/>
    <x v="0"/>
    <s v=""/>
    <s v="No Aplica"/>
    <n v="0"/>
    <n v="0"/>
    <n v="0"/>
    <n v="0"/>
    <n v="0"/>
    <n v="0"/>
    <n v="91200"/>
    <m/>
  </r>
  <r>
    <n v="9"/>
    <x v="20"/>
    <n v="2017"/>
    <s v="Septiembre"/>
    <s v="GISECACM"/>
    <m/>
    <x v="7"/>
    <n v="576248"/>
    <n v="0"/>
    <n v="0"/>
    <n v="576248"/>
    <m/>
    <m/>
    <x v="0"/>
    <n v="26"/>
    <x v="0"/>
    <s v=""/>
    <s v="No Aplica"/>
    <n v="1"/>
    <n v="85733"/>
    <n v="2"/>
    <n v="184315"/>
    <n v="0"/>
    <n v="0"/>
    <n v="306200"/>
    <m/>
  </r>
  <r>
    <n v="9"/>
    <x v="20"/>
    <n v="2017"/>
    <s v="Septiembre"/>
    <s v="MARIREAR"/>
    <m/>
    <x v="7"/>
    <n v="189600"/>
    <n v="0"/>
    <n v="0"/>
    <n v="189600"/>
    <m/>
    <m/>
    <x v="0"/>
    <n v="26"/>
    <x v="0"/>
    <s v=""/>
    <s v="No Aplica"/>
    <n v="0"/>
    <n v="0"/>
    <n v="0"/>
    <n v="0"/>
    <n v="0"/>
    <n v="0"/>
    <n v="189600"/>
    <m/>
  </r>
  <r>
    <n v="9"/>
    <x v="20"/>
    <n v="2017"/>
    <s v="Septiembre"/>
    <s v="MARISEAR"/>
    <m/>
    <x v="7"/>
    <n v="325490"/>
    <n v="0"/>
    <n v="0"/>
    <n v="325490"/>
    <m/>
    <m/>
    <x v="0"/>
    <n v="26"/>
    <x v="0"/>
    <s v=""/>
    <s v="No Aplica"/>
    <n v="0"/>
    <n v="0"/>
    <n v="2"/>
    <n v="325490"/>
    <n v="0"/>
    <n v="0"/>
    <n v="0"/>
    <m/>
  </r>
  <r>
    <n v="9"/>
    <x v="20"/>
    <n v="2017"/>
    <s v="Septiembre"/>
    <s v="OSCADESU"/>
    <m/>
    <x v="7"/>
    <n v="411456"/>
    <n v="0"/>
    <n v="131610"/>
    <n v="279846"/>
    <m/>
    <m/>
    <x v="0"/>
    <n v="26"/>
    <x v="0"/>
    <s v=""/>
    <s v="No Aplica"/>
    <n v="1"/>
    <n v="107715"/>
    <n v="2"/>
    <n v="172130"/>
    <n v="3"/>
    <n v="131610"/>
    <n v="1"/>
    <m/>
  </r>
  <r>
    <n v="9"/>
    <x v="20"/>
    <n v="2017"/>
    <s v="Septiembre"/>
    <s v="PAULESVE"/>
    <m/>
    <x v="7"/>
    <n v="43870"/>
    <n v="0"/>
    <n v="43870"/>
    <n v="0"/>
    <m/>
    <m/>
    <x v="0"/>
    <n v="26"/>
    <x v="0"/>
    <s v=""/>
    <s v="No Aplica"/>
    <n v="0"/>
    <n v="0"/>
    <n v="0"/>
    <n v="0"/>
    <n v="1"/>
    <n v="43870"/>
    <n v="0"/>
    <m/>
  </r>
  <r>
    <n v="9"/>
    <x v="20"/>
    <n v="2017"/>
    <s v="Septiembre"/>
    <s v="RUBYHIGA"/>
    <m/>
    <x v="7"/>
    <n v="106600"/>
    <n v="0"/>
    <n v="0"/>
    <n v="106600"/>
    <m/>
    <m/>
    <x v="0"/>
    <n v="26"/>
    <x v="0"/>
    <s v=""/>
    <s v="No Aplica"/>
    <n v="0"/>
    <n v="0"/>
    <n v="2"/>
    <n v="106600"/>
    <n v="0"/>
    <n v="0"/>
    <n v="0"/>
    <m/>
  </r>
  <r>
    <n v="9"/>
    <x v="20"/>
    <n v="2017"/>
    <s v="Septiembre"/>
    <s v="USERPI"/>
    <m/>
    <x v="7"/>
    <n v="402855"/>
    <n v="0"/>
    <n v="402855"/>
    <n v="0"/>
    <m/>
    <m/>
    <x v="0"/>
    <n v="26"/>
    <x v="0"/>
    <s v=""/>
    <s v="No Aplica"/>
    <n v="0"/>
    <n v="0"/>
    <n v="0"/>
    <n v="0"/>
    <n v="3"/>
    <n v="402855"/>
    <n v="0"/>
    <m/>
  </r>
  <r>
    <n v="9"/>
    <x v="20"/>
    <n v="2017"/>
    <s v="Septiembre"/>
    <s v="(en blanco)"/>
    <m/>
    <x v="7"/>
    <n v="-772370"/>
    <n v="0"/>
    <n v="0"/>
    <n v="-772370"/>
    <m/>
    <m/>
    <x v="0"/>
    <n v="26"/>
    <x v="0"/>
    <s v=""/>
    <s v="No Aplica"/>
    <n v="11"/>
    <n v="-120491"/>
    <n v="30"/>
    <n v="-303523"/>
    <n v="0"/>
    <n v="0"/>
    <n v="-348356"/>
    <m/>
  </r>
  <r>
    <n v="10"/>
    <x v="21"/>
    <n v="2017"/>
    <s v="Octubre"/>
    <s v="DIANPOPA"/>
    <n v="31307503"/>
    <x v="33"/>
    <n v="55731249"/>
    <n v="556200"/>
    <n v="5104863"/>
    <n v="50070186"/>
    <n v="31721000"/>
    <n v="1.5784554711389931"/>
    <x v="0"/>
    <n v="25"/>
    <x v="0"/>
    <s v=""/>
    <s v="No Aplica"/>
    <n v="115"/>
    <n v="17065705"/>
    <n v="288"/>
    <n v="29155546"/>
    <n v="74"/>
    <n v="5104863"/>
    <n v="4405135"/>
    <m/>
  </r>
  <r>
    <n v="10"/>
    <x v="21"/>
    <n v="2017"/>
    <s v="Octubre"/>
    <s v="PAULGOBA"/>
    <n v="32256379"/>
    <x v="36"/>
    <n v="53752320"/>
    <n v="0"/>
    <n v="4904987"/>
    <n v="48847333"/>
    <n v="42000000"/>
    <n v="1.1630317380952382"/>
    <x v="1"/>
    <n v="25"/>
    <x v="13"/>
    <s v="Antioquia"/>
    <s v="Fluctúa"/>
    <n v="1"/>
    <n v="43991"/>
    <n v="2"/>
    <n v="76770"/>
    <n v="75"/>
    <n v="4904987"/>
    <n v="48726572"/>
    <m/>
  </r>
  <r>
    <n v="10"/>
    <x v="21"/>
    <n v="2017"/>
    <s v="Octubre"/>
    <s v="ANGEROPI"/>
    <n v="43800272"/>
    <x v="46"/>
    <n v="27489571"/>
    <n v="662000"/>
    <n v="6613349"/>
    <n v="20214222"/>
    <n v="41000000"/>
    <n v="0.49302980487804876"/>
    <x v="0"/>
    <n v="25"/>
    <x v="0"/>
    <s v=""/>
    <s v="No Aplica"/>
    <n v="52"/>
    <n v="5433336"/>
    <n v="144"/>
    <n v="12457007"/>
    <n v="76"/>
    <n v="6613349"/>
    <n v="2985879"/>
    <m/>
  </r>
  <r>
    <n v="10"/>
    <x v="21"/>
    <n v="2017"/>
    <s v="Octubre"/>
    <s v="BIBIBECA"/>
    <n v="43971430"/>
    <x v="6"/>
    <n v="57357908"/>
    <n v="412000"/>
    <n v="15408535"/>
    <n v="41537373"/>
    <n v="41000000"/>
    <n v="1.0131066585365853"/>
    <x v="1"/>
    <n v="25"/>
    <x v="5"/>
    <s v="Antioquia"/>
    <s v="Siempre Cumple"/>
    <n v="101"/>
    <n v="9573118"/>
    <n v="272"/>
    <n v="27169085"/>
    <n v="165"/>
    <n v="15408535"/>
    <n v="5207170"/>
    <m/>
  </r>
  <r>
    <n v="10"/>
    <x v="21"/>
    <n v="2017"/>
    <s v="Octubre"/>
    <s v="CAROVABE"/>
    <n v="1030634664"/>
    <x v="32"/>
    <n v="40242649"/>
    <n v="1404000"/>
    <n v="8569309"/>
    <n v="30269340"/>
    <n v="36080000"/>
    <n v="0.83895066518847006"/>
    <x v="0"/>
    <n v="25"/>
    <x v="0"/>
    <s v=""/>
    <s v="No Aplica"/>
    <n v="75"/>
    <n v="7109381"/>
    <n v="181"/>
    <n v="18251894"/>
    <n v="95"/>
    <n v="8569309"/>
    <n v="6312065"/>
    <m/>
  </r>
  <r>
    <n v="10"/>
    <x v="21"/>
    <n v="2017"/>
    <s v="Octubre"/>
    <s v="CLAUBLAR"/>
    <n v="43554403"/>
    <x v="8"/>
    <n v="46180809"/>
    <n v="812000"/>
    <n v="9798311"/>
    <n v="35570498"/>
    <n v="24600000"/>
    <n v="1.4459552032520324"/>
    <x v="1"/>
    <n v="25"/>
    <x v="5"/>
    <s v="Antioquia"/>
    <s v="Siempre Cumple"/>
    <n v="76"/>
    <n v="8898791"/>
    <n v="188"/>
    <n v="21398426"/>
    <n v="113"/>
    <n v="9798311"/>
    <n v="6085281"/>
    <m/>
  </r>
  <r>
    <n v="10"/>
    <x v="21"/>
    <n v="2017"/>
    <s v="Octubre"/>
    <s v="HERIRORO"/>
    <n v="21428423"/>
    <x v="52"/>
    <n v="53302614"/>
    <n v="304000"/>
    <n v="11885025"/>
    <n v="41113589"/>
    <n v="41000000"/>
    <n v="1.0027704634146342"/>
    <x v="1"/>
    <n v="25"/>
    <x v="5"/>
    <s v="Antioquia"/>
    <s v="Fluctúa"/>
    <n v="107"/>
    <n v="10365272"/>
    <n v="266"/>
    <n v="26252516"/>
    <n v="134"/>
    <n v="11885025"/>
    <n v="4799801"/>
    <m/>
  </r>
  <r>
    <n v="10"/>
    <x v="21"/>
    <n v="2017"/>
    <s v="Octubre"/>
    <s v="MARGGAPA"/>
    <n v="43866877"/>
    <x v="20"/>
    <n v="46695625"/>
    <n v="716000"/>
    <n v="13158967"/>
    <n v="32820658"/>
    <n v="41000000"/>
    <n v="0.8005038536585366"/>
    <x v="1"/>
    <n v="25"/>
    <x v="5"/>
    <s v="Antioquia"/>
    <s v="Siempre Cumple"/>
    <n v="90"/>
    <n v="8985065"/>
    <n v="186"/>
    <n v="17911354"/>
    <n v="144"/>
    <n v="13158967"/>
    <n v="6640239"/>
    <m/>
  </r>
  <r>
    <n v="10"/>
    <x v="21"/>
    <n v="2017"/>
    <s v="Octubre"/>
    <s v="YULIRIRE"/>
    <n v="21982241"/>
    <x v="57"/>
    <n v="37937416"/>
    <n v="1306000"/>
    <n v="5656876"/>
    <n v="30974540"/>
    <n v="29000000"/>
    <n v="1.0680875862068966"/>
    <x v="1"/>
    <n v="25"/>
    <x v="2"/>
    <s v="Antioquia"/>
    <s v="Fluctúa"/>
    <n v="84"/>
    <n v="7621530"/>
    <n v="214"/>
    <n v="19808362"/>
    <n v="73"/>
    <n v="5656876"/>
    <n v="4850648"/>
    <m/>
  </r>
  <r>
    <n v="10"/>
    <x v="21"/>
    <n v="2017"/>
    <s v="Octubre"/>
    <s v="ANGEGAAR"/>
    <n v="39442617"/>
    <x v="4"/>
    <n v="34357724"/>
    <n v="333360"/>
    <n v="3636609"/>
    <n v="30387755"/>
    <n v="21560000"/>
    <n v="1.4094506029684601"/>
    <x v="1"/>
    <n v="25"/>
    <x v="4"/>
    <s v="Antioquia"/>
    <s v="Cumple"/>
    <n v="38"/>
    <n v="6350433"/>
    <n v="90"/>
    <n v="20393201"/>
    <n v="37"/>
    <n v="3636609"/>
    <n v="3977481"/>
    <m/>
  </r>
  <r>
    <n v="10"/>
    <x v="21"/>
    <n v="2017"/>
    <s v="Octubre"/>
    <s v="NATAPIDU"/>
    <n v="43907427"/>
    <x v="25"/>
    <n v="56444455"/>
    <n v="519840"/>
    <n v="5184364"/>
    <n v="50740251"/>
    <n v="36000000"/>
    <n v="1.4094514166666667"/>
    <x v="1"/>
    <n v="25"/>
    <x v="11"/>
    <s v="Antioquia"/>
    <s v="Siempre Cumple"/>
    <n v="56"/>
    <n v="11419570"/>
    <n v="164"/>
    <n v="33182634"/>
    <n v="64"/>
    <n v="5184364"/>
    <n v="6657887"/>
    <m/>
  </r>
  <r>
    <n v="10"/>
    <x v="21"/>
    <n v="2017"/>
    <s v="Octubre"/>
    <s v="ELIZVESU"/>
    <n v="1035417626"/>
    <x v="13"/>
    <n v="70661856"/>
    <n v="868000"/>
    <n v="15286020"/>
    <n v="54507836"/>
    <n v="43000000"/>
    <n v="1.2676240930232558"/>
    <x v="1"/>
    <n v="25"/>
    <x v="3"/>
    <s v="Antioquia"/>
    <s v="Cumple"/>
    <n v="97"/>
    <n v="13247695"/>
    <n v="274"/>
    <n v="34686249"/>
    <n v="160"/>
    <n v="15286020"/>
    <n v="7441892"/>
    <m/>
  </r>
  <r>
    <n v="10"/>
    <x v="21"/>
    <n v="2017"/>
    <s v="Octubre"/>
    <s v="SUANHECO"/>
    <n v="1020409789"/>
    <x v="58"/>
    <n v="76570018"/>
    <n v="1205400"/>
    <n v="16090874"/>
    <n v="59273744"/>
    <n v="43000000"/>
    <n v="1.3784591627906977"/>
    <x v="1"/>
    <n v="25"/>
    <x v="1"/>
    <s v="Antioquia"/>
    <s v="Cumple"/>
    <n v="131"/>
    <n v="17028462"/>
    <n v="322"/>
    <n v="36787599"/>
    <n v="179"/>
    <n v="16090874"/>
    <n v="6663083"/>
    <m/>
  </r>
  <r>
    <n v="10"/>
    <x v="21"/>
    <n v="2017"/>
    <s v="Octubre"/>
    <s v="ZULYARGA"/>
    <n v="43259130"/>
    <x v="31"/>
    <n v="87251215"/>
    <n v="2616000"/>
    <n v="22320628"/>
    <n v="62314587"/>
    <n v="43000000"/>
    <n v="1.4491764418604651"/>
    <x v="1"/>
    <n v="25"/>
    <x v="1"/>
    <s v="Antioquia"/>
    <s v="Fluctúa"/>
    <n v="137"/>
    <n v="15558641"/>
    <n v="352"/>
    <n v="39205284"/>
    <n v="232"/>
    <n v="22320628"/>
    <n v="10166662"/>
    <m/>
  </r>
  <r>
    <n v="10"/>
    <x v="21"/>
    <n v="2017"/>
    <s v="Octubre"/>
    <s v="DIANQUME"/>
    <n v="42164020"/>
    <x v="12"/>
    <n v="61703628"/>
    <n v="919400"/>
    <n v="13956331"/>
    <n v="46827897"/>
    <n v="43000000"/>
    <n v="1.0890208604651164"/>
    <x v="1"/>
    <n v="25"/>
    <x v="1"/>
    <s v="Antioquia"/>
    <s v="Siempre Cumple"/>
    <n v="113"/>
    <n v="12188932"/>
    <n v="289"/>
    <n v="28849794"/>
    <n v="150"/>
    <n v="13956331"/>
    <n v="6708571"/>
    <m/>
  </r>
  <r>
    <n v="10"/>
    <x v="21"/>
    <n v="2017"/>
    <s v="Octubre"/>
    <s v="DERLARMO"/>
    <n v="52725011"/>
    <x v="10"/>
    <n v="31297041"/>
    <n v="660000"/>
    <n v="6682043"/>
    <n v="23954998"/>
    <n v="20000000"/>
    <n v="1.1977499"/>
    <x v="1"/>
    <n v="25"/>
    <x v="6"/>
    <s v="Centro"/>
    <s v="Fluctúa"/>
    <n v="83"/>
    <n v="5194494"/>
    <n v="206"/>
    <n v="16573711"/>
    <n v="100"/>
    <n v="6682043"/>
    <n v="2846793"/>
    <m/>
  </r>
  <r>
    <n v="10"/>
    <x v="21"/>
    <n v="2017"/>
    <s v="Octubre"/>
    <s v="RAULMOGA"/>
    <n v="79701425"/>
    <x v="27"/>
    <n v="39596124"/>
    <n v="1262000"/>
    <n v="7733211"/>
    <n v="30600913"/>
    <n v="20000000"/>
    <n v="1.5300456499999999"/>
    <x v="0"/>
    <n v="25"/>
    <x v="6"/>
    <s v="Centro"/>
    <s v="No Aplica"/>
    <n v="80"/>
    <n v="5294944"/>
    <n v="224"/>
    <n v="22785921"/>
    <n v="103"/>
    <n v="7733211"/>
    <n v="3782048"/>
    <m/>
  </r>
  <r>
    <n v="10"/>
    <x v="21"/>
    <n v="2017"/>
    <s v="Octubre"/>
    <s v="ALVAOSOS"/>
    <n v="3438422"/>
    <x v="37"/>
    <n v="44069708"/>
    <n v="304000"/>
    <n v="9803233"/>
    <n v="33962475"/>
    <n v="30960000"/>
    <n v="1.0969791666666666"/>
    <x v="1"/>
    <n v="25"/>
    <x v="8"/>
    <s v="Antioquia"/>
    <s v="Fluctúa"/>
    <n v="68"/>
    <n v="7885485"/>
    <n v="153"/>
    <n v="19282499"/>
    <n v="109"/>
    <n v="9803233"/>
    <n v="7098491"/>
    <m/>
  </r>
  <r>
    <n v="10"/>
    <x v="21"/>
    <n v="2017"/>
    <s v="Octubre"/>
    <s v="DEISCACR"/>
    <n v="1017167720"/>
    <x v="50"/>
    <n v="37679671"/>
    <n v="1209600"/>
    <n v="8767580"/>
    <n v="27702491"/>
    <n v="43000000"/>
    <n v="0.6442439767441861"/>
    <x v="1"/>
    <n v="25"/>
    <x v="8"/>
    <s v="Antioquia"/>
    <s v="Cumple"/>
    <n v="61"/>
    <n v="7194585"/>
    <n v="159"/>
    <n v="15724030"/>
    <n v="101"/>
    <n v="8767580"/>
    <n v="5993476"/>
    <m/>
  </r>
  <r>
    <n v="10"/>
    <x v="21"/>
    <n v="2017"/>
    <s v="Octubre"/>
    <s v="GENNHEPO"/>
    <n v="43874518"/>
    <x v="14"/>
    <n v="67560630"/>
    <n v="552000"/>
    <n v="13482749"/>
    <n v="53525881"/>
    <n v="43000000"/>
    <n v="1.2447879302325582"/>
    <x v="1"/>
    <n v="25"/>
    <x v="8"/>
    <s v="Antioquia"/>
    <s v="Fluctúa"/>
    <n v="120"/>
    <n v="12747533"/>
    <n v="309"/>
    <n v="33123228"/>
    <n v="144"/>
    <n v="13482749"/>
    <n v="8207120"/>
    <m/>
  </r>
  <r>
    <n v="10"/>
    <x v="21"/>
    <n v="2017"/>
    <s v="Octubre"/>
    <s v="LEIDGOVI"/>
    <n v="1036598360"/>
    <x v="39"/>
    <n v="52589851"/>
    <n v="440000"/>
    <n v="8074006"/>
    <n v="44075845"/>
    <n v="41968000"/>
    <n v="1.050225052420892"/>
    <x v="1"/>
    <n v="25"/>
    <x v="8"/>
    <s v="Antioquia"/>
    <s v="Fluctúa"/>
    <n v="81"/>
    <n v="9988734"/>
    <n v="223"/>
    <n v="27198814"/>
    <n v="93"/>
    <n v="8074006"/>
    <n v="7328297"/>
    <m/>
  </r>
  <r>
    <n v="10"/>
    <x v="21"/>
    <n v="2017"/>
    <s v="Octubre"/>
    <s v="YENYSUPE"/>
    <n v="1020419011"/>
    <x v="51"/>
    <n v="33577993"/>
    <n v="880000"/>
    <n v="10836318"/>
    <n v="21861675"/>
    <n v="43000000"/>
    <n v="0.50841104651162794"/>
    <x v="1"/>
    <n v="25"/>
    <x v="8"/>
    <s v="Antioquia"/>
    <s v="Cumple"/>
    <n v="54"/>
    <n v="6069373"/>
    <n v="123"/>
    <n v="11347150"/>
    <n v="114"/>
    <n v="10836318"/>
    <n v="5325152"/>
    <m/>
  </r>
  <r>
    <n v="10"/>
    <x v="21"/>
    <n v="2017"/>
    <s v="Octubre"/>
    <s v="YURAUSVE"/>
    <n v="1020419615"/>
    <x v="56"/>
    <n v="57068707"/>
    <n v="304000"/>
    <n v="10606803"/>
    <n v="46157904"/>
    <n v="43000000"/>
    <n v="1.0734396279069767"/>
    <x v="1"/>
    <n v="25"/>
    <x v="8"/>
    <s v="Antioquia"/>
    <s v="Cumple"/>
    <n v="95"/>
    <n v="11273712"/>
    <n v="254"/>
    <n v="27862282"/>
    <n v="119"/>
    <n v="10606803"/>
    <n v="7325910"/>
    <m/>
  </r>
  <r>
    <n v="10"/>
    <x v="21"/>
    <n v="2017"/>
    <s v="Octubre"/>
    <s v="CARORAMN"/>
    <n v="1020451288"/>
    <x v="61"/>
    <n v="45351731"/>
    <n v="370400"/>
    <n v="9490793"/>
    <n v="35490538"/>
    <n v="43000000"/>
    <n v="0.82536134883720935"/>
    <x v="1"/>
    <n v="25"/>
    <x v="8"/>
    <s v="Antioquia"/>
    <s v="Cumple"/>
    <n v="77"/>
    <n v="7948471"/>
    <n v="199"/>
    <n v="24083921"/>
    <n v="106"/>
    <n v="9490793"/>
    <n v="3828546"/>
    <m/>
  </r>
  <r>
    <n v="10"/>
    <x v="21"/>
    <n v="2017"/>
    <s v="Octubre"/>
    <s v="DIANPAAL"/>
    <n v="1040030764"/>
    <x v="11"/>
    <n v="45330134"/>
    <n v="2529000"/>
    <n v="8880679"/>
    <n v="33920455"/>
    <n v="33000000"/>
    <n v="1.0278925757575759"/>
    <x v="1"/>
    <n v="25"/>
    <x v="7"/>
    <s v="Antioquia"/>
    <s v="Cumple"/>
    <n v="77"/>
    <n v="8559197"/>
    <n v="196"/>
    <n v="23187687"/>
    <n v="100"/>
    <n v="8880679"/>
    <n v="4702571"/>
    <m/>
  </r>
  <r>
    <n v="10"/>
    <x v="21"/>
    <n v="2017"/>
    <s v="Octubre"/>
    <s v="JAQUVEGU"/>
    <n v="1036779770"/>
    <x v="16"/>
    <n v="41740619"/>
    <n v="660000"/>
    <n v="8231752"/>
    <n v="32848867"/>
    <n v="33000000"/>
    <n v="0.99542021212121212"/>
    <x v="0"/>
    <n v="25"/>
    <x v="7"/>
    <s v="Antioquia"/>
    <s v="No Aplica"/>
    <n v="78"/>
    <n v="7802083"/>
    <n v="194"/>
    <n v="20517018"/>
    <n v="91"/>
    <n v="8231752"/>
    <n v="5189766"/>
    <m/>
  </r>
  <r>
    <n v="10"/>
    <x v="21"/>
    <n v="2017"/>
    <s v="Octubre"/>
    <s v="MARIOCOC"/>
    <n v="39448823"/>
    <x v="21"/>
    <n v="55389342"/>
    <n v="1469400"/>
    <n v="10023488"/>
    <n v="43896454"/>
    <n v="33000000"/>
    <n v="1.3301955757575759"/>
    <x v="1"/>
    <n v="25"/>
    <x v="7"/>
    <s v="Antioquia"/>
    <s v="Siempre Cumple"/>
    <n v="95"/>
    <n v="11076432"/>
    <n v="238"/>
    <n v="28750231"/>
    <n v="115"/>
    <n v="10023488"/>
    <n v="5539191"/>
    <m/>
  </r>
  <r>
    <n v="10"/>
    <x v="21"/>
    <n v="2017"/>
    <s v="Octubre"/>
    <s v="ADRIMOLU"/>
    <n v="43169964"/>
    <x v="1"/>
    <n v="50015623"/>
    <n v="1116000"/>
    <n v="9078843"/>
    <n v="39820780"/>
    <n v="42200000"/>
    <n v="0.94362037914691943"/>
    <x v="1"/>
    <n v="25"/>
    <x v="1"/>
    <s v="Antioquia"/>
    <s v="Cumple"/>
    <n v="102"/>
    <n v="10389715"/>
    <n v="231"/>
    <n v="24932467"/>
    <n v="103"/>
    <n v="9078843"/>
    <n v="5614598"/>
    <m/>
  </r>
  <r>
    <n v="10"/>
    <x v="21"/>
    <n v="2017"/>
    <s v="Octubre"/>
    <s v="ERIKSAVA"/>
    <n v="1017200970"/>
    <x v="44"/>
    <n v="43184239"/>
    <n v="1352000"/>
    <n v="10880616"/>
    <n v="30951623"/>
    <n v="30100000"/>
    <n v="1.0282931229235881"/>
    <x v="1"/>
    <n v="25"/>
    <x v="4"/>
    <s v="Antioquia"/>
    <s v="Cumple"/>
    <n v="72"/>
    <n v="7685843"/>
    <n v="154"/>
    <n v="17838452"/>
    <n v="115"/>
    <n v="10880616"/>
    <n v="6779328"/>
    <m/>
  </r>
  <r>
    <n v="10"/>
    <x v="21"/>
    <n v="2017"/>
    <s v="Octubre"/>
    <s v="HISNOSPI"/>
    <n v="43114534"/>
    <x v="49"/>
    <n v="46124694"/>
    <n v="852000"/>
    <n v="11906318"/>
    <n v="33366376"/>
    <n v="30100000"/>
    <n v="1.1085174750830564"/>
    <x v="0"/>
    <n v="25"/>
    <x v="4"/>
    <s v="Antioquia"/>
    <s v="No Aplica"/>
    <n v="90"/>
    <n v="8603312"/>
    <n v="224"/>
    <n v="21296015"/>
    <n v="123"/>
    <n v="11906318"/>
    <n v="4319049"/>
    <m/>
  </r>
  <r>
    <n v="10"/>
    <x v="21"/>
    <n v="2017"/>
    <s v="Octubre"/>
    <s v="MARIMASA"/>
    <n v="43113640"/>
    <x v="34"/>
    <n v="32902714"/>
    <n v="0"/>
    <n v="6499287"/>
    <n v="26403427"/>
    <n v="22876000"/>
    <n v="1.1541977181325407"/>
    <x v="1"/>
    <n v="25"/>
    <x v="4"/>
    <s v="Antioquia"/>
    <s v="Cumple"/>
    <n v="58"/>
    <n v="6945434"/>
    <n v="144"/>
    <n v="15849210"/>
    <n v="67"/>
    <n v="6499287"/>
    <n v="3608783"/>
    <m/>
  </r>
  <r>
    <n v="10"/>
    <x v="21"/>
    <n v="2017"/>
    <s v="Octubre"/>
    <s v="ANDRSAZA"/>
    <n v="1020736461"/>
    <x v="45"/>
    <n v="42540888"/>
    <n v="501000"/>
    <n v="6689212"/>
    <n v="35350676"/>
    <n v="22000000"/>
    <n v="1.606848909090909"/>
    <x v="1"/>
    <n v="25"/>
    <x v="9"/>
    <s v="Centro"/>
    <s v="Siempre Cumple"/>
    <n v="75"/>
    <n v="7913752"/>
    <n v="198"/>
    <n v="25875788"/>
    <n v="93"/>
    <n v="6689212"/>
    <n v="2062136"/>
    <m/>
  </r>
  <r>
    <n v="10"/>
    <x v="21"/>
    <n v="2017"/>
    <s v="Octubre"/>
    <s v="ISABMOGO"/>
    <n v="52260671"/>
    <x v="15"/>
    <n v="35856782"/>
    <n v="905600"/>
    <n v="7117961"/>
    <n v="27833221"/>
    <n v="22000000"/>
    <n v="1.265146409090909"/>
    <x v="1"/>
    <n v="25"/>
    <x v="9"/>
    <s v="Centro"/>
    <s v="Siempre Cumple"/>
    <n v="63"/>
    <n v="7348462"/>
    <n v="166"/>
    <n v="16662759"/>
    <n v="90"/>
    <n v="7117961"/>
    <n v="4727600"/>
    <m/>
  </r>
  <r>
    <n v="10"/>
    <x v="21"/>
    <n v="2017"/>
    <s v="Octubre"/>
    <s v="CAMIPUHE"/>
    <n v="79850984"/>
    <x v="53"/>
    <n v="28578765"/>
    <n v="852000"/>
    <n v="5322287"/>
    <n v="22404478"/>
    <n v="22000000"/>
    <n v="1.0183853636363636"/>
    <x v="1"/>
    <n v="25"/>
    <x v="15"/>
    <s v="Centro"/>
    <s v="Fluctúa"/>
    <n v="41"/>
    <n v="4423640"/>
    <n v="133"/>
    <n v="16167438"/>
    <n v="67"/>
    <n v="5322287"/>
    <n v="2665400"/>
    <m/>
  </r>
  <r>
    <n v="10"/>
    <x v="21"/>
    <n v="2017"/>
    <s v="Octubre"/>
    <s v="LUZNHEGO"/>
    <n v="43745192"/>
    <x v="19"/>
    <n v="33681408"/>
    <n v="0"/>
    <n v="3423358"/>
    <n v="30258050"/>
    <n v="25000000"/>
    <n v="1.2103219999999999"/>
    <x v="1"/>
    <n v="25"/>
    <x v="10"/>
    <s v="Antioquia"/>
    <s v="Cumple"/>
    <n v="51"/>
    <n v="9418556"/>
    <n v="151"/>
    <n v="18663092"/>
    <n v="48"/>
    <n v="3423358"/>
    <n v="2176402"/>
    <m/>
  </r>
  <r>
    <n v="10"/>
    <x v="21"/>
    <n v="2017"/>
    <s v="Octubre"/>
    <s v="VIVIVAZA"/>
    <n v="43745952"/>
    <x v="30"/>
    <n v="29356744"/>
    <n v="124000"/>
    <n v="4301507"/>
    <n v="24931237"/>
    <n v="18920000"/>
    <n v="1.3177186575052855"/>
    <x v="1"/>
    <n v="25"/>
    <x v="3"/>
    <s v="Antioquia"/>
    <s v="Siempre Cumple"/>
    <n v="49"/>
    <n v="6728370"/>
    <n v="110"/>
    <n v="15415216"/>
    <n v="53"/>
    <n v="4301507"/>
    <n v="2911651"/>
    <m/>
  </r>
  <r>
    <n v="10"/>
    <x v="21"/>
    <n v="2017"/>
    <s v="Octubre"/>
    <s v="ANAMLOBE"/>
    <n v="43821410"/>
    <x v="3"/>
    <n v="71494856"/>
    <n v="1574680"/>
    <n v="11717463"/>
    <n v="58202713"/>
    <n v="43000000"/>
    <n v="1.353551465116279"/>
    <x v="1"/>
    <n v="25"/>
    <x v="3"/>
    <s v="Antioquia"/>
    <s v="Siempre Cumple"/>
    <n v="119"/>
    <n v="15604773"/>
    <n v="280"/>
    <n v="36779401"/>
    <n v="129"/>
    <n v="11717463"/>
    <n v="7393219"/>
    <m/>
  </r>
  <r>
    <n v="10"/>
    <x v="21"/>
    <n v="2017"/>
    <s v="Octubre"/>
    <s v="LILACARA"/>
    <n v="1017141451"/>
    <x v="17"/>
    <n v="48864388"/>
    <n v="1662000"/>
    <n v="9106877"/>
    <n v="38095511"/>
    <n v="41280000"/>
    <n v="0.92285637112403096"/>
    <x v="1"/>
    <n v="25"/>
    <x v="1"/>
    <s v="Antioquia"/>
    <s v="Siempre Cumple"/>
    <n v="93"/>
    <n v="10892934"/>
    <n v="231"/>
    <n v="22422715"/>
    <n v="106"/>
    <n v="9106877"/>
    <n v="6441862"/>
    <m/>
  </r>
  <r>
    <n v="10"/>
    <x v="21"/>
    <n v="2017"/>
    <s v="Octubre"/>
    <s v="ALEXLOGR"/>
    <n v="43253531"/>
    <x v="2"/>
    <n v="54845689"/>
    <n v="304000"/>
    <n v="15816098"/>
    <n v="38725591"/>
    <n v="29000000"/>
    <n v="1.3353652068965518"/>
    <x v="1"/>
    <n v="25"/>
    <x v="2"/>
    <s v="Antioquia"/>
    <s v="Cumple"/>
    <n v="85"/>
    <n v="8091072"/>
    <n v="222"/>
    <n v="26329753"/>
    <n v="173"/>
    <n v="15816098"/>
    <n v="4608766"/>
    <m/>
  </r>
  <r>
    <n v="10"/>
    <x v="21"/>
    <n v="2017"/>
    <s v="Octubre"/>
    <s v="CINDGACU"/>
    <n v="1020443426"/>
    <x v="55"/>
    <n v="38738958"/>
    <n v="866000"/>
    <n v="9808904"/>
    <n v="28064054"/>
    <n v="41000000"/>
    <n v="0.68448912195121947"/>
    <x v="1"/>
    <n v="25"/>
    <x v="4"/>
    <s v="Antioquia"/>
    <s v="Fluctúa"/>
    <n v="65"/>
    <n v="6225146"/>
    <n v="191"/>
    <n v="18470800"/>
    <n v="111"/>
    <n v="9808904"/>
    <n v="4234108"/>
    <m/>
  </r>
  <r>
    <n v="10"/>
    <x v="21"/>
    <n v="2017"/>
    <s v="Octubre"/>
    <s v="CARORICA"/>
    <n v="31309227"/>
    <x v="59"/>
    <n v="13525227"/>
    <n v="0"/>
    <n v="3472578"/>
    <n v="10052649"/>
    <n v="14400000"/>
    <n v="0.69810062500000003"/>
    <x v="0"/>
    <n v="25"/>
    <x v="0"/>
    <s v=""/>
    <s v="No Aplica"/>
    <n v="26"/>
    <n v="2119255"/>
    <n v="70"/>
    <n v="6560467"/>
    <n v="45"/>
    <n v="3472578"/>
    <n v="1372927"/>
    <m/>
  </r>
  <r>
    <n v="10"/>
    <x v="21"/>
    <n v="2017"/>
    <s v="Octubre"/>
    <s v="TATIRITR"/>
    <n v="1130597373"/>
    <x v="60"/>
    <n v="26572763"/>
    <n v="0"/>
    <n v="7476946"/>
    <n v="19095817"/>
    <n v="30000000"/>
    <n v="0.63652723333333339"/>
    <x v="1"/>
    <n v="25"/>
    <x v="16"/>
    <s v="Occidente"/>
    <s v="Fluctúa"/>
    <n v="42"/>
    <n v="3760291"/>
    <n v="146"/>
    <n v="12890793"/>
    <n v="98"/>
    <n v="7476946"/>
    <n v="2444733"/>
    <m/>
  </r>
  <r>
    <n v="10"/>
    <x v="21"/>
    <n v="2017"/>
    <s v="Octubre"/>
    <s v="PAOLPACA"/>
    <n v="31445278"/>
    <x v="47"/>
    <n v="29170803"/>
    <n v="0"/>
    <n v="8690861"/>
    <n v="20479942"/>
    <n v="30000000"/>
    <n v="0.68266473333333333"/>
    <x v="1"/>
    <n v="25"/>
    <x v="14"/>
    <s v="Occidente"/>
    <s v="Cumple"/>
    <n v="45"/>
    <n v="3859632"/>
    <n v="158"/>
    <n v="13072495"/>
    <n v="103"/>
    <n v="8690861"/>
    <n v="3547815"/>
    <m/>
  </r>
  <r>
    <n v="10"/>
    <x v="21"/>
    <n v="2017"/>
    <s v="Octubre"/>
    <s v="YANEARNA"/>
    <n v="66857504"/>
    <x v="62"/>
    <n v="351315"/>
    <n v="0"/>
    <n v="0"/>
    <n v="351315"/>
    <n v="8400000"/>
    <n v="4.1823214285714283E-2"/>
    <x v="0"/>
    <n v="25"/>
    <x v="0"/>
    <s v=""/>
    <s v="No Aplica"/>
    <n v="0"/>
    <n v="0"/>
    <n v="2"/>
    <n v="220315"/>
    <n v="0"/>
    <n v="0"/>
    <n v="131000"/>
    <m/>
  </r>
  <r>
    <n v="10"/>
    <x v="21"/>
    <n v="2017"/>
    <s v="Octubre"/>
    <s v="ROCIFASA"/>
    <n v="34542470"/>
    <x v="28"/>
    <n v="42681928"/>
    <n v="2376360"/>
    <n v="5984296"/>
    <n v="34321272"/>
    <n v="25000000"/>
    <n v="1.3728508800000001"/>
    <x v="1"/>
    <n v="25"/>
    <x v="12"/>
    <s v="Occidente"/>
    <s v="Siempre Cumple"/>
    <n v="64"/>
    <n v="10428459"/>
    <n v="177"/>
    <n v="20560090"/>
    <n v="67"/>
    <n v="5984296"/>
    <n v="5709083"/>
    <m/>
  </r>
  <r>
    <n v="10"/>
    <x v="21"/>
    <n v="2017"/>
    <s v="Octubre"/>
    <s v="DARWHERI"/>
    <m/>
    <x v="7"/>
    <n v="87740"/>
    <n v="0"/>
    <n v="87740"/>
    <n v="0"/>
    <m/>
    <m/>
    <x v="0"/>
    <n v="25"/>
    <x v="0"/>
    <s v=""/>
    <s v="No Aplica"/>
    <n v="0"/>
    <n v="0"/>
    <n v="0"/>
    <n v="0"/>
    <n v="2"/>
    <n v="87740"/>
    <n v="0"/>
    <m/>
  </r>
  <r>
    <n v="10"/>
    <x v="21"/>
    <n v="2017"/>
    <s v="Octubre"/>
    <s v="DIANGUAV"/>
    <m/>
    <x v="7"/>
    <n v="134285"/>
    <n v="0"/>
    <n v="134285"/>
    <n v="0"/>
    <m/>
    <m/>
    <x v="0"/>
    <n v="25"/>
    <x v="0"/>
    <s v=""/>
    <s v="No Aplica"/>
    <n v="0"/>
    <n v="0"/>
    <n v="0"/>
    <n v="0"/>
    <n v="1"/>
    <n v="134285"/>
    <n v="0"/>
    <m/>
  </r>
  <r>
    <n v="10"/>
    <x v="21"/>
    <n v="2017"/>
    <s v="Octubre"/>
    <s v="JHONMULO"/>
    <m/>
    <x v="7"/>
    <n v="394655"/>
    <n v="0"/>
    <n v="0"/>
    <n v="394655"/>
    <m/>
    <m/>
    <x v="0"/>
    <n v="25"/>
    <x v="0"/>
    <s v=""/>
    <s v="No Aplica"/>
    <n v="0"/>
    <n v="0"/>
    <n v="0"/>
    <n v="0"/>
    <n v="0"/>
    <n v="0"/>
    <n v="394655"/>
    <m/>
  </r>
  <r>
    <n v="10"/>
    <x v="21"/>
    <n v="2017"/>
    <s v="Octubre"/>
    <s v="LUZMARMO"/>
    <m/>
    <x v="7"/>
    <n v="268570"/>
    <n v="0"/>
    <n v="268570"/>
    <n v="0"/>
    <m/>
    <m/>
    <x v="0"/>
    <n v="25"/>
    <x v="0"/>
    <s v=""/>
    <s v="No Aplica"/>
    <n v="0"/>
    <n v="0"/>
    <n v="0"/>
    <n v="0"/>
    <n v="2"/>
    <n v="268570"/>
    <n v="0"/>
    <m/>
  </r>
  <r>
    <n v="10"/>
    <x v="21"/>
    <n v="2017"/>
    <s v="Octubre"/>
    <s v="MARISEAR"/>
    <m/>
    <x v="7"/>
    <n v="20986"/>
    <n v="0"/>
    <n v="20986"/>
    <n v="0"/>
    <m/>
    <m/>
    <x v="0"/>
    <n v="25"/>
    <x v="0"/>
    <s v=""/>
    <s v="No Aplica"/>
    <n v="0"/>
    <n v="0"/>
    <n v="0"/>
    <n v="0"/>
    <n v="1"/>
    <n v="20986"/>
    <n v="0"/>
    <m/>
  </r>
  <r>
    <n v="10"/>
    <x v="21"/>
    <n v="2017"/>
    <s v="Octubre"/>
    <s v="OSCADESU"/>
    <m/>
    <x v="7"/>
    <n v="577182"/>
    <n v="0"/>
    <n v="264290"/>
    <n v="312892"/>
    <m/>
    <m/>
    <x v="0"/>
    <n v="25"/>
    <x v="0"/>
    <s v=""/>
    <s v="No Aplica"/>
    <n v="0"/>
    <n v="0"/>
    <n v="4"/>
    <n v="312890"/>
    <n v="4"/>
    <n v="264290"/>
    <n v="2"/>
    <m/>
  </r>
  <r>
    <n v="10"/>
    <x v="21"/>
    <n v="2017"/>
    <s v="Octubre"/>
    <s v="USERPI"/>
    <m/>
    <x v="7"/>
    <n v="43870"/>
    <n v="0"/>
    <n v="43870"/>
    <n v="0"/>
    <m/>
    <m/>
    <x v="0"/>
    <n v="25"/>
    <x v="0"/>
    <s v=""/>
    <s v="No Aplica"/>
    <n v="0"/>
    <n v="0"/>
    <n v="0"/>
    <n v="0"/>
    <n v="1"/>
    <n v="43870"/>
    <n v="0"/>
    <m/>
  </r>
  <r>
    <n v="10"/>
    <x v="21"/>
    <n v="2017"/>
    <s v="Octubre"/>
    <s v="(en blanco)"/>
    <m/>
    <x v="7"/>
    <n v="-501616"/>
    <n v="0"/>
    <n v="0"/>
    <n v="-501616"/>
    <m/>
    <m/>
    <x v="0"/>
    <n v="25"/>
    <x v="0"/>
    <s v=""/>
    <s v="No Aplica"/>
    <n v="0"/>
    <n v="0"/>
    <n v="0"/>
    <n v="0"/>
    <n v="0"/>
    <n v="0"/>
    <n v="-501616"/>
    <m/>
  </r>
  <r>
    <n v="11"/>
    <x v="22"/>
    <n v="2017"/>
    <s v="Noviembre"/>
    <s v="DIANPOPA"/>
    <n v="31307503"/>
    <x v="33"/>
    <n v="44198499"/>
    <n v="0"/>
    <n v="2285841"/>
    <n v="41912658"/>
    <n v="31721000"/>
    <n v="1.3212905646101951"/>
    <x v="0"/>
    <n v="24"/>
    <x v="0"/>
    <s v=""/>
    <s v="No Aplica"/>
    <n v="132"/>
    <n v="7327955"/>
    <n v="280"/>
    <n v="14185227"/>
    <n v="28"/>
    <n v="2285841"/>
    <n v="20399476"/>
    <m/>
  </r>
  <r>
    <n v="11"/>
    <x v="22"/>
    <n v="2017"/>
    <s v="Noviembre"/>
    <s v="PAULGOBA"/>
    <n v="32256379"/>
    <x v="36"/>
    <n v="36450469"/>
    <n v="0"/>
    <n v="4855767"/>
    <n v="31594702"/>
    <n v="38500000"/>
    <n v="0.82064161038961037"/>
    <x v="1"/>
    <n v="24"/>
    <x v="13"/>
    <s v="Antioquia"/>
    <s v="Fluctúa"/>
    <n v="95"/>
    <n v="3668578"/>
    <n v="230"/>
    <n v="12278586"/>
    <n v="78"/>
    <n v="4855767"/>
    <n v="15647538"/>
    <m/>
  </r>
  <r>
    <n v="11"/>
    <x v="22"/>
    <n v="2017"/>
    <s v="Noviembre"/>
    <s v="ANGEROPI"/>
    <n v="43800272"/>
    <x v="46"/>
    <n v="6340385"/>
    <n v="426000"/>
    <n v="1724947"/>
    <n v="4189438"/>
    <n v="18375000"/>
    <n v="0.22799662585034014"/>
    <x v="0"/>
    <n v="24"/>
    <x v="0"/>
    <s v=""/>
    <s v="No Aplica"/>
    <n v="15"/>
    <n v="995653"/>
    <n v="32"/>
    <n v="2054951"/>
    <n v="19"/>
    <n v="1724947"/>
    <n v="1564834"/>
    <m/>
  </r>
  <r>
    <n v="11"/>
    <x v="22"/>
    <n v="2017"/>
    <s v="Noviembre"/>
    <s v="BIBIBECA"/>
    <n v="43971430"/>
    <x v="6"/>
    <n v="60244096"/>
    <n v="990000"/>
    <n v="15783356"/>
    <n v="43470740"/>
    <n v="37583333.333333328"/>
    <n v="1.1566494013303772"/>
    <x v="1"/>
    <n v="24"/>
    <x v="5"/>
    <s v="Antioquia"/>
    <s v="Siempre Cumple"/>
    <n v="116"/>
    <n v="9452438"/>
    <n v="286"/>
    <n v="28834941"/>
    <n v="172"/>
    <n v="15783356"/>
    <n v="6173361"/>
    <m/>
  </r>
  <r>
    <n v="11"/>
    <x v="22"/>
    <n v="2017"/>
    <s v="Noviembre"/>
    <s v="CLAUBLAR"/>
    <n v="43554403"/>
    <x v="8"/>
    <n v="61534541"/>
    <n v="440000"/>
    <n v="13755813"/>
    <n v="47338728"/>
    <n v="37583333.333333328"/>
    <n v="1.2595670421286034"/>
    <x v="1"/>
    <n v="24"/>
    <x v="5"/>
    <s v="Antioquia"/>
    <s v="Siempre Cumple"/>
    <n v="106"/>
    <n v="11130288"/>
    <n v="255"/>
    <n v="30348582"/>
    <n v="154"/>
    <n v="13755813"/>
    <n v="6299858"/>
    <m/>
  </r>
  <r>
    <n v="11"/>
    <x v="22"/>
    <n v="2017"/>
    <s v="Noviembre"/>
    <s v="HERIRORO"/>
    <n v="21428423"/>
    <x v="52"/>
    <n v="51710215"/>
    <n v="304000"/>
    <n v="12216618"/>
    <n v="39189597"/>
    <n v="37583333.333333328"/>
    <n v="1.0427387228381375"/>
    <x v="1"/>
    <n v="24"/>
    <x v="5"/>
    <s v="Antioquia"/>
    <s v="Fluctúa"/>
    <n v="102"/>
    <n v="9923655"/>
    <n v="249"/>
    <n v="24760665"/>
    <n v="131"/>
    <n v="12216618"/>
    <n v="4809277"/>
    <m/>
  </r>
  <r>
    <n v="11"/>
    <x v="22"/>
    <n v="2017"/>
    <s v="Noviembre"/>
    <s v="MARGGAPA"/>
    <n v="43866877"/>
    <x v="20"/>
    <n v="71170798"/>
    <n v="152000"/>
    <n v="15246858"/>
    <n v="55771940"/>
    <n v="37583333.333333328"/>
    <n v="1.4839540576496677"/>
    <x v="1"/>
    <n v="24"/>
    <x v="5"/>
    <s v="Antioquia"/>
    <s v="Siempre Cumple"/>
    <n v="122"/>
    <n v="13286928"/>
    <n v="276"/>
    <n v="35957521"/>
    <n v="158"/>
    <n v="15246858"/>
    <n v="6679491"/>
    <m/>
  </r>
  <r>
    <n v="11"/>
    <x v="22"/>
    <n v="2017"/>
    <s v="Noviembre"/>
    <s v="YULIRIRE"/>
    <n v="21982241"/>
    <x v="57"/>
    <n v="47261160"/>
    <n v="304000"/>
    <n v="11334724"/>
    <n v="35622436"/>
    <n v="26583333.333333332"/>
    <n v="1.3400289404388714"/>
    <x v="1"/>
    <n v="24"/>
    <x v="2"/>
    <s v="Antioquia"/>
    <s v="Fluctúa"/>
    <n v="103"/>
    <n v="8287262"/>
    <n v="234"/>
    <n v="22297921"/>
    <n v="130"/>
    <n v="11334724"/>
    <n v="5341253"/>
    <m/>
  </r>
  <r>
    <n v="11"/>
    <x v="22"/>
    <n v="2017"/>
    <s v="Noviembre"/>
    <s v="ANGEGAAR"/>
    <n v="39442617"/>
    <x v="4"/>
    <n v="35609591"/>
    <n v="370400"/>
    <n v="6879351"/>
    <n v="28359840"/>
    <n v="22875000"/>
    <n v="1.2397744262295083"/>
    <x v="1"/>
    <n v="24"/>
    <x v="4"/>
    <s v="Antioquia"/>
    <s v="Cumple"/>
    <n v="51"/>
    <n v="7190029"/>
    <n v="126"/>
    <n v="18026144"/>
    <n v="75"/>
    <n v="6879351"/>
    <n v="3514067"/>
    <m/>
  </r>
  <r>
    <n v="11"/>
    <x v="22"/>
    <n v="2017"/>
    <s v="Noviembre"/>
    <s v="NATAPIDU"/>
    <n v="43907427"/>
    <x v="25"/>
    <n v="52456820"/>
    <n v="518760"/>
    <n v="6292991"/>
    <n v="45645069"/>
    <n v="33000000"/>
    <n v="1.383183909090909"/>
    <x v="1"/>
    <n v="24"/>
    <x v="11"/>
    <s v="Antioquia"/>
    <s v="Siempre Cumple"/>
    <n v="51"/>
    <n v="10232946"/>
    <n v="165"/>
    <n v="29524809"/>
    <n v="74"/>
    <n v="6292991"/>
    <n v="6406074"/>
    <m/>
  </r>
  <r>
    <n v="11"/>
    <x v="22"/>
    <n v="2017"/>
    <s v="Noviembre"/>
    <s v="ELIZVESU"/>
    <n v="1035417626"/>
    <x v="13"/>
    <n v="75360758"/>
    <n v="1455400"/>
    <n v="16190170"/>
    <n v="57715188"/>
    <n v="28666666.666666668"/>
    <n v="2.0133205116279069"/>
    <x v="1"/>
    <n v="24"/>
    <x v="3"/>
    <s v="Antioquia"/>
    <s v="Cumple"/>
    <n v="110"/>
    <n v="14601546"/>
    <n v="269"/>
    <n v="35951102"/>
    <n v="160"/>
    <n v="16190170"/>
    <n v="8617940"/>
    <m/>
  </r>
  <r>
    <n v="11"/>
    <x v="22"/>
    <n v="2017"/>
    <s v="Noviembre"/>
    <s v="SUANHECO"/>
    <n v="1020409789"/>
    <x v="58"/>
    <n v="87098749"/>
    <n v="784000"/>
    <n v="20763243"/>
    <n v="65551506"/>
    <n v="39416666.666666672"/>
    <n v="1.6630403213530653"/>
    <x v="1"/>
    <n v="24"/>
    <x v="1"/>
    <s v="Antioquia"/>
    <s v="Cumple"/>
    <n v="128"/>
    <n v="16844932"/>
    <n v="317"/>
    <n v="41533714"/>
    <n v="218"/>
    <n v="20763243"/>
    <n v="7956860"/>
    <m/>
  </r>
  <r>
    <n v="11"/>
    <x v="22"/>
    <n v="2017"/>
    <s v="Noviembre"/>
    <s v="ZULYARGA"/>
    <n v="43259130"/>
    <x v="31"/>
    <n v="60932865"/>
    <n v="1021000"/>
    <n v="13974949"/>
    <n v="45936916"/>
    <n v="39416666.666666672"/>
    <n v="1.1654185877378433"/>
    <x v="1"/>
    <n v="24"/>
    <x v="1"/>
    <s v="Antioquia"/>
    <s v="Fluctúa"/>
    <n v="95"/>
    <n v="9835800"/>
    <n v="288"/>
    <n v="31275460"/>
    <n v="141"/>
    <n v="13974949"/>
    <n v="5846656"/>
    <m/>
  </r>
  <r>
    <n v="11"/>
    <x v="22"/>
    <n v="2017"/>
    <s v="Noviembre"/>
    <s v="DIANQUME"/>
    <n v="42164020"/>
    <x v="12"/>
    <n v="60575223"/>
    <n v="1662000"/>
    <n v="13383346"/>
    <n v="45529877"/>
    <n v="35833333.333333336"/>
    <n v="1.2706012186046511"/>
    <x v="1"/>
    <n v="24"/>
    <x v="1"/>
    <s v="Antioquia"/>
    <s v="Siempre Cumple"/>
    <n v="109"/>
    <n v="10411449"/>
    <n v="259"/>
    <n v="29249576"/>
    <n v="140"/>
    <n v="13383346"/>
    <n v="7530852"/>
    <m/>
  </r>
  <r>
    <n v="11"/>
    <x v="22"/>
    <n v="2017"/>
    <s v="Noviembre"/>
    <s v="DERLARMO"/>
    <n v="52725011"/>
    <x v="10"/>
    <n v="23113868"/>
    <n v="1634000"/>
    <n v="5103579"/>
    <n v="16376289"/>
    <n v="20000000"/>
    <n v="0.81881444999999997"/>
    <x v="1"/>
    <n v="24"/>
    <x v="6"/>
    <s v="Centro"/>
    <s v="Fluctúa"/>
    <n v="62"/>
    <n v="3324732"/>
    <n v="151"/>
    <n v="11268654"/>
    <n v="79"/>
    <n v="5103579"/>
    <n v="3416903"/>
    <m/>
  </r>
  <r>
    <n v="11"/>
    <x v="22"/>
    <n v="2017"/>
    <s v="Noviembre"/>
    <s v="RAULMOGA"/>
    <n v="79701425"/>
    <x v="27"/>
    <n v="26806849"/>
    <n v="880000"/>
    <n v="4894394"/>
    <n v="21032455"/>
    <n v="20000000"/>
    <n v="1.0516227499999999"/>
    <x v="0"/>
    <n v="24"/>
    <x v="6"/>
    <s v="Centro"/>
    <s v="No Aplica"/>
    <n v="69"/>
    <n v="4670160"/>
    <n v="158"/>
    <n v="15052277"/>
    <n v="72"/>
    <n v="4894394"/>
    <n v="2190018"/>
    <m/>
  </r>
  <r>
    <n v="11"/>
    <x v="22"/>
    <n v="2017"/>
    <s v="Noviembre"/>
    <s v="ALVAOSOS"/>
    <n v="3438422"/>
    <x v="37"/>
    <n v="26774358"/>
    <n v="417200"/>
    <n v="3247985"/>
    <n v="23109173"/>
    <n v="21500000"/>
    <n v="1.0748452558139534"/>
    <x v="1"/>
    <n v="24"/>
    <x v="8"/>
    <s v="Antioquia"/>
    <s v="Fluctúa"/>
    <n v="43"/>
    <n v="4498421"/>
    <n v="112"/>
    <n v="14417225"/>
    <n v="39"/>
    <n v="3247985"/>
    <n v="4610727"/>
    <m/>
  </r>
  <r>
    <n v="11"/>
    <x v="22"/>
    <n v="2017"/>
    <s v="Noviembre"/>
    <s v="DEISCACR"/>
    <n v="1017167720"/>
    <x v="50"/>
    <n v="53334385"/>
    <n v="1048000"/>
    <n v="10906510"/>
    <n v="41379875"/>
    <n v="37625000"/>
    <n v="1.099797342192691"/>
    <x v="1"/>
    <n v="24"/>
    <x v="8"/>
    <s v="Antioquia"/>
    <s v="Cumple"/>
    <n v="91"/>
    <n v="9208342"/>
    <n v="222"/>
    <n v="27194796"/>
    <n v="122"/>
    <n v="10906510"/>
    <n v="6024737"/>
    <m/>
  </r>
  <r>
    <n v="11"/>
    <x v="22"/>
    <n v="2017"/>
    <s v="Noviembre"/>
    <s v="GENNHEPO"/>
    <n v="43874518"/>
    <x v="14"/>
    <n v="52809363"/>
    <n v="412000"/>
    <n v="10813313"/>
    <n v="41584050"/>
    <n v="39416666.666666672"/>
    <n v="1.0549864693446087"/>
    <x v="1"/>
    <n v="24"/>
    <x v="8"/>
    <s v="Antioquia"/>
    <s v="Fluctúa"/>
    <n v="90"/>
    <n v="9372525"/>
    <n v="276"/>
    <n v="28564100"/>
    <n v="129"/>
    <n v="10813313"/>
    <n v="4059425"/>
    <m/>
  </r>
  <r>
    <n v="11"/>
    <x v="22"/>
    <n v="2017"/>
    <s v="Noviembre"/>
    <s v="LEIDGOVI"/>
    <n v="1036598360"/>
    <x v="39"/>
    <n v="58969829"/>
    <n v="2008000"/>
    <n v="10986974"/>
    <n v="45974855"/>
    <n v="39416666.666666672"/>
    <n v="1.1663810993657504"/>
    <x v="1"/>
    <n v="24"/>
    <x v="8"/>
    <s v="Antioquia"/>
    <s v="Fluctúa"/>
    <n v="92"/>
    <n v="9394135"/>
    <n v="250"/>
    <n v="30835631"/>
    <n v="118"/>
    <n v="10986974"/>
    <n v="7753089"/>
    <m/>
  </r>
  <r>
    <n v="11"/>
    <x v="22"/>
    <n v="2017"/>
    <s v="Noviembre"/>
    <s v="YENYSUPE"/>
    <n v="1020419011"/>
    <x v="51"/>
    <n v="61878934"/>
    <n v="608000"/>
    <n v="14184348"/>
    <n v="47086586"/>
    <n v="39416666.666666672"/>
    <n v="1.1945856913319237"/>
    <x v="1"/>
    <n v="24"/>
    <x v="8"/>
    <s v="Antioquia"/>
    <s v="Cumple"/>
    <n v="115"/>
    <n v="11665009"/>
    <n v="282"/>
    <n v="28159465"/>
    <n v="147"/>
    <n v="14184348"/>
    <n v="7870112"/>
    <m/>
  </r>
  <r>
    <n v="11"/>
    <x v="22"/>
    <n v="2017"/>
    <s v="Noviembre"/>
    <s v="YURAUSVE"/>
    <n v="1020419615"/>
    <x v="56"/>
    <n v="61393097"/>
    <n v="1069200"/>
    <n v="12223573"/>
    <n v="48100324"/>
    <n v="39416666.666666672"/>
    <n v="1.2203042029598308"/>
    <x v="1"/>
    <n v="24"/>
    <x v="8"/>
    <s v="Antioquia"/>
    <s v="Cumple"/>
    <n v="107"/>
    <n v="11846585"/>
    <n v="252"/>
    <n v="30077556"/>
    <n v="127"/>
    <n v="12223573"/>
    <n v="7245383"/>
    <m/>
  </r>
  <r>
    <n v="11"/>
    <x v="22"/>
    <n v="2017"/>
    <s v="Noviembre"/>
    <s v="CARORAMN"/>
    <n v="1020451288"/>
    <x v="61"/>
    <n v="39756153"/>
    <n v="1568000"/>
    <n v="11826603"/>
    <n v="26361550"/>
    <n v="39416666.666666672"/>
    <n v="0.66879196617336145"/>
    <x v="1"/>
    <n v="24"/>
    <x v="8"/>
    <s v="Antioquia"/>
    <s v="Cumple"/>
    <n v="59"/>
    <n v="6204852"/>
    <n v="152"/>
    <n v="16082156"/>
    <n v="117"/>
    <n v="11826603"/>
    <n v="5642542"/>
    <m/>
  </r>
  <r>
    <n v="11"/>
    <x v="22"/>
    <n v="2017"/>
    <s v="Noviembre"/>
    <s v="DIANPAAL"/>
    <n v="1040030764"/>
    <x v="11"/>
    <n v="46832912"/>
    <n v="2557400"/>
    <n v="9467374"/>
    <n v="34808138"/>
    <n v="30250000"/>
    <n v="1.1506822479338843"/>
    <x v="1"/>
    <n v="24"/>
    <x v="7"/>
    <s v="Antioquia"/>
    <s v="Cumple"/>
    <n v="77"/>
    <n v="8136099"/>
    <n v="204"/>
    <n v="23908087"/>
    <n v="103"/>
    <n v="9467374"/>
    <n v="5321352"/>
    <m/>
  </r>
  <r>
    <n v="11"/>
    <x v="22"/>
    <n v="2017"/>
    <s v="Noviembre"/>
    <s v="JAQUVEGU"/>
    <n v="1036779770"/>
    <x v="16"/>
    <n v="43477277"/>
    <n v="1972000"/>
    <n v="9143513"/>
    <n v="32361764"/>
    <n v="30250000"/>
    <n v="1.0698103801652892"/>
    <x v="0"/>
    <n v="24"/>
    <x v="7"/>
    <s v="Antioquia"/>
    <s v="No Aplica"/>
    <n v="83"/>
    <n v="8014379"/>
    <n v="182"/>
    <n v="21330637"/>
    <n v="102"/>
    <n v="9143513"/>
    <n v="4988748"/>
    <m/>
  </r>
  <r>
    <n v="11"/>
    <x v="22"/>
    <n v="2017"/>
    <s v="Noviembre"/>
    <s v="MARIOCOC"/>
    <n v="39448823"/>
    <x v="21"/>
    <n v="54974346"/>
    <n v="2029400"/>
    <n v="9973557"/>
    <n v="42971389"/>
    <n v="30250000"/>
    <n v="1.420541785123967"/>
    <x v="1"/>
    <n v="24"/>
    <x v="7"/>
    <s v="Antioquia"/>
    <s v="Siempre Cumple"/>
    <n v="85"/>
    <n v="9924213"/>
    <n v="230"/>
    <n v="29747170"/>
    <n v="108"/>
    <n v="9973557"/>
    <n v="5329406"/>
    <m/>
  </r>
  <r>
    <n v="11"/>
    <x v="22"/>
    <n v="2017"/>
    <s v="Noviembre"/>
    <s v="ADRIMOLU"/>
    <n v="43169964"/>
    <x v="1"/>
    <n v="55984932"/>
    <n v="1959800"/>
    <n v="10817272"/>
    <n v="43207860"/>
    <n v="39416666.666666672"/>
    <n v="1.0961824947145875"/>
    <x v="1"/>
    <n v="24"/>
    <x v="1"/>
    <s v="Antioquia"/>
    <s v="Cumple"/>
    <n v="104"/>
    <n v="10679376"/>
    <n v="249"/>
    <n v="27428737"/>
    <n v="115"/>
    <n v="10817272"/>
    <n v="7059547"/>
    <m/>
  </r>
  <r>
    <n v="11"/>
    <x v="22"/>
    <n v="2017"/>
    <s v="Noviembre"/>
    <s v="ERIKSAVA"/>
    <n v="1017200970"/>
    <x v="44"/>
    <n v="49645222"/>
    <n v="812000"/>
    <n v="10933474"/>
    <n v="37899748"/>
    <n v="27591666.666666668"/>
    <n v="1.3735940078526125"/>
    <x v="1"/>
    <n v="24"/>
    <x v="4"/>
    <s v="Antioquia"/>
    <s v="Cumple"/>
    <n v="93"/>
    <n v="10624894"/>
    <n v="192"/>
    <n v="21795017"/>
    <n v="120"/>
    <n v="10933474"/>
    <n v="6291837"/>
    <m/>
  </r>
  <r>
    <n v="11"/>
    <x v="22"/>
    <n v="2017"/>
    <s v="Noviembre"/>
    <s v="HISNOSPI"/>
    <n v="43114534"/>
    <x v="49"/>
    <n v="46145707"/>
    <n v="896000"/>
    <n v="10462995"/>
    <n v="34786712"/>
    <n v="27591666.666666668"/>
    <n v="1.2607687828450618"/>
    <x v="0"/>
    <n v="24"/>
    <x v="4"/>
    <s v="Antioquia"/>
    <s v="No Aplica"/>
    <n v="81"/>
    <n v="9277635"/>
    <n v="218"/>
    <n v="21939857"/>
    <n v="111"/>
    <n v="10462995"/>
    <n v="4465220"/>
    <m/>
  </r>
  <r>
    <n v="11"/>
    <x v="22"/>
    <n v="2017"/>
    <s v="Noviembre"/>
    <s v="MARIMASA"/>
    <n v="43113640"/>
    <x v="34"/>
    <n v="46758812"/>
    <n v="885400"/>
    <n v="9278291"/>
    <n v="36595121"/>
    <n v="27591666.666666668"/>
    <n v="1.3263106372697069"/>
    <x v="1"/>
    <n v="24"/>
    <x v="4"/>
    <s v="Antioquia"/>
    <s v="Cumple"/>
    <n v="80"/>
    <n v="10188381"/>
    <n v="191"/>
    <n v="22739075"/>
    <n v="103"/>
    <n v="9278291"/>
    <n v="4553065"/>
    <m/>
  </r>
  <r>
    <n v="11"/>
    <x v="22"/>
    <n v="2017"/>
    <s v="Noviembre"/>
    <s v="ANDRSAZA"/>
    <n v="1020736461"/>
    <x v="45"/>
    <n v="36708038"/>
    <n v="900000"/>
    <n v="6154747"/>
    <n v="29653291"/>
    <n v="22000000"/>
    <n v="1.3478768636363636"/>
    <x v="1"/>
    <n v="24"/>
    <x v="9"/>
    <s v="Centro"/>
    <s v="Siempre Cumple"/>
    <n v="60"/>
    <n v="6435093"/>
    <n v="156"/>
    <n v="21307816"/>
    <n v="87"/>
    <n v="6154747"/>
    <n v="2810382"/>
    <m/>
  </r>
  <r>
    <n v="11"/>
    <x v="22"/>
    <n v="2017"/>
    <s v="Noviembre"/>
    <s v="ISABMOGO"/>
    <n v="52260671"/>
    <x v="15"/>
    <n v="29812160"/>
    <n v="1396000"/>
    <n v="4106232"/>
    <n v="24309928"/>
    <n v="22000000"/>
    <n v="1.1049967272727272"/>
    <x v="1"/>
    <n v="24"/>
    <x v="9"/>
    <s v="Centro"/>
    <s v="Siempre Cumple"/>
    <n v="51"/>
    <n v="6125202"/>
    <n v="134"/>
    <n v="16090940"/>
    <n v="58"/>
    <n v="4106232"/>
    <n v="3489786"/>
    <m/>
  </r>
  <r>
    <n v="11"/>
    <x v="22"/>
    <n v="2017"/>
    <s v="Noviembre"/>
    <s v="CAMIPUHE"/>
    <n v="79850984"/>
    <x v="53"/>
    <n v="30870276"/>
    <n v="740800"/>
    <n v="6312251"/>
    <n v="23817225"/>
    <n v="22000000"/>
    <n v="1.0826011363636363"/>
    <x v="1"/>
    <n v="24"/>
    <x v="15"/>
    <s v="Centro"/>
    <s v="Fluctúa"/>
    <n v="46"/>
    <n v="4455726"/>
    <n v="134"/>
    <n v="17683429"/>
    <n v="84"/>
    <n v="6312251"/>
    <n v="2418870"/>
    <m/>
  </r>
  <r>
    <n v="11"/>
    <x v="22"/>
    <n v="2017"/>
    <s v="Noviembre"/>
    <s v="LUZNHEGO"/>
    <n v="43745192"/>
    <x v="19"/>
    <n v="30369131"/>
    <n v="383400"/>
    <n v="2480688"/>
    <n v="27505043"/>
    <n v="25000000"/>
    <n v="1.10020172"/>
    <x v="1"/>
    <n v="24"/>
    <x v="10"/>
    <s v="Antioquia"/>
    <s v="Cumple"/>
    <n v="50"/>
    <n v="8215477"/>
    <n v="136"/>
    <n v="17556486"/>
    <n v="43"/>
    <n v="2480688"/>
    <n v="2116480"/>
    <m/>
  </r>
  <r>
    <n v="11"/>
    <x v="22"/>
    <n v="2017"/>
    <s v="Noviembre"/>
    <s v="VIVIVAZA"/>
    <n v="43745952"/>
    <x v="30"/>
    <n v="75708260"/>
    <n v="1748000"/>
    <n v="15216791"/>
    <n v="58743469"/>
    <n v="39416666.666666672"/>
    <n v="1.4903205665961943"/>
    <x v="1"/>
    <n v="24"/>
    <x v="3"/>
    <s v="Antioquia"/>
    <s v="Siempre Cumple"/>
    <n v="110"/>
    <n v="13074879"/>
    <n v="261"/>
    <n v="37268562"/>
    <n v="154"/>
    <n v="15216791"/>
    <n v="10148028"/>
    <m/>
  </r>
  <r>
    <n v="11"/>
    <x v="22"/>
    <n v="2017"/>
    <s v="Noviembre"/>
    <s v="ANAMLOBE"/>
    <n v="43821410"/>
    <x v="3"/>
    <n v="71843708"/>
    <n v="1868800"/>
    <n v="12767347"/>
    <n v="57207561"/>
    <n v="39416666.666666672"/>
    <n v="1.4513546131078223"/>
    <x v="1"/>
    <n v="24"/>
    <x v="3"/>
    <s v="Antioquia"/>
    <s v="Siempre Cumple"/>
    <n v="106"/>
    <n v="14213130"/>
    <n v="275"/>
    <n v="37268562"/>
    <n v="143"/>
    <n v="12767347"/>
    <n v="7594669"/>
    <m/>
  </r>
  <r>
    <n v="11"/>
    <x v="22"/>
    <n v="2017"/>
    <s v="Noviembre"/>
    <s v="LILACARA"/>
    <n v="1017141451"/>
    <x v="17"/>
    <n v="17766159"/>
    <n v="1112000"/>
    <n v="2760493"/>
    <n v="13893666"/>
    <n v="10750000"/>
    <n v="1.292434046511628"/>
    <x v="1"/>
    <n v="24"/>
    <x v="1"/>
    <s v="Antioquia"/>
    <s v="Siempre Cumple"/>
    <n v="27"/>
    <n v="2473162"/>
    <n v="72"/>
    <n v="8616219"/>
    <n v="32"/>
    <n v="2760493"/>
    <n v="3916285"/>
    <m/>
  </r>
  <r>
    <n v="11"/>
    <x v="22"/>
    <n v="2017"/>
    <s v="Noviembre"/>
    <s v="ALEXLOGR"/>
    <n v="43253531"/>
    <x v="2"/>
    <n v="45450345"/>
    <n v="815000"/>
    <n v="11274376"/>
    <n v="33360969"/>
    <n v="26583333.333333332"/>
    <n v="1.2549580815047023"/>
    <x v="1"/>
    <n v="24"/>
    <x v="2"/>
    <s v="Antioquia"/>
    <s v="Cumple"/>
    <n v="85"/>
    <n v="7973440"/>
    <n v="206"/>
    <n v="21278365"/>
    <n v="127"/>
    <n v="11274376"/>
    <n v="4924164"/>
    <m/>
  </r>
  <r>
    <n v="11"/>
    <x v="22"/>
    <n v="2017"/>
    <s v="Noviembre"/>
    <s v="CINDGACU"/>
    <n v="1020443426"/>
    <x v="55"/>
    <n v="46717457"/>
    <n v="440000"/>
    <n v="8313900"/>
    <n v="37963557"/>
    <n v="37583333.333333328"/>
    <n v="1.0101168159645235"/>
    <x v="1"/>
    <n v="24"/>
    <x v="4"/>
    <s v="Antioquia"/>
    <s v="Fluctúa"/>
    <n v="94"/>
    <n v="8928482"/>
    <n v="214"/>
    <n v="23588055"/>
    <n v="93"/>
    <n v="8313900"/>
    <n v="5887020"/>
    <m/>
  </r>
  <r>
    <n v="11"/>
    <x v="22"/>
    <n v="2017"/>
    <s v="Noviembre"/>
    <s v="CARORICA"/>
    <n v="31309227"/>
    <x v="59"/>
    <n v="2403261"/>
    <n v="0"/>
    <n v="0"/>
    <n v="2403261"/>
    <n v="17500000"/>
    <n v="0.13732920000000001"/>
    <x v="0"/>
    <n v="24"/>
    <x v="0"/>
    <s v=""/>
    <s v="No Aplica"/>
    <n v="7"/>
    <n v="672744"/>
    <n v="18"/>
    <n v="1405600"/>
    <n v="0"/>
    <n v="0"/>
    <n v="324917"/>
    <m/>
  </r>
  <r>
    <n v="11"/>
    <x v="22"/>
    <n v="2017"/>
    <s v="Noviembre"/>
    <s v="TATIRITR"/>
    <n v="1130597373"/>
    <x v="60"/>
    <n v="31645420"/>
    <n v="0"/>
    <n v="7952882"/>
    <n v="23692538"/>
    <n v="30000000"/>
    <n v="0.78975126666666662"/>
    <x v="1"/>
    <n v="24"/>
    <x v="16"/>
    <s v="Occidente"/>
    <s v="Fluctúa"/>
    <n v="51"/>
    <n v="4111880"/>
    <n v="172"/>
    <n v="17944098"/>
    <n v="91"/>
    <n v="7952882"/>
    <n v="1636560"/>
    <m/>
  </r>
  <r>
    <n v="11"/>
    <x v="22"/>
    <n v="2017"/>
    <s v="Noviembre"/>
    <s v="PAOLPACA"/>
    <n v="31445278"/>
    <x v="47"/>
    <n v="40463646"/>
    <n v="0"/>
    <n v="11634538"/>
    <n v="28829108"/>
    <n v="30000000"/>
    <n v="0.96097026666666663"/>
    <x v="1"/>
    <n v="24"/>
    <x v="14"/>
    <s v="Occidente"/>
    <s v="Cumple"/>
    <n v="77"/>
    <n v="5722643"/>
    <n v="268"/>
    <n v="20228809"/>
    <n v="128"/>
    <n v="11634538"/>
    <n v="2877656"/>
    <m/>
  </r>
  <r>
    <n v="11"/>
    <x v="22"/>
    <n v="2017"/>
    <s v="Noviembre"/>
    <s v="YANEARNA"/>
    <n v="66857504"/>
    <x v="62"/>
    <n v="17596763"/>
    <n v="0"/>
    <n v="7718873"/>
    <n v="9877890"/>
    <n v="30000000"/>
    <n v="0.32926299999999997"/>
    <x v="0"/>
    <n v="24"/>
    <x v="0"/>
    <s v=""/>
    <s v="No Aplica"/>
    <n v="28"/>
    <n v="2398499"/>
    <n v="92"/>
    <n v="6431386"/>
    <n v="80"/>
    <n v="7718873"/>
    <n v="1048005"/>
    <m/>
  </r>
  <r>
    <n v="11"/>
    <x v="22"/>
    <n v="2017"/>
    <s v="Noviembre"/>
    <s v="ROCIFASA"/>
    <n v="34542470"/>
    <x v="28"/>
    <n v="47769881"/>
    <n v="967800"/>
    <n v="7393165"/>
    <n v="39408916"/>
    <n v="25000000"/>
    <n v="1.57635664"/>
    <x v="1"/>
    <n v="24"/>
    <x v="12"/>
    <s v="Occidente"/>
    <s v="Siempre Cumple"/>
    <n v="82"/>
    <n v="12643624"/>
    <n v="211"/>
    <n v="21758581"/>
    <n v="82"/>
    <n v="7393165"/>
    <n v="5974511"/>
    <m/>
  </r>
  <r>
    <n v="11"/>
    <x v="22"/>
    <n v="2017"/>
    <s v="Noviembre"/>
    <s v="CAROVABE"/>
    <m/>
    <x v="7"/>
    <n v="6856850"/>
    <n v="0"/>
    <n v="2563934"/>
    <n v="4292916"/>
    <m/>
    <m/>
    <x v="0"/>
    <n v="24"/>
    <x v="0"/>
    <s v=""/>
    <s v="No Aplica"/>
    <n v="11"/>
    <n v="705095"/>
    <n v="26"/>
    <n v="2090010"/>
    <n v="29"/>
    <n v="2563934"/>
    <n v="1497811"/>
    <m/>
  </r>
  <r>
    <n v="11"/>
    <x v="22"/>
    <n v="2017"/>
    <s v="Noviembre"/>
    <s v="CLAUREME"/>
    <m/>
    <x v="7"/>
    <n v="284400"/>
    <n v="0"/>
    <n v="0"/>
    <n v="284400"/>
    <m/>
    <m/>
    <x v="0"/>
    <n v="24"/>
    <x v="0"/>
    <s v=""/>
    <s v="No Aplica"/>
    <n v="0"/>
    <n v="0"/>
    <n v="0"/>
    <n v="0"/>
    <n v="0"/>
    <n v="0"/>
    <n v="284400"/>
    <m/>
  </r>
  <r>
    <n v="11"/>
    <x v="22"/>
    <n v="2017"/>
    <s v="Noviembre"/>
    <s v="DARWHERI"/>
    <m/>
    <x v="7"/>
    <n v="357158"/>
    <n v="0"/>
    <n v="131610"/>
    <n v="225548"/>
    <m/>
    <m/>
    <x v="0"/>
    <n v="24"/>
    <x v="0"/>
    <s v=""/>
    <s v="No Aplica"/>
    <n v="1"/>
    <n v="53418"/>
    <n v="2"/>
    <n v="172130"/>
    <n v="3"/>
    <n v="131610"/>
    <n v="0"/>
    <m/>
  </r>
  <r>
    <n v="11"/>
    <x v="22"/>
    <n v="2017"/>
    <s v="Noviembre"/>
    <s v="MARIREAR"/>
    <m/>
    <x v="7"/>
    <n v="94800"/>
    <n v="0"/>
    <n v="0"/>
    <n v="94800"/>
    <m/>
    <m/>
    <x v="0"/>
    <n v="24"/>
    <x v="0"/>
    <s v=""/>
    <s v="No Aplica"/>
    <n v="0"/>
    <n v="0"/>
    <n v="0"/>
    <n v="0"/>
    <n v="0"/>
    <n v="0"/>
    <n v="94800"/>
    <m/>
  </r>
  <r>
    <n v="11"/>
    <x v="22"/>
    <n v="2017"/>
    <s v="Noviembre"/>
    <s v="MARIORRO"/>
    <m/>
    <x v="7"/>
    <n v="218800"/>
    <n v="0"/>
    <n v="0"/>
    <n v="218800"/>
    <m/>
    <m/>
    <x v="0"/>
    <n v="24"/>
    <x v="0"/>
    <s v=""/>
    <s v="No Aplica"/>
    <n v="0"/>
    <n v="0"/>
    <n v="0"/>
    <n v="0"/>
    <n v="0"/>
    <n v="0"/>
    <n v="218800"/>
    <m/>
  </r>
  <r>
    <n v="11"/>
    <x v="22"/>
    <n v="2017"/>
    <s v="Noviembre"/>
    <s v="OSCADESU"/>
    <m/>
    <x v="7"/>
    <n v="1175359"/>
    <n v="0"/>
    <n v="913994"/>
    <n v="261365"/>
    <m/>
    <m/>
    <x v="0"/>
    <n v="24"/>
    <x v="0"/>
    <s v=""/>
    <s v="No Aplica"/>
    <n v="3"/>
    <n v="234804"/>
    <n v="0"/>
    <n v="0"/>
    <n v="12"/>
    <n v="913994"/>
    <n v="26561"/>
    <m/>
  </r>
  <r>
    <n v="11"/>
    <x v="22"/>
    <n v="2017"/>
    <s v="Noviembre"/>
    <s v="USERPI"/>
    <m/>
    <x v="7"/>
    <n v="338334"/>
    <n v="0"/>
    <n v="338334"/>
    <n v="0"/>
    <m/>
    <m/>
    <x v="0"/>
    <n v="24"/>
    <x v="0"/>
    <s v=""/>
    <s v="No Aplica"/>
    <n v="0"/>
    <n v="0"/>
    <n v="0"/>
    <n v="0"/>
    <n v="3"/>
    <n v="338334"/>
    <n v="0"/>
    <m/>
  </r>
  <r>
    <n v="11"/>
    <x v="22"/>
    <n v="2017"/>
    <s v="Noviembre"/>
    <s v="YENISIGI"/>
    <m/>
    <x v="7"/>
    <n v="23109"/>
    <n v="0"/>
    <n v="0"/>
    <n v="23109"/>
    <m/>
    <m/>
    <x v="0"/>
    <n v="24"/>
    <x v="0"/>
    <s v=""/>
    <s v="No Aplica"/>
    <n v="0"/>
    <n v="0"/>
    <n v="0"/>
    <n v="0"/>
    <n v="0"/>
    <n v="0"/>
    <n v="23109"/>
    <m/>
  </r>
  <r>
    <n v="11"/>
    <x v="22"/>
    <n v="2017"/>
    <s v="Noviembre"/>
    <s v="4436347947"/>
    <m/>
    <x v="7"/>
    <n v="69764"/>
    <n v="0"/>
    <n v="69764"/>
    <n v="0"/>
    <m/>
    <m/>
    <x v="0"/>
    <n v="24"/>
    <x v="0"/>
    <s v=""/>
    <s v="No Aplica"/>
    <n v="0"/>
    <n v="0"/>
    <n v="0"/>
    <n v="0"/>
    <n v="1"/>
    <n v="69764"/>
    <n v="0"/>
    <m/>
  </r>
  <r>
    <n v="11"/>
    <x v="22"/>
    <n v="2017"/>
    <s v="Noviembre"/>
    <s v="4436379864"/>
    <m/>
    <x v="7"/>
    <n v="134285"/>
    <n v="0"/>
    <n v="134285"/>
    <n v="0"/>
    <m/>
    <m/>
    <x v="0"/>
    <n v="24"/>
    <x v="0"/>
    <s v=""/>
    <s v="No Aplica"/>
    <n v="0"/>
    <n v="0"/>
    <n v="0"/>
    <n v="0"/>
    <n v="1"/>
    <n v="134285"/>
    <n v="0"/>
    <m/>
  </r>
  <r>
    <n v="11"/>
    <x v="22"/>
    <n v="2017"/>
    <s v="Noviembre"/>
    <s v="(en blanco)"/>
    <m/>
    <x v="7"/>
    <n v="-78551"/>
    <n v="0"/>
    <n v="0"/>
    <n v="-78551"/>
    <m/>
    <m/>
    <x v="0"/>
    <n v="24"/>
    <x v="0"/>
    <s v=""/>
    <s v="No Aplica"/>
    <n v="6"/>
    <n v="35004"/>
    <n v="8"/>
    <n v="65600"/>
    <n v="0"/>
    <n v="0"/>
    <n v="-179155"/>
    <m/>
  </r>
  <r>
    <n v="12"/>
    <x v="23"/>
    <n v="2017"/>
    <s v="Diciembre"/>
    <s v="ADRIMOLU"/>
    <n v="43169964"/>
    <x v="1"/>
    <n v="46495079"/>
    <n v="1049000"/>
    <n v="8076681"/>
    <n v="37369398"/>
    <n v="21708333.333333332"/>
    <n v="1.7214310019193859"/>
    <x v="1"/>
    <n v="24"/>
    <x v="1"/>
    <s v="Antioquia"/>
    <s v="Cumple"/>
    <n v="88"/>
    <n v="9078590"/>
    <n v="229"/>
    <n v="25004780"/>
    <n v="89"/>
    <n v="8076681"/>
    <n v="4335028"/>
    <m/>
  </r>
  <r>
    <n v="12"/>
    <x v="23"/>
    <n v="2017"/>
    <s v="Diciembre"/>
    <s v="ALEXLOGR"/>
    <n v="43253531"/>
    <x v="2"/>
    <n v="53868378"/>
    <n v="1072000"/>
    <n v="12514720"/>
    <n v="40281658"/>
    <n v="29000000"/>
    <n v="1.3890226896551725"/>
    <x v="1"/>
    <n v="24"/>
    <x v="2"/>
    <s v="Antioquia"/>
    <s v="Cumple"/>
    <n v="94"/>
    <n v="8718393"/>
    <n v="239"/>
    <n v="24560095"/>
    <n v="135"/>
    <n v="12514720"/>
    <n v="8075170"/>
    <m/>
  </r>
  <r>
    <n v="12"/>
    <x v="23"/>
    <n v="2017"/>
    <s v="Diciembre"/>
    <s v="ALVAOSOS"/>
    <n v="3438422"/>
    <x v="37"/>
    <n v="59883388"/>
    <n v="744000"/>
    <n v="10790843"/>
    <n v="48348545"/>
    <n v="43000000"/>
    <n v="1.1243847674418606"/>
    <x v="1"/>
    <n v="24"/>
    <x v="8"/>
    <s v="Antioquia"/>
    <s v="Fluctúa"/>
    <n v="89"/>
    <n v="10676153"/>
    <n v="217"/>
    <n v="31097970"/>
    <n v="114"/>
    <n v="10790843"/>
    <n v="7318422"/>
    <m/>
  </r>
  <r>
    <n v="12"/>
    <x v="23"/>
    <n v="2017"/>
    <s v="Diciembre"/>
    <s v="ANAMLOBE"/>
    <n v="43821410"/>
    <x v="3"/>
    <n v="84199687"/>
    <n v="1378600"/>
    <n v="16184606"/>
    <n v="66636481"/>
    <n v="43000000"/>
    <n v="1.5496856046511629"/>
    <x v="1"/>
    <n v="24"/>
    <x v="3"/>
    <s v="Antioquia"/>
    <s v="Siempre Cumple"/>
    <n v="145"/>
    <n v="17882946"/>
    <n v="323"/>
    <n v="42037988"/>
    <n v="175"/>
    <n v="16184606"/>
    <n v="8094147"/>
    <m/>
  </r>
  <r>
    <n v="12"/>
    <x v="23"/>
    <n v="2017"/>
    <s v="Diciembre"/>
    <s v="ANDRSAZA"/>
    <n v="1020736461"/>
    <x v="45"/>
    <n v="46259813"/>
    <n v="810400"/>
    <n v="7226887"/>
    <n v="38222526"/>
    <n v="21083333.333333332"/>
    <n v="1.812926134387352"/>
    <x v="1"/>
    <n v="24"/>
    <x v="9"/>
    <s v="Centro"/>
    <s v="Siempre Cumple"/>
    <n v="61"/>
    <n v="6479480"/>
    <n v="186"/>
    <n v="27939246"/>
    <n v="92"/>
    <n v="7226887"/>
    <n v="4614200"/>
    <m/>
  </r>
  <r>
    <n v="12"/>
    <x v="23"/>
    <n v="2017"/>
    <s v="Diciembre"/>
    <s v="ANGEGAAR"/>
    <n v="39442617"/>
    <x v="4"/>
    <n v="16849549"/>
    <n v="0"/>
    <n v="978515"/>
    <n v="15871034"/>
    <n v="12750000"/>
    <n v="1.244786980392157"/>
    <x v="1"/>
    <n v="24"/>
    <x v="4"/>
    <s v="Antioquia"/>
    <s v="Cumple"/>
    <n v="23"/>
    <n v="3137069"/>
    <n v="59"/>
    <n v="10980039"/>
    <n v="12"/>
    <n v="978515"/>
    <n v="1753926"/>
    <m/>
  </r>
  <r>
    <n v="12"/>
    <x v="23"/>
    <n v="2017"/>
    <s v="Diciembre"/>
    <s v="BIBIBECA"/>
    <n v="43971430"/>
    <x v="6"/>
    <n v="63179340"/>
    <n v="901000"/>
    <n v="14961703"/>
    <n v="47316637"/>
    <n v="39291666.666666664"/>
    <n v="1.2042410265111347"/>
    <x v="1"/>
    <n v="24"/>
    <x v="5"/>
    <s v="Antioquia"/>
    <s v="Siempre Cumple"/>
    <n v="110"/>
    <n v="10828318"/>
    <n v="321"/>
    <n v="30273364"/>
    <n v="165"/>
    <n v="14961703"/>
    <n v="7115955"/>
    <m/>
  </r>
  <r>
    <n v="12"/>
    <x v="23"/>
    <n v="2017"/>
    <s v="Diciembre"/>
    <s v="CAMIPUHE"/>
    <n v="79850984"/>
    <x v="53"/>
    <n v="31339786"/>
    <n v="705500"/>
    <n v="4244262"/>
    <n v="26390024"/>
    <n v="21083333.333333332"/>
    <n v="1.2517007430830041"/>
    <x v="1"/>
    <n v="24"/>
    <x v="15"/>
    <s v="Centro"/>
    <s v="Fluctúa"/>
    <n v="53"/>
    <n v="5545570"/>
    <n v="150"/>
    <n v="19398820"/>
    <n v="55"/>
    <n v="4244262"/>
    <n v="2151134"/>
    <m/>
  </r>
  <r>
    <n v="12"/>
    <x v="23"/>
    <n v="2017"/>
    <s v="Diciembre"/>
    <s v="CARORAMN"/>
    <n v="1020451288"/>
    <x v="61"/>
    <n v="60766210"/>
    <n v="1156000"/>
    <n v="11540485"/>
    <n v="48069725"/>
    <n v="43000000"/>
    <n v="1.1179005813953489"/>
    <x v="1"/>
    <n v="24"/>
    <x v="8"/>
    <s v="Antioquia"/>
    <s v="Cumple"/>
    <n v="108"/>
    <n v="10760212"/>
    <n v="270"/>
    <n v="33586039"/>
    <n v="121"/>
    <n v="11540485"/>
    <n v="4879474"/>
    <m/>
  </r>
  <r>
    <n v="12"/>
    <x v="23"/>
    <n v="2017"/>
    <s v="Diciembre"/>
    <s v="CARORICA"/>
    <n v="31309227"/>
    <x v="59"/>
    <n v="14519690"/>
    <n v="0"/>
    <n v="5137819"/>
    <n v="9381871"/>
    <n v="30000000"/>
    <n v="0.31272903333333335"/>
    <x v="0"/>
    <n v="24"/>
    <x v="0"/>
    <s v=""/>
    <s v="No Aplica"/>
    <n v="24"/>
    <n v="2299321"/>
    <n v="72"/>
    <n v="6007943"/>
    <n v="65"/>
    <n v="5137819"/>
    <n v="1074607"/>
    <m/>
  </r>
  <r>
    <n v="12"/>
    <x v="23"/>
    <n v="2017"/>
    <s v="Diciembre"/>
    <s v="CINDGACU"/>
    <n v="1020443426"/>
    <x v="55"/>
    <n v="53466591"/>
    <n v="304000"/>
    <n v="11812158"/>
    <n v="41350433"/>
    <n v="39291666.666666664"/>
    <n v="1.0523970222693533"/>
    <x v="1"/>
    <n v="24"/>
    <x v="4"/>
    <s v="Antioquia"/>
    <s v="Fluctúa"/>
    <n v="91"/>
    <n v="8435023"/>
    <n v="256"/>
    <n v="27851587"/>
    <n v="121"/>
    <n v="11812158"/>
    <n v="5367823"/>
    <m/>
  </r>
  <r>
    <n v="12"/>
    <x v="23"/>
    <n v="2017"/>
    <s v="Diciembre"/>
    <s v="CLAUBLAR"/>
    <n v="43554403"/>
    <x v="8"/>
    <n v="62953464"/>
    <n v="0"/>
    <n v="14278187"/>
    <n v="48675277"/>
    <n v="39291666.666666664"/>
    <n v="1.2388193510074232"/>
    <x v="1"/>
    <n v="24"/>
    <x v="5"/>
    <s v="Antioquia"/>
    <s v="Siempre Cumple"/>
    <n v="109"/>
    <n v="11840435"/>
    <n v="280"/>
    <n v="29600837"/>
    <n v="151"/>
    <n v="14278187"/>
    <n v="7234005"/>
    <m/>
  </r>
  <r>
    <n v="12"/>
    <x v="23"/>
    <n v="2017"/>
    <s v="Diciembre"/>
    <s v="DEISCACR"/>
    <n v="1017167720"/>
    <x v="50"/>
    <n v="62186609"/>
    <n v="1610000"/>
    <n v="11594413"/>
    <n v="48982196"/>
    <n v="43000000"/>
    <n v="1.1391208372093022"/>
    <x v="1"/>
    <n v="24"/>
    <x v="8"/>
    <s v="Antioquia"/>
    <s v="Cumple"/>
    <n v="113"/>
    <n v="10780985"/>
    <n v="255"/>
    <n v="30736426"/>
    <n v="124"/>
    <n v="11594413"/>
    <n v="9074785"/>
    <m/>
  </r>
  <r>
    <n v="12"/>
    <x v="23"/>
    <n v="2017"/>
    <s v="Diciembre"/>
    <s v="DERLARMO"/>
    <n v="52725011"/>
    <x v="10"/>
    <n v="10359567"/>
    <n v="396000"/>
    <n v="1430483"/>
    <n v="8533084"/>
    <n v="3333333.3333333335"/>
    <n v="2.5599251999999999"/>
    <x v="1"/>
    <n v="24"/>
    <x v="6"/>
    <s v="Centro"/>
    <s v="Fluctúa"/>
    <n v="26"/>
    <n v="1720993"/>
    <n v="68"/>
    <n v="6118082"/>
    <n v="17"/>
    <n v="1430483"/>
    <n v="1090009"/>
    <m/>
  </r>
  <r>
    <n v="12"/>
    <x v="23"/>
    <n v="2017"/>
    <s v="Diciembre"/>
    <s v="DIANPAAL"/>
    <n v="1040030764"/>
    <x v="11"/>
    <n v="48718916"/>
    <n v="6065000"/>
    <n v="7738133"/>
    <n v="34915783"/>
    <n v="33000000"/>
    <n v="1.0580540303030304"/>
    <x v="1"/>
    <n v="24"/>
    <x v="7"/>
    <s v="Antioquia"/>
    <s v="Cumple"/>
    <n v="75"/>
    <n v="8661454"/>
    <n v="220"/>
    <n v="23841798"/>
    <n v="96"/>
    <n v="7738133"/>
    <n v="8477531"/>
    <m/>
  </r>
  <r>
    <n v="12"/>
    <x v="23"/>
    <n v="2017"/>
    <s v="Diciembre"/>
    <s v="DIANPOPA"/>
    <n v="31307503"/>
    <x v="33"/>
    <n v="25986829"/>
    <n v="0"/>
    <n v="756490"/>
    <n v="25230339"/>
    <n v="31721000"/>
    <n v="0.79538283786765862"/>
    <x v="0"/>
    <n v="24"/>
    <x v="0"/>
    <s v=""/>
    <s v="No Aplica"/>
    <n v="17"/>
    <n v="1121637"/>
    <n v="42"/>
    <n v="1838853"/>
    <n v="9"/>
    <n v="756490"/>
    <n v="22269849"/>
    <m/>
  </r>
  <r>
    <n v="12"/>
    <x v="23"/>
    <n v="2017"/>
    <s v="Diciembre"/>
    <s v="DIANQUME"/>
    <n v="42164020"/>
    <x v="12"/>
    <n v="60493632"/>
    <n v="2942000"/>
    <n v="9572327"/>
    <n v="47979305"/>
    <n v="43000000"/>
    <n v="1.1157977906976744"/>
    <x v="1"/>
    <n v="24"/>
    <x v="1"/>
    <s v="Antioquia"/>
    <s v="Siempre Cumple"/>
    <n v="100"/>
    <n v="11279425"/>
    <n v="252"/>
    <n v="30380619"/>
    <n v="96"/>
    <n v="9572327"/>
    <n v="9261261"/>
    <m/>
  </r>
  <r>
    <n v="12"/>
    <x v="23"/>
    <n v="2017"/>
    <s v="Diciembre"/>
    <s v="ELIZVESU"/>
    <n v="1035417626"/>
    <x v="13"/>
    <n v="47219857"/>
    <n v="880000"/>
    <n v="6783051"/>
    <n v="39556806"/>
    <n v="37625000"/>
    <n v="1.0513436810631229"/>
    <x v="1"/>
    <n v="24"/>
    <x v="3"/>
    <s v="Antioquia"/>
    <s v="Cumple"/>
    <n v="80"/>
    <n v="10031012"/>
    <n v="192"/>
    <n v="25375821"/>
    <n v="76"/>
    <n v="6783051"/>
    <n v="5029973"/>
    <m/>
  </r>
  <r>
    <n v="12"/>
    <x v="23"/>
    <n v="2017"/>
    <s v="Diciembre"/>
    <s v="ERIKSAVA"/>
    <n v="1017200970"/>
    <x v="44"/>
    <n v="50195576"/>
    <n v="412000"/>
    <n v="8872440"/>
    <n v="40911136"/>
    <n v="30100000"/>
    <n v="1.359173953488372"/>
    <x v="1"/>
    <n v="24"/>
    <x v="4"/>
    <s v="Antioquia"/>
    <s v="Cumple"/>
    <n v="84"/>
    <n v="10276224"/>
    <n v="202"/>
    <n v="23938070"/>
    <n v="89"/>
    <n v="8872440"/>
    <n v="7108842"/>
    <m/>
  </r>
  <r>
    <n v="12"/>
    <x v="23"/>
    <n v="2017"/>
    <s v="Diciembre"/>
    <s v="GENNHEPO"/>
    <n v="43874518"/>
    <x v="14"/>
    <n v="67029634"/>
    <n v="1258400"/>
    <n v="12995899"/>
    <n v="52775335"/>
    <n v="43000000"/>
    <n v="1.2273333720930233"/>
    <x v="1"/>
    <n v="24"/>
    <x v="8"/>
    <s v="Antioquia"/>
    <s v="Fluctúa"/>
    <n v="123"/>
    <n v="11621364"/>
    <n v="334"/>
    <n v="34497692"/>
    <n v="134"/>
    <n v="12995899"/>
    <n v="7914679"/>
    <m/>
  </r>
  <r>
    <n v="12"/>
    <x v="23"/>
    <n v="2017"/>
    <s v="Diciembre"/>
    <s v="HERIRORO"/>
    <n v="21428423"/>
    <x v="52"/>
    <n v="59051382"/>
    <n v="1030400"/>
    <n v="12830370"/>
    <n v="45190612"/>
    <n v="39291666.666666664"/>
    <n v="1.1501322248144221"/>
    <x v="1"/>
    <n v="24"/>
    <x v="5"/>
    <s v="Antioquia"/>
    <s v="Fluctúa"/>
    <n v="124"/>
    <n v="11689081"/>
    <n v="284"/>
    <n v="29109112"/>
    <n v="137"/>
    <n v="12830370"/>
    <n v="5422819"/>
    <m/>
  </r>
  <r>
    <n v="12"/>
    <x v="23"/>
    <n v="2017"/>
    <s v="Diciembre"/>
    <s v="HISNOSPI"/>
    <n v="43114534"/>
    <x v="49"/>
    <n v="53561318"/>
    <n v="304000"/>
    <n v="11431024"/>
    <n v="41826294"/>
    <n v="30100000"/>
    <n v="1.3895778737541529"/>
    <x v="0"/>
    <n v="24"/>
    <x v="4"/>
    <s v="Antioquia"/>
    <s v="No Aplica"/>
    <n v="94"/>
    <n v="10372673"/>
    <n v="256"/>
    <n v="25373884"/>
    <n v="122"/>
    <n v="11431024"/>
    <n v="6383737"/>
    <m/>
  </r>
  <r>
    <n v="12"/>
    <x v="23"/>
    <n v="2017"/>
    <s v="Diciembre"/>
    <s v="ISABMOGO"/>
    <n v="52260671"/>
    <x v="15"/>
    <n v="29598073"/>
    <n v="971000"/>
    <n v="5417838"/>
    <n v="23209235"/>
    <n v="21083333.333333332"/>
    <n v="1.100833280632411"/>
    <x v="1"/>
    <n v="24"/>
    <x v="9"/>
    <s v="Centro"/>
    <s v="Siempre Cumple"/>
    <n v="41"/>
    <n v="4498778"/>
    <n v="138"/>
    <n v="16362691"/>
    <n v="73"/>
    <n v="5417838"/>
    <n v="3318766"/>
    <m/>
  </r>
  <r>
    <n v="12"/>
    <x v="23"/>
    <n v="2017"/>
    <s v="Diciembre"/>
    <s v="JAQUVEGU"/>
    <n v="1036779770"/>
    <x v="16"/>
    <n v="46897479"/>
    <n v="1376000"/>
    <n v="9787124"/>
    <n v="35734355"/>
    <n v="33000000"/>
    <n v="1.0828592424242425"/>
    <x v="0"/>
    <n v="24"/>
    <x v="7"/>
    <s v="Antioquia"/>
    <s v="No Aplica"/>
    <n v="81"/>
    <n v="8437165"/>
    <n v="199"/>
    <n v="22702905"/>
    <n v="104"/>
    <n v="9787124"/>
    <n v="5970285"/>
    <m/>
  </r>
  <r>
    <n v="12"/>
    <x v="23"/>
    <n v="2017"/>
    <s v="Diciembre"/>
    <s v="LEIDGOVI"/>
    <n v="1036598360"/>
    <x v="39"/>
    <n v="59170386"/>
    <n v="1037400"/>
    <n v="10787098"/>
    <n v="47345888"/>
    <n v="43000000"/>
    <n v="1.1010671627906976"/>
    <x v="1"/>
    <n v="24"/>
    <x v="8"/>
    <s v="Antioquia"/>
    <s v="Fluctúa"/>
    <n v="103"/>
    <n v="10810335"/>
    <n v="284"/>
    <n v="31861155"/>
    <n v="119"/>
    <n v="10787098"/>
    <n v="5711798"/>
    <m/>
  </r>
  <r>
    <n v="12"/>
    <x v="23"/>
    <n v="2017"/>
    <s v="Diciembre"/>
    <s v="LILACARA"/>
    <n v="1017141451"/>
    <x v="17"/>
    <n v="69040189"/>
    <n v="3008000"/>
    <n v="12269797"/>
    <n v="53762392"/>
    <n v="43000000"/>
    <n v="1.2502881860465116"/>
    <x v="1"/>
    <n v="24"/>
    <x v="1"/>
    <s v="Antioquia"/>
    <s v="Siempre Cumple"/>
    <n v="110"/>
    <n v="13592733"/>
    <n v="252"/>
    <n v="33026486"/>
    <n v="134"/>
    <n v="12269797"/>
    <n v="10151173"/>
    <m/>
  </r>
  <r>
    <n v="12"/>
    <x v="23"/>
    <n v="2017"/>
    <s v="Diciembre"/>
    <s v="LUZNHEGO"/>
    <n v="43745192"/>
    <x v="19"/>
    <n v="33257499"/>
    <n v="286920"/>
    <n v="4685851"/>
    <n v="28284728"/>
    <n v="23958333.333333332"/>
    <n v="1.1805799513043478"/>
    <x v="1"/>
    <n v="24"/>
    <x v="10"/>
    <s v="Antioquia"/>
    <s v="Cumple"/>
    <n v="46"/>
    <n v="6938411"/>
    <n v="150"/>
    <n v="19352839"/>
    <n v="53"/>
    <n v="4685851"/>
    <n v="2280398"/>
    <m/>
  </r>
  <r>
    <n v="12"/>
    <x v="23"/>
    <n v="2017"/>
    <s v="Diciembre"/>
    <s v="MARGGAPA"/>
    <n v="43866877"/>
    <x v="20"/>
    <n v="60274845"/>
    <n v="206000"/>
    <n v="12630601"/>
    <n v="47438244"/>
    <n v="39291666.666666664"/>
    <n v="1.2073360084835632"/>
    <x v="1"/>
    <n v="24"/>
    <x v="5"/>
    <s v="Antioquia"/>
    <s v="Siempre Cumple"/>
    <n v="101"/>
    <n v="12700857"/>
    <n v="224"/>
    <n v="28830244"/>
    <n v="126"/>
    <n v="12630601"/>
    <n v="6113143"/>
    <m/>
  </r>
  <r>
    <n v="12"/>
    <x v="23"/>
    <n v="2017"/>
    <s v="Diciembre"/>
    <s v="MARIMASA"/>
    <n v="43113640"/>
    <x v="34"/>
    <n v="51059040"/>
    <n v="852000"/>
    <n v="8351671"/>
    <n v="41855369"/>
    <n v="30100000"/>
    <n v="1.3905438205980067"/>
    <x v="1"/>
    <n v="24"/>
    <x v="4"/>
    <s v="Antioquia"/>
    <s v="Cumple"/>
    <n v="89"/>
    <n v="11982799"/>
    <n v="199"/>
    <n v="25164179"/>
    <n v="87"/>
    <n v="8351671"/>
    <n v="5560391"/>
    <m/>
  </r>
  <r>
    <n v="12"/>
    <x v="23"/>
    <n v="2017"/>
    <s v="Diciembre"/>
    <s v="MARIOCOC"/>
    <n v="39448823"/>
    <x v="21"/>
    <n v="54391198"/>
    <n v="2566000"/>
    <n v="8813660"/>
    <n v="43011538"/>
    <n v="33000000"/>
    <n v="1.3033799393939394"/>
    <x v="1"/>
    <n v="24"/>
    <x v="7"/>
    <s v="Antioquia"/>
    <s v="Siempre Cumple"/>
    <n v="89"/>
    <n v="11073719"/>
    <n v="222"/>
    <n v="29113777"/>
    <n v="99"/>
    <n v="8813660"/>
    <n v="5390042"/>
    <m/>
  </r>
  <r>
    <n v="12"/>
    <x v="23"/>
    <n v="2017"/>
    <s v="Diciembre"/>
    <s v="NATAPIDU"/>
    <n v="43907427"/>
    <x v="25"/>
    <n v="53519837"/>
    <n v="669600"/>
    <n v="5422439"/>
    <n v="47427798"/>
    <n v="30000000"/>
    <n v="1.5809266"/>
    <x v="1"/>
    <n v="24"/>
    <x v="11"/>
    <s v="Antioquia"/>
    <s v="Siempre Cumple"/>
    <n v="39"/>
    <n v="7381483"/>
    <n v="134"/>
    <n v="35068369"/>
    <n v="55"/>
    <n v="5422439"/>
    <n v="5647546"/>
    <m/>
  </r>
  <r>
    <n v="12"/>
    <x v="23"/>
    <n v="2017"/>
    <s v="Diciembre"/>
    <s v="NATAVAMO"/>
    <n v="32183069"/>
    <x v="63"/>
    <n v="19569050"/>
    <n v="0"/>
    <n v="6834946"/>
    <n v="12734104"/>
    <n v="21500000"/>
    <n v="0.59228390697674416"/>
    <x v="1"/>
    <n v="24"/>
    <x v="1"/>
    <s v="Antioquia"/>
    <s v="No Cumple"/>
    <n v="32"/>
    <n v="3983787"/>
    <n v="80"/>
    <n v="7534286"/>
    <n v="71"/>
    <n v="6834946"/>
    <n v="1216031"/>
    <m/>
  </r>
  <r>
    <n v="12"/>
    <x v="23"/>
    <n v="2017"/>
    <s v="Diciembre"/>
    <s v="PAOLPACA"/>
    <n v="31445278"/>
    <x v="47"/>
    <n v="23326099"/>
    <n v="0"/>
    <n v="5055322"/>
    <n v="18270777"/>
    <n v="21250000"/>
    <n v="0.8598012705882353"/>
    <x v="1"/>
    <n v="24"/>
    <x v="14"/>
    <s v="Occidente"/>
    <s v="Cumple"/>
    <n v="41"/>
    <n v="3235203"/>
    <n v="146"/>
    <n v="13900518"/>
    <n v="65"/>
    <n v="5055322"/>
    <n v="1135056"/>
    <m/>
  </r>
  <r>
    <n v="12"/>
    <x v="23"/>
    <n v="2017"/>
    <s v="Diciembre"/>
    <s v="PAULGOBA"/>
    <n v="32256379"/>
    <x v="36"/>
    <n v="11517022"/>
    <n v="0"/>
    <n v="1992875"/>
    <n v="9524147"/>
    <n v="10500000"/>
    <n v="0.90706161904761906"/>
    <x v="1"/>
    <n v="24"/>
    <x v="13"/>
    <s v="Antioquia"/>
    <s v="Fluctúa"/>
    <n v="0"/>
    <n v="0"/>
    <n v="0"/>
    <n v="0"/>
    <n v="31"/>
    <n v="1992875"/>
    <n v="9524147"/>
    <m/>
  </r>
  <r>
    <n v="12"/>
    <x v="23"/>
    <n v="2017"/>
    <s v="Diciembre"/>
    <s v="RAULMOGA"/>
    <n v="79701425"/>
    <x v="27"/>
    <n v="32482625"/>
    <n v="440000"/>
    <n v="5081430"/>
    <n v="26961195"/>
    <n v="15000000"/>
    <n v="1.7974129999999999"/>
    <x v="0"/>
    <n v="24"/>
    <x v="6"/>
    <s v="Centro"/>
    <s v="No Aplica"/>
    <n v="83"/>
    <n v="5125419"/>
    <n v="206"/>
    <n v="18553694"/>
    <n v="77"/>
    <n v="5081430"/>
    <n v="3722082"/>
    <m/>
  </r>
  <r>
    <n v="12"/>
    <x v="23"/>
    <n v="2017"/>
    <s v="Diciembre"/>
    <s v="ROCIFASA"/>
    <n v="34542470"/>
    <x v="28"/>
    <n v="23006928"/>
    <n v="537480"/>
    <n v="2466671"/>
    <n v="20002777"/>
    <n v="7291666.666666666"/>
    <n v="2.7432379885714289"/>
    <x v="1"/>
    <n v="24"/>
    <x v="12"/>
    <s v="Occidente"/>
    <s v="Siempre Cumple"/>
    <n v="35"/>
    <n v="4592959"/>
    <n v="94"/>
    <n v="12617280"/>
    <n v="28"/>
    <n v="2466671"/>
    <n v="3330018"/>
    <m/>
  </r>
  <r>
    <n v="12"/>
    <x v="23"/>
    <n v="2017"/>
    <s v="Diciembre"/>
    <s v="SUANHECO"/>
    <n v="1020409789"/>
    <x v="58"/>
    <n v="78221017"/>
    <n v="2726000"/>
    <n v="16024320"/>
    <n v="59470697"/>
    <n v="43000000"/>
    <n v="1.3830394651162792"/>
    <x v="1"/>
    <n v="24"/>
    <x v="1"/>
    <s v="Antioquia"/>
    <s v="Cumple"/>
    <n v="137"/>
    <n v="16608865"/>
    <n v="340"/>
    <n v="37422920"/>
    <n v="178"/>
    <n v="16024320"/>
    <n v="8164912"/>
    <m/>
  </r>
  <r>
    <n v="12"/>
    <x v="23"/>
    <n v="2017"/>
    <s v="Diciembre"/>
    <s v="TATIRITR"/>
    <n v="1130597373"/>
    <x v="60"/>
    <n v="37359204"/>
    <n v="112800"/>
    <n v="4805905"/>
    <n v="32440499"/>
    <n v="26458333.333333332"/>
    <n v="1.2260976000000001"/>
    <x v="1"/>
    <n v="24"/>
    <x v="16"/>
    <s v="Occidente"/>
    <s v="Fluctúa"/>
    <n v="64"/>
    <n v="8554063"/>
    <n v="180"/>
    <n v="21435532"/>
    <n v="56"/>
    <n v="4805905"/>
    <n v="2563704"/>
    <m/>
  </r>
  <r>
    <n v="12"/>
    <x v="23"/>
    <n v="2017"/>
    <s v="Diciembre"/>
    <s v="VIVIVAZA"/>
    <n v="43745952"/>
    <x v="30"/>
    <n v="83843568"/>
    <n v="2500000"/>
    <n v="16737154"/>
    <n v="64606414"/>
    <n v="43000000"/>
    <n v="1.5024747441860464"/>
    <x v="1"/>
    <n v="24"/>
    <x v="3"/>
    <s v="Antioquia"/>
    <s v="Siempre Cumple"/>
    <n v="143"/>
    <n v="16431927"/>
    <n v="300"/>
    <n v="39665502"/>
    <n v="169"/>
    <n v="16737154"/>
    <n v="11008985"/>
    <m/>
  </r>
  <r>
    <n v="12"/>
    <x v="23"/>
    <n v="2017"/>
    <s v="Diciembre"/>
    <s v="YANEARNA"/>
    <n v="66857504"/>
    <x v="62"/>
    <n v="13659094"/>
    <n v="0"/>
    <n v="5367869"/>
    <n v="8291225"/>
    <n v="30000000"/>
    <n v="0.27637416666666664"/>
    <x v="0"/>
    <n v="24"/>
    <x v="0"/>
    <s v=""/>
    <s v="No Aplica"/>
    <n v="22"/>
    <n v="1921543"/>
    <n v="102"/>
    <n v="5626937"/>
    <n v="62"/>
    <n v="5367869"/>
    <n v="742745"/>
    <m/>
  </r>
  <r>
    <n v="12"/>
    <x v="23"/>
    <n v="2017"/>
    <s v="Diciembre"/>
    <s v="YENISIGI"/>
    <n v="1035913369"/>
    <x v="64"/>
    <n v="30693810"/>
    <n v="880000"/>
    <n v="8603656"/>
    <n v="21210154"/>
    <n v="39291666.666666664"/>
    <n v="0.53981303923647939"/>
    <x v="1"/>
    <n v="24"/>
    <x v="5"/>
    <s v="Antioquia"/>
    <s v="Fluctúa"/>
    <n v="41"/>
    <n v="3979405"/>
    <n v="138"/>
    <n v="14919694"/>
    <n v="96"/>
    <n v="8603656"/>
    <n v="3191055"/>
    <m/>
  </r>
  <r>
    <n v="12"/>
    <x v="23"/>
    <n v="2017"/>
    <s v="Diciembre"/>
    <s v="YENYSUPE"/>
    <n v="1020419011"/>
    <x v="51"/>
    <n v="60936109"/>
    <n v="524000"/>
    <n v="12161620"/>
    <n v="48250489"/>
    <n v="43000000"/>
    <n v="1.1221043953488372"/>
    <x v="1"/>
    <n v="24"/>
    <x v="8"/>
    <s v="Antioquia"/>
    <s v="Cumple"/>
    <n v="125"/>
    <n v="11479432"/>
    <n v="278"/>
    <n v="30236614"/>
    <n v="130"/>
    <n v="12161620"/>
    <n v="7058443"/>
    <m/>
  </r>
  <r>
    <n v="12"/>
    <x v="23"/>
    <n v="2017"/>
    <s v="Diciembre"/>
    <s v="YULIRIRE"/>
    <n v="21982241"/>
    <x v="57"/>
    <n v="42401714"/>
    <n v="412000"/>
    <n v="8892342"/>
    <n v="33097372"/>
    <n v="29000000"/>
    <n v="1.1412886896551724"/>
    <x v="1"/>
    <n v="24"/>
    <x v="2"/>
    <s v="Antioquia"/>
    <s v="Fluctúa"/>
    <n v="82"/>
    <n v="8132528"/>
    <n v="211"/>
    <n v="20384196"/>
    <n v="102"/>
    <n v="8892342"/>
    <n v="4992648"/>
    <m/>
  </r>
  <r>
    <n v="12"/>
    <x v="23"/>
    <n v="2017"/>
    <s v="Diciembre"/>
    <s v="YURAUSVE"/>
    <n v="1020419615"/>
    <x v="56"/>
    <n v="66548425"/>
    <n v="0"/>
    <n v="13932577"/>
    <n v="52615848"/>
    <n v="43000000"/>
    <n v="1.2236243720930233"/>
    <x v="1"/>
    <n v="24"/>
    <x v="8"/>
    <s v="Antioquia"/>
    <s v="Cumple"/>
    <n v="123"/>
    <n v="12399083"/>
    <n v="293"/>
    <n v="33312372"/>
    <n v="149"/>
    <n v="13932577"/>
    <n v="6904393"/>
    <m/>
  </r>
  <r>
    <n v="12"/>
    <x v="23"/>
    <n v="2017"/>
    <s v="Diciembre"/>
    <s v="ZULYARGA"/>
    <n v="43259130"/>
    <x v="31"/>
    <n v="52696012"/>
    <n v="1632000"/>
    <n v="8895980"/>
    <n v="42168032"/>
    <n v="34041666.666666672"/>
    <n v="1.2387181982864135"/>
    <x v="1"/>
    <n v="24"/>
    <x v="1"/>
    <s v="Antioquia"/>
    <s v="Fluctúa"/>
    <n v="99"/>
    <n v="11395264"/>
    <n v="254"/>
    <n v="27638192"/>
    <n v="103"/>
    <n v="8895980"/>
    <n v="4766576"/>
    <m/>
  </r>
  <r>
    <n v="12"/>
    <x v="23"/>
    <n v="2017"/>
    <s v="Diciembre"/>
    <s v="ANAKBEZA"/>
    <m/>
    <x v="7"/>
    <n v="407117"/>
    <n v="0"/>
    <n v="69764"/>
    <n v="337353"/>
    <m/>
    <m/>
    <x v="0"/>
    <n v="24"/>
    <x v="0"/>
    <s v=""/>
    <s v="No Aplica"/>
    <n v="2"/>
    <n v="120638"/>
    <n v="2"/>
    <n v="216715"/>
    <n v="1"/>
    <n v="69764"/>
    <n v="0"/>
    <m/>
  </r>
  <r>
    <n v="12"/>
    <x v="23"/>
    <n v="2017"/>
    <s v="Diciembre"/>
    <s v="ANGEROPI"/>
    <m/>
    <x v="7"/>
    <n v="4247115"/>
    <n v="0"/>
    <n v="668750"/>
    <n v="3578365"/>
    <m/>
    <m/>
    <x v="0"/>
    <n v="24"/>
    <x v="0"/>
    <s v=""/>
    <s v="No Aplica"/>
    <n v="7"/>
    <n v="798035"/>
    <n v="22"/>
    <n v="2247330"/>
    <n v="7"/>
    <n v="668750"/>
    <n v="533000"/>
    <m/>
  </r>
  <r>
    <n v="12"/>
    <x v="23"/>
    <n v="2017"/>
    <s v="Diciembre"/>
    <s v="CAROVABE"/>
    <m/>
    <x v="7"/>
    <n v="985602"/>
    <n v="0"/>
    <n v="0"/>
    <n v="985602"/>
    <m/>
    <m/>
    <x v="0"/>
    <n v="24"/>
    <x v="0"/>
    <s v=""/>
    <s v="No Aplica"/>
    <n v="2"/>
    <n v="154001"/>
    <n v="4"/>
    <n v="391600"/>
    <n v="0"/>
    <n v="0"/>
    <n v="440001"/>
    <m/>
  </r>
  <r>
    <n v="12"/>
    <x v="23"/>
    <n v="2017"/>
    <s v="Diciembre"/>
    <s v="CLAUREME"/>
    <m/>
    <x v="7"/>
    <n v="281200"/>
    <n v="0"/>
    <n v="0"/>
    <n v="281200"/>
    <m/>
    <m/>
    <x v="0"/>
    <n v="24"/>
    <x v="0"/>
    <s v=""/>
    <s v="No Aplica"/>
    <n v="0"/>
    <n v="0"/>
    <n v="0"/>
    <n v="0"/>
    <n v="0"/>
    <n v="0"/>
    <n v="281200"/>
    <m/>
  </r>
  <r>
    <n v="12"/>
    <x v="23"/>
    <n v="2017"/>
    <s v="Diciembre"/>
    <s v="DARWHERI"/>
    <m/>
    <x v="7"/>
    <n v="3754448"/>
    <n v="0"/>
    <n v="2746690"/>
    <n v="1007758"/>
    <m/>
    <m/>
    <x v="0"/>
    <n v="24"/>
    <x v="0"/>
    <s v=""/>
    <s v="No Aplica"/>
    <n v="2"/>
    <n v="94572"/>
    <n v="4"/>
    <n v="156160"/>
    <n v="35"/>
    <n v="2746690"/>
    <n v="757026"/>
    <m/>
  </r>
  <r>
    <n v="12"/>
    <x v="23"/>
    <n v="2017"/>
    <s v="Diciembre"/>
    <s v="EMMAARMA"/>
    <m/>
    <x v="7"/>
    <n v="94800"/>
    <n v="0"/>
    <n v="0"/>
    <n v="94800"/>
    <m/>
    <m/>
    <x v="0"/>
    <n v="24"/>
    <x v="0"/>
    <s v=""/>
    <s v="No Aplica"/>
    <n v="0"/>
    <n v="0"/>
    <n v="0"/>
    <n v="0"/>
    <n v="0"/>
    <n v="0"/>
    <n v="94800"/>
    <m/>
  </r>
  <r>
    <n v="12"/>
    <x v="23"/>
    <n v="2017"/>
    <s v="Diciembre"/>
    <s v="LUCIGOAL"/>
    <m/>
    <x v="7"/>
    <n v="43870"/>
    <n v="0"/>
    <n v="43870"/>
    <n v="0"/>
    <m/>
    <m/>
    <x v="0"/>
    <n v="24"/>
    <x v="0"/>
    <s v=""/>
    <s v="No Aplica"/>
    <n v="0"/>
    <n v="0"/>
    <n v="0"/>
    <n v="0"/>
    <n v="1"/>
    <n v="43870"/>
    <n v="0"/>
    <m/>
  </r>
  <r>
    <n v="12"/>
    <x v="23"/>
    <n v="2017"/>
    <s v="Diciembre"/>
    <s v="LUZMARMO"/>
    <m/>
    <x v="7"/>
    <n v="43870"/>
    <n v="0"/>
    <n v="43870"/>
    <n v="0"/>
    <m/>
    <m/>
    <x v="0"/>
    <n v="24"/>
    <x v="0"/>
    <s v=""/>
    <s v="No Aplica"/>
    <n v="0"/>
    <n v="0"/>
    <n v="0"/>
    <n v="0"/>
    <n v="1"/>
    <n v="43870"/>
    <n v="0"/>
    <m/>
  </r>
  <r>
    <n v="12"/>
    <x v="23"/>
    <n v="2017"/>
    <s v="Diciembre"/>
    <s v="MONIMEME"/>
    <m/>
    <x v="7"/>
    <n v="420000"/>
    <n v="0"/>
    <n v="0"/>
    <n v="420000"/>
    <m/>
    <m/>
    <x v="0"/>
    <n v="24"/>
    <x v="0"/>
    <s v=""/>
    <s v="No Aplica"/>
    <n v="0"/>
    <n v="0"/>
    <n v="0"/>
    <n v="0"/>
    <n v="0"/>
    <n v="0"/>
    <n v="420000"/>
    <m/>
  </r>
  <r>
    <n v="12"/>
    <x v="23"/>
    <n v="2017"/>
    <s v="Diciembre"/>
    <s v="NATA"/>
    <m/>
    <x v="7"/>
    <n v="319594"/>
    <n v="0"/>
    <n v="0"/>
    <n v="319594"/>
    <m/>
    <m/>
    <x v="0"/>
    <n v="24"/>
    <x v="0"/>
    <s v=""/>
    <s v="No Aplica"/>
    <n v="1"/>
    <n v="151571"/>
    <n v="0"/>
    <n v="0"/>
    <n v="0"/>
    <n v="0"/>
    <n v="168023"/>
    <m/>
  </r>
  <r>
    <n v="12"/>
    <x v="23"/>
    <n v="2017"/>
    <s v="Diciembre"/>
    <s v="OSCADESU"/>
    <m/>
    <x v="7"/>
    <n v="134285"/>
    <n v="0"/>
    <n v="134285"/>
    <n v="0"/>
    <m/>
    <m/>
    <x v="0"/>
    <n v="24"/>
    <x v="0"/>
    <s v=""/>
    <s v="No Aplica"/>
    <n v="0"/>
    <n v="0"/>
    <n v="0"/>
    <n v="0"/>
    <n v="1"/>
    <n v="134285"/>
    <n v="0"/>
    <m/>
  </r>
  <r>
    <n v="1"/>
    <x v="24"/>
    <n v="2018"/>
    <s v="Enero"/>
    <s v="ADRIMOLU"/>
    <n v="43169964"/>
    <x v="1"/>
    <n v="17269335"/>
    <n v="716000"/>
    <n v="3005844"/>
    <n v="13547491"/>
    <n v="9800000"/>
    <n v="1.3823970408163266"/>
    <x v="1"/>
    <n v="25"/>
    <x v="1"/>
    <s v="Antioquia"/>
    <s v="Cumple"/>
    <n v="31"/>
    <n v="3736764"/>
    <n v="80"/>
    <n v="8539208"/>
    <n v="32"/>
    <n v="3005844"/>
    <n v="1987519"/>
    <s v="Inicio Vacaciones"/>
  </r>
  <r>
    <n v="1"/>
    <x v="24"/>
    <n v="2018"/>
    <s v="Enero"/>
    <s v="ALEXLOGR"/>
    <n v="43253531"/>
    <x v="2"/>
    <n v="61297489"/>
    <n v="273600"/>
    <n v="14362717"/>
    <n v="46661172"/>
    <n v="35000000"/>
    <n v="1.3331763428571428"/>
    <x v="1"/>
    <n v="25"/>
    <x v="2"/>
    <s v="Antioquia"/>
    <s v="Cumple"/>
    <n v="105"/>
    <n v="8964456"/>
    <n v="256"/>
    <n v="30393569"/>
    <n v="159"/>
    <n v="14362717"/>
    <n v="7576747"/>
    <s v="NO"/>
  </r>
  <r>
    <n v="1"/>
    <x v="24"/>
    <n v="2018"/>
    <s v="Enero"/>
    <s v="ALVAOSOS"/>
    <n v="3438422"/>
    <x v="37"/>
    <n v="60743546"/>
    <n v="1058000"/>
    <n v="12854659"/>
    <n v="46830887"/>
    <n v="44000000"/>
    <n v="1.064338340909091"/>
    <x v="1"/>
    <n v="25"/>
    <x v="8"/>
    <s v="Antioquia"/>
    <s v="Fluctúa"/>
    <n v="84"/>
    <n v="9695862"/>
    <n v="196"/>
    <n v="29749174"/>
    <n v="138"/>
    <n v="12854659"/>
    <n v="8443851"/>
    <s v="NO"/>
  </r>
  <r>
    <n v="1"/>
    <x v="24"/>
    <n v="2018"/>
    <s v="Enero"/>
    <s v="ANAKBEZA"/>
    <n v="43906785"/>
    <x v="65"/>
    <n v="34369462"/>
    <n v="440000"/>
    <n v="8402389"/>
    <n v="25527073"/>
    <n v="42000000"/>
    <n v="0.60778745238095233"/>
    <x v="0"/>
    <n v="25"/>
    <x v="0"/>
    <s v=""/>
    <s v="No Aplica"/>
    <n v="51"/>
    <n v="5887141"/>
    <n v="144"/>
    <n v="16615804"/>
    <n v="87"/>
    <n v="8402389"/>
    <n v="3464128"/>
    <m/>
  </r>
  <r>
    <n v="1"/>
    <x v="24"/>
    <n v="2018"/>
    <s v="Enero"/>
    <s v="ANAMLOBE"/>
    <n v="43821410"/>
    <x v="3"/>
    <n v="83994476"/>
    <n v="960000"/>
    <n v="14690675"/>
    <n v="68343801"/>
    <n v="44000000"/>
    <n v="1.5532682045454544"/>
    <x v="1"/>
    <n v="25"/>
    <x v="3"/>
    <s v="Antioquia"/>
    <s v="Siempre Cumple"/>
    <n v="128"/>
    <n v="15496805"/>
    <n v="297"/>
    <n v="44542364"/>
    <n v="157"/>
    <n v="14650975"/>
    <n v="9304332"/>
    <s v="NO"/>
  </r>
  <r>
    <n v="1"/>
    <x v="24"/>
    <n v="2018"/>
    <s v="Enero"/>
    <s v="ANDRSAZA"/>
    <n v="1020736461"/>
    <x v="45"/>
    <n v="59477126"/>
    <n v="968000"/>
    <n v="8590067"/>
    <n v="49919059"/>
    <n v="28000000"/>
    <n v="1.7828235357142856"/>
    <x v="1"/>
    <n v="25"/>
    <x v="9"/>
    <s v="Centro"/>
    <s v="Siempre Cumple"/>
    <n v="89"/>
    <n v="10192554"/>
    <n v="240"/>
    <n v="36365599"/>
    <n v="124"/>
    <n v="8590067"/>
    <n v="4328906"/>
    <s v="NO"/>
  </r>
  <r>
    <n v="1"/>
    <x v="24"/>
    <n v="2018"/>
    <s v="Enero"/>
    <s v="ANGEGAAR"/>
    <n v="39442617"/>
    <x v="4"/>
    <n v="23318843"/>
    <n v="0"/>
    <n v="2788527"/>
    <n v="20530316"/>
    <n v="20000000"/>
    <n v="1.0265158000000001"/>
    <x v="1"/>
    <n v="25"/>
    <x v="4"/>
    <s v="Antioquia"/>
    <s v="Cumple"/>
    <n v="29"/>
    <n v="5761601"/>
    <n v="72"/>
    <n v="10271366"/>
    <n v="35"/>
    <n v="2788527"/>
    <n v="4497349"/>
    <s v="NO"/>
  </r>
  <r>
    <n v="1"/>
    <x v="24"/>
    <n v="2018"/>
    <s v="Enero"/>
    <s v="BIBIBECA"/>
    <n v="43971430"/>
    <x v="6"/>
    <n v="63959830"/>
    <n v="1980000"/>
    <n v="16625981"/>
    <n v="45353849"/>
    <n v="42000000"/>
    <n v="1.0798535476190476"/>
    <x v="1"/>
    <n v="25"/>
    <x v="5"/>
    <s v="Antioquia"/>
    <s v="Siempre Cumple"/>
    <n v="110"/>
    <n v="11042155"/>
    <n v="276"/>
    <n v="27542867"/>
    <n v="176"/>
    <n v="16625981"/>
    <n v="8748827"/>
    <s v="NO"/>
  </r>
  <r>
    <n v="1"/>
    <x v="24"/>
    <n v="2018"/>
    <s v="Enero"/>
    <s v="CAMIPUHE"/>
    <n v="79850984"/>
    <x v="53"/>
    <n v="37552109"/>
    <n v="1408000"/>
    <n v="6518868"/>
    <n v="29625241"/>
    <n v="28000000"/>
    <n v="1.0580443214285715"/>
    <x v="1"/>
    <n v="25"/>
    <x v="15"/>
    <s v="Centro"/>
    <s v="Fluctúa"/>
    <n v="67"/>
    <n v="6483868"/>
    <n v="198"/>
    <n v="21613657"/>
    <n v="89"/>
    <n v="6518868"/>
    <n v="2935716"/>
    <s v="NO"/>
  </r>
  <r>
    <n v="1"/>
    <x v="24"/>
    <n v="2018"/>
    <s v="Enero"/>
    <s v="CARORAMN"/>
    <n v="1020451288"/>
    <x v="61"/>
    <n v="58791171"/>
    <n v="304000"/>
    <n v="11636999"/>
    <n v="46850172"/>
    <n v="44000000"/>
    <n v="1.0647766363636364"/>
    <x v="1"/>
    <n v="25"/>
    <x v="8"/>
    <s v="Antioquia"/>
    <s v="Cumple"/>
    <n v="96"/>
    <n v="11876230"/>
    <n v="252"/>
    <n v="29357337"/>
    <n v="136"/>
    <n v="11636999"/>
    <n v="5920605"/>
    <s v="NO"/>
  </r>
  <r>
    <n v="1"/>
    <x v="24"/>
    <n v="2018"/>
    <s v="Enero"/>
    <s v="CARORICA"/>
    <n v="31309227"/>
    <x v="59"/>
    <n v="25906256"/>
    <n v="0"/>
    <n v="8142272"/>
    <n v="17763984"/>
    <n v="30000000"/>
    <n v="0.59213280000000001"/>
    <x v="0"/>
    <n v="25"/>
    <x v="0"/>
    <s v=""/>
    <s v="No Aplica"/>
    <n v="31"/>
    <n v="2943935"/>
    <n v="144"/>
    <n v="10698117"/>
    <n v="88"/>
    <n v="8142272"/>
    <n v="4121932"/>
    <m/>
  </r>
  <r>
    <n v="1"/>
    <x v="24"/>
    <n v="2018"/>
    <s v="Enero"/>
    <s v="CINDGACU"/>
    <n v="1020443426"/>
    <x v="55"/>
    <n v="32254707"/>
    <n v="1705400"/>
    <n v="10175486"/>
    <n v="20373821"/>
    <n v="42000000"/>
    <n v="0.4850909761904762"/>
    <x v="1"/>
    <n v="25"/>
    <x v="4"/>
    <s v="Antioquia"/>
    <s v="Fluctúa"/>
    <n v="43"/>
    <n v="3895972"/>
    <n v="146"/>
    <n v="13681434"/>
    <n v="106"/>
    <n v="10175486"/>
    <n v="4501815"/>
    <s v="NO"/>
  </r>
  <r>
    <n v="1"/>
    <x v="24"/>
    <n v="2018"/>
    <s v="Enero"/>
    <s v="CLAUBLAR"/>
    <n v="43554403"/>
    <x v="8"/>
    <n v="76531014"/>
    <n v="852000"/>
    <n v="17738995"/>
    <n v="57940019"/>
    <n v="42000000"/>
    <n v="1.3795242619047619"/>
    <x v="1"/>
    <n v="25"/>
    <x v="5"/>
    <s v="Antioquia"/>
    <s v="Siempre Cumple"/>
    <n v="105"/>
    <n v="13182111"/>
    <n v="281"/>
    <n v="37750781"/>
    <n v="178"/>
    <n v="17738995"/>
    <n v="7859127"/>
    <s v="NO"/>
  </r>
  <r>
    <n v="1"/>
    <x v="24"/>
    <n v="2018"/>
    <s v="Enero"/>
    <s v="DEISCACR"/>
    <n v="1017167720"/>
    <x v="50"/>
    <n v="62472955"/>
    <n v="304000"/>
    <n v="12349191"/>
    <n v="49819764"/>
    <n v="44000000"/>
    <n v="1.1322673636363636"/>
    <x v="1"/>
    <n v="25"/>
    <x v="8"/>
    <s v="Antioquia"/>
    <s v="Cumple"/>
    <n v="110"/>
    <n v="12051967"/>
    <n v="256"/>
    <n v="30714148"/>
    <n v="137"/>
    <n v="12349191"/>
    <n v="7357649"/>
    <s v="NO"/>
  </r>
  <r>
    <n v="1"/>
    <x v="24"/>
    <n v="2018"/>
    <s v="Enero"/>
    <s v="DERLARMO"/>
    <n v="52725011"/>
    <x v="10"/>
    <n v="35457950"/>
    <n v="1042000"/>
    <n v="7162901"/>
    <n v="27253049"/>
    <n v="25000000"/>
    <n v="1.0901219600000001"/>
    <x v="1"/>
    <n v="25"/>
    <x v="6"/>
    <s v="Centro"/>
    <s v="Fluctúa"/>
    <n v="87"/>
    <n v="5053807"/>
    <n v="218"/>
    <n v="20185442"/>
    <n v="108"/>
    <n v="7162901"/>
    <n v="3055800"/>
    <s v="NO"/>
  </r>
  <r>
    <n v="1"/>
    <x v="24"/>
    <n v="2018"/>
    <s v="Enero"/>
    <s v="DIANPAAL"/>
    <n v="1040030764"/>
    <x v="11"/>
    <n v="58474859"/>
    <n v="3762400"/>
    <n v="13481465"/>
    <n v="41230994"/>
    <n v="35000000"/>
    <n v="1.1780284000000001"/>
    <x v="1"/>
    <n v="25"/>
    <x v="7"/>
    <s v="Antioquia"/>
    <s v="Cumple"/>
    <n v="97"/>
    <n v="10771133"/>
    <n v="229"/>
    <n v="27174750"/>
    <n v="148"/>
    <n v="13481465"/>
    <n v="7047511"/>
    <s v="NO"/>
  </r>
  <r>
    <n v="1"/>
    <x v="24"/>
    <n v="2018"/>
    <s v="Enero"/>
    <s v="DIANQUME"/>
    <n v="42164020"/>
    <x v="12"/>
    <n v="76461640"/>
    <n v="2512000"/>
    <n v="13521697"/>
    <n v="60427943"/>
    <n v="44000000"/>
    <n v="1.3733623409090909"/>
    <x v="1"/>
    <n v="25"/>
    <x v="1"/>
    <s v="Antioquia"/>
    <s v="Siempre Cumple"/>
    <n v="113"/>
    <n v="11949711"/>
    <n v="318"/>
    <n v="41649046"/>
    <n v="149"/>
    <n v="13521697"/>
    <n v="9341186"/>
    <m/>
  </r>
  <r>
    <n v="1"/>
    <x v="24"/>
    <n v="2018"/>
    <s v="Enero"/>
    <s v="ELIZVESU"/>
    <n v="1035417626"/>
    <x v="13"/>
    <n v="75021196"/>
    <n v="744000"/>
    <n v="17693092"/>
    <n v="56584104"/>
    <n v="44000000"/>
    <n v="1.2860023636363636"/>
    <x v="1"/>
    <n v="25"/>
    <x v="3"/>
    <s v="Antioquia"/>
    <s v="Cumple"/>
    <n v="99"/>
    <n v="12616203"/>
    <n v="280"/>
    <n v="36275252"/>
    <n v="176"/>
    <n v="17693092"/>
    <n v="8436649"/>
    <s v="NO"/>
  </r>
  <r>
    <n v="1"/>
    <x v="24"/>
    <n v="2018"/>
    <s v="Enero"/>
    <s v="ERIKSAVA"/>
    <n v="1017200970"/>
    <x v="44"/>
    <n v="47939661"/>
    <n v="412000"/>
    <n v="10240435"/>
    <n v="37287226"/>
    <n v="36000000"/>
    <n v="1.0357562777777778"/>
    <x v="1"/>
    <n v="25"/>
    <x v="4"/>
    <s v="Antioquia"/>
    <s v="Cumple"/>
    <n v="83"/>
    <n v="9983756"/>
    <n v="174"/>
    <n v="20996211"/>
    <n v="113"/>
    <n v="10240435"/>
    <n v="6719259"/>
    <s v="NO"/>
  </r>
  <r>
    <n v="1"/>
    <x v="24"/>
    <n v="2018"/>
    <s v="Enero"/>
    <s v="GENNHEPO"/>
    <n v="43874518"/>
    <x v="14"/>
    <n v="64212459"/>
    <n v="890000"/>
    <n v="11834200"/>
    <n v="51488259"/>
    <n v="44000000"/>
    <n v="1.1701877045454545"/>
    <x v="1"/>
    <n v="25"/>
    <x v="8"/>
    <s v="Antioquia"/>
    <s v="Fluctúa"/>
    <n v="107"/>
    <n v="11882724"/>
    <n v="320"/>
    <n v="33905055"/>
    <n v="137"/>
    <n v="11834200"/>
    <n v="6590480"/>
    <s v="NO"/>
  </r>
  <r>
    <n v="1"/>
    <x v="24"/>
    <n v="2018"/>
    <s v="Enero"/>
    <s v="HERIRORO"/>
    <n v="21428423"/>
    <x v="52"/>
    <n v="57205580"/>
    <n v="836000"/>
    <n v="12301148"/>
    <n v="44068432"/>
    <n v="42000000"/>
    <n v="1.0492483809523809"/>
    <x v="1"/>
    <n v="25"/>
    <x v="5"/>
    <s v="Antioquia"/>
    <s v="Fluctúa"/>
    <n v="119"/>
    <n v="11313459"/>
    <n v="296"/>
    <n v="26728412"/>
    <n v="133"/>
    <n v="12301148"/>
    <n v="6862561"/>
    <s v="NO"/>
  </r>
  <r>
    <n v="1"/>
    <x v="24"/>
    <n v="2018"/>
    <s v="Enero"/>
    <s v="HISNOSPI"/>
    <n v="43114534"/>
    <x v="49"/>
    <n v="57412400"/>
    <n v="1442000"/>
    <n v="12946572"/>
    <n v="43023828"/>
    <n v="36000000"/>
    <n v="1.1951063333333334"/>
    <x v="0"/>
    <n v="25"/>
    <x v="4"/>
    <s v="Antioquia"/>
    <s v="No Aplica"/>
    <n v="103"/>
    <n v="11565674"/>
    <n v="254"/>
    <n v="27247266"/>
    <n v="143"/>
    <n v="12946572"/>
    <n v="5652888"/>
    <m/>
  </r>
  <r>
    <n v="1"/>
    <x v="24"/>
    <n v="2018"/>
    <s v="Enero"/>
    <s v="ISABMOGO"/>
    <n v="52260671"/>
    <x v="15"/>
    <n v="39958959"/>
    <n v="823400"/>
    <n v="7374226"/>
    <n v="31761333"/>
    <n v="28000000"/>
    <n v="1.1343333214285714"/>
    <x v="1"/>
    <n v="25"/>
    <x v="9"/>
    <s v="Centro"/>
    <s v="Siempre Cumple"/>
    <n v="73"/>
    <n v="7071336"/>
    <n v="196"/>
    <n v="22477081"/>
    <n v="99"/>
    <n v="7374226"/>
    <n v="3036316"/>
    <s v="NO"/>
  </r>
  <r>
    <n v="1"/>
    <x v="24"/>
    <n v="2018"/>
    <s v="Enero"/>
    <s v="JAQUVEGU"/>
    <n v="1036779770"/>
    <x v="16"/>
    <n v="54056154"/>
    <n v="4048000"/>
    <n v="10305133"/>
    <n v="39703021"/>
    <n v="35000000"/>
    <n v="1.1343720285714285"/>
    <x v="0"/>
    <n v="25"/>
    <x v="7"/>
    <s v="Antioquia"/>
    <s v="No Aplica"/>
    <n v="94"/>
    <n v="10015735"/>
    <n v="237"/>
    <n v="25965291"/>
    <n v="118"/>
    <n v="10305133"/>
    <n v="7769995"/>
    <m/>
  </r>
  <r>
    <n v="1"/>
    <x v="24"/>
    <n v="2018"/>
    <s v="Enero"/>
    <s v="LEIDGOVI"/>
    <n v="1036598360"/>
    <x v="39"/>
    <n v="60365766"/>
    <n v="552000"/>
    <n v="13711622"/>
    <n v="46102144"/>
    <n v="44000000"/>
    <n v="1.047776"/>
    <x v="1"/>
    <n v="25"/>
    <x v="8"/>
    <s v="Antioquia"/>
    <s v="Fluctúa"/>
    <n v="88"/>
    <n v="10293966"/>
    <n v="243"/>
    <n v="30943681"/>
    <n v="150"/>
    <n v="13711622"/>
    <n v="5416497"/>
    <s v="NO"/>
  </r>
  <r>
    <n v="1"/>
    <x v="24"/>
    <n v="2018"/>
    <s v="Enero"/>
    <s v="LILACARA"/>
    <n v="1017141451"/>
    <x v="17"/>
    <n v="69253490"/>
    <n v="1698000"/>
    <n v="13695998"/>
    <n v="53859492"/>
    <n v="44000000"/>
    <n v="1.2240793636363636"/>
    <x v="1"/>
    <n v="25"/>
    <x v="1"/>
    <s v="Antioquia"/>
    <s v="Siempre Cumple"/>
    <n v="104"/>
    <n v="13205299"/>
    <n v="286"/>
    <n v="32582286"/>
    <n v="137"/>
    <n v="13151798"/>
    <n v="10314107"/>
    <s v="NO"/>
  </r>
  <r>
    <n v="1"/>
    <x v="24"/>
    <n v="2018"/>
    <s v="Enero"/>
    <s v="LUZNHEGO"/>
    <n v="43745192"/>
    <x v="19"/>
    <n v="15302294"/>
    <n v="0"/>
    <n v="1363715"/>
    <n v="13938579"/>
    <n v="6000000"/>
    <n v="2.3230965000000001"/>
    <x v="1"/>
    <n v="25"/>
    <x v="10"/>
    <s v="Antioquia"/>
    <s v="Cumple"/>
    <n v="25"/>
    <n v="4290900"/>
    <n v="79"/>
    <n v="8467321"/>
    <n v="27"/>
    <n v="1363715"/>
    <n v="1180358"/>
    <s v="Inicio Vacaciones"/>
  </r>
  <r>
    <n v="1"/>
    <x v="24"/>
    <n v="2018"/>
    <s v="Enero"/>
    <s v="MARGGAPA"/>
    <n v="43866877"/>
    <x v="20"/>
    <n v="69460373"/>
    <n v="1367000"/>
    <n v="16490198"/>
    <n v="51603175"/>
    <n v="42000000"/>
    <n v="1.2286470238095237"/>
    <x v="1"/>
    <n v="25"/>
    <x v="5"/>
    <s v="Antioquia"/>
    <s v="Siempre Cumple"/>
    <n v="110"/>
    <n v="14610878"/>
    <n v="264"/>
    <n v="30980299"/>
    <n v="169"/>
    <n v="16490198"/>
    <n v="7378998"/>
    <s v="NO"/>
  </r>
  <r>
    <n v="1"/>
    <x v="24"/>
    <n v="2018"/>
    <s v="Enero"/>
    <s v="MARIMASA"/>
    <n v="43113640"/>
    <x v="34"/>
    <n v="56265048"/>
    <n v="838000"/>
    <n v="12188691"/>
    <n v="43238357"/>
    <n v="36000000"/>
    <n v="1.2010654722222223"/>
    <x v="1"/>
    <n v="25"/>
    <x v="4"/>
    <s v="Antioquia"/>
    <s v="Cumple"/>
    <n v="88"/>
    <n v="9112079"/>
    <n v="241"/>
    <n v="31460625"/>
    <n v="124"/>
    <n v="12188691"/>
    <n v="3503653"/>
    <s v="NO"/>
  </r>
  <r>
    <n v="1"/>
    <x v="24"/>
    <n v="2018"/>
    <s v="Enero"/>
    <s v="MARIOCOC"/>
    <n v="39448823"/>
    <x v="21"/>
    <n v="58503860"/>
    <n v="1748400"/>
    <n v="8704737"/>
    <n v="48050723"/>
    <n v="19600000"/>
    <n v="2.4515674999999999"/>
    <x v="1"/>
    <n v="25"/>
    <x v="7"/>
    <s v="Antioquia"/>
    <s v="Siempre Cumple"/>
    <n v="102"/>
    <n v="12210967"/>
    <n v="260"/>
    <n v="32703231"/>
    <n v="108"/>
    <n v="8704737"/>
    <n v="4884925"/>
    <s v="Inicio Vacaciones"/>
  </r>
  <r>
    <n v="1"/>
    <x v="24"/>
    <n v="2018"/>
    <s v="Enero"/>
    <s v="NATAPIDU"/>
    <n v="43907427"/>
    <x v="25"/>
    <n v="22923440"/>
    <n v="0"/>
    <n v="1805839"/>
    <n v="21117601"/>
    <n v="17600000"/>
    <n v="1.1998636931818183"/>
    <x v="1"/>
    <n v="25"/>
    <x v="11"/>
    <s v="Antioquia"/>
    <s v="Siempre Cumple"/>
    <n v="22"/>
    <n v="4745110"/>
    <n v="76"/>
    <n v="14264762"/>
    <n v="20"/>
    <n v="1805839"/>
    <n v="2107729"/>
    <s v="Regreso Vacaciones"/>
  </r>
  <r>
    <n v="1"/>
    <x v="24"/>
    <n v="2018"/>
    <s v="Enero"/>
    <s v="NATAVAMO"/>
    <n v="32183069"/>
    <x v="63"/>
    <n v="40163309"/>
    <n v="866000"/>
    <n v="11986675"/>
    <n v="27310634"/>
    <n v="22000000"/>
    <n v="1.2413924545454544"/>
    <x v="1"/>
    <n v="25"/>
    <x v="1"/>
    <s v="Antioquia"/>
    <s v="No Cumple"/>
    <n v="71"/>
    <n v="6601958"/>
    <n v="174"/>
    <n v="17023595"/>
    <n v="121"/>
    <n v="11986675"/>
    <n v="4551081"/>
    <s v="NO"/>
  </r>
  <r>
    <n v="1"/>
    <x v="24"/>
    <n v="2018"/>
    <s v="Enero"/>
    <s v="PAOLPACA"/>
    <n v="31445278"/>
    <x v="47"/>
    <n v="38004568"/>
    <n v="0"/>
    <n v="8804602"/>
    <n v="29199966"/>
    <n v="30000000"/>
    <n v="0.97333219999999998"/>
    <x v="1"/>
    <n v="25"/>
    <x v="14"/>
    <s v="Occidente"/>
    <s v="Cumple"/>
    <n v="64"/>
    <n v="5591158"/>
    <n v="266"/>
    <n v="21033743"/>
    <n v="100"/>
    <n v="8804602"/>
    <n v="2575065"/>
    <s v="NO"/>
  </r>
  <r>
    <n v="1"/>
    <x v="24"/>
    <n v="2018"/>
    <s v="Enero"/>
    <s v="PAULGOBA"/>
    <n v="32256379"/>
    <x v="36"/>
    <n v="19993749"/>
    <n v="0"/>
    <n v="2946031"/>
    <n v="17047718"/>
    <n v="28000000"/>
    <n v="0.60884707142857142"/>
    <x v="1"/>
    <n v="25"/>
    <x v="13"/>
    <s v="Antioquia"/>
    <s v="Fluctúa"/>
    <n v="18"/>
    <n v="2854592"/>
    <n v="66"/>
    <n v="10087413"/>
    <n v="38"/>
    <n v="2946031"/>
    <n v="4105713"/>
    <s v="Regreso Vacaciones"/>
  </r>
  <r>
    <n v="1"/>
    <x v="24"/>
    <n v="2018"/>
    <s v="Enero"/>
    <s v="RAULMOGA"/>
    <n v="79701425"/>
    <x v="27"/>
    <n v="26263354"/>
    <n v="625400"/>
    <n v="5246424"/>
    <n v="20391530"/>
    <n v="20000000"/>
    <n v="1.0195765000000001"/>
    <x v="0"/>
    <n v="25"/>
    <x v="6"/>
    <s v="Centro"/>
    <s v="No Aplica"/>
    <n v="64"/>
    <n v="4435956"/>
    <n v="170"/>
    <n v="14477540"/>
    <n v="77"/>
    <n v="5246424"/>
    <n v="2103434"/>
    <m/>
  </r>
  <r>
    <n v="1"/>
    <x v="24"/>
    <n v="2018"/>
    <s v="Enero"/>
    <s v="ROCIFASA"/>
    <n v="34542470"/>
    <x v="28"/>
    <n v="32007710"/>
    <n v="927000"/>
    <n v="4497745"/>
    <n v="26582965"/>
    <n v="33600000"/>
    <n v="0.79115967261904763"/>
    <x v="1"/>
    <n v="25"/>
    <x v="12"/>
    <s v="Occidente"/>
    <s v="Siempre Cumple"/>
    <n v="44"/>
    <n v="6465944"/>
    <n v="160"/>
    <n v="17934637"/>
    <n v="51"/>
    <n v="4497745"/>
    <n v="3109384"/>
    <s v="Regreso Vacaciones"/>
  </r>
  <r>
    <n v="1"/>
    <x v="24"/>
    <n v="2018"/>
    <s v="Enero"/>
    <s v="SUANHECO"/>
    <n v="1020409789"/>
    <x v="58"/>
    <n v="77956760"/>
    <n v="1264000"/>
    <n v="13380457"/>
    <n v="63312303"/>
    <n v="44000000"/>
    <n v="1.4389159772727274"/>
    <x v="1"/>
    <n v="25"/>
    <x v="1"/>
    <s v="Antioquia"/>
    <s v="Cumple"/>
    <n v="134"/>
    <n v="16391426"/>
    <n v="324"/>
    <n v="40722401"/>
    <n v="151"/>
    <n v="13380457"/>
    <n v="7462476"/>
    <s v="NO"/>
  </r>
  <r>
    <n v="1"/>
    <x v="24"/>
    <n v="2018"/>
    <s v="Enero"/>
    <s v="TATIRITR"/>
    <n v="1130597373"/>
    <x v="60"/>
    <n v="25398145"/>
    <n v="203040"/>
    <n v="6029236"/>
    <n v="19165869"/>
    <n v="30200000"/>
    <n v="0.63463142384105964"/>
    <x v="1"/>
    <n v="25"/>
    <x v="16"/>
    <s v="Occidente"/>
    <s v="Fluctúa"/>
    <n v="41"/>
    <n v="4621718"/>
    <n v="130"/>
    <n v="11884865"/>
    <n v="65"/>
    <n v="6029236"/>
    <n v="2862326"/>
    <s v="NO"/>
  </r>
  <r>
    <n v="1"/>
    <x v="24"/>
    <n v="2018"/>
    <s v="Enero"/>
    <s v="VIVIVAZA"/>
    <n v="43745952"/>
    <x v="30"/>
    <n v="96204575"/>
    <n v="2500000"/>
    <n v="19086981"/>
    <n v="74617594"/>
    <n v="44000000"/>
    <n v="1.6958544090909091"/>
    <x v="1"/>
    <n v="25"/>
    <x v="3"/>
    <s v="Antioquia"/>
    <s v="Siempre Cumple"/>
    <n v="138"/>
    <n v="16401583"/>
    <n v="321"/>
    <n v="50118535"/>
    <n v="201"/>
    <n v="19086981"/>
    <n v="10597476"/>
    <s v="NO"/>
  </r>
  <r>
    <n v="1"/>
    <x v="24"/>
    <n v="2018"/>
    <s v="Enero"/>
    <s v="YANEARNA"/>
    <n v="66857504"/>
    <x v="62"/>
    <n v="5824860"/>
    <n v="0"/>
    <n v="1913160"/>
    <n v="3911700"/>
    <n v="2400000"/>
    <n v="1.629875"/>
    <x v="0"/>
    <n v="25"/>
    <x v="0"/>
    <s v=""/>
    <s v="No Aplica"/>
    <n v="9"/>
    <n v="695212"/>
    <n v="46"/>
    <n v="2692485"/>
    <n v="23"/>
    <n v="1913160"/>
    <n v="524003"/>
    <m/>
  </r>
  <r>
    <n v="1"/>
    <x v="24"/>
    <n v="2018"/>
    <s v="Enero"/>
    <s v="YENISIGI"/>
    <n v="1035913369"/>
    <x v="64"/>
    <n v="25401781"/>
    <n v="1306000"/>
    <n v="5633122"/>
    <n v="18462659"/>
    <n v="42000000"/>
    <n v="0.43958711904761905"/>
    <x v="1"/>
    <n v="25"/>
    <x v="5"/>
    <s v="Antioquia"/>
    <s v="Fluctúa"/>
    <n v="45"/>
    <n v="4659398"/>
    <n v="102"/>
    <n v="10186236"/>
    <n v="69"/>
    <n v="5633122"/>
    <n v="4923025"/>
    <s v="NO"/>
  </r>
  <r>
    <n v="1"/>
    <x v="24"/>
    <n v="2018"/>
    <s v="Enero"/>
    <s v="YENYSUPE"/>
    <n v="1020419011"/>
    <x v="51"/>
    <n v="68451621"/>
    <n v="1077200"/>
    <n v="18184222"/>
    <n v="49190199"/>
    <n v="44000000"/>
    <n v="1.1179590681818181"/>
    <x v="1"/>
    <n v="25"/>
    <x v="8"/>
    <s v="Antioquia"/>
    <s v="Cumple"/>
    <n v="117"/>
    <n v="13016283"/>
    <n v="276"/>
    <n v="29591966"/>
    <n v="184"/>
    <n v="18184222"/>
    <n v="7659150"/>
    <s v="NO"/>
  </r>
  <r>
    <n v="1"/>
    <x v="24"/>
    <n v="2018"/>
    <s v="Enero"/>
    <s v="YULIRIRE"/>
    <n v="21982241"/>
    <x v="57"/>
    <n v="55056616"/>
    <n v="618000"/>
    <n v="12829728"/>
    <n v="41608888"/>
    <n v="35000000"/>
    <n v="1.1888253714285715"/>
    <x v="1"/>
    <n v="25"/>
    <x v="2"/>
    <s v="Antioquia"/>
    <s v="Fluctúa"/>
    <n v="102"/>
    <n v="9162426"/>
    <n v="288"/>
    <n v="27142867"/>
    <n v="147"/>
    <n v="12829728"/>
    <n v="5921595"/>
    <s v="NO"/>
  </r>
  <r>
    <n v="1"/>
    <x v="24"/>
    <n v="2018"/>
    <s v="Enero"/>
    <s v="YURAUSVE"/>
    <n v="1020419615"/>
    <x v="56"/>
    <n v="74835445"/>
    <n v="1732000"/>
    <n v="17592084"/>
    <n v="55511361"/>
    <n v="44000000"/>
    <n v="1.2616218409090909"/>
    <x v="1"/>
    <n v="25"/>
    <x v="8"/>
    <s v="Antioquia"/>
    <s v="Cumple"/>
    <n v="118"/>
    <n v="12405613"/>
    <n v="324"/>
    <n v="35239941"/>
    <n v="180"/>
    <n v="17592084"/>
    <n v="9597807"/>
    <s v="NO"/>
  </r>
  <r>
    <n v="1"/>
    <x v="24"/>
    <n v="2018"/>
    <s v="Enero"/>
    <s v="ZULYARGA"/>
    <n v="43259130"/>
    <x v="31"/>
    <n v="70521704"/>
    <n v="632000"/>
    <n v="17034079"/>
    <n v="52855625"/>
    <n v="44000000"/>
    <n v="1.2012642045454545"/>
    <x v="1"/>
    <n v="25"/>
    <x v="1"/>
    <s v="Antioquia"/>
    <s v="Fluctúa"/>
    <n v="112"/>
    <n v="12834316"/>
    <n v="336"/>
    <n v="34281487"/>
    <n v="186"/>
    <n v="17034079"/>
    <n v="6371822"/>
    <s v="NO"/>
  </r>
  <r>
    <n v="1"/>
    <x v="24"/>
    <n v="2018"/>
    <s v="Enero"/>
    <s v="ANGEROPI"/>
    <m/>
    <x v="7"/>
    <n v="942404"/>
    <n v="0"/>
    <n v="0"/>
    <n v="942404"/>
    <m/>
    <m/>
    <x v="0"/>
    <n v="25"/>
    <x v="0"/>
    <s v=""/>
    <s v="No Aplica"/>
    <n v="1"/>
    <n v="140689"/>
    <n v="2"/>
    <n v="801715"/>
    <n v="0"/>
    <n v="0"/>
    <n v="0"/>
    <m/>
  </r>
  <r>
    <n v="1"/>
    <x v="24"/>
    <n v="2018"/>
    <s v="Enero"/>
    <s v="ALEJVAVA"/>
    <m/>
    <x v="7"/>
    <n v="94800"/>
    <n v="0"/>
    <n v="94800"/>
    <n v="0"/>
    <m/>
    <m/>
    <x v="0"/>
    <n v="25"/>
    <x v="0"/>
    <s v=""/>
    <s v="No Aplica"/>
    <n v="0"/>
    <n v="0"/>
    <n v="0"/>
    <n v="0"/>
    <n v="0"/>
    <n v="0"/>
    <n v="94800"/>
    <m/>
  </r>
  <r>
    <n v="1"/>
    <x v="24"/>
    <n v="2018"/>
    <s v="Enero"/>
    <s v="CAROVABE"/>
    <m/>
    <x v="7"/>
    <n v="1001795"/>
    <n v="0"/>
    <n v="0"/>
    <n v="1001795"/>
    <m/>
    <m/>
    <x v="0"/>
    <n v="25"/>
    <x v="0"/>
    <s v=""/>
    <s v="No Aplica"/>
    <n v="2"/>
    <n v="147345"/>
    <n v="4"/>
    <n v="854450"/>
    <n v="0"/>
    <n v="0"/>
    <n v="0"/>
    <m/>
  </r>
  <r>
    <n v="1"/>
    <x v="24"/>
    <n v="2018"/>
    <s v="Enero"/>
    <s v="CLAUREME"/>
    <m/>
    <x v="7"/>
    <n v="281200"/>
    <n v="0"/>
    <n v="281200"/>
    <n v="0"/>
    <m/>
    <m/>
    <x v="0"/>
    <n v="25"/>
    <x v="0"/>
    <s v=""/>
    <s v="No Aplica"/>
    <n v="0"/>
    <n v="0"/>
    <n v="0"/>
    <n v="0"/>
    <n v="0"/>
    <n v="0"/>
    <n v="281200"/>
    <m/>
  </r>
  <r>
    <n v="1"/>
    <x v="24"/>
    <n v="2018"/>
    <s v="Enero"/>
    <s v="DARWHERI"/>
    <m/>
    <x v="7"/>
    <n v="14696700"/>
    <n v="0"/>
    <n v="3988853"/>
    <n v="10707847"/>
    <m/>
    <m/>
    <x v="0"/>
    <n v="25"/>
    <x v="0"/>
    <s v=""/>
    <s v="No Aplica"/>
    <n v="18"/>
    <n v="2261888"/>
    <n v="52"/>
    <n v="8093416"/>
    <n v="53"/>
    <n v="3988853"/>
    <n v="352543"/>
    <m/>
  </r>
  <r>
    <n v="1"/>
    <x v="24"/>
    <n v="2018"/>
    <s v="Enero"/>
    <s v="DIANPOPA"/>
    <m/>
    <x v="7"/>
    <n v="12629460"/>
    <n v="0"/>
    <n v="0"/>
    <n v="12629460"/>
    <m/>
    <m/>
    <x v="0"/>
    <n v="25"/>
    <x v="0"/>
    <s v=""/>
    <s v="No Aplica"/>
    <n v="1"/>
    <n v="86897"/>
    <n v="2"/>
    <n v="119250"/>
    <n v="0"/>
    <n v="0"/>
    <n v="12423313"/>
    <m/>
  </r>
  <r>
    <n v="1"/>
    <x v="24"/>
    <n v="2018"/>
    <s v="Enero"/>
    <s v="EMMAARMA"/>
    <m/>
    <x v="7"/>
    <n v="72600"/>
    <n v="0"/>
    <n v="72600"/>
    <n v="0"/>
    <m/>
    <m/>
    <x v="0"/>
    <n v="25"/>
    <x v="0"/>
    <s v=""/>
    <s v="No Aplica"/>
    <n v="0"/>
    <n v="0"/>
    <n v="0"/>
    <n v="0"/>
    <n v="0"/>
    <n v="0"/>
    <n v="72600"/>
    <m/>
  </r>
  <r>
    <n v="1"/>
    <x v="24"/>
    <n v="2018"/>
    <s v="Enero"/>
    <s v="ELIZGORE"/>
    <m/>
    <x v="7"/>
    <n v="43870"/>
    <n v="0"/>
    <n v="43870"/>
    <n v="0"/>
    <m/>
    <m/>
    <x v="0"/>
    <n v="25"/>
    <x v="0"/>
    <s v=""/>
    <s v="No Aplica"/>
    <n v="0"/>
    <n v="0"/>
    <n v="0"/>
    <n v="0"/>
    <n v="1"/>
    <n v="43870"/>
    <n v="0"/>
    <m/>
  </r>
  <r>
    <n v="1"/>
    <x v="24"/>
    <n v="2018"/>
    <s v="Enero"/>
    <s v="LOREBECR"/>
    <m/>
    <x v="7"/>
    <n v="43870"/>
    <n v="0"/>
    <n v="43870"/>
    <n v="0"/>
    <m/>
    <m/>
    <x v="0"/>
    <n v="25"/>
    <x v="0"/>
    <s v=""/>
    <s v="No Aplica"/>
    <n v="0"/>
    <n v="0"/>
    <n v="0"/>
    <n v="0"/>
    <n v="1"/>
    <n v="43870"/>
    <n v="0"/>
    <m/>
  </r>
  <r>
    <n v="1"/>
    <x v="24"/>
    <n v="2018"/>
    <s v="Enero"/>
    <s v="LUZMARMO"/>
    <m/>
    <x v="7"/>
    <n v="43870"/>
    <n v="0"/>
    <n v="43870"/>
    <n v="0"/>
    <m/>
    <m/>
    <x v="0"/>
    <n v="25"/>
    <x v="0"/>
    <s v=""/>
    <s v="No Aplica"/>
    <n v="0"/>
    <n v="0"/>
    <n v="0"/>
    <n v="0"/>
    <n v="1"/>
    <n v="43870"/>
    <n v="0"/>
    <m/>
  </r>
  <r>
    <n v="1"/>
    <x v="24"/>
    <n v="2018"/>
    <s v="Enero"/>
    <s v="OSCADESU"/>
    <m/>
    <x v="7"/>
    <n v="178155"/>
    <n v="0"/>
    <n v="178155"/>
    <n v="0"/>
    <m/>
    <m/>
    <x v="0"/>
    <n v="25"/>
    <x v="0"/>
    <s v=""/>
    <s v="No Aplica"/>
    <n v="0"/>
    <n v="0"/>
    <n v="0"/>
    <n v="0"/>
    <n v="2"/>
    <n v="178155"/>
    <n v="0"/>
    <m/>
  </r>
  <r>
    <n v="1"/>
    <x v="24"/>
    <n v="2018"/>
    <s v="Enero"/>
    <s v="4437579252"/>
    <m/>
    <x v="7"/>
    <n v="43870"/>
    <n v="0"/>
    <n v="43870"/>
    <n v="0"/>
    <m/>
    <m/>
    <x v="0"/>
    <n v="25"/>
    <x v="0"/>
    <s v=""/>
    <s v="No Aplica"/>
    <n v="0"/>
    <n v="0"/>
    <n v="0"/>
    <n v="0"/>
    <n v="1"/>
    <n v="43870"/>
    <n v="0"/>
    <m/>
  </r>
  <r>
    <n v="1"/>
    <x v="24"/>
    <n v="2018"/>
    <s v="Enero"/>
    <s v="(en blanco)"/>
    <m/>
    <x v="7"/>
    <n v="-134285"/>
    <n v="0"/>
    <n v="0"/>
    <n v="-134285"/>
    <m/>
    <m/>
    <x v="0"/>
    <n v="25"/>
    <x v="0"/>
    <s v=""/>
    <s v="No Aplica"/>
    <n v="0"/>
    <n v="0"/>
    <n v="0"/>
    <n v="0"/>
    <n v="0"/>
    <n v="0"/>
    <n v="-134285"/>
    <m/>
  </r>
  <r>
    <n v="2"/>
    <x v="25"/>
    <n v="2018"/>
    <s v="Febrero"/>
    <s v="DERLARMO"/>
    <n v="52725011"/>
    <x v="10"/>
    <n v="37508923"/>
    <n v="880000"/>
    <n v="7353040"/>
    <n v="29275883"/>
    <n v="25000008"/>
    <n v="1.1710349452688176"/>
    <x v="1"/>
    <n v="24"/>
    <x v="6"/>
    <s v="Centro"/>
    <s v="Fluctúa"/>
    <n v="91"/>
    <n v="6236617"/>
    <n v="226"/>
    <n v="21079498"/>
    <n v="97"/>
    <n v="7353040"/>
    <n v="2839768"/>
    <s v="NO"/>
  </r>
  <r>
    <n v="2"/>
    <x v="25"/>
    <n v="2018"/>
    <s v="Febrero"/>
    <s v="RAULMOGA"/>
    <n v="79701425"/>
    <x v="27"/>
    <n v="33381675"/>
    <n v="1032800"/>
    <n v="6493937"/>
    <n v="25854938"/>
    <n v="25000008"/>
    <n v="1.0341971890568995"/>
    <x v="0"/>
    <n v="24"/>
    <x v="6"/>
    <s v="Centro"/>
    <s v="No Aplica"/>
    <n v="76"/>
    <n v="5567965"/>
    <n v="218"/>
    <n v="17420995"/>
    <n v="93"/>
    <n v="6493937"/>
    <n v="3898778"/>
    <m/>
  </r>
  <r>
    <n v="2"/>
    <x v="25"/>
    <n v="2018"/>
    <s v="Febrero"/>
    <s v="PAULGOBA"/>
    <n v="32256379"/>
    <x v="36"/>
    <n v="7669377"/>
    <n v="0"/>
    <n v="1822745"/>
    <n v="5846632"/>
    <n v="43999992"/>
    <n v="0.13287802415964076"/>
    <x v="1"/>
    <n v="24"/>
    <x v="13"/>
    <s v="Antioquia"/>
    <s v="Fluctúa"/>
    <n v="9"/>
    <n v="731231"/>
    <n v="28"/>
    <n v="4151665"/>
    <n v="23"/>
    <n v="1822745"/>
    <n v="963736"/>
    <s v="NO"/>
  </r>
  <r>
    <n v="2"/>
    <x v="25"/>
    <n v="2018"/>
    <s v="Febrero"/>
    <s v="DIANPAAL"/>
    <n v="1040030764"/>
    <x v="11"/>
    <n v="37168721"/>
    <n v="909000"/>
    <n v="6005910"/>
    <n v="30253811"/>
    <n v="10208331"/>
    <n v="2.9636393059746986"/>
    <x v="1"/>
    <n v="24"/>
    <x v="7"/>
    <s v="Antioquia"/>
    <s v="Cumple"/>
    <n v="60"/>
    <n v="6751589"/>
    <n v="168"/>
    <n v="21521569"/>
    <n v="68"/>
    <n v="6005910"/>
    <n v="2889653"/>
    <s v="Inicio Vacaciones"/>
  </r>
  <r>
    <n v="2"/>
    <x v="25"/>
    <n v="2018"/>
    <s v="Febrero"/>
    <s v="JAQUVEGU"/>
    <n v="1036779770"/>
    <x v="16"/>
    <n v="50495412"/>
    <n v="2522400"/>
    <n v="8794037"/>
    <n v="39178975"/>
    <n v="34999992"/>
    <n v="1.1193995415770381"/>
    <x v="0"/>
    <n v="24"/>
    <x v="7"/>
    <s v="Antioquia"/>
    <s v="No Aplica"/>
    <n v="85"/>
    <n v="9333870"/>
    <n v="198"/>
    <n v="26246959"/>
    <n v="110"/>
    <n v="8794037"/>
    <n v="6120546"/>
    <m/>
  </r>
  <r>
    <n v="2"/>
    <x v="25"/>
    <n v="2018"/>
    <s v="Febrero"/>
    <s v="MARIOCOC"/>
    <n v="39448823"/>
    <x v="21"/>
    <n v="29064933"/>
    <n v="3136800"/>
    <n v="3304388"/>
    <n v="22623745"/>
    <n v="24791661"/>
    <n v="0.91255462875198234"/>
    <x v="1"/>
    <n v="24"/>
    <x v="7"/>
    <s v="Antioquia"/>
    <s v="Siempre Cumple"/>
    <n v="45"/>
    <n v="5286607"/>
    <n v="123"/>
    <n v="15111263"/>
    <n v="40"/>
    <n v="3304388"/>
    <n v="5362675"/>
    <s v="Regreso Vacaciones"/>
  </r>
  <r>
    <n v="2"/>
    <x v="25"/>
    <n v="2018"/>
    <s v="Febrero"/>
    <s v="ALEXLOGR"/>
    <n v="43253531"/>
    <x v="2"/>
    <n v="53793523"/>
    <n v="372000"/>
    <n v="11587886"/>
    <n v="41833637"/>
    <n v="34999992"/>
    <n v="1.195247044627896"/>
    <x v="1"/>
    <n v="24"/>
    <x v="2"/>
    <s v="Antioquia"/>
    <s v="Cumple"/>
    <n v="94"/>
    <n v="9027930"/>
    <n v="225"/>
    <n v="27204743"/>
    <n v="127"/>
    <n v="11587886"/>
    <n v="5972964"/>
    <s v="NO"/>
  </r>
  <r>
    <n v="2"/>
    <x v="25"/>
    <n v="2018"/>
    <s v="Febrero"/>
    <s v="YULIRIRE"/>
    <n v="21982241"/>
    <x v="57"/>
    <n v="49248727"/>
    <n v="632000"/>
    <n v="10198598"/>
    <n v="38418129"/>
    <n v="34999992"/>
    <n v="1.0976610794653896"/>
    <x v="1"/>
    <n v="24"/>
    <x v="2"/>
    <s v="Antioquia"/>
    <s v="Fluctúa"/>
    <n v="91"/>
    <n v="8001716"/>
    <n v="244"/>
    <n v="25368025"/>
    <n v="120"/>
    <n v="10198598"/>
    <n v="5680388"/>
    <s v="NO"/>
  </r>
  <r>
    <n v="2"/>
    <x v="25"/>
    <n v="2018"/>
    <s v="Febrero"/>
    <s v="ADRIMOLU"/>
    <n v="43169964"/>
    <x v="1"/>
    <n v="54267701"/>
    <n v="1396400"/>
    <n v="9437507"/>
    <n v="43433794"/>
    <n v="42499992"/>
    <n v="1.0219718159005771"/>
    <x v="1"/>
    <n v="24"/>
    <x v="1"/>
    <s v="Antioquia"/>
    <s v="Cumple"/>
    <n v="93"/>
    <n v="9307188"/>
    <n v="256"/>
    <n v="29182165"/>
    <n v="100"/>
    <n v="9437507"/>
    <n v="6340841"/>
    <s v="NO"/>
  </r>
  <r>
    <n v="2"/>
    <x v="25"/>
    <n v="2018"/>
    <s v="Febrero"/>
    <s v="ELIZVESU"/>
    <n v="1035417626"/>
    <x v="13"/>
    <n v="67313825"/>
    <n v="744000"/>
    <n v="15398156"/>
    <n v="51171669"/>
    <n v="43999992"/>
    <n v="1.1629926887259434"/>
    <x v="1"/>
    <n v="24"/>
    <x v="3"/>
    <s v="Antioquia"/>
    <s v="Cumple"/>
    <n v="100"/>
    <n v="12899625"/>
    <n v="254"/>
    <n v="32400973"/>
    <n v="157"/>
    <n v="15398156"/>
    <n v="6615071"/>
    <s v="NO"/>
  </r>
  <r>
    <n v="2"/>
    <x v="25"/>
    <n v="2018"/>
    <s v="Febrero"/>
    <s v="LILACARA"/>
    <n v="1017141451"/>
    <x v="17"/>
    <n v="60161294"/>
    <n v="1088000"/>
    <n v="12610913"/>
    <n v="46462381"/>
    <n v="43999992"/>
    <n v="1.0559633965387993"/>
    <x v="1"/>
    <n v="24"/>
    <x v="1"/>
    <s v="Antioquia"/>
    <s v="Siempre Cumple"/>
    <n v="85"/>
    <n v="10700287"/>
    <n v="246"/>
    <n v="26908598"/>
    <n v="130"/>
    <n v="12610913"/>
    <n v="9941496"/>
    <s v="NO"/>
  </r>
  <r>
    <n v="2"/>
    <x v="25"/>
    <n v="2018"/>
    <s v="Febrero"/>
    <s v="NATAVAMO"/>
    <n v="32183069"/>
    <x v="63"/>
    <n v="44511722"/>
    <n v="0"/>
    <n v="12043492"/>
    <n v="32468230"/>
    <n v="32833326"/>
    <n v="0.98888032238951362"/>
    <x v="1"/>
    <n v="24"/>
    <x v="1"/>
    <s v="Antioquia"/>
    <s v="No Cumple"/>
    <n v="72"/>
    <n v="8765926"/>
    <n v="194"/>
    <n v="20484764"/>
    <n v="132"/>
    <n v="12043492"/>
    <n v="3217540"/>
    <s v="NO"/>
  </r>
  <r>
    <n v="2"/>
    <x v="25"/>
    <n v="2018"/>
    <s v="Febrero"/>
    <s v="NOREARMA"/>
    <n v="39275090"/>
    <x v="66"/>
    <n v="34897617"/>
    <n v="152000"/>
    <n v="10031892"/>
    <n v="24713725"/>
    <n v="41999994"/>
    <n v="0.58842210786982496"/>
    <x v="1"/>
    <n v="24"/>
    <x v="4"/>
    <s v="Antioquia"/>
    <s v="Siempre Cumple"/>
    <n v="48"/>
    <n v="5499597"/>
    <n v="114"/>
    <n v="16255470"/>
    <n v="95"/>
    <n v="10031892"/>
    <n v="3110658"/>
    <s v="NO"/>
  </r>
  <r>
    <n v="2"/>
    <x v="25"/>
    <n v="2018"/>
    <s v="Febrero"/>
    <s v="SUANHECO"/>
    <n v="1020409789"/>
    <x v="58"/>
    <n v="73955887"/>
    <n v="1058000"/>
    <n v="16779740"/>
    <n v="56118147"/>
    <n v="43999992"/>
    <n v="1.2754126637113934"/>
    <x v="1"/>
    <n v="24"/>
    <x v="1"/>
    <s v="Antioquia"/>
    <s v="Cumple"/>
    <n v="107"/>
    <n v="15230941"/>
    <n v="268"/>
    <n v="34648806"/>
    <n v="182"/>
    <n v="16779740"/>
    <n v="7296400"/>
    <s v="NO"/>
  </r>
  <r>
    <n v="2"/>
    <x v="25"/>
    <n v="2018"/>
    <s v="Febrero"/>
    <s v="ZULYARGA"/>
    <n v="43259130"/>
    <x v="31"/>
    <n v="26721255"/>
    <n v="1472000"/>
    <n v="4629997"/>
    <n v="20619258"/>
    <n v="10999998"/>
    <n v="1.8744783408142438"/>
    <x v="1"/>
    <n v="24"/>
    <x v="1"/>
    <s v="Antioquia"/>
    <s v="Fluctúa"/>
    <n v="35"/>
    <n v="5206222"/>
    <n v="120"/>
    <n v="13210240"/>
    <n v="44"/>
    <n v="4629997"/>
    <n v="3674796"/>
    <s v="Regreso Vacaciones"/>
  </r>
  <r>
    <n v="2"/>
    <x v="25"/>
    <n v="2018"/>
    <s v="Febrero"/>
    <s v="ANAKBEZA"/>
    <n v="43906785"/>
    <x v="65"/>
    <n v="37928922"/>
    <n v="1238000"/>
    <n v="8606331"/>
    <n v="28084591"/>
    <n v="42000000"/>
    <n v="0.66868073809523809"/>
    <x v="0"/>
    <n v="24"/>
    <x v="0"/>
    <s v=""/>
    <s v="No Aplica"/>
    <n v="67"/>
    <n v="6398718"/>
    <n v="175"/>
    <n v="17234345"/>
    <n v="94"/>
    <n v="8606331"/>
    <n v="5689528"/>
    <m/>
  </r>
  <r>
    <n v="2"/>
    <x v="25"/>
    <n v="2018"/>
    <s v="Febrero"/>
    <s v="BIBIBECA"/>
    <n v="43971430"/>
    <x v="6"/>
    <n v="62586677"/>
    <n v="440000"/>
    <n v="14522896"/>
    <n v="47623781"/>
    <n v="42000000"/>
    <n v="1.1338995476190477"/>
    <x v="1"/>
    <n v="24"/>
    <x v="5"/>
    <s v="Antioquia"/>
    <s v="Siempre Cumple"/>
    <n v="109"/>
    <n v="9740249"/>
    <n v="294"/>
    <n v="31910637"/>
    <n v="168"/>
    <n v="14522896"/>
    <n v="6412895"/>
    <s v="NO"/>
  </r>
  <r>
    <n v="2"/>
    <x v="25"/>
    <n v="2018"/>
    <s v="Febrero"/>
    <s v="CINDGACU"/>
    <n v="1020443426"/>
    <x v="55"/>
    <n v="52377123"/>
    <n v="440000"/>
    <n v="9646692"/>
    <n v="42290431"/>
    <n v="42000000"/>
    <n v="1.0069150238095239"/>
    <x v="1"/>
    <n v="24"/>
    <x v="4"/>
    <s v="Antioquia"/>
    <s v="Fluctúa"/>
    <n v="96"/>
    <n v="9648212"/>
    <n v="269"/>
    <n v="29054703"/>
    <n v="102"/>
    <n v="9646692"/>
    <n v="4027516"/>
    <s v="NO"/>
  </r>
  <r>
    <n v="2"/>
    <x v="25"/>
    <n v="2018"/>
    <s v="Febrero"/>
    <s v="CLAUBLAR"/>
    <n v="43554403"/>
    <x v="8"/>
    <n v="68529139"/>
    <n v="1026000"/>
    <n v="14770387"/>
    <n v="52732752"/>
    <n v="42000000"/>
    <n v="1.2555417142857144"/>
    <x v="1"/>
    <n v="24"/>
    <x v="5"/>
    <s v="Antioquia"/>
    <s v="Siempre Cumple"/>
    <n v="127"/>
    <n v="12882882"/>
    <n v="314"/>
    <n v="33583141"/>
    <n v="163"/>
    <n v="14770387"/>
    <n v="7292729"/>
    <s v="NO"/>
  </r>
  <r>
    <n v="2"/>
    <x v="25"/>
    <n v="2018"/>
    <s v="Febrero"/>
    <s v="HERIRORO"/>
    <n v="21428423"/>
    <x v="52"/>
    <n v="57391782"/>
    <n v="412000"/>
    <n v="13649669"/>
    <n v="43330113"/>
    <n v="42000000"/>
    <n v="1.0316693571428572"/>
    <x v="1"/>
    <n v="24"/>
    <x v="5"/>
    <s v="Antioquia"/>
    <s v="Fluctúa"/>
    <n v="110"/>
    <n v="10338708"/>
    <n v="269"/>
    <n v="27644536"/>
    <n v="151"/>
    <n v="13649669"/>
    <n v="5758869"/>
    <s v="NO"/>
  </r>
  <r>
    <n v="2"/>
    <x v="25"/>
    <n v="2018"/>
    <s v="Febrero"/>
    <s v="MARGGAPA"/>
    <n v="43866877"/>
    <x v="20"/>
    <n v="64444511"/>
    <n v="890000"/>
    <n v="13255160"/>
    <n v="50299351"/>
    <n v="42000000"/>
    <n v="1.1976035952380952"/>
    <x v="1"/>
    <n v="24"/>
    <x v="5"/>
    <s v="Antioquia"/>
    <s v="Siempre Cumple"/>
    <n v="95"/>
    <n v="11151403"/>
    <n v="252"/>
    <n v="33299415"/>
    <n v="147"/>
    <n v="13255160"/>
    <n v="6738533"/>
    <s v="NO"/>
  </r>
  <r>
    <n v="2"/>
    <x v="25"/>
    <n v="2018"/>
    <s v="Febrero"/>
    <s v="YENISIGI"/>
    <n v="1035913369"/>
    <x v="64"/>
    <n v="33161976"/>
    <n v="0"/>
    <n v="9566335"/>
    <n v="23595641"/>
    <n v="42000000"/>
    <n v="0.5618009761904762"/>
    <x v="1"/>
    <n v="24"/>
    <x v="5"/>
    <s v="Antioquia"/>
    <s v="Fluctúa"/>
    <n v="60"/>
    <n v="5712526"/>
    <n v="150"/>
    <n v="14329007"/>
    <n v="110"/>
    <n v="9566335"/>
    <n v="3554108"/>
    <s v="NO"/>
  </r>
  <r>
    <n v="2"/>
    <x v="25"/>
    <n v="2018"/>
    <s v="Febrero"/>
    <s v="ANGEGAAR"/>
    <n v="39442617"/>
    <x v="4"/>
    <n v="20550461"/>
    <n v="273600"/>
    <n v="3281797"/>
    <n v="16995064"/>
    <n v="14333332"/>
    <n v="1.1857022498327674"/>
    <x v="1"/>
    <n v="24"/>
    <x v="4"/>
    <s v="Antioquia"/>
    <s v="Cumple"/>
    <n v="27"/>
    <n v="4200719"/>
    <n v="82"/>
    <n v="9339622"/>
    <n v="38"/>
    <n v="3281797"/>
    <n v="3728323"/>
    <s v="Inicio Vacaciones"/>
  </r>
  <r>
    <n v="2"/>
    <x v="25"/>
    <n v="2018"/>
    <s v="Febrero"/>
    <s v="NATAPIDU"/>
    <n v="43907427"/>
    <x v="25"/>
    <n v="58150164"/>
    <n v="704160"/>
    <n v="6424066"/>
    <n v="51021938"/>
    <n v="40000008"/>
    <n v="1.2755481948903611"/>
    <x v="1"/>
    <n v="24"/>
    <x v="11"/>
    <s v="Antioquia"/>
    <s v="Siempre Cumple"/>
    <n v="54"/>
    <n v="12779036"/>
    <n v="183"/>
    <n v="32353384"/>
    <n v="74"/>
    <n v="6424066"/>
    <n v="6593678"/>
    <s v="NO"/>
  </r>
  <r>
    <n v="2"/>
    <x v="25"/>
    <n v="2018"/>
    <s v="Febrero"/>
    <s v="ALVAOSOS"/>
    <n v="3438422"/>
    <x v="37"/>
    <n v="39551707"/>
    <n v="440000"/>
    <n v="7424409"/>
    <n v="31687298"/>
    <n v="29333328"/>
    <n v="1.080248991863453"/>
    <x v="1"/>
    <n v="24"/>
    <x v="8"/>
    <s v="Antioquia"/>
    <s v="Fluctúa"/>
    <n v="58"/>
    <n v="7913936"/>
    <n v="147"/>
    <n v="17959487"/>
    <n v="78"/>
    <n v="7424409"/>
    <n v="6253875"/>
    <s v="NO"/>
  </r>
  <r>
    <n v="2"/>
    <x v="25"/>
    <n v="2018"/>
    <s v="Febrero"/>
    <s v="CARORAMN"/>
    <n v="1020451288"/>
    <x v="61"/>
    <n v="56838735"/>
    <n v="0"/>
    <n v="11013617"/>
    <n v="45825118"/>
    <n v="43999992"/>
    <n v="1.0414801439054806"/>
    <x v="1"/>
    <n v="24"/>
    <x v="8"/>
    <s v="Antioquia"/>
    <s v="Cumple"/>
    <n v="83"/>
    <n v="10343994"/>
    <n v="250"/>
    <n v="29549176"/>
    <n v="136"/>
    <n v="11013617"/>
    <n v="5931948"/>
    <s v="NO"/>
  </r>
  <r>
    <n v="2"/>
    <x v="25"/>
    <n v="2018"/>
    <s v="Febrero"/>
    <s v="DEISCACR"/>
    <n v="1017167720"/>
    <x v="50"/>
    <n v="57442837"/>
    <n v="2044300"/>
    <n v="10210689"/>
    <n v="45187848"/>
    <n v="43999992"/>
    <n v="1.0269967321812241"/>
    <x v="1"/>
    <n v="24"/>
    <x v="8"/>
    <s v="Antioquia"/>
    <s v="Cumple"/>
    <n v="90"/>
    <n v="11254757"/>
    <n v="226"/>
    <n v="26061589"/>
    <n v="123"/>
    <n v="10210689"/>
    <n v="9915802"/>
    <s v="NO"/>
  </r>
  <r>
    <n v="2"/>
    <x v="25"/>
    <n v="2018"/>
    <s v="Febrero"/>
    <s v="GENNHEPO"/>
    <n v="43874518"/>
    <x v="14"/>
    <n v="58576646"/>
    <n v="1940400"/>
    <n v="10561221"/>
    <n v="46075025"/>
    <n v="43999992"/>
    <n v="1.047159849483609"/>
    <x v="1"/>
    <n v="24"/>
    <x v="8"/>
    <s v="Antioquia"/>
    <s v="Fluctúa"/>
    <n v="91"/>
    <n v="10778693"/>
    <n v="264"/>
    <n v="31536201"/>
    <n v="123"/>
    <n v="10561221"/>
    <n v="5700531"/>
    <s v="NO"/>
  </r>
  <r>
    <n v="2"/>
    <x v="25"/>
    <n v="2018"/>
    <s v="Febrero"/>
    <s v="LEIDGOVI"/>
    <n v="1036598360"/>
    <x v="39"/>
    <n v="58041070"/>
    <n v="304000"/>
    <n v="10143386"/>
    <n v="47593684"/>
    <n v="43999992"/>
    <n v="1.0816748330317878"/>
    <x v="1"/>
    <n v="24"/>
    <x v="8"/>
    <s v="Antioquia"/>
    <s v="Fluctúa"/>
    <n v="92"/>
    <n v="12520599"/>
    <n v="242"/>
    <n v="30674237"/>
    <n v="102"/>
    <n v="10143386"/>
    <n v="4702848"/>
    <s v="NO"/>
  </r>
  <r>
    <n v="2"/>
    <x v="25"/>
    <n v="2018"/>
    <s v="Febrero"/>
    <s v="YENYSUPE"/>
    <n v="1020419011"/>
    <x v="51"/>
    <n v="61097196"/>
    <n v="721000"/>
    <n v="13716865"/>
    <n v="46659331"/>
    <n v="43999992"/>
    <n v="1.0604395337162789"/>
    <x v="1"/>
    <n v="24"/>
    <x v="8"/>
    <s v="Antioquia"/>
    <s v="Cumple"/>
    <n v="92"/>
    <n v="10767939"/>
    <n v="266"/>
    <n v="29449076"/>
    <n v="149"/>
    <n v="13716865"/>
    <n v="7163316"/>
    <s v="NO"/>
  </r>
  <r>
    <n v="2"/>
    <x v="25"/>
    <n v="2018"/>
    <s v="Febrero"/>
    <s v="YURAUSVE"/>
    <n v="1020419615"/>
    <x v="56"/>
    <n v="57531938"/>
    <n v="824000"/>
    <n v="13623989"/>
    <n v="43083949"/>
    <n v="40333326"/>
    <n v="1.0681972768623147"/>
    <x v="1"/>
    <n v="24"/>
    <x v="8"/>
    <s v="Antioquia"/>
    <s v="Cumple"/>
    <n v="86"/>
    <n v="10423484"/>
    <n v="244"/>
    <n v="25828651"/>
    <n v="141"/>
    <n v="13623989"/>
    <n v="7655814"/>
    <s v="NO"/>
  </r>
  <r>
    <n v="2"/>
    <x v="25"/>
    <n v="2018"/>
    <s v="Febrero"/>
    <s v="ANAMLOBE"/>
    <n v="43821410"/>
    <x v="3"/>
    <n v="86113394"/>
    <n v="2244600"/>
    <n v="13175980"/>
    <n v="70692814"/>
    <n v="43999992"/>
    <n v="1.6066551557554829"/>
    <x v="1"/>
    <n v="24"/>
    <x v="3"/>
    <s v="Antioquia"/>
    <s v="Siempre Cumple"/>
    <n v="131"/>
    <n v="17843385"/>
    <n v="306"/>
    <n v="43795615"/>
    <n v="142"/>
    <n v="13175980"/>
    <n v="11298414"/>
    <s v="NO"/>
  </r>
  <r>
    <n v="2"/>
    <x v="25"/>
    <n v="2018"/>
    <s v="Febrero"/>
    <s v="DIANQUME"/>
    <n v="42164020"/>
    <x v="12"/>
    <n v="69450301"/>
    <n v="1939000"/>
    <n v="12376048"/>
    <n v="55135253"/>
    <n v="43999992"/>
    <n v="1.2530741596498471"/>
    <x v="1"/>
    <n v="24"/>
    <x v="1"/>
    <s v="Antioquia"/>
    <s v="Siempre Cumple"/>
    <n v="112"/>
    <n v="14011080"/>
    <n v="267"/>
    <n v="32797053"/>
    <n v="139"/>
    <n v="12376048"/>
    <n v="10266120"/>
    <m/>
  </r>
  <r>
    <n v="2"/>
    <x v="25"/>
    <n v="2018"/>
    <s v="Febrero"/>
    <s v="VIVIVAZA"/>
    <n v="43745952"/>
    <x v="30"/>
    <n v="84755156"/>
    <n v="3324000"/>
    <n v="15397998"/>
    <n v="66033158"/>
    <n v="43999992"/>
    <n v="1.5007538637734297"/>
    <x v="1"/>
    <n v="24"/>
    <x v="3"/>
    <s v="Antioquia"/>
    <s v="Siempre Cumple"/>
    <n v="127"/>
    <n v="16221167"/>
    <n v="298"/>
    <n v="43169207"/>
    <n v="172"/>
    <n v="15270398"/>
    <n v="10094384"/>
    <s v="NO"/>
  </r>
  <r>
    <n v="2"/>
    <x v="25"/>
    <n v="2018"/>
    <s v="Febrero"/>
    <s v="ERIKSAVA"/>
    <n v="1017200970"/>
    <x v="44"/>
    <n v="51093049"/>
    <n v="1058000"/>
    <n v="10627454"/>
    <n v="39407595"/>
    <n v="27000000"/>
    <n v="1.4595405555555556"/>
    <x v="1"/>
    <n v="24"/>
    <x v="4"/>
    <s v="Antioquia"/>
    <s v="Cumple"/>
    <n v="79"/>
    <n v="9423400"/>
    <n v="201"/>
    <n v="23251398"/>
    <n v="111"/>
    <n v="10627454"/>
    <n v="7790797"/>
    <s v="Inicio Vacaciones"/>
  </r>
  <r>
    <n v="2"/>
    <x v="25"/>
    <n v="2018"/>
    <s v="Febrero"/>
    <s v="HISNOSPI"/>
    <n v="43114534"/>
    <x v="49"/>
    <n v="46036944"/>
    <n v="578000"/>
    <n v="4274115"/>
    <n v="41184829"/>
    <n v="36000000"/>
    <n v="1.1440230277777779"/>
    <x v="0"/>
    <n v="24"/>
    <x v="4"/>
    <s v="Antioquia"/>
    <s v="No Aplica"/>
    <n v="96"/>
    <n v="9489783"/>
    <n v="243"/>
    <n v="27987572"/>
    <n v="48"/>
    <n v="4274115"/>
    <n v="4285474"/>
    <m/>
  </r>
  <r>
    <n v="2"/>
    <x v="25"/>
    <n v="2018"/>
    <s v="Febrero"/>
    <s v="MARIMASA"/>
    <n v="43113640"/>
    <x v="34"/>
    <n v="59723074"/>
    <n v="334800"/>
    <n v="16075787"/>
    <n v="43312487"/>
    <n v="36000000"/>
    <n v="1.203124638888889"/>
    <x v="1"/>
    <n v="24"/>
    <x v="4"/>
    <s v="Antioquia"/>
    <s v="Cumple"/>
    <n v="85"/>
    <n v="9193382"/>
    <n v="203"/>
    <n v="28890155"/>
    <n v="169"/>
    <n v="16075787"/>
    <n v="5563750"/>
    <s v="NO"/>
  </r>
  <r>
    <n v="2"/>
    <x v="25"/>
    <n v="2018"/>
    <s v="Febrero"/>
    <s v="ANDRSAZA"/>
    <n v="1020736461"/>
    <x v="45"/>
    <n v="26247994"/>
    <n v="2651600"/>
    <n v="2713413"/>
    <n v="20882981"/>
    <n v="7000002"/>
    <n v="2.9832821476336719"/>
    <x v="1"/>
    <n v="24"/>
    <x v="9"/>
    <s v="Centro"/>
    <s v="Siempre Cumple"/>
    <n v="45"/>
    <n v="4202264"/>
    <n v="130"/>
    <n v="14727325"/>
    <n v="38"/>
    <n v="2713413"/>
    <n v="4604992"/>
    <s v="Inicio Vacaciones"/>
  </r>
  <r>
    <n v="2"/>
    <x v="25"/>
    <n v="2018"/>
    <s v="Febrero"/>
    <s v="CAMIPUHE"/>
    <n v="79850984"/>
    <x v="53"/>
    <n v="39954933"/>
    <n v="2503200"/>
    <n v="6816649"/>
    <n v="30635084"/>
    <n v="28000008"/>
    <n v="1.0941098302543342"/>
    <x v="1"/>
    <n v="24"/>
    <x v="15"/>
    <s v="Centro"/>
    <s v="Fluctúa"/>
    <n v="57"/>
    <n v="5467479"/>
    <n v="180"/>
    <n v="22302072"/>
    <n v="85"/>
    <n v="6816649"/>
    <n v="5368733"/>
    <s v="NO"/>
  </r>
  <r>
    <n v="2"/>
    <x v="25"/>
    <n v="2018"/>
    <s v="Febrero"/>
    <s v="ISABMOGO"/>
    <n v="52260671"/>
    <x v="15"/>
    <n v="54726755"/>
    <n v="892800"/>
    <n v="7827799"/>
    <n v="46006156"/>
    <n v="24500007"/>
    <n v="1.8778017491995003"/>
    <x v="1"/>
    <n v="24"/>
    <x v="9"/>
    <s v="Centro"/>
    <s v="Siempre Cumple"/>
    <n v="87"/>
    <n v="9644126"/>
    <n v="254"/>
    <n v="31701964"/>
    <n v="104"/>
    <n v="7827799"/>
    <n v="5552866"/>
    <s v="Inicio Vacaciones"/>
  </r>
  <r>
    <n v="2"/>
    <x v="25"/>
    <n v="2018"/>
    <s v="Febrero"/>
    <s v="LUZNHEGO"/>
    <n v="43745192"/>
    <x v="19"/>
    <n v="36541203"/>
    <n v="0"/>
    <n v="4349978"/>
    <n v="32191225"/>
    <n v="30000000"/>
    <n v="1.0730408333333334"/>
    <x v="1"/>
    <n v="24"/>
    <x v="10"/>
    <s v="Antioquia"/>
    <s v="Cumple"/>
    <n v="53"/>
    <n v="8926848"/>
    <n v="178"/>
    <n v="20561262"/>
    <n v="58"/>
    <n v="4349978"/>
    <n v="2703115"/>
    <s v="NO"/>
  </r>
  <r>
    <n v="2"/>
    <x v="25"/>
    <n v="2018"/>
    <s v="Febrero"/>
    <s v="CARORICA"/>
    <n v="31309227"/>
    <x v="59"/>
    <n v="8996578"/>
    <n v="0"/>
    <n v="2895420"/>
    <n v="6101158"/>
    <n v="6250000"/>
    <n v="0.97618528000000004"/>
    <x v="0"/>
    <n v="24"/>
    <x v="0"/>
    <s v=""/>
    <s v="No Aplica"/>
    <n v="12"/>
    <n v="1052667"/>
    <n v="52"/>
    <n v="4300485"/>
    <n v="31"/>
    <n v="2895420"/>
    <n v="748006"/>
    <m/>
  </r>
  <r>
    <n v="2"/>
    <x v="25"/>
    <n v="2018"/>
    <s v="Febrero"/>
    <s v="MONIARGI"/>
    <n v="1151951440"/>
    <x v="67"/>
    <n v="11298038"/>
    <n v="0"/>
    <n v="5011452"/>
    <n v="6286586"/>
    <n v="23750000"/>
    <n v="0.26469835789473684"/>
    <x v="0"/>
    <n v="24"/>
    <x v="16"/>
    <s v="Occidente"/>
    <s v="No Aplica"/>
    <n v="10"/>
    <n v="1082484"/>
    <n v="60"/>
    <n v="4432156"/>
    <n v="63"/>
    <n v="5011452"/>
    <n v="771946"/>
    <m/>
  </r>
  <r>
    <n v="2"/>
    <x v="25"/>
    <n v="2018"/>
    <s v="Febrero"/>
    <s v="PAOLPACA"/>
    <n v="31445278"/>
    <x v="47"/>
    <n v="40153004"/>
    <n v="0"/>
    <n v="7839783"/>
    <n v="32313221"/>
    <n v="30000000"/>
    <n v="1.0771073666666666"/>
    <x v="1"/>
    <n v="24"/>
    <x v="14"/>
    <s v="Occidente"/>
    <s v="Cumple"/>
    <n v="54"/>
    <n v="6257456"/>
    <n v="250"/>
    <n v="22381151"/>
    <n v="91"/>
    <n v="7839783"/>
    <n v="3674614"/>
    <s v="NO"/>
  </r>
  <r>
    <n v="2"/>
    <x v="25"/>
    <n v="2018"/>
    <s v="Febrero"/>
    <s v="TATIRITR"/>
    <n v="1130597373"/>
    <x v="60"/>
    <n v="39741810"/>
    <n v="198000"/>
    <n v="7381930"/>
    <n v="32161880"/>
    <n v="30000000"/>
    <n v="1.0720626666666666"/>
    <x v="1"/>
    <n v="24"/>
    <x v="16"/>
    <s v="Occidente"/>
    <s v="Fluctúa"/>
    <n v="55"/>
    <n v="7674161"/>
    <n v="212"/>
    <n v="20789303"/>
    <n v="87"/>
    <n v="7381930"/>
    <n v="3896416"/>
    <s v="NO"/>
  </r>
  <r>
    <n v="2"/>
    <x v="25"/>
    <n v="2018"/>
    <s v="Febrero"/>
    <s v="ROCIFASA"/>
    <n v="34542470"/>
    <x v="28"/>
    <n v="46509056"/>
    <n v="1406880"/>
    <n v="6098037"/>
    <n v="39004139"/>
    <n v="34999992"/>
    <n v="1.1144042261495375"/>
    <x v="1"/>
    <n v="24"/>
    <x v="12"/>
    <s v="Occidente"/>
    <s v="Siempre Cumple"/>
    <n v="65"/>
    <n v="10666791"/>
    <n v="169"/>
    <n v="22777278"/>
    <n v="64"/>
    <n v="6098037"/>
    <n v="6966950"/>
    <s v="NO"/>
  </r>
  <r>
    <n v="2"/>
    <x v="25"/>
    <n v="2018"/>
    <s v="Febrero"/>
    <s v="ANGEROPI"/>
    <m/>
    <x v="7"/>
    <n v="360123"/>
    <n v="0"/>
    <n v="0"/>
    <n v="360123"/>
    <m/>
    <m/>
    <x v="0"/>
    <n v="24"/>
    <x v="0"/>
    <s v=""/>
    <s v="No Aplica"/>
    <n v="1"/>
    <n v="53418"/>
    <n v="4"/>
    <n v="213705"/>
    <n v="0"/>
    <n v="0"/>
    <n v="93000"/>
    <m/>
  </r>
  <r>
    <n v="2"/>
    <x v="25"/>
    <n v="2018"/>
    <s v="Febrero"/>
    <s v="ANAUROCA"/>
    <m/>
    <x v="7"/>
    <n v="394655"/>
    <n v="0"/>
    <n v="394655"/>
    <n v="0"/>
    <m/>
    <m/>
    <x v="0"/>
    <n v="24"/>
    <x v="0"/>
    <s v=""/>
    <s v="No Aplica"/>
    <n v="0"/>
    <n v="0"/>
    <n v="0"/>
    <n v="0"/>
    <n v="0"/>
    <n v="0"/>
    <n v="394655"/>
    <m/>
  </r>
  <r>
    <n v="2"/>
    <x v="25"/>
    <n v="2018"/>
    <s v="Febrero"/>
    <s v="CAROVABE"/>
    <m/>
    <x v="7"/>
    <n v="540597"/>
    <n v="0"/>
    <n v="0"/>
    <n v="540597"/>
    <m/>
    <m/>
    <x v="0"/>
    <n v="24"/>
    <x v="0"/>
    <s v=""/>
    <s v="No Aplica"/>
    <n v="2"/>
    <n v="156737"/>
    <n v="4"/>
    <n v="383860"/>
    <n v="0"/>
    <n v="0"/>
    <n v="0"/>
    <m/>
  </r>
  <r>
    <n v="2"/>
    <x v="25"/>
    <n v="2018"/>
    <s v="Febrero"/>
    <s v="CLAUREME"/>
    <m/>
    <x v="7"/>
    <n v="185200"/>
    <n v="0"/>
    <n v="185200"/>
    <n v="0"/>
    <m/>
    <m/>
    <x v="0"/>
    <n v="24"/>
    <x v="0"/>
    <s v=""/>
    <s v="No Aplica"/>
    <n v="0"/>
    <n v="0"/>
    <n v="0"/>
    <n v="0"/>
    <n v="0"/>
    <n v="0"/>
    <n v="185200"/>
    <m/>
  </r>
  <r>
    <n v="2"/>
    <x v="25"/>
    <n v="2018"/>
    <s v="Febrero"/>
    <s v="DARWHERI"/>
    <m/>
    <x v="7"/>
    <n v="9949540"/>
    <n v="0"/>
    <n v="3441869"/>
    <n v="6507671"/>
    <m/>
    <m/>
    <x v="0"/>
    <n v="24"/>
    <x v="0"/>
    <s v=""/>
    <s v="No Aplica"/>
    <n v="8"/>
    <n v="1597355"/>
    <n v="24"/>
    <n v="4629316"/>
    <n v="44"/>
    <n v="3441869"/>
    <n v="281000"/>
    <m/>
  </r>
  <r>
    <n v="2"/>
    <x v="25"/>
    <n v="2018"/>
    <s v="Febrero"/>
    <s v="DIANPOPA"/>
    <m/>
    <x v="7"/>
    <n v="5374750"/>
    <n v="0"/>
    <n v="0"/>
    <n v="5374750"/>
    <m/>
    <m/>
    <x v="0"/>
    <n v="24"/>
    <x v="0"/>
    <s v=""/>
    <s v="No Aplica"/>
    <n v="3"/>
    <n v="164353"/>
    <n v="10"/>
    <n v="519665"/>
    <n v="0"/>
    <n v="0"/>
    <n v="4690732"/>
    <m/>
  </r>
  <r>
    <n v="2"/>
    <x v="25"/>
    <n v="2018"/>
    <s v="Febrero"/>
    <s v="ELIZGORE"/>
    <m/>
    <x v="7"/>
    <n v="400180"/>
    <n v="0"/>
    <n v="400180"/>
    <n v="0"/>
    <m/>
    <m/>
    <x v="0"/>
    <n v="24"/>
    <x v="0"/>
    <s v=""/>
    <s v="No Aplica"/>
    <n v="0"/>
    <n v="0"/>
    <n v="0"/>
    <n v="0"/>
    <n v="5"/>
    <n v="400180"/>
    <n v="0"/>
    <m/>
  </r>
  <r>
    <n v="2"/>
    <x v="25"/>
    <n v="2018"/>
    <s v="Febrero"/>
    <s v="ESTESESE"/>
    <m/>
    <x v="7"/>
    <n v="69764"/>
    <n v="0"/>
    <n v="69764"/>
    <n v="0"/>
    <m/>
    <m/>
    <x v="0"/>
    <n v="24"/>
    <x v="0"/>
    <s v=""/>
    <s v="No Aplica"/>
    <n v="0"/>
    <n v="0"/>
    <n v="0"/>
    <n v="0"/>
    <n v="1"/>
    <n v="69764"/>
    <n v="0"/>
    <m/>
  </r>
  <r>
    <n v="2"/>
    <x v="25"/>
    <n v="2018"/>
    <s v="Febrero"/>
    <s v="NATVAMO"/>
    <m/>
    <x v="7"/>
    <n v="326501"/>
    <n v="0"/>
    <n v="0"/>
    <n v="326501"/>
    <m/>
    <m/>
    <x v="0"/>
    <n v="24"/>
    <x v="0"/>
    <s v=""/>
    <s v="No Aplica"/>
    <n v="1"/>
    <n v="109786"/>
    <n v="2"/>
    <n v="216715"/>
    <n v="0"/>
    <n v="0"/>
    <n v="0"/>
    <m/>
  </r>
  <r>
    <n v="2"/>
    <x v="25"/>
    <n v="2018"/>
    <s v="Febrero"/>
    <s v="PAOLPCA"/>
    <m/>
    <x v="7"/>
    <n v="43870"/>
    <n v="0"/>
    <n v="43870"/>
    <n v="0"/>
    <m/>
    <m/>
    <x v="0"/>
    <n v="24"/>
    <x v="0"/>
    <s v=""/>
    <s v="No Aplica"/>
    <n v="0"/>
    <n v="0"/>
    <n v="0"/>
    <n v="0"/>
    <n v="1"/>
    <n v="43870"/>
    <n v="0"/>
    <m/>
  </r>
  <r>
    <n v="2"/>
    <x v="25"/>
    <n v="2018"/>
    <s v="Febrero"/>
    <s v="RUBYHIGA"/>
    <m/>
    <x v="7"/>
    <n v="521646"/>
    <n v="0"/>
    <n v="0"/>
    <n v="521646"/>
    <m/>
    <m/>
    <x v="0"/>
    <n v="24"/>
    <x v="0"/>
    <s v=""/>
    <s v="No Aplica"/>
    <n v="1"/>
    <n v="115116"/>
    <n v="2"/>
    <n v="186530"/>
    <n v="0"/>
    <n v="0"/>
    <n v="220000"/>
    <m/>
  </r>
  <r>
    <n v="2"/>
    <x v="25"/>
    <n v="2018"/>
    <s v="Febrero"/>
    <s v="YANEARNA"/>
    <m/>
    <x v="7"/>
    <n v="416996"/>
    <n v="0"/>
    <n v="0"/>
    <n v="416996"/>
    <m/>
    <m/>
    <x v="0"/>
    <n v="24"/>
    <x v="0"/>
    <s v=""/>
    <s v="No Aplica"/>
    <n v="2"/>
    <n v="120906"/>
    <n v="4"/>
    <n v="296090"/>
    <n v="0"/>
    <n v="0"/>
    <n v="0"/>
    <m/>
  </r>
  <r>
    <n v="2"/>
    <x v="25"/>
    <n v="2018"/>
    <s v="Febrero"/>
    <s v="4438276293"/>
    <m/>
    <x v="7"/>
    <n v="134285"/>
    <n v="0"/>
    <n v="134285"/>
    <n v="0"/>
    <m/>
    <m/>
    <x v="0"/>
    <n v="24"/>
    <x v="0"/>
    <s v=""/>
    <s v="No Aplica"/>
    <n v="0"/>
    <n v="0"/>
    <n v="0"/>
    <n v="0"/>
    <n v="1"/>
    <n v="134285"/>
    <n v="0"/>
    <m/>
  </r>
  <r>
    <n v="2"/>
    <x v="25"/>
    <n v="2018"/>
    <s v="Febrero"/>
    <s v="4438231734"/>
    <m/>
    <x v="7"/>
    <n v="43870"/>
    <n v="0"/>
    <n v="43870"/>
    <n v="0"/>
    <m/>
    <m/>
    <x v="0"/>
    <n v="24"/>
    <x v="0"/>
    <s v=""/>
    <s v="No Aplica"/>
    <n v="0"/>
    <n v="0"/>
    <n v="0"/>
    <n v="0"/>
    <n v="1"/>
    <n v="43870"/>
    <n v="0"/>
    <m/>
  </r>
  <r>
    <n v="2"/>
    <x v="25"/>
    <n v="2018"/>
    <s v="Febrero"/>
    <s v="4438680224"/>
    <m/>
    <x v="7"/>
    <n v="134285"/>
    <n v="0"/>
    <n v="134285"/>
    <n v="0"/>
    <m/>
    <m/>
    <x v="0"/>
    <n v="24"/>
    <x v="0"/>
    <s v=""/>
    <s v="No Aplica"/>
    <n v="0"/>
    <n v="0"/>
    <n v="0"/>
    <n v="0"/>
    <n v="1"/>
    <n v="134285"/>
    <n v="0"/>
    <m/>
  </r>
  <r>
    <n v="2"/>
    <x v="25"/>
    <n v="2018"/>
    <s v="Febrero"/>
    <s v="4438700803"/>
    <m/>
    <x v="7"/>
    <n v="134285"/>
    <n v="0"/>
    <n v="134285"/>
    <n v="0"/>
    <m/>
    <m/>
    <x v="0"/>
    <n v="24"/>
    <x v="0"/>
    <s v=""/>
    <s v="No Aplica"/>
    <n v="0"/>
    <n v="0"/>
    <n v="0"/>
    <n v="0"/>
    <n v="1"/>
    <n v="134285"/>
    <n v="0"/>
    <m/>
  </r>
  <r>
    <n v="2"/>
    <x v="25"/>
    <n v="2018"/>
    <s v="Febrero"/>
    <s v="4438736383"/>
    <m/>
    <x v="7"/>
    <n v="134285"/>
    <n v="0"/>
    <n v="134285"/>
    <n v="0"/>
    <m/>
    <m/>
    <x v="0"/>
    <n v="24"/>
    <x v="0"/>
    <s v=""/>
    <s v="No Aplica"/>
    <n v="0"/>
    <n v="0"/>
    <n v="0"/>
    <n v="0"/>
    <n v="1"/>
    <n v="134285"/>
    <n v="0"/>
    <m/>
  </r>
  <r>
    <n v="2"/>
    <x v="25"/>
    <n v="2018"/>
    <s v="Febrero"/>
    <s v="IPSA"/>
    <m/>
    <x v="7"/>
    <n v="43870"/>
    <n v="0"/>
    <n v="43870"/>
    <n v="0"/>
    <m/>
    <m/>
    <x v="0"/>
    <n v="24"/>
    <x v="0"/>
    <s v=""/>
    <s v="No Aplica"/>
    <n v="0"/>
    <n v="0"/>
    <n v="0"/>
    <n v="0"/>
    <n v="1"/>
    <n v="43870"/>
    <n v="0"/>
    <m/>
  </r>
  <r>
    <n v="2"/>
    <x v="25"/>
    <n v="2018"/>
    <s v="Febrero"/>
    <s v="(en blanco)"/>
    <m/>
    <x v="7"/>
    <n v="-43870"/>
    <n v="0"/>
    <n v="0"/>
    <n v="-43870"/>
    <m/>
    <m/>
    <x v="0"/>
    <n v="24"/>
    <x v="0"/>
    <s v=""/>
    <s v="No Aplica"/>
    <n v="1"/>
    <n v="78787"/>
    <n v="0"/>
    <n v="0"/>
    <n v="0"/>
    <n v="0"/>
    <n v="-122657"/>
    <m/>
  </r>
  <r>
    <n v="3"/>
    <x v="26"/>
    <n v="2018"/>
    <s v="Marzo"/>
    <s v="DERLARMO"/>
    <n v="52725011"/>
    <x v="10"/>
    <n v="37762195"/>
    <n v="880000"/>
    <n v="7683777"/>
    <n v="29198418"/>
    <n v="25000008"/>
    <n v="1.1679363462603691"/>
    <x v="1"/>
    <n v="24"/>
    <x v="6"/>
    <s v="Centro"/>
    <s v="Fluctúa"/>
    <n v="96"/>
    <n v="6014692"/>
    <n v="272"/>
    <n v="22018535"/>
    <n v="113"/>
    <n v="7683777"/>
    <n v="2045191"/>
    <s v="NO"/>
  </r>
  <r>
    <n v="3"/>
    <x v="26"/>
    <n v="2018"/>
    <s v="Marzo"/>
    <s v="RAULMOGA"/>
    <n v="79701425"/>
    <x v="27"/>
    <n v="37415861"/>
    <n v="744000"/>
    <n v="7760068"/>
    <n v="28911793"/>
    <n v="25000008"/>
    <n v="1.1564713499291681"/>
    <x v="0"/>
    <n v="24"/>
    <x v="6"/>
    <s v="Centro"/>
    <s v="No Aplica"/>
    <n v="86"/>
    <n v="6429651"/>
    <n v="212"/>
    <n v="20329907"/>
    <n v="111"/>
    <n v="7760068"/>
    <n v="2896235"/>
    <m/>
  </r>
  <r>
    <n v="3"/>
    <x v="26"/>
    <n v="2018"/>
    <s v="Marzo"/>
    <s v="PAULGOBA"/>
    <n v="32256379"/>
    <x v="36"/>
    <n v="32146846"/>
    <n v="597400"/>
    <n v="4807189"/>
    <n v="26742257"/>
    <n v="43666660"/>
    <n v="0.61241819273560194"/>
    <x v="1"/>
    <n v="24"/>
    <x v="13"/>
    <s v="Antioquia"/>
    <s v="Fluctúa"/>
    <n v="31"/>
    <n v="3315045"/>
    <n v="66"/>
    <n v="8055222"/>
    <n v="71"/>
    <n v="4807189"/>
    <n v="15969390"/>
    <s v="NO"/>
  </r>
  <r>
    <n v="3"/>
    <x v="26"/>
    <n v="2018"/>
    <s v="Marzo"/>
    <s v="DIANPAAL"/>
    <n v="1040030764"/>
    <x v="11"/>
    <n v="24119799"/>
    <n v="2063400"/>
    <n v="4477522"/>
    <n v="17578877"/>
    <n v="33541659"/>
    <n v="0.52409086264934002"/>
    <x v="1"/>
    <n v="24"/>
    <x v="7"/>
    <s v="Antioquia"/>
    <s v="Cumple"/>
    <n v="40"/>
    <n v="4699998"/>
    <n v="90"/>
    <n v="11425056"/>
    <n v="52"/>
    <n v="4477522"/>
    <n v="3517223"/>
    <s v="Regreso Vacaciones"/>
  </r>
  <r>
    <n v="3"/>
    <x v="26"/>
    <n v="2018"/>
    <s v="Marzo"/>
    <s v="JAQUVEGU"/>
    <n v="1036779770"/>
    <x v="16"/>
    <n v="46692080"/>
    <n v="2180400"/>
    <n v="9246312"/>
    <n v="35265368"/>
    <n v="34999992"/>
    <n v="1.0075821731616397"/>
    <x v="0"/>
    <n v="24"/>
    <x v="7"/>
    <s v="Antioquia"/>
    <s v="No Aplica"/>
    <n v="88"/>
    <n v="8908018"/>
    <n v="213"/>
    <n v="23227544"/>
    <n v="103"/>
    <n v="9246312"/>
    <n v="5310206"/>
    <m/>
  </r>
  <r>
    <n v="3"/>
    <x v="26"/>
    <n v="2018"/>
    <s v="Marzo"/>
    <s v="MARIOCOC"/>
    <n v="39448823"/>
    <x v="21"/>
    <n v="58167235"/>
    <n v="1944400"/>
    <n v="10412305"/>
    <n v="45810530"/>
    <n v="34999992"/>
    <n v="1.3088725848851623"/>
    <x v="1"/>
    <n v="24"/>
    <x v="7"/>
    <s v="Antioquia"/>
    <s v="Siempre Cumple"/>
    <n v="85"/>
    <n v="10808306"/>
    <n v="228"/>
    <n v="31240834"/>
    <n v="123"/>
    <n v="10412305"/>
    <n v="5705790"/>
    <s v="NO"/>
  </r>
  <r>
    <n v="3"/>
    <x v="26"/>
    <n v="2018"/>
    <s v="Marzo"/>
    <s v="ALEXLOGR"/>
    <n v="43253531"/>
    <x v="2"/>
    <n v="52100929"/>
    <n v="1666200"/>
    <n v="9525996"/>
    <n v="40908733"/>
    <n v="34999992"/>
    <n v="1.1688212100162765"/>
    <x v="1"/>
    <n v="24"/>
    <x v="2"/>
    <s v="Antioquia"/>
    <s v="Cumple"/>
    <n v="86"/>
    <n v="8152759"/>
    <n v="208"/>
    <n v="27650768"/>
    <n v="115"/>
    <n v="9525996"/>
    <n v="6771406"/>
    <s v="NO"/>
  </r>
  <r>
    <n v="3"/>
    <x v="26"/>
    <n v="2018"/>
    <s v="Marzo"/>
    <s v="YULIRIRE"/>
    <n v="21982241"/>
    <x v="57"/>
    <n v="48559797"/>
    <n v="1814000"/>
    <n v="10057037"/>
    <n v="36688760"/>
    <n v="34999992"/>
    <n v="1.0482505253144059"/>
    <x v="1"/>
    <n v="24"/>
    <x v="2"/>
    <s v="Antioquia"/>
    <s v="Fluctúa"/>
    <n v="76"/>
    <n v="7372554"/>
    <n v="212"/>
    <n v="24952512"/>
    <n v="110"/>
    <n v="10057037"/>
    <n v="6177694"/>
    <s v="NO"/>
  </r>
  <r>
    <n v="3"/>
    <x v="26"/>
    <n v="2018"/>
    <s v="Marzo"/>
    <s v="ADRIMOLU"/>
    <n v="43169964"/>
    <x v="1"/>
    <n v="60699745"/>
    <n v="1334000"/>
    <n v="14141762"/>
    <n v="45223983"/>
    <n v="43999992"/>
    <n v="1.0278179823305422"/>
    <x v="1"/>
    <n v="24"/>
    <x v="1"/>
    <s v="Antioquia"/>
    <s v="Cumple"/>
    <n v="108"/>
    <n v="11395637"/>
    <n v="265"/>
    <n v="28367081"/>
    <n v="161"/>
    <n v="14141762"/>
    <n v="6795265"/>
    <s v="NO"/>
  </r>
  <r>
    <n v="3"/>
    <x v="26"/>
    <n v="2018"/>
    <s v="Marzo"/>
    <s v="ELIZVESU"/>
    <n v="1035417626"/>
    <x v="13"/>
    <n v="69620812"/>
    <n v="632000"/>
    <n v="14432588"/>
    <n v="54556224"/>
    <n v="43999992"/>
    <n v="1.2399144072571651"/>
    <x v="1"/>
    <n v="24"/>
    <x v="3"/>
    <s v="Antioquia"/>
    <s v="Cumple"/>
    <n v="118"/>
    <n v="13284165"/>
    <n v="298"/>
    <n v="35119421"/>
    <n v="156"/>
    <n v="14432588"/>
    <n v="6784638"/>
    <s v="NO"/>
  </r>
  <r>
    <n v="3"/>
    <x v="26"/>
    <n v="2018"/>
    <s v="Marzo"/>
    <s v="LILACARA"/>
    <n v="1017141451"/>
    <x v="17"/>
    <n v="60854521"/>
    <n v="2130000"/>
    <n v="12774837"/>
    <n v="45949684"/>
    <n v="43999992"/>
    <n v="1.0443111898747619"/>
    <x v="1"/>
    <n v="24"/>
    <x v="1"/>
    <s v="Antioquia"/>
    <s v="Siempre Cumple"/>
    <n v="83"/>
    <n v="9627282"/>
    <n v="246"/>
    <n v="30614892"/>
    <n v="134"/>
    <n v="12774837"/>
    <n v="7837510"/>
    <s v="NO"/>
  </r>
  <r>
    <n v="3"/>
    <x v="26"/>
    <n v="2018"/>
    <s v="Marzo"/>
    <s v="NATAVAMO"/>
    <n v="32183069"/>
    <x v="63"/>
    <n v="46687799"/>
    <n v="440000"/>
    <n v="10865850"/>
    <n v="35381949"/>
    <n v="42541663"/>
    <n v="0.83170112555308429"/>
    <x v="1"/>
    <n v="24"/>
    <x v="1"/>
    <s v="Antioquia"/>
    <s v="No Cumple"/>
    <n v="79"/>
    <n v="7876965"/>
    <n v="216"/>
    <n v="24368198"/>
    <n v="114"/>
    <n v="10865850"/>
    <n v="3576786"/>
    <s v="NO"/>
  </r>
  <r>
    <n v="3"/>
    <x v="26"/>
    <n v="2018"/>
    <s v="Marzo"/>
    <s v="NOREARMA"/>
    <n v="39275090"/>
    <x v="66"/>
    <n v="55699502"/>
    <n v="0"/>
    <n v="9075740"/>
    <n v="46623762"/>
    <n v="39999996"/>
    <n v="1.1655941665594167"/>
    <x v="1"/>
    <n v="24"/>
    <x v="4"/>
    <s v="Antioquia"/>
    <s v="Siempre Cumple"/>
    <n v="88"/>
    <n v="11481196"/>
    <n v="192"/>
    <n v="30513272"/>
    <n v="105"/>
    <n v="9075740"/>
    <n v="4629294"/>
    <s v="NO"/>
  </r>
  <r>
    <n v="3"/>
    <x v="26"/>
    <n v="2018"/>
    <s v="Marzo"/>
    <s v="SUANHECO"/>
    <n v="1020409789"/>
    <x v="58"/>
    <n v="68879988"/>
    <n v="1259000"/>
    <n v="12791422"/>
    <n v="54829566"/>
    <n v="43999992"/>
    <n v="1.2461267265684957"/>
    <x v="1"/>
    <n v="24"/>
    <x v="1"/>
    <s v="Antioquia"/>
    <s v="Cumple"/>
    <n v="117"/>
    <n v="14538557"/>
    <n v="294"/>
    <n v="32838724"/>
    <n v="152"/>
    <n v="12791422"/>
    <n v="8711285"/>
    <s v="NO"/>
  </r>
  <r>
    <n v="3"/>
    <x v="26"/>
    <n v="2018"/>
    <s v="Marzo"/>
    <s v="ZULYARGA"/>
    <n v="43259130"/>
    <x v="31"/>
    <n v="53785068"/>
    <n v="2464000"/>
    <n v="10860500"/>
    <n v="40460568"/>
    <n v="40333326"/>
    <n v="1.0031547609041713"/>
    <x v="1"/>
    <n v="24"/>
    <x v="1"/>
    <s v="Antioquia"/>
    <s v="Fluctúa"/>
    <n v="81"/>
    <n v="8790522"/>
    <n v="230"/>
    <n v="28192946"/>
    <n v="118"/>
    <n v="10860500"/>
    <n v="5941100"/>
    <s v="NO"/>
  </r>
  <r>
    <n v="3"/>
    <x v="26"/>
    <n v="2018"/>
    <s v="Marzo"/>
    <s v="ANAKBEZA"/>
    <n v="43906785"/>
    <x v="65"/>
    <n v="35333089"/>
    <n v="1917200"/>
    <n v="7986801"/>
    <n v="25429088"/>
    <n v="42000000"/>
    <n v="0.60545447619047621"/>
    <x v="0"/>
    <n v="24"/>
    <x v="0"/>
    <s v=""/>
    <s v="No Aplica"/>
    <n v="64"/>
    <n v="6072527"/>
    <n v="140"/>
    <n v="16212801"/>
    <n v="84"/>
    <n v="7986801"/>
    <n v="5060960"/>
    <m/>
  </r>
  <r>
    <n v="3"/>
    <x v="26"/>
    <n v="2018"/>
    <s v="Marzo"/>
    <s v="BIBIBECA"/>
    <n v="43971430"/>
    <x v="6"/>
    <n v="11258231"/>
    <n v="426000"/>
    <n v="2801795"/>
    <n v="8030436"/>
    <n v="10500000"/>
    <n v="0.76480342857142858"/>
    <x v="1"/>
    <n v="24"/>
    <x v="5"/>
    <s v="Antioquia"/>
    <s v="Siempre Cumple"/>
    <n v="25"/>
    <n v="1717535"/>
    <n v="54"/>
    <n v="4659580"/>
    <n v="31"/>
    <n v="2801795"/>
    <n v="2079321"/>
    <s v="Inicio Vacaciones"/>
  </r>
  <r>
    <n v="3"/>
    <x v="26"/>
    <n v="2018"/>
    <s v="Marzo"/>
    <s v="CINDGACU"/>
    <n v="1020443426"/>
    <x v="55"/>
    <n v="35262854"/>
    <n v="852000"/>
    <n v="12414033"/>
    <n v="21996821"/>
    <n v="42000000"/>
    <n v="0.52373383333333334"/>
    <x v="1"/>
    <n v="24"/>
    <x v="4"/>
    <s v="Antioquia"/>
    <s v="Fluctúa"/>
    <n v="60"/>
    <n v="4954336"/>
    <n v="150"/>
    <n v="15453263"/>
    <n v="142"/>
    <n v="12414033"/>
    <n v="2441222"/>
    <s v="NO"/>
  </r>
  <r>
    <n v="3"/>
    <x v="26"/>
    <n v="2018"/>
    <s v="Marzo"/>
    <s v="CLAUBLAR"/>
    <n v="43554403"/>
    <x v="8"/>
    <n v="66132914"/>
    <n v="1068000"/>
    <n v="15393341"/>
    <n v="49671573"/>
    <n v="42000000"/>
    <n v="1.1826565"/>
    <x v="1"/>
    <n v="24"/>
    <x v="5"/>
    <s v="Antioquia"/>
    <s v="Siempre Cumple"/>
    <n v="112"/>
    <n v="12122331"/>
    <n v="266"/>
    <n v="32581015"/>
    <n v="156"/>
    <n v="15393341"/>
    <n v="6036227"/>
    <s v="NO"/>
  </r>
  <r>
    <n v="3"/>
    <x v="26"/>
    <n v="2018"/>
    <s v="Marzo"/>
    <s v="HERIRORO"/>
    <n v="21428423"/>
    <x v="52"/>
    <n v="55340948"/>
    <n v="1283000"/>
    <n v="10517458"/>
    <n v="43540490"/>
    <n v="42000000"/>
    <n v="1.0366783333333334"/>
    <x v="1"/>
    <n v="24"/>
    <x v="5"/>
    <s v="Antioquia"/>
    <s v="Fluctúa"/>
    <n v="120"/>
    <n v="10529119"/>
    <n v="264"/>
    <n v="29388753"/>
    <n v="117"/>
    <n v="10517458"/>
    <n v="4905618"/>
    <s v="NO"/>
  </r>
  <r>
    <n v="3"/>
    <x v="26"/>
    <n v="2018"/>
    <s v="Marzo"/>
    <s v="MARGGAPA"/>
    <n v="43866877"/>
    <x v="20"/>
    <n v="53969563"/>
    <n v="1554000"/>
    <n v="12605670"/>
    <n v="39809893"/>
    <n v="26250000"/>
    <n v="1.5165673523809524"/>
    <x v="1"/>
    <n v="24"/>
    <x v="5"/>
    <s v="Antioquia"/>
    <s v="Siempre Cumple"/>
    <n v="93"/>
    <n v="9864935"/>
    <n v="216"/>
    <n v="24109847"/>
    <n v="129"/>
    <n v="12605670"/>
    <n v="7389111"/>
    <s v="Inicio Vacaciones"/>
  </r>
  <r>
    <n v="3"/>
    <x v="26"/>
    <n v="2018"/>
    <s v="Marzo"/>
    <s v="YENISIGI"/>
    <n v="1035913369"/>
    <x v="64"/>
    <n v="52844737"/>
    <n v="225000"/>
    <n v="9184559"/>
    <n v="43435178"/>
    <n v="42000000"/>
    <n v="1.0341709047619048"/>
    <x v="1"/>
    <n v="24"/>
    <x v="5"/>
    <s v="Antioquia"/>
    <s v="Fluctúa"/>
    <n v="89"/>
    <n v="10016851"/>
    <n v="250"/>
    <n v="29259956"/>
    <n v="106"/>
    <n v="9184559"/>
    <n v="4383371"/>
    <s v="NO"/>
  </r>
  <r>
    <n v="3"/>
    <x v="26"/>
    <n v="2018"/>
    <s v="Marzo"/>
    <s v="ANGEGAAR"/>
    <n v="39442617"/>
    <x v="4"/>
    <n v="15705455"/>
    <n v="0"/>
    <n v="1985599"/>
    <n v="13719856"/>
    <n v="8333335"/>
    <n v="1.6463823907235218"/>
    <x v="1"/>
    <n v="24"/>
    <x v="4"/>
    <s v="Antioquia"/>
    <s v="Cumple"/>
    <n v="14"/>
    <n v="1796736"/>
    <n v="54"/>
    <n v="8845522"/>
    <n v="22"/>
    <n v="1985599"/>
    <n v="3077598"/>
    <s v="NO"/>
  </r>
  <r>
    <n v="3"/>
    <x v="26"/>
    <n v="2018"/>
    <s v="Marzo"/>
    <s v="NATAPIDU"/>
    <n v="43907427"/>
    <x v="25"/>
    <n v="64249265"/>
    <n v="479600"/>
    <n v="6184065"/>
    <n v="57585600"/>
    <n v="38333341"/>
    <n v="1.5022327430317122"/>
    <x v="1"/>
    <n v="24"/>
    <x v="11"/>
    <s v="Antioquia"/>
    <s v="Siempre Cumple"/>
    <n v="49"/>
    <n v="10686331"/>
    <n v="186"/>
    <n v="41217472"/>
    <n v="70"/>
    <n v="6184065"/>
    <n v="6161397"/>
    <s v="NO"/>
  </r>
  <r>
    <n v="3"/>
    <x v="26"/>
    <n v="2018"/>
    <s v="Marzo"/>
    <s v="ALVAOSOS"/>
    <n v="3438422"/>
    <x v="37"/>
    <n v="39831194"/>
    <n v="1198040"/>
    <n v="9454948"/>
    <n v="29178206"/>
    <n v="43833326"/>
    <n v="0.66566260566218494"/>
    <x v="1"/>
    <n v="24"/>
    <x v="8"/>
    <s v="Antioquia"/>
    <s v="Fluctúa"/>
    <n v="50"/>
    <n v="6698813"/>
    <n v="128"/>
    <n v="17171059"/>
    <n v="99"/>
    <n v="9454948"/>
    <n v="6506374"/>
    <s v="NO"/>
  </r>
  <r>
    <n v="3"/>
    <x v="26"/>
    <n v="2018"/>
    <s v="Marzo"/>
    <s v="CARORAMN"/>
    <n v="1020451288"/>
    <x v="61"/>
    <n v="59946010"/>
    <n v="1916000"/>
    <n v="11128214"/>
    <n v="46901796"/>
    <n v="43999992"/>
    <n v="1.0659501029000187"/>
    <x v="1"/>
    <n v="24"/>
    <x v="8"/>
    <s v="Antioquia"/>
    <s v="Cumple"/>
    <n v="88"/>
    <n v="9706947"/>
    <n v="244"/>
    <n v="29311734"/>
    <n v="114"/>
    <n v="11128214"/>
    <n v="9799115"/>
    <s v="NO"/>
  </r>
  <r>
    <n v="3"/>
    <x v="26"/>
    <n v="2018"/>
    <s v="Marzo"/>
    <s v="DEISCACR"/>
    <n v="1017167720"/>
    <x v="50"/>
    <n v="33584236"/>
    <n v="862000"/>
    <n v="7028402"/>
    <n v="25693834"/>
    <n v="21999996"/>
    <n v="1.1679017578003197"/>
    <x v="1"/>
    <n v="24"/>
    <x v="8"/>
    <s v="Antioquia"/>
    <s v="Cumple"/>
    <n v="61"/>
    <n v="6628327"/>
    <n v="140"/>
    <n v="14180263"/>
    <n v="77"/>
    <n v="7028402"/>
    <n v="5747244"/>
    <s v="Inicio Vacaciones"/>
  </r>
  <r>
    <n v="3"/>
    <x v="26"/>
    <n v="2018"/>
    <s v="Marzo"/>
    <s v="GENNHEPO"/>
    <n v="43874518"/>
    <x v="14"/>
    <n v="53595447"/>
    <n v="716000"/>
    <n v="9655359"/>
    <n v="43224088"/>
    <n v="42166659"/>
    <n v="1.025077372148455"/>
    <x v="1"/>
    <n v="24"/>
    <x v="8"/>
    <s v="Antioquia"/>
    <s v="Fluctúa"/>
    <n v="94"/>
    <n v="9712926"/>
    <n v="276"/>
    <n v="27552661"/>
    <n v="100"/>
    <n v="9655359"/>
    <n v="6674501"/>
    <s v="NO"/>
  </r>
  <r>
    <n v="3"/>
    <x v="26"/>
    <n v="2018"/>
    <s v="Marzo"/>
    <s v="LEIDGOVI"/>
    <n v="1036598360"/>
    <x v="39"/>
    <n v="55341588"/>
    <n v="440000"/>
    <n v="9658034"/>
    <n v="45243554"/>
    <n v="43999992"/>
    <n v="1.0282627778659597"/>
    <x v="1"/>
    <n v="24"/>
    <x v="8"/>
    <s v="Antioquia"/>
    <s v="Fluctúa"/>
    <n v="87"/>
    <n v="10852837"/>
    <n v="238"/>
    <n v="29648932"/>
    <n v="99"/>
    <n v="9658034"/>
    <n v="5181785"/>
    <s v="NO"/>
  </r>
  <r>
    <n v="3"/>
    <x v="26"/>
    <n v="2018"/>
    <s v="Marzo"/>
    <s v="YENYSUPE"/>
    <n v="1020419011"/>
    <x v="51"/>
    <n v="57608767"/>
    <n v="1718000"/>
    <n v="11059306"/>
    <n v="44831461"/>
    <n v="43999992"/>
    <n v="1.0188970261630956"/>
    <x v="1"/>
    <n v="24"/>
    <x v="8"/>
    <s v="Antioquia"/>
    <s v="Cumple"/>
    <n v="97"/>
    <n v="11021670"/>
    <n v="269"/>
    <n v="27543111"/>
    <n v="119"/>
    <n v="11059306"/>
    <n v="7984680"/>
    <s v="NO"/>
  </r>
  <r>
    <n v="3"/>
    <x v="26"/>
    <n v="2018"/>
    <s v="Marzo"/>
    <s v="YURAUSVE"/>
    <n v="1020419615"/>
    <x v="56"/>
    <n v="60461782"/>
    <n v="1852000"/>
    <n v="12397020"/>
    <n v="46212762"/>
    <n v="43999992"/>
    <n v="1.0502902364164066"/>
    <x v="1"/>
    <n v="24"/>
    <x v="8"/>
    <s v="Antioquia"/>
    <s v="Cumple"/>
    <n v="109"/>
    <n v="11334745"/>
    <n v="258"/>
    <n v="29345750"/>
    <n v="124"/>
    <n v="12397020"/>
    <n v="7384267"/>
    <s v="NO"/>
  </r>
  <r>
    <n v="3"/>
    <x v="26"/>
    <n v="2018"/>
    <s v="Marzo"/>
    <s v="ANAMLOBE"/>
    <n v="43821410"/>
    <x v="3"/>
    <n v="76393038"/>
    <n v="1023000"/>
    <n v="9438470"/>
    <n v="65931568"/>
    <n v="43999992"/>
    <n v="1.4984449997172726"/>
    <x v="1"/>
    <n v="24"/>
    <x v="3"/>
    <s v="Antioquia"/>
    <s v="Siempre Cumple"/>
    <n v="101"/>
    <n v="13479356"/>
    <n v="252"/>
    <n v="44539760"/>
    <n v="103"/>
    <n v="9438470"/>
    <n v="8935452"/>
    <s v="NO"/>
  </r>
  <r>
    <n v="3"/>
    <x v="26"/>
    <n v="2018"/>
    <s v="Marzo"/>
    <s v="DIANQUME"/>
    <n v="42164020"/>
    <x v="12"/>
    <n v="68895604"/>
    <n v="2945000"/>
    <n v="12761057"/>
    <n v="53189547"/>
    <n v="43999992"/>
    <n v="1.2088535607006474"/>
    <x v="1"/>
    <n v="24"/>
    <x v="1"/>
    <s v="Antioquia"/>
    <s v="Siempre Cumple"/>
    <n v="98"/>
    <n v="11269204"/>
    <n v="252"/>
    <n v="35283679"/>
    <n v="135"/>
    <n v="12224857"/>
    <n v="10117864"/>
    <m/>
  </r>
  <r>
    <n v="3"/>
    <x v="26"/>
    <n v="2018"/>
    <s v="Marzo"/>
    <s v="VIVIVAZA"/>
    <n v="43745952"/>
    <x v="30"/>
    <n v="29963545"/>
    <n v="220000"/>
    <n v="4334763"/>
    <n v="25408782"/>
    <n v="9166665"/>
    <n v="2.7718676312486603"/>
    <x v="1"/>
    <n v="24"/>
    <x v="3"/>
    <s v="Antioquia"/>
    <s v="Siempre Cumple"/>
    <n v="53"/>
    <n v="5688010"/>
    <n v="120"/>
    <n v="16651863"/>
    <n v="49"/>
    <n v="4280963"/>
    <n v="3342709"/>
    <s v="Inicio Vacaciones"/>
  </r>
  <r>
    <n v="3"/>
    <x v="26"/>
    <n v="2018"/>
    <s v="Marzo"/>
    <s v="ERIKSAVA"/>
    <n v="1017200970"/>
    <x v="44"/>
    <n v="8903115"/>
    <n v="0"/>
    <n v="2096665"/>
    <n v="6806450"/>
    <n v="18000000"/>
    <n v="0.37813611111111112"/>
    <x v="1"/>
    <n v="24"/>
    <x v="4"/>
    <s v="Antioquia"/>
    <s v="Cumple"/>
    <n v="16"/>
    <n v="1447413"/>
    <n v="34"/>
    <n v="2961300"/>
    <n v="21"/>
    <n v="2096665"/>
    <n v="2397737"/>
    <s v="Regreso Vacaciones"/>
  </r>
  <r>
    <n v="3"/>
    <x v="26"/>
    <n v="2018"/>
    <s v="Marzo"/>
    <s v="HISNOSPI"/>
    <n v="43114534"/>
    <x v="49"/>
    <n v="38819545"/>
    <n v="1854000"/>
    <n v="178155"/>
    <n v="36787390"/>
    <n v="36000000"/>
    <n v="1.0218719444444444"/>
    <x v="0"/>
    <n v="24"/>
    <x v="4"/>
    <s v="Antioquia"/>
    <s v="No Aplica"/>
    <n v="81"/>
    <n v="9044206"/>
    <n v="212"/>
    <n v="23306781"/>
    <n v="2"/>
    <n v="178155"/>
    <n v="6290403"/>
    <m/>
  </r>
  <r>
    <n v="3"/>
    <x v="26"/>
    <n v="2018"/>
    <s v="Marzo"/>
    <s v="MARIMASA"/>
    <n v="43113640"/>
    <x v="34"/>
    <n v="62406181"/>
    <n v="1296000"/>
    <n v="17724122"/>
    <n v="43386059"/>
    <n v="36000000"/>
    <n v="1.2051683055555555"/>
    <x v="1"/>
    <n v="24"/>
    <x v="4"/>
    <s v="Antioquia"/>
    <s v="Cumple"/>
    <n v="79"/>
    <n v="9556930"/>
    <n v="216"/>
    <n v="30311582"/>
    <n v="185"/>
    <n v="17724122"/>
    <n v="4813547"/>
    <s v="NO"/>
  </r>
  <r>
    <n v="3"/>
    <x v="26"/>
    <n v="2018"/>
    <s v="Marzo"/>
    <s v="ANDRSAZA"/>
    <n v="1020736461"/>
    <x v="45"/>
    <n v="50487005"/>
    <n v="836000"/>
    <n v="7466246"/>
    <n v="42184759"/>
    <n v="28000008"/>
    <n v="1.5065981052576842"/>
    <x v="1"/>
    <n v="24"/>
    <x v="9"/>
    <s v="Centro"/>
    <s v="Siempre Cumple"/>
    <n v="86"/>
    <n v="9292339"/>
    <n v="243"/>
    <n v="30096780"/>
    <n v="106"/>
    <n v="7466246"/>
    <n v="3631640"/>
    <s v="NO"/>
  </r>
  <r>
    <n v="3"/>
    <x v="26"/>
    <n v="2018"/>
    <s v="Marzo"/>
    <s v="CAMIPUHE"/>
    <n v="79850984"/>
    <x v="53"/>
    <n v="36399482"/>
    <n v="2334200"/>
    <n v="4635347"/>
    <n v="29429935"/>
    <n v="17500005"/>
    <n v="1.681710090939974"/>
    <x v="1"/>
    <n v="24"/>
    <x v="15"/>
    <s v="Centro"/>
    <s v="Fluctúa"/>
    <n v="70"/>
    <n v="7577004"/>
    <n v="188"/>
    <n v="19867326"/>
    <n v="68"/>
    <n v="4635347"/>
    <n v="4319805"/>
    <s v="Inicio Vacaciones"/>
  </r>
  <r>
    <n v="3"/>
    <x v="26"/>
    <n v="2018"/>
    <s v="Marzo"/>
    <s v="ISABMOGO"/>
    <n v="52260671"/>
    <x v="15"/>
    <n v="15342987"/>
    <n v="440000"/>
    <n v="312440"/>
    <n v="14590547"/>
    <n v="10500003"/>
    <n v="1.3895755077403311"/>
    <x v="1"/>
    <n v="24"/>
    <x v="9"/>
    <s v="Centro"/>
    <s v="Siempre Cumple"/>
    <n v="34"/>
    <n v="2856798"/>
    <n v="84"/>
    <n v="9987007"/>
    <n v="3"/>
    <n v="312440"/>
    <n v="2186742"/>
    <s v="Regreso Vacaciones"/>
  </r>
  <r>
    <n v="3"/>
    <x v="26"/>
    <n v="2018"/>
    <s v="Marzo"/>
    <s v="LUZNHEGO"/>
    <n v="43745192"/>
    <x v="19"/>
    <n v="39492013"/>
    <n v="370800"/>
    <n v="4268016"/>
    <n v="34853197"/>
    <n v="30000000"/>
    <n v="1.1617732333333333"/>
    <x v="1"/>
    <n v="24"/>
    <x v="10"/>
    <s v="Antioquia"/>
    <s v="Cumple"/>
    <n v="67"/>
    <n v="10097190"/>
    <n v="184"/>
    <n v="22917230"/>
    <n v="60"/>
    <n v="4268016"/>
    <n v="2209577"/>
    <s v="NO"/>
  </r>
  <r>
    <n v="3"/>
    <x v="26"/>
    <n v="2018"/>
    <s v="Marzo"/>
    <s v="MONIARGI"/>
    <n v="1151951440"/>
    <x v="67"/>
    <n v="15730151"/>
    <n v="0"/>
    <n v="4141328"/>
    <n v="11588823"/>
    <n v="12500000"/>
    <n v="0.92710583999999996"/>
    <x v="0"/>
    <n v="24"/>
    <x v="16"/>
    <s v="Occidente"/>
    <s v="No Aplica"/>
    <n v="24"/>
    <n v="2451139"/>
    <n v="100"/>
    <n v="8253456"/>
    <n v="52"/>
    <n v="4141328"/>
    <n v="884228"/>
    <m/>
  </r>
  <r>
    <n v="3"/>
    <x v="26"/>
    <n v="2018"/>
    <s v="Marzo"/>
    <s v="PAOLPACA"/>
    <n v="31445278"/>
    <x v="47"/>
    <n v="32203700"/>
    <n v="0"/>
    <n v="7712346"/>
    <n v="24491354"/>
    <n v="30000000"/>
    <n v="0.81637846666666669"/>
    <x v="1"/>
    <n v="24"/>
    <x v="14"/>
    <s v="Occidente"/>
    <s v="Cumple"/>
    <n v="50"/>
    <n v="4952855"/>
    <n v="192"/>
    <n v="18435159"/>
    <n v="92"/>
    <n v="7712346"/>
    <n v="1103340"/>
    <s v="NO"/>
  </r>
  <r>
    <n v="3"/>
    <x v="26"/>
    <n v="2018"/>
    <s v="Marzo"/>
    <s v="TATIRITR"/>
    <n v="1130597373"/>
    <x v="60"/>
    <n v="29898896"/>
    <n v="370800"/>
    <n v="8176512"/>
    <n v="21351584"/>
    <n v="30000000"/>
    <n v="0.71171946666666663"/>
    <x v="1"/>
    <n v="24"/>
    <x v="16"/>
    <s v="Occidente"/>
    <s v="Fluctúa"/>
    <n v="42"/>
    <n v="4267179"/>
    <n v="148"/>
    <n v="14997795"/>
    <n v="94"/>
    <n v="8176512"/>
    <n v="2457410"/>
    <s v="NO"/>
  </r>
  <r>
    <n v="3"/>
    <x v="26"/>
    <n v="2018"/>
    <s v="Marzo"/>
    <s v="ROCIFASA"/>
    <n v="34542470"/>
    <x v="28"/>
    <n v="46133500"/>
    <n v="1605260"/>
    <n v="5251560"/>
    <n v="39276680"/>
    <n v="34999992"/>
    <n v="1.1221911136436831"/>
    <x v="1"/>
    <n v="24"/>
    <x v="12"/>
    <s v="Occidente"/>
    <s v="Siempre Cumple"/>
    <n v="70"/>
    <n v="10583739"/>
    <n v="186"/>
    <n v="21166841"/>
    <n v="62"/>
    <n v="5251560"/>
    <n v="9131360"/>
    <s v="NO"/>
  </r>
  <r>
    <n v="3"/>
    <x v="26"/>
    <n v="2018"/>
    <s v="Marzo"/>
    <s v="CLAUREME"/>
    <m/>
    <x v="7"/>
    <n v="562400"/>
    <n v="0"/>
    <n v="562400"/>
    <n v="0"/>
    <m/>
    <m/>
    <x v="0"/>
    <n v="24"/>
    <x v="0"/>
    <s v=""/>
    <s v="No Aplica"/>
    <n v="0"/>
    <n v="0"/>
    <n v="0"/>
    <n v="0"/>
    <n v="0"/>
    <n v="0"/>
    <n v="562400"/>
    <m/>
  </r>
  <r>
    <n v="3"/>
    <x v="26"/>
    <n v="2018"/>
    <s v="Marzo"/>
    <s v="DARWHERI"/>
    <m/>
    <x v="7"/>
    <n v="4556569"/>
    <n v="0"/>
    <n v="4232706"/>
    <n v="323863"/>
    <m/>
    <m/>
    <x v="0"/>
    <n v="24"/>
    <x v="0"/>
    <s v=""/>
    <s v="No Aplica"/>
    <n v="2"/>
    <n v="151733"/>
    <n v="2"/>
    <n v="172130"/>
    <n v="55"/>
    <n v="4232706"/>
    <n v="0"/>
    <m/>
  </r>
  <r>
    <n v="3"/>
    <x v="26"/>
    <n v="2018"/>
    <s v="Marzo"/>
    <s v="DIANGUAV"/>
    <m/>
    <x v="7"/>
    <n v="43870"/>
    <n v="0"/>
    <n v="43870"/>
    <n v="0"/>
    <m/>
    <m/>
    <x v="0"/>
    <n v="24"/>
    <x v="0"/>
    <s v=""/>
    <s v="No Aplica"/>
    <n v="0"/>
    <n v="0"/>
    <n v="0"/>
    <n v="0"/>
    <n v="1"/>
    <n v="43870"/>
    <n v="0"/>
    <m/>
  </r>
  <r>
    <n v="3"/>
    <x v="26"/>
    <n v="2018"/>
    <s v="Marzo"/>
    <s v="DIANPOPA"/>
    <m/>
    <x v="7"/>
    <n v="-171714"/>
    <n v="0"/>
    <n v="0"/>
    <n v="-171714"/>
    <m/>
    <m/>
    <x v="0"/>
    <n v="24"/>
    <x v="0"/>
    <s v=""/>
    <s v="No Aplica"/>
    <n v="2"/>
    <n v="-248545"/>
    <n v="4"/>
    <n v="-312324"/>
    <n v="0"/>
    <n v="0"/>
    <n v="389155"/>
    <m/>
  </r>
  <r>
    <n v="3"/>
    <x v="26"/>
    <n v="2018"/>
    <s v="Marzo"/>
    <s v="EMMAARMA"/>
    <m/>
    <x v="7"/>
    <n v="94800"/>
    <n v="0"/>
    <n v="94800"/>
    <n v="0"/>
    <m/>
    <m/>
    <x v="0"/>
    <n v="24"/>
    <x v="0"/>
    <s v=""/>
    <s v="No Aplica"/>
    <n v="0"/>
    <n v="0"/>
    <n v="0"/>
    <n v="0"/>
    <n v="0"/>
    <n v="0"/>
    <n v="94800"/>
    <m/>
  </r>
  <r>
    <n v="3"/>
    <x v="26"/>
    <n v="2018"/>
    <s v="Marzo"/>
    <s v="ELIZGORE"/>
    <m/>
    <x v="7"/>
    <n v="43870"/>
    <n v="0"/>
    <n v="43870"/>
    <n v="0"/>
    <m/>
    <m/>
    <x v="0"/>
    <n v="24"/>
    <x v="0"/>
    <s v=""/>
    <s v="No Aplica"/>
    <n v="0"/>
    <n v="0"/>
    <n v="0"/>
    <n v="0"/>
    <n v="1"/>
    <n v="43870"/>
    <n v="0"/>
    <m/>
  </r>
  <r>
    <n v="3"/>
    <x v="26"/>
    <n v="2018"/>
    <s v="Marzo"/>
    <s v="LOREBECR"/>
    <m/>
    <x v="7"/>
    <n v="263220"/>
    <n v="0"/>
    <n v="263220"/>
    <n v="0"/>
    <m/>
    <m/>
    <x v="0"/>
    <n v="24"/>
    <x v="0"/>
    <s v=""/>
    <s v="No Aplica"/>
    <n v="0"/>
    <n v="0"/>
    <n v="0"/>
    <n v="0"/>
    <n v="6"/>
    <n v="263220"/>
    <n v="0"/>
    <m/>
  </r>
  <r>
    <n v="3"/>
    <x v="26"/>
    <n v="2018"/>
    <s v="Marzo"/>
    <s v="MARIREAR"/>
    <m/>
    <x v="7"/>
    <n v="343600"/>
    <n v="0"/>
    <n v="343600"/>
    <n v="0"/>
    <m/>
    <m/>
    <x v="0"/>
    <n v="24"/>
    <x v="0"/>
    <s v=""/>
    <s v="No Aplica"/>
    <n v="0"/>
    <n v="0"/>
    <n v="0"/>
    <n v="0"/>
    <n v="0"/>
    <n v="0"/>
    <n v="343600"/>
    <m/>
  </r>
  <r>
    <n v="3"/>
    <x v="26"/>
    <n v="2018"/>
    <s v="Marzo"/>
    <s v="NATVAMO"/>
    <m/>
    <x v="7"/>
    <n v="483870"/>
    <n v="0"/>
    <n v="43870"/>
    <n v="440000"/>
    <m/>
    <m/>
    <x v="0"/>
    <n v="24"/>
    <x v="0"/>
    <s v=""/>
    <s v="No Aplica"/>
    <n v="0"/>
    <n v="0"/>
    <n v="0"/>
    <n v="0"/>
    <n v="1"/>
    <n v="43870"/>
    <n v="440000"/>
    <m/>
  </r>
  <r>
    <n v="3"/>
    <x v="26"/>
    <n v="2018"/>
    <s v="Marzo"/>
    <s v="USERPI"/>
    <m/>
    <x v="7"/>
    <n v="43870"/>
    <n v="0"/>
    <n v="43870"/>
    <n v="0"/>
    <m/>
    <m/>
    <x v="0"/>
    <n v="24"/>
    <x v="0"/>
    <s v=""/>
    <s v="No Aplica"/>
    <n v="0"/>
    <n v="0"/>
    <n v="0"/>
    <n v="0"/>
    <n v="1"/>
    <n v="43870"/>
    <n v="0"/>
    <m/>
  </r>
  <r>
    <n v="3"/>
    <x v="26"/>
    <n v="2018"/>
    <s v="Marzo"/>
    <s v="4439143358"/>
    <m/>
    <x v="7"/>
    <n v="43870"/>
    <n v="0"/>
    <n v="43870"/>
    <n v="0"/>
    <m/>
    <m/>
    <x v="0"/>
    <n v="24"/>
    <x v="0"/>
    <s v=""/>
    <s v="No Aplica"/>
    <n v="0"/>
    <n v="0"/>
    <n v="0"/>
    <n v="0"/>
    <n v="1"/>
    <n v="43870"/>
    <n v="0"/>
    <m/>
  </r>
  <r>
    <n v="3"/>
    <x v="26"/>
    <n v="2018"/>
    <s v="Marzo"/>
    <s v="(en blanco)"/>
    <m/>
    <x v="7"/>
    <n v="-904159"/>
    <n v="0"/>
    <n v="0"/>
    <n v="-904159"/>
    <m/>
    <m/>
    <x v="0"/>
    <n v="24"/>
    <x v="0"/>
    <s v=""/>
    <s v="No Aplica"/>
    <n v="3"/>
    <n v="-162499"/>
    <n v="2"/>
    <n v="-246500"/>
    <n v="0"/>
    <n v="0"/>
    <n v="-495160"/>
    <m/>
  </r>
  <r>
    <n v="4"/>
    <x v="27"/>
    <n v="2018"/>
    <s v="Abril"/>
    <s v="DERLARMO"/>
    <n v="52725011"/>
    <x v="10"/>
    <n v="34331262"/>
    <n v="748000"/>
    <n v="7016414"/>
    <n v="26566848"/>
    <n v="25000000"/>
    <n v="1.0626739199999999"/>
    <x v="1"/>
    <n v="25"/>
    <x v="6"/>
    <s v="Centro"/>
    <s v="Fluctúa"/>
    <n v="93"/>
    <n v="6621905"/>
    <n v="238"/>
    <n v="18845384"/>
    <n v="113"/>
    <n v="7016414"/>
    <n v="1847559"/>
    <s v="NO"/>
  </r>
  <r>
    <n v="4"/>
    <x v="27"/>
    <n v="2018"/>
    <s v="Abril"/>
    <s v="RAULMOGA"/>
    <n v="79701425"/>
    <x v="27"/>
    <n v="34845740"/>
    <n v="0"/>
    <n v="7474996"/>
    <n v="27370744"/>
    <n v="25000000"/>
    <n v="1.0948297600000001"/>
    <x v="0"/>
    <n v="25"/>
    <x v="6"/>
    <s v="Centro"/>
    <s v="No Aplica"/>
    <n v="84"/>
    <n v="5932177"/>
    <n v="216"/>
    <n v="19564981"/>
    <n v="112"/>
    <n v="7474996"/>
    <n v="1873586"/>
    <m/>
  </r>
  <r>
    <n v="4"/>
    <x v="27"/>
    <n v="2018"/>
    <s v="Abril"/>
    <s v="PAULGOBA"/>
    <n v="32256379"/>
    <x v="36"/>
    <n v="60332935"/>
    <n v="0"/>
    <n v="8161510"/>
    <n v="52171425"/>
    <n v="44000000"/>
    <n v="1.1857142045454545"/>
    <x v="1"/>
    <n v="25"/>
    <x v="13"/>
    <s v="Antioquia"/>
    <s v="Fluctúa"/>
    <n v="21"/>
    <n v="-557406"/>
    <n v="56"/>
    <n v="1182396"/>
    <n v="90"/>
    <n v="8161510"/>
    <n v="51546435"/>
    <s v="NO"/>
  </r>
  <r>
    <n v="4"/>
    <x v="27"/>
    <n v="2018"/>
    <s v="Abril"/>
    <s v="DIANPAAL"/>
    <n v="1040030764"/>
    <x v="11"/>
    <n v="49528725"/>
    <n v="3308560"/>
    <n v="8256790"/>
    <n v="37963375"/>
    <n v="35000000"/>
    <n v="1.0846678571428572"/>
    <x v="1"/>
    <n v="25"/>
    <x v="7"/>
    <s v="Antioquia"/>
    <s v="Cumple"/>
    <n v="86"/>
    <n v="10296753"/>
    <n v="202"/>
    <n v="25697824"/>
    <n v="99"/>
    <n v="8256790"/>
    <n v="5277358"/>
    <s v="NO"/>
  </r>
  <r>
    <n v="4"/>
    <x v="27"/>
    <n v="2018"/>
    <s v="Abril"/>
    <s v="JAQUVEGU"/>
    <n v="1036779770"/>
    <x v="16"/>
    <n v="42377787"/>
    <n v="1204000"/>
    <n v="8455203"/>
    <n v="32718584"/>
    <n v="35000000"/>
    <n v="0.93481668571428567"/>
    <x v="0"/>
    <n v="25"/>
    <x v="7"/>
    <s v="Antioquia"/>
    <s v="No Aplica"/>
    <n v="80"/>
    <n v="8130577"/>
    <n v="184"/>
    <n v="21021775"/>
    <n v="93"/>
    <n v="8455203"/>
    <n v="4770232"/>
    <m/>
  </r>
  <r>
    <n v="4"/>
    <x v="27"/>
    <n v="2018"/>
    <s v="Abril"/>
    <s v="MARIOCOC"/>
    <n v="39448823"/>
    <x v="21"/>
    <n v="60128827"/>
    <n v="3618000"/>
    <n v="11294134"/>
    <n v="45216693"/>
    <n v="35000000"/>
    <n v="1.2919055142857143"/>
    <x v="1"/>
    <n v="25"/>
    <x v="7"/>
    <s v="Antioquia"/>
    <s v="Siempre Cumple"/>
    <n v="87"/>
    <n v="10832551"/>
    <n v="221"/>
    <n v="31207517"/>
    <n v="119"/>
    <n v="11294134"/>
    <n v="6794625"/>
    <s v="NO"/>
  </r>
  <r>
    <n v="4"/>
    <x v="27"/>
    <n v="2018"/>
    <s v="Abril"/>
    <s v="ALEXLOGR"/>
    <n v="43253531"/>
    <x v="2"/>
    <n v="46931637"/>
    <n v="1395200"/>
    <n v="11684192"/>
    <n v="33852245"/>
    <n v="29400000"/>
    <n v="1.1514369047619049"/>
    <x v="1"/>
    <n v="25"/>
    <x v="2"/>
    <s v="Antioquia"/>
    <s v="Cumple"/>
    <n v="81"/>
    <n v="7387365"/>
    <n v="186"/>
    <n v="22809943"/>
    <n v="126"/>
    <n v="11684192"/>
    <n v="5050137"/>
    <s v="NO"/>
  </r>
  <r>
    <n v="4"/>
    <x v="27"/>
    <n v="2018"/>
    <s v="Abril"/>
    <s v="YULIRIRE"/>
    <n v="21982241"/>
    <x v="57"/>
    <n v="48304853"/>
    <n v="412000"/>
    <n v="8547059"/>
    <n v="39345794"/>
    <n v="35000000"/>
    <n v="1.1241655428571429"/>
    <x v="1"/>
    <n v="25"/>
    <x v="2"/>
    <s v="Antioquia"/>
    <s v="Fluctúa"/>
    <n v="85"/>
    <n v="7138972"/>
    <n v="222"/>
    <n v="26940248"/>
    <n v="91"/>
    <n v="8547059"/>
    <n v="5678574"/>
    <s v="NO"/>
  </r>
  <r>
    <n v="4"/>
    <x v="27"/>
    <n v="2018"/>
    <s v="Abril"/>
    <s v="ADRIMOLU"/>
    <n v="43169964"/>
    <x v="1"/>
    <n v="38683183"/>
    <n v="1596000"/>
    <n v="5855058"/>
    <n v="31232125"/>
    <n v="28160000"/>
    <n v="1.1090953480113637"/>
    <x v="1"/>
    <n v="25"/>
    <x v="1"/>
    <s v="Antioquia"/>
    <s v="Cumple"/>
    <n v="69"/>
    <n v="7656639"/>
    <n v="164"/>
    <n v="20599798"/>
    <n v="65"/>
    <n v="5855058"/>
    <n v="4571688"/>
    <s v="NO"/>
  </r>
  <r>
    <n v="4"/>
    <x v="27"/>
    <n v="2018"/>
    <s v="Abril"/>
    <s v="ELIZVESU"/>
    <n v="1035417626"/>
    <x v="13"/>
    <n v="62738072"/>
    <n v="1704000"/>
    <n v="11197047"/>
    <n v="49837025"/>
    <n v="44000000"/>
    <n v="1.132659659090909"/>
    <x v="1"/>
    <n v="25"/>
    <x v="3"/>
    <s v="Antioquia"/>
    <s v="Cumple"/>
    <n v="86"/>
    <n v="11137189"/>
    <n v="224"/>
    <n v="32390177"/>
    <n v="122"/>
    <n v="11197047"/>
    <n v="8013659"/>
    <s v="NO"/>
  </r>
  <r>
    <n v="4"/>
    <x v="27"/>
    <n v="2018"/>
    <s v="Abril"/>
    <s v="LILACARA"/>
    <n v="1017141451"/>
    <x v="17"/>
    <n v="56454621"/>
    <n v="1734600"/>
    <n v="10366146"/>
    <n v="44353875"/>
    <n v="44000000"/>
    <n v="1.0080426136363636"/>
    <x v="1"/>
    <n v="25"/>
    <x v="1"/>
    <s v="Antioquia"/>
    <s v="Siempre Cumple"/>
    <n v="96"/>
    <n v="10424904"/>
    <n v="225"/>
    <n v="29937520"/>
    <n v="108"/>
    <n v="10366146"/>
    <n v="5726051"/>
    <s v="NO"/>
  </r>
  <r>
    <n v="4"/>
    <x v="27"/>
    <n v="2018"/>
    <s v="Abril"/>
    <s v="NATAVAMO"/>
    <n v="32183069"/>
    <x v="63"/>
    <n v="49271269"/>
    <n v="2198000"/>
    <n v="10302827"/>
    <n v="36770442"/>
    <n v="35200000"/>
    <n v="1.0446148295454545"/>
    <x v="1"/>
    <n v="25"/>
    <x v="1"/>
    <s v="Antioquia"/>
    <s v="No Cumple"/>
    <n v="73"/>
    <n v="8631213"/>
    <n v="212"/>
    <n v="24284936"/>
    <n v="110"/>
    <n v="10302827"/>
    <n v="6052293"/>
    <s v="NO"/>
  </r>
  <r>
    <n v="4"/>
    <x v="27"/>
    <n v="2018"/>
    <s v="Abril"/>
    <s v="NOREARMA"/>
    <n v="39275090"/>
    <x v="66"/>
    <n v="56434507"/>
    <n v="852000"/>
    <n v="8746234"/>
    <n v="46836273"/>
    <n v="38240000"/>
    <n v="1.2247979341004185"/>
    <x v="1"/>
    <n v="25"/>
    <x v="4"/>
    <s v="Antioquia"/>
    <s v="Siempre Cumple"/>
    <n v="83"/>
    <n v="10252980"/>
    <n v="174"/>
    <n v="30068864"/>
    <n v="90"/>
    <n v="8746234"/>
    <n v="7366429"/>
    <s v="NO"/>
  </r>
  <r>
    <n v="4"/>
    <x v="27"/>
    <n v="2018"/>
    <s v="Abril"/>
    <s v="SUANHECO"/>
    <n v="1020409789"/>
    <x v="58"/>
    <n v="71885149"/>
    <n v="2459200"/>
    <n v="12835571"/>
    <n v="56590378"/>
    <n v="44000000"/>
    <n v="1.2861449545454546"/>
    <x v="1"/>
    <n v="25"/>
    <x v="1"/>
    <s v="Antioquia"/>
    <s v="Cumple"/>
    <n v="102"/>
    <n v="12449246"/>
    <n v="257"/>
    <n v="37697180"/>
    <n v="143"/>
    <n v="12835571"/>
    <n v="8903152"/>
    <s v="NO"/>
  </r>
  <r>
    <n v="4"/>
    <x v="27"/>
    <n v="2018"/>
    <s v="Abril"/>
    <s v="ZULYARGA"/>
    <n v="43259130"/>
    <x v="31"/>
    <n v="62589029"/>
    <n v="1442000"/>
    <n v="13551525"/>
    <n v="47595504"/>
    <n v="44000000"/>
    <n v="1.0817159999999999"/>
    <x v="1"/>
    <n v="25"/>
    <x v="1"/>
    <s v="Antioquia"/>
    <s v="Fluctúa"/>
    <n v="105"/>
    <n v="11785036"/>
    <n v="272"/>
    <n v="31532633"/>
    <n v="145"/>
    <n v="13551525"/>
    <n v="5719835"/>
    <s v="NO"/>
  </r>
  <r>
    <n v="4"/>
    <x v="27"/>
    <n v="2018"/>
    <s v="Abril"/>
    <s v="ANAKBEZA"/>
    <n v="43906785"/>
    <x v="65"/>
    <n v="51141702"/>
    <n v="1112000"/>
    <n v="8939292"/>
    <n v="41090410"/>
    <n v="42000000"/>
    <n v="0.97834309523809526"/>
    <x v="0"/>
    <n v="25"/>
    <x v="0"/>
    <s v=""/>
    <s v="No Aplica"/>
    <n v="98"/>
    <n v="10396447"/>
    <n v="213"/>
    <n v="25194765"/>
    <n v="96"/>
    <n v="8939292"/>
    <n v="6611198"/>
    <m/>
  </r>
  <r>
    <n v="4"/>
    <x v="27"/>
    <n v="2018"/>
    <s v="Abril"/>
    <s v="BIBIBECA"/>
    <n v="43971430"/>
    <x v="6"/>
    <n v="59714291"/>
    <n v="412000"/>
    <n v="14522470"/>
    <n v="44779821"/>
    <n v="42000000"/>
    <n v="1.0661862142857144"/>
    <x v="1"/>
    <n v="25"/>
    <x v="5"/>
    <s v="Antioquia"/>
    <s v="Siempre Cumple"/>
    <n v="109"/>
    <n v="10170059"/>
    <n v="262"/>
    <n v="29055502"/>
    <n v="155"/>
    <n v="14522470"/>
    <n v="5966260"/>
    <s v="NO"/>
  </r>
  <r>
    <n v="4"/>
    <x v="27"/>
    <n v="2018"/>
    <s v="Abril"/>
    <s v="CINDGACU"/>
    <n v="1020443426"/>
    <x v="55"/>
    <n v="55515678"/>
    <n v="1014500"/>
    <n v="10855202"/>
    <n v="43645976"/>
    <n v="42000000"/>
    <n v="1.0391899047619049"/>
    <x v="1"/>
    <n v="25"/>
    <x v="4"/>
    <s v="Antioquia"/>
    <s v="Fluctúa"/>
    <n v="104"/>
    <n v="8847490"/>
    <n v="235"/>
    <n v="27554242"/>
    <n v="117"/>
    <n v="10855202"/>
    <n v="8258744"/>
    <s v="NO"/>
  </r>
  <r>
    <n v="4"/>
    <x v="27"/>
    <n v="2018"/>
    <s v="Abril"/>
    <s v="CLAUBLAR"/>
    <n v="43554403"/>
    <x v="8"/>
    <n v="68278800"/>
    <n v="1189000"/>
    <n v="13391211"/>
    <n v="53698589"/>
    <n v="42000000"/>
    <n v="1.2785378333333333"/>
    <x v="1"/>
    <n v="25"/>
    <x v="5"/>
    <s v="Antioquia"/>
    <s v="Siempre Cumple"/>
    <n v="115"/>
    <n v="11734633"/>
    <n v="265"/>
    <n v="35660745"/>
    <n v="147"/>
    <n v="13391211"/>
    <n v="7492211"/>
    <s v="NO"/>
  </r>
  <r>
    <n v="4"/>
    <x v="27"/>
    <n v="2018"/>
    <s v="Abril"/>
    <s v="HERIRORO"/>
    <n v="21428423"/>
    <x v="52"/>
    <n v="51795898"/>
    <n v="1872000"/>
    <n v="11598884"/>
    <n v="38325014"/>
    <n v="42000000"/>
    <n v="0.91250033333333336"/>
    <x v="1"/>
    <n v="25"/>
    <x v="5"/>
    <s v="Antioquia"/>
    <s v="Fluctúa"/>
    <n v="91"/>
    <n v="8455737"/>
    <n v="217"/>
    <n v="25191004"/>
    <n v="127"/>
    <n v="11598884"/>
    <n v="6550273"/>
    <s v="NO"/>
  </r>
  <r>
    <n v="4"/>
    <x v="27"/>
    <n v="2018"/>
    <s v="Abril"/>
    <s v="MARGGAPA"/>
    <n v="43866877"/>
    <x v="20"/>
    <n v="56892106"/>
    <n v="412000"/>
    <n v="9951008"/>
    <n v="46529098"/>
    <n v="42000000"/>
    <n v="1.1078356666666667"/>
    <x v="1"/>
    <n v="25"/>
    <x v="5"/>
    <s v="Antioquia"/>
    <s v="Siempre Cumple"/>
    <n v="108"/>
    <n v="11764724"/>
    <n v="226"/>
    <n v="29708201"/>
    <n v="118"/>
    <n v="9951008"/>
    <n v="5468173"/>
    <s v="NO"/>
  </r>
  <r>
    <n v="4"/>
    <x v="27"/>
    <n v="2018"/>
    <s v="Abril"/>
    <s v="YENISIGI"/>
    <n v="1035913369"/>
    <x v="64"/>
    <n v="56706996"/>
    <n v="866000"/>
    <n v="12539557"/>
    <n v="43301439"/>
    <n v="42000000"/>
    <n v="1.0309866428571428"/>
    <x v="1"/>
    <n v="25"/>
    <x v="5"/>
    <s v="Antioquia"/>
    <s v="Fluctúa"/>
    <n v="90"/>
    <n v="8621713"/>
    <n v="220"/>
    <n v="27717434"/>
    <n v="136"/>
    <n v="12539557"/>
    <n v="7828292"/>
    <s v="NO"/>
  </r>
  <r>
    <n v="4"/>
    <x v="27"/>
    <n v="2018"/>
    <s v="Abril"/>
    <s v="ANGEGAAR"/>
    <n v="39442617"/>
    <x v="7"/>
    <n v="2359464"/>
    <n v="0"/>
    <n v="0"/>
    <n v="2359464"/>
    <m/>
    <m/>
    <x v="1"/>
    <n v="25"/>
    <x v="4"/>
    <s v="Antioquia"/>
    <s v="Cumple"/>
    <n v="3"/>
    <n v="633194"/>
    <n v="8"/>
    <n v="1581669"/>
    <n v="0"/>
    <n v="0"/>
    <n v="144601"/>
    <s v="NO"/>
  </r>
  <r>
    <n v="4"/>
    <x v="27"/>
    <n v="2018"/>
    <s v="Abril"/>
    <s v="NATAPIDU"/>
    <n v="43907427"/>
    <x v="25"/>
    <n v="69704641"/>
    <n v="1784240"/>
    <n v="6072849"/>
    <n v="61847552"/>
    <n v="40000000"/>
    <n v="1.5461887999999999"/>
    <x v="1"/>
    <n v="25"/>
    <x v="11"/>
    <s v="Antioquia"/>
    <s v="Siempre Cumple"/>
    <n v="63"/>
    <n v="12419192"/>
    <n v="183"/>
    <n v="43465377"/>
    <n v="68"/>
    <n v="6072849"/>
    <n v="7747223"/>
    <s v="NO"/>
  </r>
  <r>
    <n v="4"/>
    <x v="27"/>
    <n v="2018"/>
    <s v="Abril"/>
    <s v="ALVAOSOS"/>
    <n v="3438422"/>
    <x v="37"/>
    <n v="60012807"/>
    <n v="2276000"/>
    <n v="11719876"/>
    <n v="46016931"/>
    <n v="44000000"/>
    <n v="1.0458393409090909"/>
    <x v="1"/>
    <n v="25"/>
    <x v="8"/>
    <s v="Antioquia"/>
    <s v="Fluctúa"/>
    <n v="76"/>
    <n v="9250077"/>
    <n v="194"/>
    <n v="27542718"/>
    <n v="121"/>
    <n v="11719876"/>
    <n v="11500136"/>
    <s v="NO"/>
  </r>
  <r>
    <n v="4"/>
    <x v="27"/>
    <n v="2018"/>
    <s v="Abril"/>
    <s v="CARORAMN"/>
    <n v="1020451288"/>
    <x v="61"/>
    <n v="55531286"/>
    <n v="1110000"/>
    <n v="9845536"/>
    <n v="44575750"/>
    <n v="44000000"/>
    <n v="1.0130852272727273"/>
    <x v="1"/>
    <n v="25"/>
    <x v="8"/>
    <s v="Antioquia"/>
    <s v="Cumple"/>
    <n v="79"/>
    <n v="7776541"/>
    <n v="234"/>
    <n v="30320701"/>
    <n v="100"/>
    <n v="9845536"/>
    <n v="7588508"/>
    <s v="NO"/>
  </r>
  <r>
    <n v="4"/>
    <x v="27"/>
    <n v="2018"/>
    <s v="Abril"/>
    <s v="DEISCACR"/>
    <n v="1017167720"/>
    <x v="50"/>
    <n v="39961298"/>
    <n v="440000"/>
    <n v="6715984"/>
    <n v="32805314"/>
    <n v="31680000"/>
    <n v="1.0355212752525254"/>
    <x v="1"/>
    <n v="25"/>
    <x v="8"/>
    <s v="Antioquia"/>
    <s v="Cumple"/>
    <n v="68"/>
    <n v="7488782"/>
    <n v="146"/>
    <n v="17717218"/>
    <n v="66"/>
    <n v="6715984"/>
    <n v="8039314"/>
    <s v="Regreso Vacaciones"/>
  </r>
  <r>
    <n v="4"/>
    <x v="27"/>
    <n v="2018"/>
    <s v="Abril"/>
    <s v="GENNHEPO"/>
    <n v="43874518"/>
    <x v="14"/>
    <n v="45235277"/>
    <n v="1084000"/>
    <n v="8243866"/>
    <n v="35907411"/>
    <n v="44000000"/>
    <n v="0.81607752272727274"/>
    <x v="1"/>
    <n v="25"/>
    <x v="8"/>
    <s v="Antioquia"/>
    <s v="Fluctúa"/>
    <n v="79"/>
    <n v="7878830"/>
    <n v="221"/>
    <n v="22531223"/>
    <n v="87"/>
    <n v="8243866"/>
    <n v="6581358"/>
    <s v="NO"/>
  </r>
  <r>
    <n v="4"/>
    <x v="27"/>
    <n v="2018"/>
    <s v="Abril"/>
    <s v="LEIDGOVI"/>
    <n v="1036598360"/>
    <x v="39"/>
    <n v="57317078"/>
    <n v="660000"/>
    <n v="10715676"/>
    <n v="45941402"/>
    <n v="44000000"/>
    <n v="1.0441227727272728"/>
    <x v="1"/>
    <n v="25"/>
    <x v="8"/>
    <s v="Antioquia"/>
    <s v="Fluctúa"/>
    <n v="93"/>
    <n v="11474955"/>
    <n v="236"/>
    <n v="28965113"/>
    <n v="115"/>
    <n v="10715676"/>
    <n v="6161334"/>
    <s v="NO"/>
  </r>
  <r>
    <n v="4"/>
    <x v="27"/>
    <n v="2018"/>
    <s v="Abril"/>
    <s v="YENYSUPE"/>
    <n v="1020419011"/>
    <x v="51"/>
    <n v="45745541"/>
    <n v="1292000"/>
    <n v="9683165"/>
    <n v="34770376"/>
    <n v="24640000"/>
    <n v="1.4111353896103895"/>
    <x v="1"/>
    <n v="25"/>
    <x v="8"/>
    <s v="Antioquia"/>
    <s v="Cumple"/>
    <n v="70"/>
    <n v="8187942"/>
    <n v="183"/>
    <n v="21198990"/>
    <n v="102"/>
    <n v="9683165"/>
    <n v="6675444"/>
    <s v="Inicio Vacaciones"/>
  </r>
  <r>
    <n v="4"/>
    <x v="27"/>
    <n v="2018"/>
    <s v="Abril"/>
    <s v="YURAUSVE"/>
    <n v="1020419615"/>
    <x v="56"/>
    <n v="59024078"/>
    <n v="1664000"/>
    <n v="11986165"/>
    <n v="45373913"/>
    <n v="44000000"/>
    <n v="1.0312252954545456"/>
    <x v="1"/>
    <n v="25"/>
    <x v="8"/>
    <s v="Antioquia"/>
    <s v="Cumple"/>
    <n v="114"/>
    <n v="11212556"/>
    <n v="254"/>
    <n v="26973031"/>
    <n v="130"/>
    <n v="11986165"/>
    <n v="8852326"/>
    <s v="NO"/>
  </r>
  <r>
    <n v="4"/>
    <x v="27"/>
    <n v="2018"/>
    <s v="Abril"/>
    <s v="ANAMLOBE"/>
    <n v="43821410"/>
    <x v="3"/>
    <n v="80709658"/>
    <n v="675000"/>
    <n v="10565347"/>
    <n v="69469311"/>
    <n v="44000000"/>
    <n v="1.5788479772727273"/>
    <x v="1"/>
    <n v="25"/>
    <x v="3"/>
    <s v="Antioquia"/>
    <s v="Siempre Cumple"/>
    <n v="115"/>
    <n v="15338333"/>
    <n v="260"/>
    <n v="47600227"/>
    <n v="122"/>
    <n v="10565347"/>
    <n v="7205751"/>
    <s v="NO"/>
  </r>
  <r>
    <n v="4"/>
    <x v="27"/>
    <n v="2018"/>
    <s v="Abril"/>
    <s v="DIANQUME"/>
    <n v="42164020"/>
    <x v="12"/>
    <n v="65520172"/>
    <n v="1947200"/>
    <n v="13444003"/>
    <n v="50128969"/>
    <n v="44000000"/>
    <n v="1.1392947499999999"/>
    <x v="1"/>
    <n v="25"/>
    <x v="1"/>
    <s v="Antioquia"/>
    <s v="Siempre Cumple"/>
    <n v="86"/>
    <n v="9645893"/>
    <n v="237"/>
    <n v="34302070"/>
    <n v="144"/>
    <n v="13444003"/>
    <n v="8128206"/>
    <m/>
  </r>
  <r>
    <n v="4"/>
    <x v="27"/>
    <n v="2018"/>
    <s v="Abril"/>
    <s v="VIVIVAZA"/>
    <n v="43745952"/>
    <x v="30"/>
    <n v="65619305"/>
    <n v="2394000"/>
    <n v="10957682"/>
    <n v="52267623"/>
    <n v="44000000"/>
    <n v="1.1879005227272728"/>
    <x v="1"/>
    <n v="25"/>
    <x v="3"/>
    <s v="Antioquia"/>
    <s v="Siempre Cumple"/>
    <n v="107"/>
    <n v="12069861"/>
    <n v="258"/>
    <n v="35038419"/>
    <n v="123"/>
    <n v="10957682"/>
    <n v="7553343"/>
    <s v="NO"/>
  </r>
  <r>
    <n v="4"/>
    <x v="27"/>
    <n v="2018"/>
    <s v="Abril"/>
    <s v="ERIKSAVA"/>
    <n v="1017200970"/>
    <x v="44"/>
    <n v="46437627"/>
    <n v="440000"/>
    <n v="8416252"/>
    <n v="37581375"/>
    <n v="36000000"/>
    <n v="1.0439270833333334"/>
    <x v="1"/>
    <n v="25"/>
    <x v="4"/>
    <s v="Antioquia"/>
    <s v="Cumple"/>
    <n v="83"/>
    <n v="9824809"/>
    <n v="173"/>
    <n v="22038264"/>
    <n v="89"/>
    <n v="8416252"/>
    <n v="6158302"/>
    <s v="NO"/>
  </r>
  <r>
    <n v="4"/>
    <x v="27"/>
    <n v="2018"/>
    <s v="Abril"/>
    <s v="HISNOSPI"/>
    <n v="43114534"/>
    <x v="49"/>
    <n v="17351830"/>
    <n v="608000"/>
    <n v="0"/>
    <n v="16743830"/>
    <n v="10080000"/>
    <n v="1.6610942460317459"/>
    <x v="0"/>
    <n v="25"/>
    <x v="4"/>
    <s v="Antioquia"/>
    <s v="No Aplica"/>
    <n v="34"/>
    <n v="3354149"/>
    <n v="99"/>
    <n v="11708590"/>
    <n v="0"/>
    <n v="0"/>
    <n v="2289091"/>
    <m/>
  </r>
  <r>
    <n v="4"/>
    <x v="27"/>
    <n v="2018"/>
    <s v="Abril"/>
    <s v="MARIMASA"/>
    <n v="43113640"/>
    <x v="34"/>
    <n v="59721687"/>
    <n v="894000"/>
    <n v="14116060"/>
    <n v="44711627"/>
    <n v="36000000"/>
    <n v="1.2419896388888889"/>
    <x v="1"/>
    <n v="25"/>
    <x v="4"/>
    <s v="Antioquia"/>
    <s v="Cumple"/>
    <n v="95"/>
    <n v="10721503"/>
    <n v="225"/>
    <n v="29472881"/>
    <n v="152"/>
    <n v="14116060"/>
    <n v="5411243"/>
    <s v="NO"/>
  </r>
  <r>
    <n v="4"/>
    <x v="27"/>
    <n v="2018"/>
    <s v="Abril"/>
    <s v="ANDRSAZA"/>
    <n v="1020736461"/>
    <x v="45"/>
    <n v="47658195"/>
    <n v="880000"/>
    <n v="7519142"/>
    <n v="39259053"/>
    <n v="28000000"/>
    <n v="1.4021090357142858"/>
    <x v="1"/>
    <n v="25"/>
    <x v="9"/>
    <s v="Centro"/>
    <s v="Siempre Cumple"/>
    <n v="72"/>
    <n v="8380318"/>
    <n v="208"/>
    <n v="26827910"/>
    <n v="97"/>
    <n v="7519142"/>
    <n v="4930825"/>
    <s v="NO"/>
  </r>
  <r>
    <n v="4"/>
    <x v="27"/>
    <n v="2018"/>
    <s v="Abril"/>
    <s v="CAMIPUHE"/>
    <n v="79850984"/>
    <x v="53"/>
    <n v="16350782"/>
    <n v="1818200"/>
    <n v="2118771"/>
    <n v="12413811"/>
    <n v="17920000"/>
    <n v="0.69273498883928575"/>
    <x v="1"/>
    <n v="25"/>
    <x v="15"/>
    <s v="Centro"/>
    <s v="Fluctúa"/>
    <n v="38"/>
    <n v="2876264"/>
    <n v="94"/>
    <n v="7941492"/>
    <n v="36"/>
    <n v="2118771"/>
    <n v="3414255"/>
    <s v="Regreso Vacaciones"/>
  </r>
  <r>
    <n v="4"/>
    <x v="27"/>
    <n v="2018"/>
    <s v="Abril"/>
    <s v="ISABMOGO"/>
    <n v="52260671"/>
    <x v="15"/>
    <n v="37796484"/>
    <n v="2214000"/>
    <n v="6336908"/>
    <n v="29245576"/>
    <n v="28000000"/>
    <n v="1.0444848571428571"/>
    <x v="1"/>
    <n v="25"/>
    <x v="9"/>
    <s v="Centro"/>
    <s v="Siempre Cumple"/>
    <n v="66"/>
    <n v="6554839"/>
    <n v="188"/>
    <n v="19342152"/>
    <n v="84"/>
    <n v="6336908"/>
    <n v="5562585"/>
    <s v="NO"/>
  </r>
  <r>
    <n v="4"/>
    <x v="27"/>
    <n v="2018"/>
    <s v="Abril"/>
    <s v="LUZNHEGO"/>
    <n v="43745192"/>
    <x v="19"/>
    <n v="37296616"/>
    <n v="766800"/>
    <n v="4198870"/>
    <n v="32330946"/>
    <n v="30000000"/>
    <n v="1.0776981999999999"/>
    <x v="1"/>
    <n v="25"/>
    <x v="10"/>
    <s v="Antioquia"/>
    <s v="Cumple"/>
    <n v="47"/>
    <n v="8244233"/>
    <n v="151"/>
    <n v="21557591"/>
    <n v="54"/>
    <n v="4198870"/>
    <n v="3295922"/>
    <s v="NO"/>
  </r>
  <r>
    <n v="4"/>
    <x v="27"/>
    <n v="2018"/>
    <s v="Abril"/>
    <s v="MONIARGI"/>
    <n v="1151951440"/>
    <x v="67"/>
    <n v="12178930"/>
    <n v="0"/>
    <n v="5435254"/>
    <n v="6743676"/>
    <n v="27600000"/>
    <n v="0.24433608695652173"/>
    <x v="0"/>
    <n v="25"/>
    <x v="16"/>
    <s v="Occidente"/>
    <s v="No Aplica"/>
    <n v="12"/>
    <n v="1449162"/>
    <n v="50"/>
    <n v="4708434"/>
    <n v="57"/>
    <n v="5435254"/>
    <n v="586080"/>
    <m/>
  </r>
  <r>
    <n v="4"/>
    <x v="27"/>
    <n v="2018"/>
    <s v="Abril"/>
    <s v="PAOLPACA"/>
    <n v="31445278"/>
    <x v="47"/>
    <n v="33108617"/>
    <n v="0"/>
    <n v="7293942"/>
    <n v="25814675"/>
    <n v="27600000"/>
    <n v="0.93531431159420286"/>
    <x v="1"/>
    <n v="25"/>
    <x v="14"/>
    <s v="Occidente"/>
    <s v="Cumple"/>
    <n v="58"/>
    <n v="6022238"/>
    <n v="204"/>
    <n v="17105975"/>
    <n v="87"/>
    <n v="7293942"/>
    <n v="2686462"/>
    <s v="NO"/>
  </r>
  <r>
    <n v="4"/>
    <x v="27"/>
    <n v="2018"/>
    <s v="Abril"/>
    <s v="TATIRITR"/>
    <n v="1130597373"/>
    <x v="60"/>
    <n v="43546082"/>
    <n v="0"/>
    <n v="9088283"/>
    <n v="34457799"/>
    <n v="27600000"/>
    <n v="1.2484709782608696"/>
    <x v="1"/>
    <n v="25"/>
    <x v="16"/>
    <s v="Occidente"/>
    <s v="Fluctúa"/>
    <n v="66"/>
    <n v="8734689"/>
    <n v="220"/>
    <n v="22990287"/>
    <n v="98"/>
    <n v="9088283"/>
    <n v="2732823"/>
    <s v="NO"/>
  </r>
  <r>
    <n v="4"/>
    <x v="27"/>
    <n v="2018"/>
    <s v="Abril"/>
    <s v="ROCIFASA"/>
    <n v="34542470"/>
    <x v="28"/>
    <n v="54617949"/>
    <n v="2651040"/>
    <n v="6997980"/>
    <n v="44968929"/>
    <n v="35000000"/>
    <n v="1.2848265428571428"/>
    <x v="1"/>
    <n v="25"/>
    <x v="12"/>
    <s v="Occidente"/>
    <s v="Siempre Cumple"/>
    <n v="80"/>
    <n v="14659345"/>
    <n v="222"/>
    <n v="28011925"/>
    <n v="76"/>
    <n v="6997980"/>
    <n v="4948699"/>
    <s v="NO"/>
  </r>
  <r>
    <n v="4"/>
    <x v="27"/>
    <n v="2018"/>
    <s v="Abril"/>
    <s v="ANGISEBR"/>
    <m/>
    <x v="7"/>
    <n v="5576682"/>
    <n v="0"/>
    <n v="2743211"/>
    <n v="2833471"/>
    <m/>
    <m/>
    <x v="0"/>
    <n v="25"/>
    <x v="0"/>
    <s v=""/>
    <s v="No Aplica"/>
    <n v="5"/>
    <n v="853779"/>
    <n v="12"/>
    <n v="1772173"/>
    <n v="25"/>
    <n v="2743211"/>
    <n v="207519"/>
    <m/>
  </r>
  <r>
    <n v="4"/>
    <x v="27"/>
    <n v="2018"/>
    <s v="Abril"/>
    <s v="ALEJVAVA"/>
    <m/>
    <x v="7"/>
    <n v="76800"/>
    <n v="0"/>
    <n v="76800"/>
    <n v="0"/>
    <m/>
    <m/>
    <x v="0"/>
    <n v="25"/>
    <x v="0"/>
    <s v=""/>
    <s v="No Aplica"/>
    <n v="0"/>
    <n v="0"/>
    <n v="0"/>
    <n v="0"/>
    <n v="0"/>
    <n v="0"/>
    <n v="76800"/>
    <m/>
  </r>
  <r>
    <n v="4"/>
    <x v="27"/>
    <n v="2018"/>
    <s v="Abril"/>
    <s v="CARORICA"/>
    <m/>
    <x v="7"/>
    <n v="1475565"/>
    <n v="0"/>
    <n v="0"/>
    <n v="1475565"/>
    <m/>
    <m/>
    <x v="0"/>
    <n v="25"/>
    <x v="0"/>
    <s v=""/>
    <s v="No Aplica"/>
    <n v="2"/>
    <n v="202635"/>
    <n v="4"/>
    <n v="1141930"/>
    <n v="0"/>
    <n v="0"/>
    <n v="131000"/>
    <m/>
  </r>
  <r>
    <n v="4"/>
    <x v="27"/>
    <n v="2018"/>
    <s v="Abril"/>
    <s v="DARWHERI"/>
    <m/>
    <x v="7"/>
    <n v="3648002"/>
    <n v="0"/>
    <n v="1877742"/>
    <n v="1770260"/>
    <m/>
    <m/>
    <x v="0"/>
    <n v="25"/>
    <x v="0"/>
    <s v=""/>
    <s v="No Aplica"/>
    <n v="4"/>
    <n v="310378"/>
    <n v="6"/>
    <n v="931882"/>
    <n v="28"/>
    <n v="1877742"/>
    <n v="528000"/>
    <m/>
  </r>
  <r>
    <n v="4"/>
    <x v="27"/>
    <n v="2018"/>
    <s v="Abril"/>
    <s v="DIANPOPA"/>
    <m/>
    <x v="7"/>
    <n v="-210463"/>
    <n v="0"/>
    <n v="0"/>
    <n v="-210463"/>
    <m/>
    <m/>
    <x v="0"/>
    <n v="25"/>
    <x v="0"/>
    <s v=""/>
    <s v="No Aplica"/>
    <n v="18"/>
    <n v="-1261122"/>
    <n v="34"/>
    <n v="-2779690"/>
    <n v="0"/>
    <n v="0"/>
    <n v="3830349"/>
    <m/>
  </r>
  <r>
    <n v="4"/>
    <x v="27"/>
    <n v="2018"/>
    <s v="Abril"/>
    <s v="LOREBECR"/>
    <m/>
    <x v="7"/>
    <n v="528142"/>
    <n v="0"/>
    <n v="87740"/>
    <n v="440402"/>
    <m/>
    <m/>
    <x v="0"/>
    <n v="25"/>
    <x v="0"/>
    <s v=""/>
    <s v="No Aplica"/>
    <n v="1"/>
    <n v="55714"/>
    <n v="4"/>
    <n v="384687"/>
    <n v="2"/>
    <n v="87740"/>
    <n v="1"/>
    <m/>
  </r>
  <r>
    <n v="4"/>
    <x v="27"/>
    <n v="2018"/>
    <s v="Abril"/>
    <s v="4439726892"/>
    <m/>
    <x v="7"/>
    <n v="134285"/>
    <n v="0"/>
    <n v="134285"/>
    <n v="0"/>
    <m/>
    <m/>
    <x v="0"/>
    <n v="25"/>
    <x v="0"/>
    <s v=""/>
    <s v="No Aplica"/>
    <n v="0"/>
    <n v="0"/>
    <n v="0"/>
    <n v="0"/>
    <n v="1"/>
    <n v="134285"/>
    <n v="0"/>
    <m/>
  </r>
  <r>
    <n v="4"/>
    <x v="27"/>
    <n v="2018"/>
    <s v="Abril"/>
    <s v="4440570474"/>
    <m/>
    <x v="7"/>
    <n v="141671"/>
    <n v="0"/>
    <n v="141671"/>
    <n v="0"/>
    <m/>
    <m/>
    <x v="0"/>
    <n v="25"/>
    <x v="0"/>
    <s v=""/>
    <s v="No Aplica"/>
    <n v="0"/>
    <n v="0"/>
    <n v="0"/>
    <n v="0"/>
    <n v="1"/>
    <n v="141671"/>
    <n v="0"/>
    <m/>
  </r>
  <r>
    <n v="4"/>
    <x v="27"/>
    <n v="2018"/>
    <s v="Abril"/>
    <s v="(en blanco)"/>
    <m/>
    <x v="7"/>
    <n v="-4054670"/>
    <n v="0"/>
    <n v="0"/>
    <n v="-4054670"/>
    <m/>
    <m/>
    <x v="0"/>
    <n v="25"/>
    <x v="0"/>
    <s v=""/>
    <s v="No Aplica"/>
    <n v="0"/>
    <n v="0"/>
    <n v="30"/>
    <n v="-3122560"/>
    <n v="0"/>
    <n v="0"/>
    <n v="-932110"/>
    <m/>
  </r>
  <r>
    <n v="5"/>
    <x v="28"/>
    <n v="2018"/>
    <s v="Mayo"/>
    <s v="DERLARMO"/>
    <n v="52725011"/>
    <x v="10"/>
    <n v="26304686"/>
    <n v="440000"/>
    <n v="6675799"/>
    <n v="19188887"/>
    <n v="25000000"/>
    <n v="0.76755547999999996"/>
    <x v="1"/>
    <n v="25"/>
    <x v="6"/>
    <s v="Centro"/>
    <s v="Fluctúa"/>
    <n v="68"/>
    <n v="4567808"/>
    <n v="164"/>
    <n v="13204850"/>
    <n v="87"/>
    <n v="6503399"/>
    <n v="2028629"/>
    <s v="NO"/>
  </r>
  <r>
    <n v="5"/>
    <x v="28"/>
    <n v="2018"/>
    <s v="Mayo"/>
    <s v="LOREBECR"/>
    <n v="1010207310"/>
    <x v="68"/>
    <n v="23883424"/>
    <n v="440000"/>
    <n v="4058676"/>
    <n v="19384748"/>
    <n v="25000000"/>
    <n v="0.77538991999999995"/>
    <x v="1"/>
    <n v="25"/>
    <x v="6"/>
    <s v="Centro"/>
    <s v="Cumple"/>
    <n v="59"/>
    <n v="4574499"/>
    <n v="146"/>
    <n v="12554921"/>
    <n v="60"/>
    <n v="4058676"/>
    <n v="2695328"/>
    <s v="NO"/>
  </r>
  <r>
    <n v="5"/>
    <x v="28"/>
    <n v="2018"/>
    <s v="Mayo"/>
    <s v="RAULMOGA"/>
    <n v="79701425"/>
    <x v="27"/>
    <n v="31970965"/>
    <n v="1278000"/>
    <n v="5119261"/>
    <n v="25573704"/>
    <n v="25000000"/>
    <n v="1.0229481600000001"/>
    <x v="0"/>
    <n v="25"/>
    <x v="6"/>
    <s v="Centro"/>
    <s v="No Aplica"/>
    <n v="80"/>
    <n v="6165915"/>
    <n v="212"/>
    <n v="16946867"/>
    <n v="77"/>
    <n v="4930261"/>
    <n v="3927922"/>
    <m/>
  </r>
  <r>
    <n v="5"/>
    <x v="28"/>
    <n v="2018"/>
    <s v="Mayo"/>
    <s v="PAULGOBA"/>
    <n v="32256379"/>
    <x v="36"/>
    <n v="53194691"/>
    <n v="0"/>
    <n v="7308419"/>
    <n v="45886272"/>
    <n v="44000000"/>
    <n v="1.0428698181818181"/>
    <x v="1"/>
    <n v="25"/>
    <x v="13"/>
    <s v="Antioquia"/>
    <s v="Fluctúa"/>
    <n v="4"/>
    <n v="499100"/>
    <n v="6"/>
    <n v="649624"/>
    <n v="79"/>
    <n v="7308419"/>
    <n v="44737548"/>
    <s v="NO"/>
  </r>
  <r>
    <n v="5"/>
    <x v="28"/>
    <n v="2018"/>
    <s v="Mayo"/>
    <s v="DIANPAAL"/>
    <n v="1040030764"/>
    <x v="11"/>
    <n v="47976876"/>
    <n v="3194400"/>
    <n v="8225045"/>
    <n v="36557431"/>
    <n v="35000000"/>
    <n v="1.0444980285714285"/>
    <x v="1"/>
    <n v="25"/>
    <x v="7"/>
    <s v="Antioquia"/>
    <s v="Cumple"/>
    <n v="84"/>
    <n v="9296854"/>
    <n v="206"/>
    <n v="23299139"/>
    <n v="95"/>
    <n v="8225045"/>
    <n v="7155838"/>
    <s v="NO"/>
  </r>
  <r>
    <n v="5"/>
    <x v="28"/>
    <n v="2018"/>
    <s v="Mayo"/>
    <s v="JAQUVEGU"/>
    <n v="1036779770"/>
    <x v="16"/>
    <n v="38262373"/>
    <n v="1744200"/>
    <n v="9688829"/>
    <n v="26829344"/>
    <n v="35000000"/>
    <n v="0.7665526857142857"/>
    <x v="0"/>
    <n v="25"/>
    <x v="7"/>
    <s v="Antioquia"/>
    <s v="No Aplica"/>
    <n v="73"/>
    <n v="7088805"/>
    <n v="166"/>
    <n v="17212148"/>
    <n v="99"/>
    <n v="9688829"/>
    <n v="4272591"/>
    <m/>
  </r>
  <r>
    <n v="5"/>
    <x v="28"/>
    <n v="2018"/>
    <s v="Mayo"/>
    <s v="MARIOCOC"/>
    <n v="39448823"/>
    <x v="21"/>
    <n v="50821612"/>
    <n v="3012400"/>
    <n v="8664684"/>
    <n v="39144528"/>
    <n v="35000000"/>
    <n v="1.1184150857142856"/>
    <x v="1"/>
    <n v="25"/>
    <x v="7"/>
    <s v="Antioquia"/>
    <s v="Siempre Cumple"/>
    <n v="87"/>
    <n v="9888219"/>
    <n v="228"/>
    <n v="26807575"/>
    <n v="96"/>
    <n v="8664684"/>
    <n v="5461134"/>
    <s v="NO"/>
  </r>
  <r>
    <n v="5"/>
    <x v="28"/>
    <n v="2018"/>
    <s v="Mayo"/>
    <s v="ALEXLOGR"/>
    <n v="43253531"/>
    <x v="2"/>
    <n v="43965922"/>
    <n v="0"/>
    <n v="8916242"/>
    <n v="35049680"/>
    <n v="33600000"/>
    <n v="1.0431452380952382"/>
    <x v="1"/>
    <n v="25"/>
    <x v="2"/>
    <s v="Antioquia"/>
    <s v="Cumple"/>
    <n v="79"/>
    <n v="6768254"/>
    <n v="191"/>
    <n v="24621454"/>
    <n v="94"/>
    <n v="8916242"/>
    <n v="3659972"/>
    <s v="NO"/>
  </r>
  <r>
    <n v="5"/>
    <x v="28"/>
    <n v="2018"/>
    <s v="Mayo"/>
    <s v="YULIRIRE"/>
    <n v="21982241"/>
    <x v="57"/>
    <n v="48786368"/>
    <n v="0"/>
    <n v="10929439"/>
    <n v="37856929"/>
    <n v="35000000"/>
    <n v="1.0816265428571428"/>
    <x v="1"/>
    <n v="25"/>
    <x v="2"/>
    <s v="Antioquia"/>
    <s v="Fluctúa"/>
    <n v="90"/>
    <n v="8052369"/>
    <n v="210"/>
    <n v="23708542"/>
    <n v="101"/>
    <n v="10929439"/>
    <n v="6096018"/>
    <s v="NO"/>
  </r>
  <r>
    <n v="5"/>
    <x v="28"/>
    <n v="2018"/>
    <s v="Mayo"/>
    <s v="ADRIMOLU"/>
    <n v="43169964"/>
    <x v="1"/>
    <n v="56956338"/>
    <n v="1086000"/>
    <n v="10901329"/>
    <n v="44969009"/>
    <n v="44000000"/>
    <n v="1.0220229318181817"/>
    <x v="1"/>
    <n v="25"/>
    <x v="1"/>
    <s v="Antioquia"/>
    <s v="Cumple"/>
    <n v="99"/>
    <n v="10018978"/>
    <n v="261"/>
    <n v="29353304"/>
    <n v="109"/>
    <n v="10901329"/>
    <n v="6682727"/>
    <s v="NO"/>
  </r>
  <r>
    <n v="5"/>
    <x v="28"/>
    <n v="2018"/>
    <s v="Mayo"/>
    <s v="ELIZVESU"/>
    <n v="1035417626"/>
    <x v="13"/>
    <n v="63711045"/>
    <n v="996000"/>
    <n v="12701284"/>
    <n v="50013761"/>
    <n v="44000000"/>
    <n v="1.1366763863636364"/>
    <x v="1"/>
    <n v="25"/>
    <x v="3"/>
    <s v="Antioquia"/>
    <s v="Cumple"/>
    <n v="90"/>
    <n v="10643701"/>
    <n v="252"/>
    <n v="33595166"/>
    <n v="120"/>
    <n v="12701284"/>
    <n v="6770894"/>
    <s v="NO"/>
  </r>
  <r>
    <n v="5"/>
    <x v="28"/>
    <n v="2018"/>
    <s v="Mayo"/>
    <s v="LILACARA"/>
    <n v="1017141451"/>
    <x v="17"/>
    <n v="67439441"/>
    <n v="1540000"/>
    <n v="10252802"/>
    <n v="55646639"/>
    <n v="44000000"/>
    <n v="1.264696340909091"/>
    <x v="1"/>
    <n v="25"/>
    <x v="1"/>
    <s v="Antioquia"/>
    <s v="Siempre Cumple"/>
    <n v="101"/>
    <n v="11720256"/>
    <n v="274"/>
    <n v="38511055"/>
    <n v="92"/>
    <n v="10252802"/>
    <n v="6955328"/>
    <s v="NO"/>
  </r>
  <r>
    <n v="5"/>
    <x v="28"/>
    <n v="2018"/>
    <s v="Mayo"/>
    <s v="SUANHECO"/>
    <n v="1020409789"/>
    <x v="58"/>
    <n v="74828635"/>
    <n v="1054000"/>
    <n v="18004634"/>
    <n v="55770001"/>
    <n v="44000000"/>
    <n v="1.2675000227272728"/>
    <x v="1"/>
    <n v="25"/>
    <x v="1"/>
    <s v="Antioquia"/>
    <s v="Cumple"/>
    <n v="127"/>
    <n v="14870894"/>
    <n v="280"/>
    <n v="33887524"/>
    <n v="172"/>
    <n v="18004634"/>
    <n v="8065583"/>
    <s v="NO"/>
  </r>
  <r>
    <n v="5"/>
    <x v="28"/>
    <n v="2018"/>
    <s v="Mayo"/>
    <s v="ZULYARGA"/>
    <n v="43259130"/>
    <x v="31"/>
    <n v="67314837"/>
    <n v="248000"/>
    <n v="13725040"/>
    <n v="53341797"/>
    <n v="44000000"/>
    <n v="1.2123135681818182"/>
    <x v="1"/>
    <n v="25"/>
    <x v="1"/>
    <s v="Antioquia"/>
    <s v="Fluctúa"/>
    <n v="113"/>
    <n v="12114784"/>
    <n v="304"/>
    <n v="34850226"/>
    <n v="134"/>
    <n v="13725040"/>
    <n v="6624787"/>
    <s v="NO"/>
  </r>
  <r>
    <n v="5"/>
    <x v="28"/>
    <n v="2018"/>
    <s v="Mayo"/>
    <s v="BIBIBECA"/>
    <n v="43971430"/>
    <x v="6"/>
    <n v="67164169"/>
    <n v="746200"/>
    <n v="16538369"/>
    <n v="49879600"/>
    <n v="42000000"/>
    <n v="1.1876095238095239"/>
    <x v="1"/>
    <n v="25"/>
    <x v="5"/>
    <s v="Antioquia"/>
    <s v="Siempre Cumple"/>
    <n v="118"/>
    <n v="10631634"/>
    <n v="310"/>
    <n v="34322811"/>
    <n v="163"/>
    <n v="16538369"/>
    <n v="5671355"/>
    <s v="NO"/>
  </r>
  <r>
    <n v="5"/>
    <x v="28"/>
    <n v="2018"/>
    <s v="Mayo"/>
    <s v="CINDGACU"/>
    <n v="1020443426"/>
    <x v="55"/>
    <n v="37112588"/>
    <n v="2757000"/>
    <n v="11857239"/>
    <n v="22498349"/>
    <n v="42000000"/>
    <n v="0.53567497619047622"/>
    <x v="1"/>
    <n v="25"/>
    <x v="4"/>
    <s v="Antioquia"/>
    <s v="Fluctúa"/>
    <n v="74"/>
    <n v="5550293"/>
    <n v="166"/>
    <n v="13692813"/>
    <n v="115"/>
    <n v="11857239"/>
    <n v="6012243"/>
    <s v="NO"/>
  </r>
  <r>
    <n v="5"/>
    <x v="28"/>
    <n v="2018"/>
    <s v="Mayo"/>
    <s v="CLAUBLAR"/>
    <n v="43554403"/>
    <x v="8"/>
    <n v="45092159"/>
    <n v="1278000"/>
    <n v="9598406"/>
    <n v="34215753"/>
    <n v="11760000"/>
    <n v="2.909502806122449"/>
    <x v="1"/>
    <n v="25"/>
    <x v="5"/>
    <s v="Antioquia"/>
    <s v="Siempre Cumple"/>
    <n v="75"/>
    <n v="7143525"/>
    <n v="186"/>
    <n v="23140191"/>
    <n v="98"/>
    <n v="9598406"/>
    <n v="5210037"/>
    <s v="Inicio Vacaciones"/>
  </r>
  <r>
    <n v="5"/>
    <x v="28"/>
    <n v="2018"/>
    <s v="Mayo"/>
    <s v="HERIRORO"/>
    <n v="21428423"/>
    <x v="52"/>
    <n v="58427445"/>
    <n v="812000"/>
    <n v="13198544"/>
    <n v="44416901"/>
    <n v="38640000"/>
    <n v="1.1495057194616978"/>
    <x v="1"/>
    <n v="25"/>
    <x v="5"/>
    <s v="Antioquia"/>
    <s v="Fluctúa"/>
    <n v="116"/>
    <n v="9561371"/>
    <n v="262"/>
    <n v="30483020"/>
    <n v="136"/>
    <n v="13198544"/>
    <n v="5184510"/>
    <s v="Inicio Vacaciones"/>
  </r>
  <r>
    <n v="5"/>
    <x v="28"/>
    <n v="2018"/>
    <s v="Mayo"/>
    <s v="ANAKBEZA"/>
    <n v="43906785"/>
    <x v="65"/>
    <n v="17803665"/>
    <n v="1459800"/>
    <n v="6726041"/>
    <n v="9617824"/>
    <n v="30240000"/>
    <n v="0.31804973544973547"/>
    <x v="0"/>
    <n v="25"/>
    <x v="0"/>
    <s v=""/>
    <s v="No Aplica"/>
    <n v="30"/>
    <n v="2214088"/>
    <n v="66"/>
    <n v="5535306"/>
    <n v="73"/>
    <n v="6726041"/>
    <n v="3328230"/>
    <m/>
  </r>
  <r>
    <n v="5"/>
    <x v="28"/>
    <n v="2018"/>
    <s v="Mayo"/>
    <s v="MARGGAPA"/>
    <n v="43866877"/>
    <x v="20"/>
    <n v="62036453"/>
    <n v="1456000"/>
    <n v="14354601"/>
    <n v="46225852"/>
    <n v="42000000"/>
    <n v="1.1006155238095239"/>
    <x v="1"/>
    <n v="25"/>
    <x v="5"/>
    <s v="Antioquia"/>
    <s v="Siempre Cumple"/>
    <n v="101"/>
    <n v="11207707"/>
    <n v="218"/>
    <n v="28655767"/>
    <n v="151"/>
    <n v="14354601"/>
    <n v="7818378"/>
    <s v="NO"/>
  </r>
  <r>
    <n v="5"/>
    <x v="28"/>
    <n v="2018"/>
    <s v="Mayo"/>
    <s v="NATAVAMO"/>
    <n v="32183069"/>
    <x v="63"/>
    <n v="47409956"/>
    <n v="1460000"/>
    <n v="10655648"/>
    <n v="35294308"/>
    <n v="42560000"/>
    <n v="0.82928355263157894"/>
    <x v="1"/>
    <n v="25"/>
    <x v="1"/>
    <s v="Antioquia"/>
    <s v="No Cumple"/>
    <n v="82"/>
    <n v="7729142"/>
    <n v="199"/>
    <n v="23271564"/>
    <n v="109"/>
    <n v="10655648"/>
    <n v="5753602"/>
    <s v="NO"/>
  </r>
  <r>
    <n v="5"/>
    <x v="28"/>
    <n v="2018"/>
    <s v="Mayo"/>
    <s v="NOREARMA"/>
    <n v="39275090"/>
    <x v="66"/>
    <n v="58089552"/>
    <n v="0"/>
    <n v="8915792"/>
    <n v="49173760"/>
    <n v="43440000"/>
    <n v="1.1319926335174955"/>
    <x v="1"/>
    <n v="25"/>
    <x v="4"/>
    <s v="Antioquia"/>
    <s v="Siempre Cumple"/>
    <n v="88"/>
    <n v="11287344"/>
    <n v="194"/>
    <n v="31468278"/>
    <n v="94"/>
    <n v="8915792"/>
    <n v="6418138"/>
    <s v="NO"/>
  </r>
  <r>
    <n v="5"/>
    <x v="28"/>
    <n v="2018"/>
    <s v="Mayo"/>
    <s v="YENISIGI"/>
    <n v="1035913369"/>
    <x v="64"/>
    <n v="38871385"/>
    <n v="1473000"/>
    <n v="11734986"/>
    <n v="25663399"/>
    <n v="42000000"/>
    <n v="0.61103330952380952"/>
    <x v="1"/>
    <n v="25"/>
    <x v="5"/>
    <s v="Antioquia"/>
    <s v="Fluctúa"/>
    <n v="70"/>
    <n v="5602497"/>
    <n v="162"/>
    <n v="15056085"/>
    <n v="122"/>
    <n v="11734986"/>
    <n v="6477817"/>
    <s v="NO"/>
  </r>
  <r>
    <n v="5"/>
    <x v="28"/>
    <n v="2018"/>
    <s v="Mayo"/>
    <s v="NATAPIDU"/>
    <n v="43907427"/>
    <x v="25"/>
    <n v="68662060"/>
    <n v="0"/>
    <n v="6554909"/>
    <n v="62107151"/>
    <n v="40000000"/>
    <n v="1.552678775"/>
    <x v="1"/>
    <n v="25"/>
    <x v="11"/>
    <s v="Antioquia"/>
    <s v="Siempre Cumple"/>
    <n v="78"/>
    <n v="14971728"/>
    <n v="205"/>
    <n v="38460509"/>
    <n v="71"/>
    <n v="6554909"/>
    <n v="8674914"/>
    <s v="NO"/>
  </r>
  <r>
    <n v="5"/>
    <x v="28"/>
    <n v="2018"/>
    <s v="Mayo"/>
    <s v="ALVAOSOS"/>
    <n v="3438422"/>
    <x v="37"/>
    <n v="46050886"/>
    <n v="1068400"/>
    <n v="9210309"/>
    <n v="35772177"/>
    <n v="44000000"/>
    <n v="0.81300402272727268"/>
    <x v="1"/>
    <n v="25"/>
    <x v="8"/>
    <s v="Antioquia"/>
    <s v="Fluctúa"/>
    <n v="68"/>
    <n v="7340495"/>
    <n v="168"/>
    <n v="22937781"/>
    <n v="93"/>
    <n v="9210309"/>
    <n v="6562301"/>
    <s v="NO"/>
  </r>
  <r>
    <n v="5"/>
    <x v="28"/>
    <n v="2018"/>
    <s v="Mayo"/>
    <s v="CARORAMN"/>
    <n v="1020451288"/>
    <x v="61"/>
    <n v="56765459"/>
    <n v="440000"/>
    <n v="11345759"/>
    <n v="44979700"/>
    <n v="44000000"/>
    <n v="1.0222659090909092"/>
    <x v="1"/>
    <n v="25"/>
    <x v="8"/>
    <s v="Antioquia"/>
    <s v="Cumple"/>
    <n v="86"/>
    <n v="7920267"/>
    <n v="250"/>
    <n v="30545230"/>
    <n v="121"/>
    <n v="11345759"/>
    <n v="6954203"/>
    <s v="NO"/>
  </r>
  <r>
    <n v="5"/>
    <x v="28"/>
    <n v="2018"/>
    <s v="Mayo"/>
    <s v="DEISCACR"/>
    <n v="1017167720"/>
    <x v="50"/>
    <n v="58514263"/>
    <n v="1872000"/>
    <n v="9807697"/>
    <n v="46834566"/>
    <n v="44000000"/>
    <n v="1.0644219545454545"/>
    <x v="1"/>
    <n v="25"/>
    <x v="8"/>
    <s v="Antioquia"/>
    <s v="Cumple"/>
    <n v="87"/>
    <n v="9224846"/>
    <n v="214"/>
    <n v="31277380"/>
    <n v="99"/>
    <n v="9807697"/>
    <n v="8204340"/>
    <s v="NO"/>
  </r>
  <r>
    <n v="5"/>
    <x v="28"/>
    <n v="2018"/>
    <s v="Mayo"/>
    <s v="GENNHEPO"/>
    <n v="43874518"/>
    <x v="14"/>
    <n v="57907253"/>
    <n v="890000"/>
    <n v="11261660"/>
    <n v="45755593"/>
    <n v="44000000"/>
    <n v="1.0398998409090909"/>
    <x v="1"/>
    <n v="25"/>
    <x v="8"/>
    <s v="Antioquia"/>
    <s v="Fluctúa"/>
    <n v="106"/>
    <n v="9451279"/>
    <n v="282"/>
    <n v="28987177"/>
    <n v="112"/>
    <n v="11261660"/>
    <n v="8207137"/>
    <s v="NO"/>
  </r>
  <r>
    <n v="5"/>
    <x v="28"/>
    <n v="2018"/>
    <s v="Mayo"/>
    <s v="LEIDGOVI"/>
    <n v="1036598360"/>
    <x v="39"/>
    <n v="59233289"/>
    <n v="918000"/>
    <n v="10562403"/>
    <n v="47752886"/>
    <n v="44000000"/>
    <n v="1.0852928636363637"/>
    <x v="1"/>
    <n v="25"/>
    <x v="8"/>
    <s v="Antioquia"/>
    <s v="Fluctúa"/>
    <n v="97"/>
    <n v="11139612"/>
    <n v="262"/>
    <n v="30831053"/>
    <n v="101"/>
    <n v="10377203"/>
    <n v="6885421"/>
    <s v="NO"/>
  </r>
  <r>
    <n v="5"/>
    <x v="28"/>
    <n v="2018"/>
    <s v="Mayo"/>
    <s v="YENYSUPE"/>
    <n v="1020419011"/>
    <x v="51"/>
    <n v="39321924"/>
    <n v="1216400"/>
    <n v="6372486"/>
    <n v="31733038"/>
    <n v="31680000"/>
    <n v="1.0016741792929293"/>
    <x v="1"/>
    <n v="25"/>
    <x v="8"/>
    <s v="Antioquia"/>
    <s v="Cumple"/>
    <n v="78"/>
    <n v="8403793"/>
    <n v="180"/>
    <n v="20627773"/>
    <n v="70"/>
    <n v="6372486"/>
    <n v="3917872"/>
    <s v="Regreso Vacaciones"/>
  </r>
  <r>
    <n v="5"/>
    <x v="28"/>
    <n v="2018"/>
    <s v="Mayo"/>
    <s v="YURAUSVE"/>
    <n v="1020419615"/>
    <x v="56"/>
    <n v="56621822"/>
    <n v="866000"/>
    <n v="11855773"/>
    <n v="43900049"/>
    <n v="44000000"/>
    <n v="0.99772838636363637"/>
    <x v="1"/>
    <n v="25"/>
    <x v="8"/>
    <s v="Antioquia"/>
    <s v="Cumple"/>
    <n v="92"/>
    <n v="9339559"/>
    <n v="260"/>
    <n v="28362826"/>
    <n v="113"/>
    <n v="11855773"/>
    <n v="7063664"/>
    <s v="NO"/>
  </r>
  <r>
    <n v="5"/>
    <x v="28"/>
    <n v="2018"/>
    <s v="Mayo"/>
    <s v="ANAMLOBE"/>
    <n v="43821410"/>
    <x v="3"/>
    <n v="25690300"/>
    <n v="240800"/>
    <n v="2477283"/>
    <n v="22972217"/>
    <n v="12320000"/>
    <n v="1.8646280032467533"/>
    <x v="1"/>
    <n v="25"/>
    <x v="3"/>
    <s v="Antioquia"/>
    <s v="Siempre Cumple"/>
    <n v="39"/>
    <n v="4453115"/>
    <n v="98"/>
    <n v="16398058"/>
    <n v="23"/>
    <n v="2236483"/>
    <n v="2602644"/>
    <s v="Inicio Vacaciones"/>
  </r>
  <r>
    <n v="5"/>
    <x v="28"/>
    <n v="2018"/>
    <s v="Mayo"/>
    <s v="DIANQUME"/>
    <n v="42164020"/>
    <x v="12"/>
    <n v="63218218"/>
    <n v="440000"/>
    <n v="13041040"/>
    <n v="49737178"/>
    <n v="44000000"/>
    <n v="1.1303904090909092"/>
    <x v="1"/>
    <n v="25"/>
    <x v="1"/>
    <s v="Antioquia"/>
    <s v="Siempre Cumple"/>
    <n v="96"/>
    <n v="9404925"/>
    <n v="234"/>
    <n v="33979134"/>
    <n v="114"/>
    <n v="10959240"/>
    <n v="8874919"/>
    <m/>
  </r>
  <r>
    <n v="5"/>
    <x v="28"/>
    <n v="2018"/>
    <s v="Mayo"/>
    <s v="VIVIVAZA"/>
    <n v="43745952"/>
    <x v="30"/>
    <n v="83536744"/>
    <n v="4803900"/>
    <n v="14819787"/>
    <n v="63913057"/>
    <n v="44000000"/>
    <n v="1.4525694772727273"/>
    <x v="1"/>
    <n v="25"/>
    <x v="3"/>
    <s v="Antioquia"/>
    <s v="Siempre Cumple"/>
    <n v="109"/>
    <n v="12137347"/>
    <n v="285"/>
    <n v="42793592"/>
    <n v="151"/>
    <n v="14408787"/>
    <n v="14197018"/>
    <s v="NO"/>
  </r>
  <r>
    <n v="5"/>
    <x v="28"/>
    <n v="2018"/>
    <s v="Mayo"/>
    <s v="ANGEGAAR"/>
    <n v="39442617"/>
    <x v="4"/>
    <n v="4382137"/>
    <n v="0"/>
    <n v="1494713"/>
    <n v="2887424"/>
    <n v="9360000"/>
    <n v="0.30848547008547006"/>
    <x v="1"/>
    <n v="25"/>
    <x v="4"/>
    <s v="Antioquia"/>
    <s v="Cumple"/>
    <n v="6"/>
    <n v="574572"/>
    <n v="12"/>
    <n v="1227213"/>
    <n v="15"/>
    <n v="1494713"/>
    <n v="1085639"/>
    <s v="NO"/>
  </r>
  <r>
    <n v="5"/>
    <x v="28"/>
    <n v="2018"/>
    <s v="Mayo"/>
    <s v="ERIKSAVA"/>
    <n v="1017200970"/>
    <x v="44"/>
    <n v="48746470"/>
    <n v="1059100"/>
    <n v="9496922"/>
    <n v="38190448"/>
    <n v="36000000"/>
    <n v="1.0608457777777778"/>
    <x v="1"/>
    <n v="25"/>
    <x v="4"/>
    <s v="Antioquia"/>
    <s v="Cumple"/>
    <n v="77"/>
    <n v="8474186"/>
    <n v="176"/>
    <n v="21876874"/>
    <n v="94"/>
    <n v="9496922"/>
    <n v="8898488"/>
    <s v="NO"/>
  </r>
  <r>
    <n v="5"/>
    <x v="28"/>
    <n v="2018"/>
    <s v="Mayo"/>
    <s v="HISNOSPI"/>
    <n v="43114534"/>
    <x v="49"/>
    <n v="19394127"/>
    <n v="720000"/>
    <n v="0"/>
    <n v="18674127"/>
    <n v="36000000"/>
    <n v="0.51872574999999999"/>
    <x v="0"/>
    <n v="25"/>
    <x v="4"/>
    <s v="Antioquia"/>
    <s v="No Aplica"/>
    <n v="45"/>
    <n v="4036308"/>
    <n v="106"/>
    <n v="12751940"/>
    <n v="0"/>
    <n v="0"/>
    <n v="2605879"/>
    <m/>
  </r>
  <r>
    <n v="5"/>
    <x v="28"/>
    <n v="2018"/>
    <s v="Mayo"/>
    <s v="MARIMASA"/>
    <n v="43113640"/>
    <x v="34"/>
    <n v="58369410"/>
    <n v="1537600"/>
    <n v="13663288"/>
    <n v="43168522"/>
    <n v="36000000"/>
    <n v="1.199125611111111"/>
    <x v="1"/>
    <n v="25"/>
    <x v="4"/>
    <s v="Antioquia"/>
    <s v="Cumple"/>
    <n v="83"/>
    <n v="10310811"/>
    <n v="189"/>
    <n v="27618024"/>
    <n v="132"/>
    <n v="13663288"/>
    <n v="6777287"/>
    <s v="NO"/>
  </r>
  <r>
    <n v="5"/>
    <x v="28"/>
    <n v="2018"/>
    <s v="Mayo"/>
    <s v="ANDRSAZA"/>
    <n v="1020736461"/>
    <x v="45"/>
    <n v="50477415"/>
    <n v="1239200"/>
    <n v="6077517"/>
    <n v="43160698"/>
    <n v="26880000"/>
    <n v="1.6056807291666666"/>
    <x v="1"/>
    <n v="25"/>
    <x v="9"/>
    <s v="Centro"/>
    <s v="Siempre Cumple"/>
    <n v="83"/>
    <n v="9024794"/>
    <n v="230"/>
    <n v="30847261"/>
    <n v="91"/>
    <n v="6077517"/>
    <n v="4527843"/>
    <s v="NO"/>
  </r>
  <r>
    <n v="5"/>
    <x v="28"/>
    <n v="2018"/>
    <s v="Mayo"/>
    <s v="CAMIPUHE"/>
    <n v="79850984"/>
    <x v="53"/>
    <n v="28791351"/>
    <n v="842400"/>
    <n v="5794397"/>
    <n v="22154554"/>
    <n v="28000000"/>
    <n v="0.79123407142857138"/>
    <x v="1"/>
    <n v="25"/>
    <x v="15"/>
    <s v="Centro"/>
    <s v="Fluctúa"/>
    <n v="64"/>
    <n v="5002810"/>
    <n v="138"/>
    <n v="14790682"/>
    <n v="73"/>
    <n v="5794397"/>
    <n v="3203462"/>
    <s v="NO"/>
  </r>
  <r>
    <n v="5"/>
    <x v="28"/>
    <n v="2018"/>
    <s v="Mayo"/>
    <s v="ISABMOGO"/>
    <n v="52260671"/>
    <x v="15"/>
    <n v="38050304"/>
    <n v="1114400"/>
    <n v="7794839"/>
    <n v="29141065"/>
    <n v="28000000"/>
    <n v="1.0407523214285714"/>
    <x v="1"/>
    <n v="25"/>
    <x v="9"/>
    <s v="Centro"/>
    <s v="Siempre Cumple"/>
    <n v="76"/>
    <n v="7314066"/>
    <n v="192"/>
    <n v="16741877"/>
    <n v="105"/>
    <n v="7794839"/>
    <n v="6199522"/>
    <s v="NO"/>
  </r>
  <r>
    <n v="5"/>
    <x v="28"/>
    <n v="2018"/>
    <s v="Mayo"/>
    <s v="LUZNHEGO"/>
    <n v="43745192"/>
    <x v="19"/>
    <n v="34081946"/>
    <n v="0"/>
    <n v="3226825"/>
    <n v="30855121"/>
    <n v="30000000"/>
    <n v="1.0285040333333333"/>
    <x v="1"/>
    <n v="25"/>
    <x v="10"/>
    <s v="Antioquia"/>
    <s v="Cumple"/>
    <n v="62"/>
    <n v="9534552"/>
    <n v="155"/>
    <n v="18878385"/>
    <n v="43"/>
    <n v="3226825"/>
    <n v="2442184"/>
    <s v="NO"/>
  </r>
  <r>
    <n v="5"/>
    <x v="28"/>
    <n v="2018"/>
    <s v="Mayo"/>
    <s v="ROCIFASA"/>
    <n v="34542470"/>
    <x v="28"/>
    <n v="52178442"/>
    <n v="2064040"/>
    <n v="6245377"/>
    <n v="43869025"/>
    <n v="35000000"/>
    <n v="1.2534007142857142"/>
    <x v="1"/>
    <n v="25"/>
    <x v="12"/>
    <s v="Occidente"/>
    <s v="Siempre Cumple"/>
    <n v="91"/>
    <n v="13998124"/>
    <n v="237"/>
    <n v="23271302"/>
    <n v="67"/>
    <n v="6245377"/>
    <n v="8663639"/>
    <s v="NO"/>
  </r>
  <r>
    <n v="5"/>
    <x v="28"/>
    <n v="2018"/>
    <s v="Mayo"/>
    <s v="MONILOSA"/>
    <n v="1095794354"/>
    <x v="69"/>
    <n v="2174928"/>
    <n v="0"/>
    <n v="0"/>
    <n v="2174928"/>
    <n v="21189475"/>
    <n v="0.10264190122690628"/>
    <x v="0"/>
    <n v="25"/>
    <x v="17"/>
    <s v="Occidente"/>
    <s v="No Aplica"/>
    <n v="5"/>
    <n v="440092"/>
    <n v="20"/>
    <n v="1529610"/>
    <n v="0"/>
    <n v="0"/>
    <n v="205226"/>
    <m/>
  </r>
  <r>
    <n v="5"/>
    <x v="28"/>
    <n v="2018"/>
    <s v="Mayo"/>
    <s v="ANGISEBR"/>
    <n v="1144061613"/>
    <x v="70"/>
    <n v="16180078"/>
    <n v="0"/>
    <n v="702711"/>
    <n v="15477367"/>
    <n v="18000000"/>
    <n v="0.85985372222222223"/>
    <x v="1"/>
    <n v="25"/>
    <x v="14"/>
    <s v="Occidente"/>
    <s v="Fluctúa"/>
    <n v="40"/>
    <n v="4216893"/>
    <n v="122"/>
    <n v="10292811"/>
    <n v="9"/>
    <n v="702711"/>
    <n v="967663"/>
    <s v="NO"/>
  </r>
  <r>
    <n v="5"/>
    <x v="28"/>
    <n v="2018"/>
    <s v="Mayo"/>
    <s v="MONIARGI"/>
    <n v="1151951440"/>
    <x v="67"/>
    <n v="28083187"/>
    <n v="426000"/>
    <n v="517579"/>
    <n v="27139608"/>
    <n v="30000000"/>
    <n v="0.90465359999999995"/>
    <x v="0"/>
    <n v="25"/>
    <x v="16"/>
    <s v="Occidente"/>
    <s v="No Aplica"/>
    <n v="59"/>
    <n v="6452709"/>
    <n v="188"/>
    <n v="19561404"/>
    <n v="5"/>
    <n v="517579"/>
    <n v="1551495"/>
    <m/>
  </r>
  <r>
    <n v="5"/>
    <x v="28"/>
    <n v="2018"/>
    <s v="Mayo"/>
    <s v="PAOLPACA"/>
    <n v="31445278"/>
    <x v="47"/>
    <n v="11369672"/>
    <n v="396000"/>
    <n v="1032336"/>
    <n v="9941336"/>
    <n v="10800000"/>
    <n v="0.92049407407407402"/>
    <x v="1"/>
    <n v="25"/>
    <x v="14"/>
    <s v="Occidente"/>
    <s v="Cumple"/>
    <n v="15"/>
    <n v="1753415"/>
    <n v="82"/>
    <n v="7238069"/>
    <n v="12"/>
    <n v="1032336"/>
    <n v="1345852"/>
    <s v="NO"/>
  </r>
  <r>
    <n v="5"/>
    <x v="28"/>
    <n v="2018"/>
    <s v="Mayo"/>
    <s v="TATIRITR"/>
    <n v="1130597373"/>
    <x v="60"/>
    <n v="22294806"/>
    <n v="0"/>
    <n v="798099"/>
    <n v="21496707"/>
    <n v="30000000"/>
    <n v="0.71655690000000005"/>
    <x v="1"/>
    <n v="25"/>
    <x v="16"/>
    <s v="Occidente"/>
    <s v="Fluctúa"/>
    <n v="42"/>
    <n v="5199347"/>
    <n v="146"/>
    <n v="15197199"/>
    <n v="9"/>
    <n v="798099"/>
    <n v="1100161"/>
    <s v="NO"/>
  </r>
  <r>
    <n v="5"/>
    <x v="28"/>
    <n v="2018"/>
    <s v="Mayo"/>
    <s v="ANAUROCA"/>
    <m/>
    <x v="7"/>
    <n v="98000"/>
    <n v="0"/>
    <n v="98000"/>
    <n v="0"/>
    <m/>
    <m/>
    <x v="0"/>
    <n v="25"/>
    <x v="0"/>
    <s v=""/>
    <s v="No Aplica"/>
    <n v="0"/>
    <n v="0"/>
    <n v="0"/>
    <n v="0"/>
    <n v="0"/>
    <n v="0"/>
    <n v="98000"/>
    <m/>
  </r>
  <r>
    <n v="5"/>
    <x v="28"/>
    <n v="2018"/>
    <s v="Mayo"/>
    <s v="ANGIANPI"/>
    <m/>
    <x v="7"/>
    <n v="94800"/>
    <n v="0"/>
    <n v="94800"/>
    <n v="0"/>
    <m/>
    <m/>
    <x v="0"/>
    <n v="25"/>
    <x v="0"/>
    <s v=""/>
    <s v="No Aplica"/>
    <n v="0"/>
    <n v="0"/>
    <n v="0"/>
    <n v="0"/>
    <n v="0"/>
    <n v="0"/>
    <n v="94800"/>
    <m/>
  </r>
  <r>
    <n v="5"/>
    <x v="28"/>
    <n v="2018"/>
    <s v="Mayo"/>
    <s v="CAROVABE"/>
    <m/>
    <x v="7"/>
    <n v="440000"/>
    <n v="0"/>
    <n v="0"/>
    <n v="440000"/>
    <m/>
    <m/>
    <x v="0"/>
    <n v="25"/>
    <x v="0"/>
    <s v=""/>
    <s v="No Aplica"/>
    <n v="0"/>
    <n v="0"/>
    <n v="0"/>
    <n v="0"/>
    <n v="0"/>
    <n v="0"/>
    <n v="440000"/>
    <m/>
  </r>
  <r>
    <n v="5"/>
    <x v="28"/>
    <n v="2018"/>
    <s v="Mayo"/>
    <s v="DARWHERI"/>
    <m/>
    <x v="7"/>
    <n v="138849"/>
    <n v="0"/>
    <n v="138849"/>
    <n v="0"/>
    <m/>
    <m/>
    <x v="0"/>
    <n v="25"/>
    <x v="0"/>
    <s v=""/>
    <s v="No Aplica"/>
    <n v="0"/>
    <n v="0"/>
    <n v="0"/>
    <n v="0"/>
    <n v="3"/>
    <n v="138849"/>
    <n v="0"/>
    <m/>
  </r>
  <r>
    <n v="5"/>
    <x v="28"/>
    <n v="2018"/>
    <s v="Mayo"/>
    <s v="EMMAARMA"/>
    <m/>
    <x v="7"/>
    <n v="312800"/>
    <n v="0"/>
    <n v="312800"/>
    <n v="0"/>
    <m/>
    <m/>
    <x v="0"/>
    <n v="25"/>
    <x v="0"/>
    <s v=""/>
    <s v="No Aplica"/>
    <n v="0"/>
    <n v="0"/>
    <n v="0"/>
    <n v="0"/>
    <n v="0"/>
    <n v="0"/>
    <n v="312800"/>
    <m/>
  </r>
  <r>
    <n v="5"/>
    <x v="28"/>
    <n v="2018"/>
    <s v="Mayo"/>
    <s v="ELIZGORE"/>
    <m/>
    <x v="7"/>
    <n v="3330792"/>
    <n v="0"/>
    <n v="3330792"/>
    <n v="0"/>
    <m/>
    <m/>
    <x v="0"/>
    <n v="25"/>
    <x v="0"/>
    <s v=""/>
    <s v="No Aplica"/>
    <n v="0"/>
    <n v="0"/>
    <n v="0"/>
    <n v="0"/>
    <n v="32"/>
    <n v="3330792"/>
    <n v="0"/>
    <m/>
  </r>
  <r>
    <n v="5"/>
    <x v="28"/>
    <n v="2018"/>
    <s v="Mayo"/>
    <s v="HEIDVAVI"/>
    <m/>
    <x v="7"/>
    <n v="6720995"/>
    <n v="0"/>
    <n v="0"/>
    <n v="6720995"/>
    <m/>
    <m/>
    <x v="0"/>
    <n v="25"/>
    <x v="0"/>
    <s v=""/>
    <s v="No Aplica"/>
    <n v="14"/>
    <n v="1340572"/>
    <n v="58"/>
    <n v="4530889"/>
    <n v="0"/>
    <n v="0"/>
    <n v="849534"/>
    <m/>
  </r>
  <r>
    <n v="5"/>
    <x v="28"/>
    <n v="2018"/>
    <s v="Mayo"/>
    <s v="(en blanco)"/>
    <m/>
    <x v="7"/>
    <n v="-95388"/>
    <n v="0"/>
    <n v="0"/>
    <n v="-95388"/>
    <m/>
    <m/>
    <x v="0"/>
    <n v="25"/>
    <x v="0"/>
    <s v=""/>
    <s v="No Aplica"/>
    <n v="0"/>
    <n v="0"/>
    <n v="0"/>
    <n v="0"/>
    <n v="0"/>
    <n v="0"/>
    <n v="-95388"/>
    <m/>
  </r>
  <r>
    <n v="6"/>
    <x v="29"/>
    <n v="2018"/>
    <s v="Junio"/>
    <s v="DERLARMO"/>
    <n v="52725011"/>
    <x v="10"/>
    <n v="33216868"/>
    <n v="1856000"/>
    <n v="5864049"/>
    <n v="25496819"/>
    <n v="25000008"/>
    <n v="1.0198724336408211"/>
    <x v="1"/>
    <n v="24"/>
    <x v="6"/>
    <s v="Centro"/>
    <s v="Fluctúa"/>
    <n v="83"/>
    <n v="5428657"/>
    <n v="210"/>
    <n v="18372276"/>
    <n v="77"/>
    <n v="5864049"/>
    <n v="3551886"/>
    <s v="NO"/>
  </r>
  <r>
    <n v="6"/>
    <x v="29"/>
    <n v="2018"/>
    <s v="Junio"/>
    <s v="LOREBECR"/>
    <n v="1010207310"/>
    <x v="68"/>
    <n v="23524142"/>
    <n v="528000"/>
    <n v="5646408"/>
    <n v="17349734"/>
    <n v="25000008"/>
    <n v="0.69398913792347583"/>
    <x v="1"/>
    <n v="24"/>
    <x v="6"/>
    <s v="Centro"/>
    <s v="Cumple"/>
    <n v="50"/>
    <n v="4041717"/>
    <n v="144"/>
    <n v="11927267"/>
    <n v="84"/>
    <n v="5646408"/>
    <n v="1908750"/>
    <s v="NO"/>
  </r>
  <r>
    <n v="6"/>
    <x v="29"/>
    <n v="2018"/>
    <s v="Junio"/>
    <s v="RAULMOGA"/>
    <n v="79701425"/>
    <x v="27"/>
    <n v="31991642"/>
    <n v="142000"/>
    <n v="6528939"/>
    <n v="25320703"/>
    <n v="25000008"/>
    <n v="1.0128277958951053"/>
    <x v="0"/>
    <n v="24"/>
    <x v="6"/>
    <s v="Centro"/>
    <s v="No Aplica"/>
    <n v="76"/>
    <n v="5970359"/>
    <n v="209"/>
    <n v="16999950"/>
    <n v="91"/>
    <n v="6370339"/>
    <n v="2650994"/>
    <m/>
  </r>
  <r>
    <n v="6"/>
    <x v="29"/>
    <n v="2018"/>
    <s v="Junio"/>
    <s v="MARGGAPA"/>
    <n v="43866877"/>
    <x v="20"/>
    <n v="93951741"/>
    <n v="912600"/>
    <n v="14341244"/>
    <n v="78697897"/>
    <n v="43333328"/>
    <n v="1.8161055389052971"/>
    <x v="1"/>
    <n v="24"/>
    <x v="5"/>
    <s v="Antioquia"/>
    <s v="Siempre Cumple"/>
    <n v="176"/>
    <n v="29315678"/>
    <n v="316"/>
    <n v="42543878"/>
    <n v="160"/>
    <n v="13699644"/>
    <n v="8392541"/>
    <s v="NO"/>
  </r>
  <r>
    <n v="6"/>
    <x v="29"/>
    <n v="2018"/>
    <s v="Junio"/>
    <s v="NATAVAMO"/>
    <n v="32183069"/>
    <x v="63"/>
    <n v="56055725"/>
    <n v="145800"/>
    <n v="7394095"/>
    <n v="48515830"/>
    <n v="41541661"/>
    <n v="1.167883730022254"/>
    <x v="1"/>
    <n v="24"/>
    <x v="1"/>
    <s v="Antioquia"/>
    <s v="No Cumple"/>
    <n v="121"/>
    <n v="15944110"/>
    <n v="246"/>
    <n v="27765087"/>
    <n v="87"/>
    <n v="7394095"/>
    <n v="4952433"/>
    <s v="NO"/>
  </r>
  <r>
    <n v="6"/>
    <x v="29"/>
    <n v="2018"/>
    <s v="Junio"/>
    <s v="PAULGOBA"/>
    <n v="32256379"/>
    <x v="36"/>
    <n v="73524529"/>
    <n v="0"/>
    <n v="7638270"/>
    <n v="65886259"/>
    <n v="43999992"/>
    <n v="1.4974152495300455"/>
    <x v="1"/>
    <n v="24"/>
    <x v="13"/>
    <s v="Antioquia"/>
    <s v="Fluctúa"/>
    <n v="102"/>
    <n v="11454196"/>
    <n v="190"/>
    <n v="14398855"/>
    <n v="100"/>
    <n v="7638270"/>
    <n v="40033208"/>
    <s v="NO"/>
  </r>
  <r>
    <n v="6"/>
    <x v="29"/>
    <n v="2018"/>
    <s v="Junio"/>
    <s v="DIANPAAL"/>
    <n v="1040030764"/>
    <x v="11"/>
    <n v="48063192"/>
    <n v="3157200"/>
    <n v="9328740"/>
    <n v="35577252"/>
    <n v="34999992"/>
    <n v="1.0164931466270049"/>
    <x v="1"/>
    <n v="24"/>
    <x v="7"/>
    <s v="Antioquia"/>
    <s v="Cumple"/>
    <n v="80"/>
    <n v="7637997"/>
    <n v="202"/>
    <n v="25022671"/>
    <n v="102"/>
    <n v="9328740"/>
    <n v="6073784"/>
    <s v="NO"/>
  </r>
  <r>
    <n v="6"/>
    <x v="29"/>
    <n v="2018"/>
    <s v="Junio"/>
    <s v="JAQUVEGU"/>
    <n v="1036779770"/>
    <x v="16"/>
    <n v="39435323"/>
    <n v="1498000"/>
    <n v="8198661"/>
    <n v="29738662"/>
    <n v="27708327"/>
    <n v="1.0732752648689328"/>
    <x v="0"/>
    <n v="24"/>
    <x v="7"/>
    <s v="Antioquia"/>
    <s v="No Aplica"/>
    <n v="84"/>
    <n v="8238140"/>
    <n v="190"/>
    <n v="18740305"/>
    <n v="89"/>
    <n v="8198661"/>
    <n v="4258217"/>
    <m/>
  </r>
  <r>
    <n v="6"/>
    <x v="29"/>
    <n v="2018"/>
    <s v="Junio"/>
    <s v="MARIOCOC"/>
    <n v="39448823"/>
    <x v="21"/>
    <n v="46208776"/>
    <n v="383100"/>
    <n v="8298097"/>
    <n v="37527579"/>
    <n v="34999992"/>
    <n v="1.0722167879352658"/>
    <x v="1"/>
    <n v="24"/>
    <x v="7"/>
    <s v="Antioquia"/>
    <s v="Siempre Cumple"/>
    <n v="82"/>
    <n v="7783424"/>
    <n v="204"/>
    <n v="24838266"/>
    <n v="91"/>
    <n v="8298097"/>
    <n v="5288989"/>
    <s v="NO"/>
  </r>
  <r>
    <n v="6"/>
    <x v="29"/>
    <n v="2018"/>
    <s v="Junio"/>
    <s v="ALEXLOGR"/>
    <n v="43253531"/>
    <x v="2"/>
    <n v="51021069"/>
    <n v="1250400"/>
    <n v="11977239"/>
    <n v="37793430"/>
    <n v="34999992"/>
    <n v="1.0798125325285788"/>
    <x v="1"/>
    <n v="24"/>
    <x v="2"/>
    <s v="Antioquia"/>
    <s v="Cumple"/>
    <n v="88"/>
    <n v="7614101"/>
    <n v="196"/>
    <n v="25874675"/>
    <n v="119"/>
    <n v="11977239"/>
    <n v="5555054"/>
    <s v="NO"/>
  </r>
  <r>
    <n v="6"/>
    <x v="29"/>
    <n v="2018"/>
    <s v="Junio"/>
    <s v="YULIRIRE"/>
    <n v="21982241"/>
    <x v="57"/>
    <n v="32354943"/>
    <n v="0"/>
    <n v="8133949"/>
    <n v="24220994"/>
    <n v="34999992"/>
    <n v="0.69202855817795617"/>
    <x v="1"/>
    <n v="24"/>
    <x v="2"/>
    <s v="Antioquia"/>
    <s v="Fluctúa"/>
    <n v="50"/>
    <n v="3698871"/>
    <n v="136"/>
    <n v="17387590"/>
    <n v="83"/>
    <n v="8133949"/>
    <n v="3134533"/>
    <s v="NO"/>
  </r>
  <r>
    <n v="6"/>
    <x v="29"/>
    <n v="2018"/>
    <s v="Junio"/>
    <s v="ADRIMOLU"/>
    <n v="43169964"/>
    <x v="1"/>
    <n v="73455213"/>
    <n v="2352380"/>
    <n v="15918064"/>
    <n v="55184769"/>
    <n v="43999992"/>
    <n v="1.2541995234908225"/>
    <x v="1"/>
    <n v="24"/>
    <x v="1"/>
    <s v="Antioquia"/>
    <s v="Cumple"/>
    <n v="122"/>
    <n v="12269886"/>
    <n v="309"/>
    <n v="34898555"/>
    <n v="162"/>
    <n v="15918064"/>
    <n v="10368708"/>
    <s v="NO"/>
  </r>
  <r>
    <n v="6"/>
    <x v="29"/>
    <n v="2018"/>
    <s v="Junio"/>
    <s v="LEIDCAOR"/>
    <n v="1020399898"/>
    <x v="71"/>
    <n v="5750412"/>
    <n v="162000"/>
    <n v="1062363"/>
    <n v="4526049"/>
    <n v="31166661"/>
    <n v="0.14522084993320267"/>
    <x v="1"/>
    <n v="24"/>
    <x v="10"/>
    <s v="Antioquia"/>
    <s v="Fluctúa"/>
    <n v="14"/>
    <n v="1283644"/>
    <n v="34"/>
    <n v="2677801"/>
    <n v="15"/>
    <n v="1062363"/>
    <n v="726604"/>
    <s v="NO"/>
  </r>
  <r>
    <n v="6"/>
    <x v="29"/>
    <n v="2018"/>
    <s v="Junio"/>
    <s v="LILACARA"/>
    <n v="1017141451"/>
    <x v="17"/>
    <n v="59100041"/>
    <n v="1232000"/>
    <n v="12715961"/>
    <n v="45152080"/>
    <n v="43999992"/>
    <n v="1.0261838229425133"/>
    <x v="1"/>
    <n v="24"/>
    <x v="1"/>
    <s v="Antioquia"/>
    <s v="Siempre Cumple"/>
    <n v="102"/>
    <n v="11741116"/>
    <n v="258"/>
    <n v="28813392"/>
    <n v="139"/>
    <n v="12715961"/>
    <n v="5829572"/>
    <s v="NO"/>
  </r>
  <r>
    <n v="6"/>
    <x v="29"/>
    <n v="2018"/>
    <s v="Junio"/>
    <s v="SUANHECO"/>
    <n v="1020409789"/>
    <x v="58"/>
    <n v="70398823"/>
    <n v="440000"/>
    <n v="14830300"/>
    <n v="55128523"/>
    <n v="43999992"/>
    <n v="1.2529212050765828"/>
    <x v="1"/>
    <n v="24"/>
    <x v="1"/>
    <s v="Antioquia"/>
    <s v="Cumple"/>
    <n v="110"/>
    <n v="12909378"/>
    <n v="294"/>
    <n v="35982724"/>
    <n v="158"/>
    <n v="14830300"/>
    <n v="6676421"/>
    <s v="NO"/>
  </r>
  <r>
    <n v="6"/>
    <x v="29"/>
    <n v="2018"/>
    <s v="Junio"/>
    <s v="ZULYARGA"/>
    <n v="43259130"/>
    <x v="31"/>
    <n v="66243539"/>
    <n v="910200"/>
    <n v="12188446"/>
    <n v="53144893"/>
    <n v="43999992"/>
    <n v="1.207838696879763"/>
    <x v="1"/>
    <n v="24"/>
    <x v="1"/>
    <s v="Antioquia"/>
    <s v="Fluctúa"/>
    <n v="97"/>
    <n v="10198131"/>
    <n v="286"/>
    <n v="35378461"/>
    <n v="122"/>
    <n v="12188446"/>
    <n v="8478501"/>
    <s v="NO"/>
  </r>
  <r>
    <n v="6"/>
    <x v="29"/>
    <n v="2018"/>
    <s v="Junio"/>
    <s v="BIBIBECA"/>
    <n v="43971430"/>
    <x v="6"/>
    <n v="61004406"/>
    <n v="324000"/>
    <n v="16888310"/>
    <n v="43792096"/>
    <n v="42000000"/>
    <n v="1.0426689523809525"/>
    <x v="1"/>
    <n v="24"/>
    <x v="5"/>
    <s v="Antioquia"/>
    <s v="Siempre Cumple"/>
    <n v="122"/>
    <n v="10391028"/>
    <n v="314"/>
    <n v="27679691"/>
    <n v="176"/>
    <n v="16888310"/>
    <n v="6045377"/>
    <s v="NO"/>
  </r>
  <r>
    <n v="6"/>
    <x v="29"/>
    <n v="2018"/>
    <s v="Junio"/>
    <s v="CINDGACU"/>
    <n v="1020443426"/>
    <x v="55"/>
    <n v="55940559"/>
    <n v="1790000"/>
    <n v="11441032"/>
    <n v="42709527"/>
    <n v="42000000"/>
    <n v="1.0168934999999999"/>
    <x v="1"/>
    <n v="24"/>
    <x v="4"/>
    <s v="Antioquia"/>
    <s v="Fluctúa"/>
    <n v="95"/>
    <n v="8534625"/>
    <n v="279"/>
    <n v="28176989"/>
    <n v="118"/>
    <n v="11441032"/>
    <n v="7787913"/>
    <s v="NO"/>
  </r>
  <r>
    <n v="6"/>
    <x v="29"/>
    <n v="2018"/>
    <s v="Junio"/>
    <s v="CLAUBLAR"/>
    <n v="43554403"/>
    <x v="8"/>
    <n v="55504913"/>
    <n v="702000"/>
    <n v="10386459"/>
    <n v="44416454"/>
    <n v="42000000"/>
    <n v="1.0575346190476191"/>
    <x v="1"/>
    <n v="24"/>
    <x v="5"/>
    <s v="Antioquia"/>
    <s v="Siempre Cumple"/>
    <n v="92"/>
    <n v="9636178"/>
    <n v="228"/>
    <n v="28926721"/>
    <n v="107"/>
    <n v="10386459"/>
    <n v="6555555"/>
    <s v="NO"/>
  </r>
  <r>
    <n v="6"/>
    <x v="29"/>
    <n v="2018"/>
    <s v="Junio"/>
    <s v="HERIRORO"/>
    <n v="21428423"/>
    <x v="52"/>
    <n v="26746114"/>
    <n v="639000"/>
    <n v="7140106"/>
    <n v="18967008"/>
    <n v="31500000"/>
    <n v="0.60212723809523805"/>
    <x v="1"/>
    <n v="24"/>
    <x v="5"/>
    <s v="Antioquia"/>
    <s v="Fluctúa"/>
    <n v="52"/>
    <n v="4125397"/>
    <n v="130"/>
    <n v="12928544"/>
    <n v="68"/>
    <n v="7140106"/>
    <n v="2552067"/>
    <s v="Regreso Vacaciones"/>
  </r>
  <r>
    <n v="6"/>
    <x v="29"/>
    <n v="2018"/>
    <s v="Junio"/>
    <s v="NOREARMA"/>
    <n v="39275090"/>
    <x v="66"/>
    <n v="61571269"/>
    <n v="440000"/>
    <n v="12182367"/>
    <n v="48948902"/>
    <n v="42999996"/>
    <n v="1.1383466640322477"/>
    <x v="1"/>
    <n v="24"/>
    <x v="4"/>
    <s v="Antioquia"/>
    <s v="Siempre Cumple"/>
    <n v="92"/>
    <n v="9925612"/>
    <n v="216"/>
    <n v="33946944"/>
    <n v="119"/>
    <n v="12084367"/>
    <n v="5614346"/>
    <s v="NO"/>
  </r>
  <r>
    <n v="6"/>
    <x v="29"/>
    <n v="2018"/>
    <s v="Junio"/>
    <s v="YENISIGI"/>
    <n v="1035913369"/>
    <x v="64"/>
    <n v="54151760"/>
    <n v="1338600"/>
    <n v="10240837"/>
    <n v="42572323"/>
    <n v="42000000"/>
    <n v="1.0136267380952382"/>
    <x v="1"/>
    <n v="24"/>
    <x v="5"/>
    <s v="Antioquia"/>
    <s v="Fluctúa"/>
    <n v="99"/>
    <n v="9426716"/>
    <n v="266"/>
    <n v="26944206"/>
    <n v="111"/>
    <n v="10240837"/>
    <n v="7540001"/>
    <s v="NO"/>
  </r>
  <r>
    <n v="6"/>
    <x v="29"/>
    <n v="2018"/>
    <s v="Junio"/>
    <s v="NATAPIDU"/>
    <n v="43907427"/>
    <x v="25"/>
    <n v="63072591"/>
    <n v="429300"/>
    <n v="6277098"/>
    <n v="56366193"/>
    <n v="40000008"/>
    <n v="1.4091545431690913"/>
    <x v="1"/>
    <n v="24"/>
    <x v="11"/>
    <s v="Antioquia"/>
    <s v="Siempre Cumple"/>
    <n v="62"/>
    <n v="12071245"/>
    <n v="183"/>
    <n v="39041938"/>
    <n v="70"/>
    <n v="6277098"/>
    <n v="5682310"/>
    <s v="NO"/>
  </r>
  <r>
    <n v="6"/>
    <x v="29"/>
    <n v="2018"/>
    <s v="Junio"/>
    <s v="ALVAOSOS"/>
    <n v="3438422"/>
    <x v="37"/>
    <n v="58694433"/>
    <n v="2254500"/>
    <n v="10791944"/>
    <n v="45647989"/>
    <n v="43999992"/>
    <n v="1.0374544840826334"/>
    <x v="1"/>
    <n v="24"/>
    <x v="8"/>
    <s v="Antioquia"/>
    <s v="Fluctúa"/>
    <n v="84"/>
    <n v="10004279"/>
    <n v="206"/>
    <n v="28538534"/>
    <n v="114"/>
    <n v="10791944"/>
    <n v="9359676"/>
    <s v="NO"/>
  </r>
  <r>
    <n v="6"/>
    <x v="29"/>
    <n v="2018"/>
    <s v="Junio"/>
    <s v="CARORAMN"/>
    <n v="1020451288"/>
    <x v="61"/>
    <n v="29936982"/>
    <n v="1244310"/>
    <n v="8526449"/>
    <n v="20166223"/>
    <n v="43999992"/>
    <n v="0.45832333333151515"/>
    <x v="1"/>
    <n v="24"/>
    <x v="8"/>
    <s v="Antioquia"/>
    <s v="Cumple"/>
    <n v="49"/>
    <n v="5430639"/>
    <n v="108"/>
    <n v="11930211"/>
    <n v="91"/>
    <n v="8526449"/>
    <n v="4049683"/>
    <s v="NO"/>
  </r>
  <r>
    <n v="6"/>
    <x v="29"/>
    <n v="2018"/>
    <s v="Junio"/>
    <s v="DEISCACR"/>
    <n v="1017167720"/>
    <x v="50"/>
    <n v="56043906"/>
    <n v="858400"/>
    <n v="9061865"/>
    <n v="46123641"/>
    <n v="43999992"/>
    <n v="1.0482647587754106"/>
    <x v="1"/>
    <n v="24"/>
    <x v="8"/>
    <s v="Antioquia"/>
    <s v="Cumple"/>
    <n v="91"/>
    <n v="10885911"/>
    <n v="200"/>
    <n v="25410079"/>
    <n v="99"/>
    <n v="9061865"/>
    <n v="10686051"/>
    <s v="NO"/>
  </r>
  <r>
    <n v="6"/>
    <x v="29"/>
    <n v="2018"/>
    <s v="Junio"/>
    <s v="GENNHEPO"/>
    <n v="43874518"/>
    <x v="14"/>
    <n v="39814638"/>
    <n v="1090200"/>
    <n v="6866584"/>
    <n v="31857854"/>
    <n v="21999996"/>
    <n v="1.4480845360153702"/>
    <x v="1"/>
    <n v="24"/>
    <x v="8"/>
    <s v="Antioquia"/>
    <s v="Fluctúa"/>
    <n v="62"/>
    <n v="6934672"/>
    <n v="166"/>
    <n v="18606372"/>
    <n v="76"/>
    <n v="6866584"/>
    <n v="7407010"/>
    <s v="Inicio Vacaciones"/>
  </r>
  <r>
    <n v="6"/>
    <x v="29"/>
    <n v="2018"/>
    <s v="Junio"/>
    <s v="LEIDGOVI"/>
    <n v="1036598360"/>
    <x v="39"/>
    <n v="58108152"/>
    <n v="827100"/>
    <n v="9486991"/>
    <n v="47794061"/>
    <n v="43999992"/>
    <n v="1.0862288565870648"/>
    <x v="1"/>
    <n v="24"/>
    <x v="8"/>
    <s v="Antioquia"/>
    <s v="Fluctúa"/>
    <n v="92"/>
    <n v="10965723"/>
    <n v="244"/>
    <n v="31354972"/>
    <n v="97"/>
    <n v="9486991"/>
    <n v="6300466"/>
    <s v="NO"/>
  </r>
  <r>
    <n v="6"/>
    <x v="29"/>
    <n v="2018"/>
    <s v="Junio"/>
    <s v="YENYSUPE"/>
    <n v="1020419011"/>
    <x v="51"/>
    <n v="31321038"/>
    <n v="1370400"/>
    <n v="11118747"/>
    <n v="18831891"/>
    <n v="43999992"/>
    <n v="0.42799760054501829"/>
    <x v="1"/>
    <n v="24"/>
    <x v="8"/>
    <s v="Antioquia"/>
    <s v="Cumple"/>
    <n v="43"/>
    <n v="3881608"/>
    <n v="112"/>
    <n v="9727956"/>
    <n v="119"/>
    <n v="11118747"/>
    <n v="6592727"/>
    <s v="NO"/>
  </r>
  <r>
    <n v="6"/>
    <x v="29"/>
    <n v="2018"/>
    <s v="Junio"/>
    <s v="YURAUSVE"/>
    <n v="1020419615"/>
    <x v="56"/>
    <n v="64133490"/>
    <n v="790000"/>
    <n v="11856226"/>
    <n v="51487264"/>
    <n v="43999992"/>
    <n v="1.1701653036664188"/>
    <x v="1"/>
    <n v="24"/>
    <x v="8"/>
    <s v="Antioquia"/>
    <s v="Cumple"/>
    <n v="109"/>
    <n v="11871564"/>
    <n v="271"/>
    <n v="30814793"/>
    <n v="120"/>
    <n v="11856226"/>
    <n v="9590907"/>
    <s v="NO"/>
  </r>
  <r>
    <n v="6"/>
    <x v="29"/>
    <n v="2018"/>
    <s v="Junio"/>
    <s v="ANAMLOBE"/>
    <n v="43821410"/>
    <x v="3"/>
    <n v="79445947"/>
    <n v="648000"/>
    <n v="13350375"/>
    <n v="65447572"/>
    <n v="43999992"/>
    <n v="1.4874450886263797"/>
    <x v="1"/>
    <n v="24"/>
    <x v="3"/>
    <s v="Antioquia"/>
    <s v="Siempre Cumple"/>
    <n v="117"/>
    <n v="16822712"/>
    <n v="248"/>
    <n v="41384809"/>
    <n v="131"/>
    <n v="13350375"/>
    <n v="7888051"/>
    <s v="NO"/>
  </r>
  <r>
    <n v="6"/>
    <x v="29"/>
    <n v="2018"/>
    <s v="Junio"/>
    <s v="DIANQUME"/>
    <n v="42164020"/>
    <x v="12"/>
    <n v="34323139"/>
    <n v="1139100"/>
    <n v="5211348"/>
    <n v="27972691"/>
    <n v="12833331"/>
    <n v="2.1796906040995903"/>
    <x v="1"/>
    <n v="24"/>
    <x v="1"/>
    <s v="Antioquia"/>
    <s v="Siempre Cumple"/>
    <n v="46"/>
    <n v="5172518"/>
    <n v="121"/>
    <n v="18902652"/>
    <n v="54"/>
    <n v="5211348"/>
    <n v="5036621"/>
    <m/>
  </r>
  <r>
    <n v="6"/>
    <x v="29"/>
    <n v="2018"/>
    <s v="Junio"/>
    <s v="ELIZVESU"/>
    <n v="1035417626"/>
    <x v="13"/>
    <n v="63538198"/>
    <n v="1126980"/>
    <n v="10586154"/>
    <n v="51825064"/>
    <n v="43999992"/>
    <n v="1.1778425777895596"/>
    <x v="1"/>
    <n v="24"/>
    <x v="3"/>
    <s v="Antioquia"/>
    <s v="Cumple"/>
    <n v="101"/>
    <n v="13438377"/>
    <n v="232"/>
    <n v="31326233"/>
    <n v="108"/>
    <n v="10586154"/>
    <n v="8187434"/>
    <s v="NO"/>
  </r>
  <r>
    <n v="6"/>
    <x v="29"/>
    <n v="2018"/>
    <s v="Junio"/>
    <s v="VIVIVAZA"/>
    <n v="43745952"/>
    <x v="30"/>
    <n v="82152793"/>
    <n v="792000"/>
    <n v="15857784"/>
    <n v="65503009"/>
    <n v="43999992"/>
    <n v="1.4887050206736401"/>
    <x v="1"/>
    <n v="24"/>
    <x v="3"/>
    <s v="Antioquia"/>
    <s v="Siempre Cumple"/>
    <n v="128"/>
    <n v="15148716"/>
    <n v="292"/>
    <n v="40814686"/>
    <n v="166"/>
    <n v="15857784"/>
    <n v="10331607"/>
    <s v="NO"/>
  </r>
  <r>
    <n v="6"/>
    <x v="29"/>
    <n v="2018"/>
    <s v="Junio"/>
    <s v="ANGEGAAR"/>
    <n v="39442617"/>
    <x v="4"/>
    <n v="28213946"/>
    <n v="0"/>
    <n v="5899609"/>
    <n v="22314337"/>
    <n v="16500000"/>
    <n v="1.3523840606060606"/>
    <x v="1"/>
    <n v="24"/>
    <x v="4"/>
    <s v="Antioquia"/>
    <s v="Cumple"/>
    <n v="43"/>
    <n v="5378389"/>
    <n v="104"/>
    <n v="13418245"/>
    <n v="61"/>
    <n v="5899609"/>
    <n v="3517703"/>
    <s v="NO"/>
  </r>
  <r>
    <n v="6"/>
    <x v="29"/>
    <n v="2018"/>
    <s v="Junio"/>
    <s v="ERIKSAVA"/>
    <n v="1017200970"/>
    <x v="44"/>
    <n v="26830618"/>
    <n v="220000"/>
    <n v="5124991"/>
    <n v="21485627"/>
    <n v="18000000"/>
    <n v="1.1936459444444445"/>
    <x v="1"/>
    <n v="24"/>
    <x v="4"/>
    <s v="Antioquia"/>
    <s v="Cumple"/>
    <n v="42"/>
    <n v="5135785"/>
    <n v="94"/>
    <n v="14114114"/>
    <n v="51"/>
    <n v="5124991"/>
    <n v="2455728"/>
    <s v="NO"/>
  </r>
  <r>
    <n v="6"/>
    <x v="29"/>
    <n v="2018"/>
    <s v="Junio"/>
    <s v="HISNOSPI"/>
    <n v="43114534"/>
    <x v="49"/>
    <n v="38518756"/>
    <n v="0"/>
    <n v="959863"/>
    <n v="37558893"/>
    <n v="36000000"/>
    <n v="1.0433025833333334"/>
    <x v="0"/>
    <n v="24"/>
    <x v="4"/>
    <s v="Antioquia"/>
    <s v="No Aplica"/>
    <n v="77"/>
    <n v="7512944"/>
    <n v="214"/>
    <n v="25439310"/>
    <n v="9"/>
    <n v="959863"/>
    <n v="4606639"/>
    <m/>
  </r>
  <r>
    <n v="6"/>
    <x v="29"/>
    <n v="2018"/>
    <s v="Junio"/>
    <s v="LEIDPAPA"/>
    <n v="1020425089"/>
    <x v="72"/>
    <n v="28915864"/>
    <n v="324000"/>
    <n v="7588486"/>
    <n v="21003378"/>
    <n v="36000000"/>
    <n v="0.58342716666666672"/>
    <x v="1"/>
    <n v="24"/>
    <x v="8"/>
    <s v="Antioquia"/>
    <s v="Cumple"/>
    <n v="47"/>
    <n v="5136769"/>
    <n v="110"/>
    <n v="11699283"/>
    <n v="76"/>
    <n v="7588486"/>
    <n v="4491326"/>
    <s v="NO"/>
  </r>
  <r>
    <n v="6"/>
    <x v="29"/>
    <n v="2018"/>
    <s v="Junio"/>
    <s v="MARIMASA"/>
    <n v="43113640"/>
    <x v="34"/>
    <n v="60693158"/>
    <n v="882200"/>
    <n v="19626904"/>
    <n v="40184054"/>
    <n v="36000000"/>
    <n v="1.1162237222222222"/>
    <x v="1"/>
    <n v="24"/>
    <x v="4"/>
    <s v="Antioquia"/>
    <s v="Cumple"/>
    <n v="86"/>
    <n v="9603237"/>
    <n v="199"/>
    <n v="26267178"/>
    <n v="202"/>
    <n v="19626904"/>
    <n v="5195839"/>
    <s v="NO"/>
  </r>
  <r>
    <n v="6"/>
    <x v="29"/>
    <n v="2018"/>
    <s v="Junio"/>
    <s v="ANDRSAZA"/>
    <n v="1020736461"/>
    <x v="45"/>
    <n v="49736292"/>
    <n v="565200"/>
    <n v="8645545"/>
    <n v="40525547"/>
    <n v="28000008"/>
    <n v="1.4473405507598427"/>
    <x v="1"/>
    <n v="24"/>
    <x v="9"/>
    <s v="Centro"/>
    <s v="Siempre Cumple"/>
    <n v="74"/>
    <n v="7770518"/>
    <n v="207"/>
    <n v="29863578"/>
    <n v="107"/>
    <n v="8645545"/>
    <n v="3456651"/>
    <s v="NO"/>
  </r>
  <r>
    <n v="6"/>
    <x v="29"/>
    <n v="2018"/>
    <s v="Junio"/>
    <s v="CAMIPUHE"/>
    <n v="79850984"/>
    <x v="53"/>
    <n v="40740922"/>
    <n v="1484400"/>
    <n v="5933812"/>
    <n v="33322710"/>
    <n v="28000008"/>
    <n v="1.1900964456867298"/>
    <x v="1"/>
    <n v="24"/>
    <x v="15"/>
    <s v="Centro"/>
    <s v="Fluctúa"/>
    <n v="73"/>
    <n v="7459941"/>
    <n v="186"/>
    <n v="21681244"/>
    <n v="78"/>
    <n v="5933812"/>
    <n v="5665925"/>
    <s v="NO"/>
  </r>
  <r>
    <n v="6"/>
    <x v="29"/>
    <n v="2018"/>
    <s v="Junio"/>
    <s v="ISABMOGO"/>
    <n v="52260671"/>
    <x v="15"/>
    <n v="39185604"/>
    <n v="0"/>
    <n v="6520210"/>
    <n v="32665394"/>
    <n v="28000008"/>
    <n v="1.1666208809654626"/>
    <x v="1"/>
    <n v="24"/>
    <x v="9"/>
    <s v="Centro"/>
    <s v="Siempre Cumple"/>
    <n v="71"/>
    <n v="7406424"/>
    <n v="199"/>
    <n v="23527328"/>
    <n v="93"/>
    <n v="6520210"/>
    <n v="1731642"/>
    <s v="NO"/>
  </r>
  <r>
    <n v="6"/>
    <x v="29"/>
    <n v="2018"/>
    <s v="Junio"/>
    <s v="LUZNHEGO"/>
    <n v="43745192"/>
    <x v="19"/>
    <n v="30555086"/>
    <n v="475200"/>
    <n v="3543016"/>
    <n v="26536870"/>
    <n v="30000000"/>
    <n v="0.88456233333333334"/>
    <x v="1"/>
    <n v="24"/>
    <x v="10"/>
    <s v="Antioquia"/>
    <s v="Cumple"/>
    <n v="41"/>
    <n v="6408991"/>
    <n v="138"/>
    <n v="17984173"/>
    <n v="46"/>
    <n v="3543016"/>
    <n v="2618906"/>
    <s v="NO"/>
  </r>
  <r>
    <n v="6"/>
    <x v="29"/>
    <n v="2018"/>
    <s v="Junio"/>
    <s v="ROCIFASA"/>
    <n v="34542470"/>
    <x v="28"/>
    <n v="49072187"/>
    <n v="921240"/>
    <n v="7316771"/>
    <n v="40834176"/>
    <n v="34999992"/>
    <n v="1.1666910095293737"/>
    <x v="1"/>
    <n v="24"/>
    <x v="12"/>
    <s v="Occidente"/>
    <s v="Siempre Cumple"/>
    <n v="77"/>
    <n v="12103466"/>
    <n v="208"/>
    <n v="25556767"/>
    <n v="79"/>
    <n v="7316771"/>
    <n v="4095183"/>
    <s v="NO"/>
  </r>
  <r>
    <n v="6"/>
    <x v="29"/>
    <n v="2018"/>
    <s v="Junio"/>
    <s v="MONILOSA"/>
    <n v="1095794354"/>
    <x v="69"/>
    <n v="34033003"/>
    <n v="409590"/>
    <n v="3935746"/>
    <n v="29687667"/>
    <n v="26306832"/>
    <n v="1.1285154746113102"/>
    <x v="0"/>
    <n v="24"/>
    <x v="17"/>
    <s v="Occidente"/>
    <s v="No Aplica"/>
    <n v="66"/>
    <n v="5261628"/>
    <n v="138"/>
    <n v="14546588"/>
    <n v="50"/>
    <n v="3935746"/>
    <n v="10289041"/>
    <m/>
  </r>
  <r>
    <n v="6"/>
    <x v="29"/>
    <n v="2018"/>
    <s v="Junio"/>
    <s v="ANGISEBR"/>
    <n v="1144061613"/>
    <x v="70"/>
    <n v="45229294"/>
    <n v="112800"/>
    <n v="14625416"/>
    <n v="30491078"/>
    <n v="30000000"/>
    <n v="1.0163692666666666"/>
    <x v="1"/>
    <n v="24"/>
    <x v="14"/>
    <s v="Occidente"/>
    <s v="Fluctúa"/>
    <n v="76"/>
    <n v="7976255"/>
    <n v="202"/>
    <n v="20205415"/>
    <n v="176"/>
    <n v="14625416"/>
    <n v="2422208"/>
    <s v="NO"/>
  </r>
  <r>
    <n v="6"/>
    <x v="29"/>
    <n v="2018"/>
    <s v="Junio"/>
    <s v="HEIDVAVI"/>
    <n v="1130676531"/>
    <x v="73"/>
    <n v="29764812"/>
    <n v="0"/>
    <n v="14291838"/>
    <n v="15472974"/>
    <n v="30000000"/>
    <n v="0.51576580000000005"/>
    <x v="1"/>
    <n v="24"/>
    <x v="16"/>
    <s v="Occidente"/>
    <s v="No Cumple"/>
    <n v="30"/>
    <n v="3683714"/>
    <n v="116"/>
    <n v="10723952"/>
    <n v="142"/>
    <n v="14291838"/>
    <n v="1065308"/>
    <s v="NO"/>
  </r>
  <r>
    <n v="6"/>
    <x v="29"/>
    <n v="2018"/>
    <s v="Junio"/>
    <s v="MONIARGI"/>
    <n v="1151951440"/>
    <x v="67"/>
    <n v="39121039"/>
    <n v="0"/>
    <n v="16044156"/>
    <n v="23076883"/>
    <n v="30000000"/>
    <n v="0.76922943333333338"/>
    <x v="0"/>
    <n v="24"/>
    <x v="16"/>
    <s v="Occidente"/>
    <s v="No Aplica"/>
    <n v="53"/>
    <n v="5811497"/>
    <n v="174"/>
    <n v="15736016"/>
    <n v="164"/>
    <n v="16044156"/>
    <n v="1529370"/>
    <m/>
  </r>
  <r>
    <n v="6"/>
    <x v="29"/>
    <n v="2018"/>
    <s v="Junio"/>
    <s v="PAOLPACA"/>
    <n v="31445278"/>
    <x v="47"/>
    <n v="43634310"/>
    <n v="0"/>
    <n v="11817167"/>
    <n v="31817143"/>
    <n v="30000000"/>
    <n v="1.0605714333333334"/>
    <x v="1"/>
    <n v="24"/>
    <x v="14"/>
    <s v="Occidente"/>
    <s v="Cumple"/>
    <n v="62"/>
    <n v="6764719"/>
    <n v="186"/>
    <n v="21689121"/>
    <n v="121"/>
    <n v="11817167"/>
    <n v="3363303"/>
    <s v="NO"/>
  </r>
  <r>
    <n v="6"/>
    <x v="29"/>
    <n v="2018"/>
    <s v="Junio"/>
    <s v="TATIRITR"/>
    <n v="1130597373"/>
    <x v="60"/>
    <n v="32780935"/>
    <n v="0"/>
    <n v="11217749"/>
    <n v="21563186"/>
    <n v="30000000"/>
    <n v="0.71877286666666662"/>
    <x v="1"/>
    <n v="24"/>
    <x v="16"/>
    <s v="Occidente"/>
    <s v="Fluctúa"/>
    <n v="51"/>
    <n v="5248485"/>
    <n v="141"/>
    <n v="14590951"/>
    <n v="137"/>
    <n v="11217749"/>
    <n v="1723750"/>
    <s v="NO"/>
  </r>
  <r>
    <n v="6"/>
    <x v="29"/>
    <n v="2018"/>
    <s v="Junio"/>
    <s v="ANAKBEZA"/>
    <m/>
    <x v="7"/>
    <n v="195326"/>
    <n v="0"/>
    <n v="0"/>
    <n v="195326"/>
    <m/>
    <m/>
    <x v="0"/>
    <n v="24"/>
    <x v="0"/>
    <s v=""/>
    <s v="No Aplica"/>
    <n v="1"/>
    <n v="61429"/>
    <n v="2"/>
    <n v="133897"/>
    <n v="0"/>
    <n v="0"/>
    <n v="0"/>
    <m/>
  </r>
  <r>
    <n v="6"/>
    <x v="29"/>
    <n v="2018"/>
    <s v="Junio"/>
    <s v="CARORICA"/>
    <m/>
    <x v="7"/>
    <n v="148255"/>
    <n v="0"/>
    <n v="0"/>
    <n v="148255"/>
    <m/>
    <m/>
    <x v="0"/>
    <n v="24"/>
    <x v="0"/>
    <s v=""/>
    <s v="No Aplica"/>
    <n v="0"/>
    <n v="0"/>
    <n v="2"/>
    <n v="55255"/>
    <n v="0"/>
    <n v="0"/>
    <n v="93000"/>
    <m/>
  </r>
  <r>
    <n v="6"/>
    <x v="29"/>
    <n v="2018"/>
    <s v="Junio"/>
    <s v="DARWHERI"/>
    <m/>
    <x v="7"/>
    <n v="46283"/>
    <n v="0"/>
    <n v="46283"/>
    <n v="0"/>
    <m/>
    <m/>
    <x v="0"/>
    <n v="24"/>
    <x v="0"/>
    <s v=""/>
    <s v="No Aplica"/>
    <n v="0"/>
    <n v="0"/>
    <n v="0"/>
    <n v="0"/>
    <n v="1"/>
    <n v="46283"/>
    <n v="0"/>
    <m/>
  </r>
  <r>
    <n v="6"/>
    <x v="29"/>
    <n v="2018"/>
    <s v="Junio"/>
    <s v="DIANGUAV"/>
    <m/>
    <x v="7"/>
    <n v="57600"/>
    <n v="0"/>
    <n v="0"/>
    <n v="57600"/>
    <m/>
    <m/>
    <x v="0"/>
    <n v="24"/>
    <x v="0"/>
    <s v=""/>
    <s v="No Aplica"/>
    <n v="0"/>
    <n v="0"/>
    <n v="2"/>
    <n v="57600"/>
    <n v="0"/>
    <n v="0"/>
    <n v="0"/>
    <m/>
  </r>
  <r>
    <n v="6"/>
    <x v="29"/>
    <n v="2018"/>
    <s v="Junio"/>
    <s v="DIANPOPA"/>
    <m/>
    <x v="7"/>
    <n v="107575"/>
    <n v="0"/>
    <n v="0"/>
    <n v="107575"/>
    <m/>
    <m/>
    <x v="0"/>
    <n v="24"/>
    <x v="0"/>
    <s v=""/>
    <s v="No Aplica"/>
    <n v="1"/>
    <n v="66000"/>
    <n v="2"/>
    <n v="41575"/>
    <n v="0"/>
    <n v="0"/>
    <n v="0"/>
    <m/>
  </r>
  <r>
    <n v="6"/>
    <x v="29"/>
    <n v="2018"/>
    <s v="Junio"/>
    <s v="JENNLORA"/>
    <m/>
    <x v="7"/>
    <n v="109600"/>
    <n v="0"/>
    <n v="109600"/>
    <n v="0"/>
    <m/>
    <m/>
    <x v="0"/>
    <n v="24"/>
    <x v="0"/>
    <s v=""/>
    <s v="No Aplica"/>
    <n v="0"/>
    <n v="0"/>
    <n v="0"/>
    <n v="0"/>
    <n v="0"/>
    <n v="0"/>
    <n v="109600"/>
    <m/>
  </r>
  <r>
    <n v="6"/>
    <x v="29"/>
    <n v="2018"/>
    <s v="Junio"/>
    <s v="LEIDMARA"/>
    <m/>
    <x v="7"/>
    <n v="190600"/>
    <n v="0"/>
    <n v="190600"/>
    <n v="0"/>
    <m/>
    <m/>
    <x v="0"/>
    <n v="24"/>
    <x v="0"/>
    <s v=""/>
    <s v="No Aplica"/>
    <n v="0"/>
    <n v="0"/>
    <n v="0"/>
    <n v="0"/>
    <n v="0"/>
    <n v="0"/>
    <n v="190600"/>
    <m/>
  </r>
  <r>
    <n v="6"/>
    <x v="29"/>
    <n v="2018"/>
    <s v="Junio"/>
    <s v="MARIREAR"/>
    <m/>
    <x v="7"/>
    <n v="94800"/>
    <n v="0"/>
    <n v="94800"/>
    <n v="0"/>
    <m/>
    <m/>
    <x v="0"/>
    <n v="24"/>
    <x v="0"/>
    <s v=""/>
    <s v="No Aplica"/>
    <n v="0"/>
    <n v="0"/>
    <n v="0"/>
    <n v="0"/>
    <n v="0"/>
    <n v="0"/>
    <n v="94800"/>
    <m/>
  </r>
  <r>
    <n v="6"/>
    <x v="29"/>
    <n v="2018"/>
    <s v="Junio"/>
    <s v="SANDCAAC"/>
    <m/>
    <x v="7"/>
    <n v="2189876"/>
    <n v="0"/>
    <n v="326803"/>
    <n v="1863073"/>
    <m/>
    <m/>
    <x v="0"/>
    <n v="24"/>
    <x v="0"/>
    <s v=""/>
    <s v="No Aplica"/>
    <n v="5"/>
    <n v="975405"/>
    <n v="8"/>
    <n v="887668"/>
    <n v="5"/>
    <n v="326803"/>
    <n v="0"/>
    <m/>
  </r>
  <r>
    <n v="6"/>
    <x v="29"/>
    <n v="2018"/>
    <s v="Junio"/>
    <s v="VANELOBE"/>
    <m/>
    <x v="7"/>
    <n v="4900048"/>
    <n v="0"/>
    <n v="2397119"/>
    <n v="2502929"/>
    <m/>
    <m/>
    <x v="0"/>
    <n v="24"/>
    <x v="0"/>
    <s v=""/>
    <s v="No Aplica"/>
    <n v="6"/>
    <n v="813530"/>
    <n v="18"/>
    <n v="1234821"/>
    <n v="25"/>
    <n v="2397119"/>
    <n v="454578"/>
    <m/>
  </r>
  <r>
    <n v="6"/>
    <x v="29"/>
    <n v="2018"/>
    <s v="Junio"/>
    <s v="(en blanco)"/>
    <m/>
    <x v="7"/>
    <n v="269729"/>
    <n v="0"/>
    <n v="0"/>
    <n v="269729"/>
    <m/>
    <m/>
    <x v="0"/>
    <n v="24"/>
    <x v="0"/>
    <s v=""/>
    <s v="No Aplica"/>
    <n v="1"/>
    <n v="194719"/>
    <n v="2"/>
    <n v="162996"/>
    <n v="0"/>
    <n v="0"/>
    <n v="-87986"/>
    <m/>
  </r>
  <r>
    <n v="7"/>
    <x v="30"/>
    <n v="2018"/>
    <s v="Julio"/>
    <s v="DERLARMO"/>
    <n v="52725011"/>
    <x v="10"/>
    <n v="32941018"/>
    <n v="144000"/>
    <n v="7098563"/>
    <n v="25698455"/>
    <n v="25000008"/>
    <n v="1.0279378710598812"/>
    <x v="1"/>
    <n v="24"/>
    <x v="6"/>
    <s v="Centro"/>
    <s v="Fluctúa"/>
    <n v="93"/>
    <n v="6295117"/>
    <n v="242"/>
    <n v="18010439"/>
    <n v="103"/>
    <n v="7098563"/>
    <n v="1536899"/>
    <s v="NO"/>
  </r>
  <r>
    <n v="7"/>
    <x v="30"/>
    <n v="2018"/>
    <s v="Julio"/>
    <s v="LOREBECR"/>
    <n v="1010207310"/>
    <x v="68"/>
    <n v="36231587"/>
    <n v="0"/>
    <n v="8237800"/>
    <n v="27993787"/>
    <n v="25000008"/>
    <n v="1.119751121679641"/>
    <x v="1"/>
    <n v="24"/>
    <x v="6"/>
    <s v="Centro"/>
    <s v="Cumple"/>
    <n v="81"/>
    <n v="6479695"/>
    <n v="222"/>
    <n v="18536515"/>
    <n v="126"/>
    <n v="8237800"/>
    <n v="2977577"/>
    <s v="NO"/>
  </r>
  <r>
    <n v="7"/>
    <x v="30"/>
    <n v="2018"/>
    <s v="Julio"/>
    <s v="RAULMOGA"/>
    <n v="79701425"/>
    <x v="27"/>
    <n v="33161155"/>
    <n v="0"/>
    <n v="7430621"/>
    <n v="25730534"/>
    <n v="25000008"/>
    <n v="1.0292210306492702"/>
    <x v="0"/>
    <n v="24"/>
    <x v="6"/>
    <s v="Centro"/>
    <s v="No Aplica"/>
    <n v="86"/>
    <n v="6216915"/>
    <n v="217"/>
    <n v="18187647"/>
    <n v="97"/>
    <n v="7094721"/>
    <n v="1661872"/>
    <m/>
  </r>
  <r>
    <n v="7"/>
    <x v="30"/>
    <n v="2018"/>
    <s v="Julio"/>
    <s v="PAULGOBA"/>
    <n v="32256379"/>
    <x v="36"/>
    <n v="30526639"/>
    <n v="0"/>
    <n v="3143178"/>
    <n v="27383461"/>
    <n v="43999992"/>
    <n v="0.62235149951845448"/>
    <x v="1"/>
    <n v="24"/>
    <x v="13"/>
    <s v="Antioquia"/>
    <s v="Fluctúa"/>
    <n v="53"/>
    <n v="8143748"/>
    <n v="104"/>
    <n v="16764458"/>
    <n v="42"/>
    <n v="3143178"/>
    <n v="2475255"/>
    <s v="NO"/>
  </r>
  <r>
    <n v="7"/>
    <x v="30"/>
    <n v="2018"/>
    <s v="Julio"/>
    <s v="VANELOBE"/>
    <n v="1128476466"/>
    <x v="74"/>
    <n v="32451648"/>
    <n v="221100"/>
    <n v="3845776"/>
    <n v="28384772"/>
    <n v="20166663"/>
    <n v="1.4075096112827392"/>
    <x v="1"/>
    <n v="24"/>
    <x v="4"/>
    <s v="Antioquia"/>
    <s v="Fluctúa"/>
    <n v="64"/>
    <n v="8588970"/>
    <n v="131"/>
    <n v="16573118"/>
    <n v="56"/>
    <n v="3845776"/>
    <n v="3443784"/>
    <s v="NO"/>
  </r>
  <r>
    <n v="7"/>
    <x v="30"/>
    <n v="2018"/>
    <s v="Julio"/>
    <s v="DIANPAAL"/>
    <n v="1040030764"/>
    <x v="11"/>
    <n v="48467586"/>
    <n v="4053090"/>
    <n v="9669073"/>
    <n v="34745423"/>
    <n v="34999992"/>
    <n v="0.9927265983375082"/>
    <x v="1"/>
    <n v="24"/>
    <x v="7"/>
    <s v="Antioquia"/>
    <s v="Cumple"/>
    <n v="66"/>
    <n v="8194779"/>
    <n v="189"/>
    <n v="24625896"/>
    <n v="105"/>
    <n v="9669073"/>
    <n v="5977838"/>
    <s v="NO"/>
  </r>
  <r>
    <n v="7"/>
    <x v="30"/>
    <n v="2018"/>
    <s v="Julio"/>
    <s v="JAQUVEGU"/>
    <n v="1036779770"/>
    <x v="16"/>
    <n v="19071363"/>
    <n v="954000"/>
    <n v="1389279"/>
    <n v="16728084"/>
    <n v="16041663"/>
    <n v="1.0427898903000268"/>
    <x v="0"/>
    <n v="24"/>
    <x v="7"/>
    <s v="Antioquia"/>
    <s v="No Aplica"/>
    <n v="44"/>
    <n v="4400900"/>
    <n v="116"/>
    <n v="11357657"/>
    <n v="15"/>
    <n v="1389279"/>
    <n v="1923527"/>
    <m/>
  </r>
  <r>
    <n v="7"/>
    <x v="30"/>
    <n v="2018"/>
    <s v="Julio"/>
    <s v="MARIOCOC"/>
    <n v="39448823"/>
    <x v="21"/>
    <n v="52538201"/>
    <n v="3038100"/>
    <n v="9478975"/>
    <n v="40021126"/>
    <n v="34999992"/>
    <n v="1.143461004219658"/>
    <x v="1"/>
    <n v="24"/>
    <x v="7"/>
    <s v="Antioquia"/>
    <s v="Siempre Cumple"/>
    <n v="89"/>
    <n v="9975073"/>
    <n v="210"/>
    <n v="24624771"/>
    <n v="103"/>
    <n v="9478975"/>
    <n v="8459382"/>
    <s v="NO"/>
  </r>
  <r>
    <n v="7"/>
    <x v="30"/>
    <n v="2018"/>
    <s v="Julio"/>
    <s v="ALEXLOGR"/>
    <n v="43253531"/>
    <x v="2"/>
    <n v="64802971"/>
    <n v="1533300"/>
    <n v="18327939"/>
    <n v="44941732"/>
    <n v="34999992"/>
    <n v="1.2840497792113781"/>
    <x v="1"/>
    <n v="24"/>
    <x v="2"/>
    <s v="Antioquia"/>
    <s v="Cumple"/>
    <n v="96"/>
    <n v="8418436"/>
    <n v="250"/>
    <n v="32260486"/>
    <n v="189"/>
    <n v="18327939"/>
    <n v="5796110"/>
    <s v="NO"/>
  </r>
  <r>
    <n v="7"/>
    <x v="30"/>
    <n v="2018"/>
    <s v="Julio"/>
    <s v="LEIDPAPA"/>
    <n v="1020425089"/>
    <x v="72"/>
    <n v="34550139"/>
    <n v="1103100"/>
    <n v="5827589"/>
    <n v="27619450"/>
    <n v="42124992"/>
    <n v="0.65565472392255886"/>
    <x v="1"/>
    <n v="24"/>
    <x v="8"/>
    <s v="Antioquia"/>
    <s v="Cumple"/>
    <n v="60"/>
    <n v="7051831"/>
    <n v="144"/>
    <n v="16441144"/>
    <n v="65"/>
    <n v="5827589"/>
    <n v="5229575"/>
    <s v="NO"/>
  </r>
  <r>
    <n v="7"/>
    <x v="30"/>
    <n v="2018"/>
    <s v="Julio"/>
    <s v="YULIRIRE"/>
    <n v="21982241"/>
    <x v="57"/>
    <n v="40987181"/>
    <n v="792000"/>
    <n v="5663116"/>
    <n v="34532065"/>
    <n v="20416662"/>
    <n v="1.6913668355777256"/>
    <x v="1"/>
    <n v="24"/>
    <x v="2"/>
    <s v="Antioquia"/>
    <s v="Fluctúa"/>
    <n v="82"/>
    <n v="7741238"/>
    <n v="214"/>
    <n v="23551375"/>
    <n v="62"/>
    <n v="5663116"/>
    <n v="4031452"/>
    <s v="NO"/>
  </r>
  <r>
    <n v="7"/>
    <x v="30"/>
    <n v="2018"/>
    <s v="Julio"/>
    <s v="ADRIMOLU"/>
    <n v="43169964"/>
    <x v="1"/>
    <n v="57213434"/>
    <n v="960000"/>
    <n v="11807685"/>
    <n v="44445749"/>
    <n v="43999992"/>
    <n v="1.0101308427510622"/>
    <x v="1"/>
    <n v="24"/>
    <x v="1"/>
    <s v="Antioquia"/>
    <s v="Cumple"/>
    <n v="92"/>
    <n v="9904803"/>
    <n v="272"/>
    <n v="29212746"/>
    <n v="115"/>
    <n v="11807685"/>
    <n v="6288200"/>
    <s v="NO"/>
  </r>
  <r>
    <n v="7"/>
    <x v="30"/>
    <n v="2018"/>
    <s v="Julio"/>
    <s v="LEIDCAOR"/>
    <n v="1020399898"/>
    <x v="71"/>
    <n v="35180241"/>
    <n v="1794600"/>
    <n v="7419834"/>
    <n v="25965807"/>
    <n v="39499992"/>
    <n v="0.65736233566832114"/>
    <x v="1"/>
    <n v="24"/>
    <x v="10"/>
    <s v="Antioquia"/>
    <s v="Fluctúa"/>
    <n v="62"/>
    <n v="5774660"/>
    <n v="150"/>
    <n v="16055309"/>
    <n v="80"/>
    <n v="7419834"/>
    <n v="5930438"/>
    <s v="NO"/>
  </r>
  <r>
    <n v="7"/>
    <x v="30"/>
    <n v="2018"/>
    <s v="Julio"/>
    <s v="LILACARA"/>
    <n v="1017141451"/>
    <x v="17"/>
    <n v="56630487"/>
    <n v="1404000"/>
    <n v="9258170"/>
    <n v="45968317"/>
    <n v="43999992"/>
    <n v="1.044734667224485"/>
    <x v="1"/>
    <n v="24"/>
    <x v="1"/>
    <s v="Antioquia"/>
    <s v="Siempre Cumple"/>
    <n v="88"/>
    <n v="10349434"/>
    <n v="212"/>
    <n v="29614333"/>
    <n v="92"/>
    <n v="9258170"/>
    <n v="7408550"/>
    <s v="NO"/>
  </r>
  <r>
    <n v="7"/>
    <x v="30"/>
    <n v="2018"/>
    <s v="Julio"/>
    <s v="NATAVAMO"/>
    <n v="32183069"/>
    <x v="63"/>
    <n v="56192349"/>
    <n v="558000"/>
    <n v="12674529"/>
    <n v="42959820"/>
    <n v="43624992"/>
    <n v="0.98475250150189142"/>
    <x v="1"/>
    <n v="24"/>
    <x v="1"/>
    <s v="Antioquia"/>
    <s v="No Cumple"/>
    <n v="100"/>
    <n v="8291787"/>
    <n v="252"/>
    <n v="26995277"/>
    <n v="115"/>
    <n v="12674529"/>
    <n v="8230756"/>
    <s v="NO"/>
  </r>
  <r>
    <n v="7"/>
    <x v="30"/>
    <n v="2018"/>
    <s v="Julio"/>
    <s v="SUANHECO"/>
    <n v="1020409789"/>
    <x v="58"/>
    <n v="55309901"/>
    <n v="2050400"/>
    <n v="11431211"/>
    <n v="41828290"/>
    <n v="23833329"/>
    <n v="1.7550334659501408"/>
    <x v="1"/>
    <n v="24"/>
    <x v="1"/>
    <s v="Antioquia"/>
    <s v="Cumple"/>
    <n v="91"/>
    <n v="10465996"/>
    <n v="196"/>
    <n v="25733099"/>
    <n v="109"/>
    <n v="11431211"/>
    <n v="7679595"/>
    <s v="Inicio Vacaciones"/>
  </r>
  <r>
    <n v="7"/>
    <x v="30"/>
    <n v="2018"/>
    <s v="Julio"/>
    <s v="ZULYARGA"/>
    <n v="43259130"/>
    <x v="31"/>
    <n v="54134277"/>
    <n v="1607300"/>
    <n v="9622340"/>
    <n v="42904637"/>
    <n v="42166659"/>
    <n v="1.0175014577275379"/>
    <x v="1"/>
    <n v="24"/>
    <x v="1"/>
    <s v="Antioquia"/>
    <s v="Fluctúa"/>
    <n v="100"/>
    <n v="11254968"/>
    <n v="257"/>
    <n v="26810302"/>
    <n v="104"/>
    <n v="9622340"/>
    <n v="6446667"/>
    <s v="NO"/>
  </r>
  <r>
    <n v="7"/>
    <x v="30"/>
    <n v="2018"/>
    <s v="Julio"/>
    <s v="BIBIBECA"/>
    <n v="43971430"/>
    <x v="6"/>
    <n v="62938600"/>
    <n v="838200"/>
    <n v="16105565"/>
    <n v="45994835"/>
    <n v="42000000"/>
    <n v="1.0951151190476192"/>
    <x v="1"/>
    <n v="24"/>
    <x v="5"/>
    <s v="Antioquia"/>
    <s v="Siempre Cumple"/>
    <n v="109"/>
    <n v="10986591"/>
    <n v="290"/>
    <n v="30157874"/>
    <n v="157"/>
    <n v="16105565"/>
    <n v="5688570"/>
    <s v="NO"/>
  </r>
  <r>
    <n v="7"/>
    <x v="30"/>
    <n v="2018"/>
    <s v="Julio"/>
    <s v="CINDGACU"/>
    <n v="1020443426"/>
    <x v="55"/>
    <n v="33963532"/>
    <n v="1243400"/>
    <n v="12529809"/>
    <n v="20190323"/>
    <n v="42000000"/>
    <n v="0.48072197619047619"/>
    <x v="1"/>
    <n v="24"/>
    <x v="4"/>
    <s v="Antioquia"/>
    <s v="Fluctúa"/>
    <n v="49"/>
    <n v="4446164"/>
    <n v="140"/>
    <n v="11983961"/>
    <n v="127"/>
    <n v="12529809"/>
    <n v="5003598"/>
    <s v="NO"/>
  </r>
  <r>
    <n v="7"/>
    <x v="30"/>
    <n v="2018"/>
    <s v="Julio"/>
    <s v="CLAUBLAR"/>
    <n v="43554403"/>
    <x v="8"/>
    <n v="68378234"/>
    <n v="540000"/>
    <n v="14727684"/>
    <n v="53110550"/>
    <n v="42000000"/>
    <n v="1.2645369047619048"/>
    <x v="1"/>
    <n v="24"/>
    <x v="5"/>
    <s v="Antioquia"/>
    <s v="Siempre Cumple"/>
    <n v="108"/>
    <n v="12929543"/>
    <n v="245"/>
    <n v="28901743"/>
    <n v="150"/>
    <n v="14727684"/>
    <n v="11819264"/>
    <s v="NO"/>
  </r>
  <r>
    <n v="7"/>
    <x v="30"/>
    <n v="2018"/>
    <s v="Julio"/>
    <s v="HERIRORO"/>
    <n v="21428423"/>
    <x v="52"/>
    <n v="52519112"/>
    <n v="688000"/>
    <n v="10165656"/>
    <n v="41665456"/>
    <n v="40250000"/>
    <n v="1.0351666086956521"/>
    <x v="1"/>
    <n v="24"/>
    <x v="5"/>
    <s v="Antioquia"/>
    <s v="Fluctúa"/>
    <n v="108"/>
    <n v="10525670"/>
    <n v="260"/>
    <n v="25814444"/>
    <n v="104"/>
    <n v="10165656"/>
    <n v="6013342"/>
    <s v="NO"/>
  </r>
  <r>
    <n v="7"/>
    <x v="30"/>
    <n v="2018"/>
    <s v="Julio"/>
    <s v="MARGGAPA"/>
    <n v="43866877"/>
    <x v="20"/>
    <n v="73976611"/>
    <n v="1915000"/>
    <n v="8126272"/>
    <n v="63935339"/>
    <n v="42749997"/>
    <n v="1.495563590331948"/>
    <x v="1"/>
    <n v="24"/>
    <x v="5"/>
    <s v="Antioquia"/>
    <s v="Siempre Cumple"/>
    <n v="116"/>
    <n v="19319512"/>
    <n v="222"/>
    <n v="30387037"/>
    <n v="102"/>
    <n v="8126272"/>
    <n v="16143790"/>
    <s v="NO"/>
  </r>
  <r>
    <n v="7"/>
    <x v="30"/>
    <n v="2018"/>
    <s v="Julio"/>
    <s v="SANDCAAC"/>
    <n v="39175639"/>
    <x v="75"/>
    <n v="29257160"/>
    <n v="2435100"/>
    <n v="8451268"/>
    <n v="18370792"/>
    <n v="42000000"/>
    <n v="0.43739980952380952"/>
    <x v="1"/>
    <n v="24"/>
    <x v="5"/>
    <s v="Antioquia"/>
    <s v="Fluctúa"/>
    <n v="42"/>
    <n v="4222959"/>
    <n v="116"/>
    <n v="11010707"/>
    <n v="84"/>
    <n v="8451268"/>
    <n v="5572226"/>
    <s v="NO"/>
  </r>
  <r>
    <n v="7"/>
    <x v="30"/>
    <n v="2018"/>
    <s v="Julio"/>
    <s v="YENISIGI"/>
    <n v="1035913369"/>
    <x v="64"/>
    <n v="55957546"/>
    <n v="908000"/>
    <n v="11221358"/>
    <n v="43828188"/>
    <n v="42000000"/>
    <n v="1.0435282857142858"/>
    <x v="1"/>
    <n v="24"/>
    <x v="5"/>
    <s v="Antioquia"/>
    <s v="Fluctúa"/>
    <n v="98"/>
    <n v="9387598"/>
    <n v="221"/>
    <n v="26379199"/>
    <n v="112"/>
    <n v="11221358"/>
    <n v="8969391"/>
    <s v="NO"/>
  </r>
  <r>
    <n v="7"/>
    <x v="30"/>
    <n v="2018"/>
    <s v="Julio"/>
    <s v="NATAPIDU"/>
    <n v="43907427"/>
    <x v="25"/>
    <n v="50615786"/>
    <n v="1193940"/>
    <n v="4231504"/>
    <n v="45190342"/>
    <n v="40000008"/>
    <n v="1.1297583240483351"/>
    <x v="1"/>
    <n v="24"/>
    <x v="11"/>
    <s v="Antioquia"/>
    <s v="Siempre Cumple"/>
    <n v="55"/>
    <n v="9457612"/>
    <n v="134"/>
    <n v="31385374"/>
    <n v="42"/>
    <n v="4231504"/>
    <n v="5541296"/>
    <s v="NO"/>
  </r>
  <r>
    <n v="7"/>
    <x v="30"/>
    <n v="2018"/>
    <s v="Julio"/>
    <s v="ALVAOSOS"/>
    <n v="3438422"/>
    <x v="37"/>
    <n v="56687052"/>
    <n v="2353700"/>
    <n v="9283909"/>
    <n v="45049443"/>
    <n v="43999992"/>
    <n v="1.0238511634274843"/>
    <x v="1"/>
    <n v="24"/>
    <x v="8"/>
    <s v="Antioquia"/>
    <s v="Fluctúa"/>
    <n v="76"/>
    <n v="8885905"/>
    <n v="212"/>
    <n v="28176520"/>
    <n v="95"/>
    <n v="9283909"/>
    <n v="10340718"/>
    <s v="NO"/>
  </r>
  <r>
    <n v="7"/>
    <x v="30"/>
    <n v="2018"/>
    <s v="Julio"/>
    <s v="CARORAMN"/>
    <n v="1020451288"/>
    <x v="61"/>
    <n v="55532959"/>
    <n v="1208400"/>
    <n v="10071962"/>
    <n v="44252597"/>
    <n v="43999992"/>
    <n v="1.0057410237710953"/>
    <x v="1"/>
    <n v="24"/>
    <x v="8"/>
    <s v="Antioquia"/>
    <s v="Cumple"/>
    <n v="74"/>
    <n v="8389811"/>
    <n v="223"/>
    <n v="29494968"/>
    <n v="104"/>
    <n v="10071962"/>
    <n v="7576218"/>
    <s v="NO"/>
  </r>
  <r>
    <n v="7"/>
    <x v="30"/>
    <n v="2018"/>
    <s v="Julio"/>
    <s v="DEISCACR"/>
    <n v="1017167720"/>
    <x v="50"/>
    <n v="55650027"/>
    <n v="1260000"/>
    <n v="9329064"/>
    <n v="45060963"/>
    <n v="43999992"/>
    <n v="1.0241129816569057"/>
    <x v="1"/>
    <n v="24"/>
    <x v="8"/>
    <s v="Antioquia"/>
    <s v="Cumple"/>
    <n v="82"/>
    <n v="8406583"/>
    <n v="200"/>
    <n v="27768044"/>
    <n v="98"/>
    <n v="9329064"/>
    <n v="10146336"/>
    <s v="NO"/>
  </r>
  <r>
    <n v="7"/>
    <x v="30"/>
    <n v="2018"/>
    <s v="Julio"/>
    <s v="GENNHEPO"/>
    <n v="43874518"/>
    <x v="14"/>
    <n v="21556942"/>
    <n v="468000"/>
    <n v="3429342"/>
    <n v="17659600"/>
    <n v="32999994"/>
    <n v="0.53513949123748328"/>
    <x v="1"/>
    <n v="24"/>
    <x v="8"/>
    <s v="Antioquia"/>
    <s v="Fluctúa"/>
    <n v="45"/>
    <n v="4015250"/>
    <n v="122"/>
    <n v="10977621"/>
    <n v="42"/>
    <n v="3429342"/>
    <n v="3134729"/>
    <s v="Regreso Vacaciones"/>
  </r>
  <r>
    <n v="7"/>
    <x v="30"/>
    <n v="2018"/>
    <s v="Julio"/>
    <s v="LEIDGOVI"/>
    <n v="1036598360"/>
    <x v="39"/>
    <n v="50962788"/>
    <n v="1306700"/>
    <n v="10184058"/>
    <n v="39472030"/>
    <n v="43999992"/>
    <n v="0.89709175401668251"/>
    <x v="1"/>
    <n v="24"/>
    <x v="8"/>
    <s v="Antioquia"/>
    <s v="Fluctúa"/>
    <n v="83"/>
    <n v="9445015"/>
    <n v="220"/>
    <n v="25791232"/>
    <n v="110"/>
    <n v="10184058"/>
    <n v="5542483"/>
    <s v="NO"/>
  </r>
  <r>
    <n v="7"/>
    <x v="30"/>
    <n v="2018"/>
    <s v="Julio"/>
    <s v="NOREARMA"/>
    <n v="39275090"/>
    <x v="66"/>
    <n v="58116184"/>
    <n v="928200"/>
    <n v="11952630"/>
    <n v="45235354"/>
    <n v="37999998"/>
    <n v="1.1904041152844271"/>
    <x v="1"/>
    <n v="24"/>
    <x v="4"/>
    <s v="Antioquia"/>
    <s v="Siempre Cumple"/>
    <n v="80"/>
    <n v="8496946"/>
    <n v="208"/>
    <n v="31466267"/>
    <n v="122"/>
    <n v="11952630"/>
    <n v="6200341"/>
    <s v="NO"/>
  </r>
  <r>
    <n v="7"/>
    <x v="30"/>
    <n v="2018"/>
    <s v="Julio"/>
    <s v="YENYSUPE"/>
    <n v="1020419011"/>
    <x v="51"/>
    <n v="62299109"/>
    <n v="2052000"/>
    <n v="11041646"/>
    <n v="49205463"/>
    <n v="43999992"/>
    <n v="1.1183061806011239"/>
    <x v="1"/>
    <n v="24"/>
    <x v="8"/>
    <s v="Antioquia"/>
    <s v="Cumple"/>
    <n v="100"/>
    <n v="10686122"/>
    <n v="268"/>
    <n v="30126721"/>
    <n v="122"/>
    <n v="11041646"/>
    <n v="10444620"/>
    <s v="NO"/>
  </r>
  <r>
    <n v="7"/>
    <x v="30"/>
    <n v="2018"/>
    <s v="Julio"/>
    <s v="YURAUSVE"/>
    <n v="1020419615"/>
    <x v="56"/>
    <n v="69801176"/>
    <n v="1378200"/>
    <n v="12729620"/>
    <n v="55693356"/>
    <n v="43999992"/>
    <n v="1.2657583210469674"/>
    <x v="1"/>
    <n v="24"/>
    <x v="8"/>
    <s v="Antioquia"/>
    <s v="Cumple"/>
    <n v="110"/>
    <n v="11169037"/>
    <n v="278"/>
    <n v="35477052"/>
    <n v="130"/>
    <n v="12729620"/>
    <n v="10425467"/>
    <s v="NO"/>
  </r>
  <r>
    <n v="7"/>
    <x v="30"/>
    <n v="2018"/>
    <s v="Julio"/>
    <s v="ANAMLOBE"/>
    <n v="43821410"/>
    <x v="3"/>
    <n v="78186791"/>
    <n v="1728000"/>
    <n v="11385833"/>
    <n v="65072958"/>
    <n v="43999992"/>
    <n v="1.4789311325329333"/>
    <x v="1"/>
    <n v="24"/>
    <x v="3"/>
    <s v="Antioquia"/>
    <s v="Siempre Cumple"/>
    <n v="121"/>
    <n v="16503811"/>
    <n v="276"/>
    <n v="40543566"/>
    <n v="123"/>
    <n v="11385833"/>
    <n v="9753581"/>
    <s v="NO"/>
  </r>
  <r>
    <n v="7"/>
    <x v="30"/>
    <n v="2018"/>
    <s v="Julio"/>
    <s v="DIANQUME"/>
    <n v="42164020"/>
    <x v="7"/>
    <n v="5447375"/>
    <n v="0"/>
    <n v="0"/>
    <n v="5447375"/>
    <m/>
    <m/>
    <x v="1"/>
    <n v="24"/>
    <x v="1"/>
    <s v="Antioquia"/>
    <s v="Siempre Cumple"/>
    <n v="12"/>
    <n v="1044805"/>
    <n v="32"/>
    <n v="3869767"/>
    <n v="0"/>
    <n v="0"/>
    <n v="532803"/>
    <m/>
  </r>
  <r>
    <n v="7"/>
    <x v="30"/>
    <n v="2018"/>
    <s v="Julio"/>
    <s v="ELIZVESU"/>
    <n v="1035417626"/>
    <x v="13"/>
    <n v="74795055"/>
    <n v="1578000"/>
    <n v="11374206"/>
    <n v="61842849"/>
    <n v="43999992"/>
    <n v="1.4055195510035547"/>
    <x v="1"/>
    <n v="24"/>
    <x v="3"/>
    <s v="Antioquia"/>
    <s v="Cumple"/>
    <n v="103"/>
    <n v="13414469"/>
    <n v="271"/>
    <n v="42674824"/>
    <n v="118"/>
    <n v="11374206"/>
    <n v="7331556"/>
    <s v="NO"/>
  </r>
  <r>
    <n v="7"/>
    <x v="30"/>
    <n v="2018"/>
    <s v="Julio"/>
    <s v="VIVIVAZA"/>
    <n v="43745952"/>
    <x v="30"/>
    <n v="86987539"/>
    <n v="3091800"/>
    <n v="16124907"/>
    <n v="67770832"/>
    <n v="43999992"/>
    <n v="1.540246461862993"/>
    <x v="1"/>
    <n v="24"/>
    <x v="3"/>
    <s v="Antioquia"/>
    <s v="Siempre Cumple"/>
    <n v="111"/>
    <n v="13496313"/>
    <n v="272"/>
    <n v="45478168"/>
    <n v="155"/>
    <n v="15868507"/>
    <n v="12144551"/>
    <s v="NO"/>
  </r>
  <r>
    <n v="7"/>
    <x v="30"/>
    <n v="2018"/>
    <s v="Julio"/>
    <s v="ANGEGAAR"/>
    <n v="39442617"/>
    <x v="4"/>
    <n v="35729031"/>
    <n v="0"/>
    <n v="7685002"/>
    <n v="28044029"/>
    <n v="13125000"/>
    <n v="2.1366879238095238"/>
    <x v="1"/>
    <n v="24"/>
    <x v="4"/>
    <s v="Antioquia"/>
    <s v="Cumple"/>
    <n v="55"/>
    <n v="6538090"/>
    <n v="134"/>
    <n v="17585912"/>
    <n v="74"/>
    <n v="7685002"/>
    <n v="3920027"/>
    <s v="NO"/>
  </r>
  <r>
    <n v="7"/>
    <x v="30"/>
    <n v="2018"/>
    <s v="Julio"/>
    <s v="ERIKSAVA"/>
    <n v="1017200970"/>
    <x v="44"/>
    <n v="54891855"/>
    <n v="455100"/>
    <n v="11088042"/>
    <n v="43348713"/>
    <n v="36000000"/>
    <n v="1.2041309166666667"/>
    <x v="1"/>
    <n v="24"/>
    <x v="4"/>
    <s v="Antioquia"/>
    <s v="Cumple"/>
    <n v="93"/>
    <n v="10357134"/>
    <n v="211"/>
    <n v="25625478"/>
    <n v="118"/>
    <n v="11088042"/>
    <n v="7821201"/>
    <s v="NO"/>
  </r>
  <r>
    <n v="7"/>
    <x v="30"/>
    <n v="2018"/>
    <s v="Julio"/>
    <s v="HISNOSPI"/>
    <n v="43114534"/>
    <x v="49"/>
    <n v="50292307"/>
    <n v="421200"/>
    <n v="9078117"/>
    <n v="40792990"/>
    <n v="28500000"/>
    <n v="1.4313329824561403"/>
    <x v="0"/>
    <n v="24"/>
    <x v="4"/>
    <s v="Antioquia"/>
    <s v="No Aplica"/>
    <n v="76"/>
    <n v="8092124"/>
    <n v="199"/>
    <n v="26670127"/>
    <n v="91"/>
    <n v="9078117"/>
    <n v="6451939"/>
    <m/>
  </r>
  <r>
    <n v="7"/>
    <x v="30"/>
    <n v="2018"/>
    <s v="Julio"/>
    <s v="MARIMASA"/>
    <n v="43113640"/>
    <x v="34"/>
    <n v="30737794"/>
    <n v="221100"/>
    <n v="5474709"/>
    <n v="25041985"/>
    <n v="9000000"/>
    <n v="2.7824427777777778"/>
    <x v="1"/>
    <n v="24"/>
    <x v="4"/>
    <s v="Antioquia"/>
    <s v="Cumple"/>
    <n v="56"/>
    <n v="5834603"/>
    <n v="118"/>
    <n v="14876099"/>
    <n v="53"/>
    <n v="5474709"/>
    <n v="4552383"/>
    <s v="Inicio Vacaciones"/>
  </r>
  <r>
    <n v="7"/>
    <x v="30"/>
    <n v="2018"/>
    <s v="Julio"/>
    <s v="MARIHIRO"/>
    <n v="1001131473"/>
    <x v="76"/>
    <n v="26486394"/>
    <n v="0"/>
    <n v="5916318"/>
    <n v="20570076"/>
    <n v="27000000"/>
    <n v="0.76185466666666668"/>
    <x v="1"/>
    <n v="24"/>
    <x v="5"/>
    <s v="Antioquia"/>
    <s v="No Cumple"/>
    <n v="47"/>
    <n v="5137683"/>
    <n v="116"/>
    <n v="12953378"/>
    <n v="66"/>
    <n v="5916318"/>
    <n v="2479015"/>
    <s v="NO"/>
  </r>
  <r>
    <n v="7"/>
    <x v="30"/>
    <n v="2018"/>
    <s v="Julio"/>
    <s v="ANDRSAZA"/>
    <n v="1020736461"/>
    <x v="45"/>
    <n v="52233155"/>
    <n v="468000"/>
    <n v="7725642"/>
    <n v="44039513"/>
    <n v="28000008"/>
    <n v="1.5728393006173427"/>
    <x v="1"/>
    <n v="24"/>
    <x v="9"/>
    <s v="Centro"/>
    <s v="Siempre Cumple"/>
    <n v="79"/>
    <n v="8721134"/>
    <n v="223"/>
    <n v="32429424"/>
    <n v="106"/>
    <n v="7725642"/>
    <n v="3356955"/>
    <s v="NO"/>
  </r>
  <r>
    <n v="7"/>
    <x v="30"/>
    <n v="2018"/>
    <s v="Julio"/>
    <s v="CAMIPUHE"/>
    <n v="79850984"/>
    <x v="53"/>
    <n v="37189563"/>
    <n v="1734400"/>
    <n v="6063745"/>
    <n v="29391418"/>
    <n v="28000008"/>
    <n v="1.0496932000876571"/>
    <x v="1"/>
    <n v="24"/>
    <x v="15"/>
    <s v="Centro"/>
    <s v="Fluctúa"/>
    <n v="67"/>
    <n v="5886988"/>
    <n v="192"/>
    <n v="21723133"/>
    <n v="87"/>
    <n v="6063745"/>
    <n v="3515697"/>
    <s v="NO"/>
  </r>
  <r>
    <n v="7"/>
    <x v="30"/>
    <n v="2018"/>
    <s v="Julio"/>
    <s v="ISABMOGO"/>
    <n v="52260671"/>
    <x v="15"/>
    <n v="42447011"/>
    <n v="0"/>
    <n v="7616932"/>
    <n v="34830079"/>
    <n v="28000008"/>
    <n v="1.243931037448275"/>
    <x v="1"/>
    <n v="24"/>
    <x v="9"/>
    <s v="Centro"/>
    <s v="Siempre Cumple"/>
    <n v="75"/>
    <n v="7929575"/>
    <n v="210"/>
    <n v="22874542"/>
    <n v="102"/>
    <n v="7616932"/>
    <n v="4025962"/>
    <s v="NO"/>
  </r>
  <r>
    <n v="7"/>
    <x v="30"/>
    <n v="2018"/>
    <s v="Julio"/>
    <s v="LUZNHEGO"/>
    <n v="43745192"/>
    <x v="19"/>
    <n v="39166234"/>
    <n v="0"/>
    <n v="3494477"/>
    <n v="35671757"/>
    <n v="30000000"/>
    <n v="1.1890585666666666"/>
    <x v="1"/>
    <n v="24"/>
    <x v="10"/>
    <s v="Antioquia"/>
    <s v="Cumple"/>
    <n v="57"/>
    <n v="8722767"/>
    <n v="160"/>
    <n v="23728748"/>
    <n v="49"/>
    <n v="3494477"/>
    <n v="3220242"/>
    <s v="NO"/>
  </r>
  <r>
    <n v="7"/>
    <x v="30"/>
    <n v="2018"/>
    <s v="Julio"/>
    <s v="ROCIFASA"/>
    <n v="34542470"/>
    <x v="28"/>
    <n v="52896961"/>
    <n v="1172340"/>
    <n v="6342459"/>
    <n v="45382162"/>
    <n v="34999992"/>
    <n v="1.2966334963733706"/>
    <x v="1"/>
    <n v="24"/>
    <x v="12"/>
    <s v="Occidente"/>
    <s v="Siempre Cumple"/>
    <n v="92"/>
    <n v="13154974"/>
    <n v="226"/>
    <n v="28829808"/>
    <n v="67"/>
    <n v="6342459"/>
    <n v="4569720"/>
    <s v="NO"/>
  </r>
  <r>
    <n v="7"/>
    <x v="30"/>
    <n v="2018"/>
    <s v="Julio"/>
    <s v="MONILOSA"/>
    <n v="1095794354"/>
    <x v="69"/>
    <n v="32879853"/>
    <n v="0"/>
    <n v="2696491"/>
    <n v="30183362"/>
    <n v="23762256"/>
    <n v="1.2702229114945989"/>
    <x v="0"/>
    <n v="24"/>
    <x v="17"/>
    <s v="Occidente"/>
    <s v="No Aplica"/>
    <n v="54"/>
    <n v="5484872"/>
    <n v="108"/>
    <n v="11413051"/>
    <n v="35"/>
    <n v="2696491"/>
    <n v="13285439"/>
    <m/>
  </r>
  <r>
    <n v="7"/>
    <x v="30"/>
    <n v="2018"/>
    <s v="Julio"/>
    <s v="ANGISEBR"/>
    <n v="1144061613"/>
    <x v="70"/>
    <n v="28387223"/>
    <n v="0"/>
    <n v="8189037"/>
    <n v="20198186"/>
    <n v="30000000"/>
    <n v="0.67327286666666664"/>
    <x v="1"/>
    <n v="24"/>
    <x v="14"/>
    <s v="Occidente"/>
    <s v="Fluctúa"/>
    <n v="47"/>
    <n v="4380659"/>
    <n v="160"/>
    <n v="14019751"/>
    <n v="91"/>
    <n v="8189037"/>
    <n v="1797776"/>
    <s v="NO"/>
  </r>
  <r>
    <n v="7"/>
    <x v="30"/>
    <n v="2018"/>
    <s v="Julio"/>
    <s v="HEIDVAVI"/>
    <n v="1130676531"/>
    <x v="73"/>
    <n v="22610216"/>
    <n v="0"/>
    <n v="5363518"/>
    <n v="17246698"/>
    <n v="30000000"/>
    <n v="0.57488993333333338"/>
    <x v="1"/>
    <n v="24"/>
    <x v="16"/>
    <s v="Occidente"/>
    <s v="No Cumple"/>
    <n v="37"/>
    <n v="3522933"/>
    <n v="124"/>
    <n v="12146278"/>
    <n v="62"/>
    <n v="5363518"/>
    <n v="1577487"/>
    <s v="NO"/>
  </r>
  <r>
    <n v="7"/>
    <x v="30"/>
    <n v="2018"/>
    <s v="Julio"/>
    <s v="MONIARGI"/>
    <n v="1151951440"/>
    <x v="67"/>
    <n v="42874023"/>
    <n v="0"/>
    <n v="8896260"/>
    <n v="33977763"/>
    <n v="30000000"/>
    <n v="1.1325921000000001"/>
    <x v="0"/>
    <n v="24"/>
    <x v="16"/>
    <s v="Occidente"/>
    <s v="No Aplica"/>
    <n v="63"/>
    <n v="7792126"/>
    <n v="200"/>
    <n v="24379862"/>
    <n v="92"/>
    <n v="8896260"/>
    <n v="1805775"/>
    <m/>
  </r>
  <r>
    <n v="7"/>
    <x v="30"/>
    <n v="2018"/>
    <s v="Julio"/>
    <s v="PAOLPACA"/>
    <n v="31445278"/>
    <x v="47"/>
    <n v="40705268"/>
    <n v="0"/>
    <n v="7827126"/>
    <n v="32878142"/>
    <n v="30000000"/>
    <n v="1.0959380666666667"/>
    <x v="1"/>
    <n v="24"/>
    <x v="14"/>
    <s v="Occidente"/>
    <s v="Cumple"/>
    <n v="54"/>
    <n v="6754503"/>
    <n v="189"/>
    <n v="22924869"/>
    <n v="82"/>
    <n v="7827126"/>
    <n v="3198770"/>
    <s v="NO"/>
  </r>
  <r>
    <n v="7"/>
    <x v="30"/>
    <n v="2018"/>
    <s v="Julio"/>
    <s v="TATIRITR"/>
    <n v="1130597373"/>
    <x v="60"/>
    <n v="44235303"/>
    <n v="234000"/>
    <n v="9470622"/>
    <n v="34530681"/>
    <n v="30000000"/>
    <n v="1.1510227"/>
    <x v="1"/>
    <n v="24"/>
    <x v="16"/>
    <s v="Occidente"/>
    <s v="Fluctúa"/>
    <n v="79"/>
    <n v="7818712"/>
    <n v="220"/>
    <n v="24619589"/>
    <n v="104"/>
    <n v="9470622"/>
    <n v="2326380"/>
    <s v="NO"/>
  </r>
  <r>
    <n v="7"/>
    <x v="30"/>
    <n v="2018"/>
    <s v="Julio"/>
    <s v="ANAKBEZA"/>
    <m/>
    <x v="7"/>
    <n v="189157"/>
    <n v="0"/>
    <n v="0"/>
    <n v="189157"/>
    <m/>
    <m/>
    <x v="0"/>
    <n v="24"/>
    <x v="0"/>
    <s v=""/>
    <s v="No Aplica"/>
    <n v="0"/>
    <n v="0"/>
    <n v="2"/>
    <n v="189157"/>
    <n v="0"/>
    <n v="0"/>
    <n v="0"/>
    <m/>
  </r>
  <r>
    <n v="7"/>
    <x v="30"/>
    <n v="2018"/>
    <s v="Julio"/>
    <s v="CAROVABE"/>
    <m/>
    <x v="7"/>
    <n v="1"/>
    <n v="0"/>
    <n v="0"/>
    <n v="1"/>
    <m/>
    <m/>
    <x v="0"/>
    <n v="24"/>
    <x v="0"/>
    <s v=""/>
    <s v="No Aplica"/>
    <n v="0"/>
    <n v="0"/>
    <n v="0"/>
    <n v="0"/>
    <n v="0"/>
    <n v="0"/>
    <n v="1"/>
    <m/>
  </r>
  <r>
    <n v="7"/>
    <x v="30"/>
    <n v="2018"/>
    <s v="Julio"/>
    <s v="DARWHERI"/>
    <m/>
    <x v="7"/>
    <n v="46283"/>
    <n v="0"/>
    <n v="46283"/>
    <n v="0"/>
    <m/>
    <m/>
    <x v="0"/>
    <n v="24"/>
    <x v="0"/>
    <s v=""/>
    <s v="No Aplica"/>
    <n v="0"/>
    <n v="0"/>
    <n v="0"/>
    <n v="0"/>
    <n v="1"/>
    <n v="46283"/>
    <n v="0"/>
    <m/>
  </r>
  <r>
    <n v="7"/>
    <x v="30"/>
    <n v="2018"/>
    <s v="Julio"/>
    <s v="EMMAARMA"/>
    <m/>
    <x v="7"/>
    <n v="90400"/>
    <n v="0"/>
    <n v="90400"/>
    <n v="0"/>
    <m/>
    <m/>
    <x v="0"/>
    <n v="24"/>
    <x v="0"/>
    <s v=""/>
    <s v="No Aplica"/>
    <n v="0"/>
    <n v="0"/>
    <n v="0"/>
    <n v="0"/>
    <n v="0"/>
    <n v="0"/>
    <n v="90400"/>
    <m/>
  </r>
  <r>
    <n v="7"/>
    <x v="30"/>
    <n v="2018"/>
    <s v="Julio"/>
    <s v="MARLJAGI"/>
    <m/>
    <x v="7"/>
    <n v="115000"/>
    <n v="0"/>
    <n v="115000"/>
    <n v="0"/>
    <m/>
    <m/>
    <x v="0"/>
    <n v="24"/>
    <x v="0"/>
    <s v=""/>
    <s v="No Aplica"/>
    <n v="0"/>
    <n v="0"/>
    <n v="0"/>
    <n v="0"/>
    <n v="0"/>
    <n v="0"/>
    <n v="115000"/>
    <m/>
  </r>
  <r>
    <n v="7"/>
    <x v="30"/>
    <n v="2018"/>
    <s v="Julio"/>
    <s v="LEYDBADI"/>
    <m/>
    <x v="7"/>
    <n v="127600"/>
    <n v="0"/>
    <n v="127600"/>
    <n v="0"/>
    <m/>
    <m/>
    <x v="0"/>
    <n v="24"/>
    <x v="0"/>
    <s v=""/>
    <s v="No Aplica"/>
    <n v="0"/>
    <n v="0"/>
    <n v="0"/>
    <n v="0"/>
    <n v="0"/>
    <n v="0"/>
    <n v="127600"/>
    <m/>
  </r>
  <r>
    <n v="7"/>
    <x v="30"/>
    <n v="2018"/>
    <s v="Julio"/>
    <s v="OSCADESU"/>
    <m/>
    <x v="7"/>
    <n v="471296"/>
    <n v="0"/>
    <n v="471296"/>
    <n v="0"/>
    <m/>
    <m/>
    <x v="0"/>
    <n v="24"/>
    <x v="0"/>
    <s v=""/>
    <s v="No Aplica"/>
    <n v="0"/>
    <n v="0"/>
    <n v="0"/>
    <n v="0"/>
    <n v="4"/>
    <n v="471296"/>
    <n v="0"/>
    <m/>
  </r>
  <r>
    <n v="7"/>
    <x v="30"/>
    <n v="2018"/>
    <s v="Julio"/>
    <s v="PAULESVE"/>
    <m/>
    <x v="7"/>
    <n v="46283"/>
    <n v="0"/>
    <n v="46283"/>
    <n v="0"/>
    <m/>
    <m/>
    <x v="0"/>
    <n v="24"/>
    <x v="0"/>
    <s v=""/>
    <s v="No Aplica"/>
    <n v="0"/>
    <n v="0"/>
    <n v="0"/>
    <n v="0"/>
    <n v="1"/>
    <n v="46283"/>
    <n v="0"/>
    <m/>
  </r>
  <r>
    <n v="7"/>
    <x v="30"/>
    <n v="2018"/>
    <s v="Julio"/>
    <s v="(en blanco)"/>
    <m/>
    <x v="7"/>
    <n v="-3470800"/>
    <n v="0"/>
    <n v="0"/>
    <n v="-3470800"/>
    <m/>
    <m/>
    <x v="0"/>
    <n v="24"/>
    <x v="0"/>
    <s v=""/>
    <s v="No Aplica"/>
    <n v="4"/>
    <n v="-528040"/>
    <n v="12"/>
    <n v="-2942760"/>
    <n v="0"/>
    <n v="0"/>
    <n v="0"/>
    <m/>
  </r>
  <r>
    <n v="8"/>
    <x v="31"/>
    <n v="2018"/>
    <s v="Agosto"/>
    <s v="DERLARMO"/>
    <n v="52725011"/>
    <x v="10"/>
    <n v="29502411"/>
    <n v="421200"/>
    <n v="7356956"/>
    <n v="21724255"/>
    <n v="25000000"/>
    <n v="0.86897020000000003"/>
    <x v="1"/>
    <n v="25"/>
    <x v="6"/>
    <s v="Centro"/>
    <s v="Fluctúa"/>
    <n v="74"/>
    <n v="5094853"/>
    <n v="170"/>
    <n v="14892710"/>
    <n v="96"/>
    <n v="7356956"/>
    <n v="2157892"/>
    <s v="NO"/>
  </r>
  <r>
    <n v="8"/>
    <x v="31"/>
    <n v="2018"/>
    <s v="Agosto"/>
    <s v="LOREBECR"/>
    <n v="1010207310"/>
    <x v="68"/>
    <n v="37295477"/>
    <n v="1126000"/>
    <n v="7775649"/>
    <n v="28393828"/>
    <n v="25000000"/>
    <n v="1.1357531199999999"/>
    <x v="1"/>
    <n v="25"/>
    <x v="6"/>
    <s v="Centro"/>
    <s v="Cumple"/>
    <n v="85"/>
    <n v="6763355"/>
    <n v="228"/>
    <n v="19156999"/>
    <n v="113"/>
    <n v="7775649"/>
    <n v="3599474"/>
    <s v="NO"/>
  </r>
  <r>
    <n v="8"/>
    <x v="31"/>
    <n v="2018"/>
    <s v="Agosto"/>
    <s v="RAULMOGA"/>
    <n v="79701425"/>
    <x v="27"/>
    <n v="34750453"/>
    <n v="971100"/>
    <n v="7636571"/>
    <n v="26142782"/>
    <n v="25000000"/>
    <n v="1.0457112799999999"/>
    <x v="0"/>
    <n v="25"/>
    <x v="6"/>
    <s v="Centro"/>
    <s v="No Aplica"/>
    <n v="86"/>
    <n v="6327548"/>
    <n v="218"/>
    <n v="18701417"/>
    <n v="113"/>
    <n v="7636571"/>
    <n v="2084917"/>
    <m/>
  </r>
  <r>
    <n v="8"/>
    <x v="31"/>
    <n v="2018"/>
    <s v="Agosto"/>
    <s v="PAULGOBA"/>
    <n v="32256379"/>
    <x v="36"/>
    <n v="16001471"/>
    <n v="0"/>
    <n v="3714717"/>
    <n v="12286754"/>
    <n v="42240000"/>
    <n v="0.29087959280303033"/>
    <x v="1"/>
    <n v="25"/>
    <x v="13"/>
    <s v="Antioquia"/>
    <s v="Fluctúa"/>
    <n v="38"/>
    <n v="-741190"/>
    <n v="90"/>
    <n v="-4400552"/>
    <n v="57"/>
    <n v="3714717"/>
    <n v="17428496"/>
    <s v="NO"/>
  </r>
  <r>
    <n v="8"/>
    <x v="31"/>
    <n v="2018"/>
    <s v="Agosto"/>
    <s v="VANELOBE"/>
    <n v="1128476466"/>
    <x v="74"/>
    <n v="22673072"/>
    <n v="1438200"/>
    <n v="5747892"/>
    <n v="15486980"/>
    <n v="28800000"/>
    <n v="0.53774236111111107"/>
    <x v="1"/>
    <n v="25"/>
    <x v="4"/>
    <s v="Antioquia"/>
    <s v="Fluctúa"/>
    <n v="33"/>
    <n v="3831991"/>
    <n v="86"/>
    <n v="10026527"/>
    <n v="60"/>
    <n v="5747892"/>
    <n v="3066662"/>
    <s v="NO"/>
  </r>
  <r>
    <n v="8"/>
    <x v="31"/>
    <n v="2018"/>
    <s v="Agosto"/>
    <s v="DIANPAAL"/>
    <n v="1040030764"/>
    <x v="11"/>
    <n v="49937747"/>
    <n v="910200"/>
    <n v="10135966"/>
    <n v="38891581"/>
    <n v="35000000"/>
    <n v="1.1111880285714286"/>
    <x v="1"/>
    <n v="25"/>
    <x v="7"/>
    <s v="Antioquia"/>
    <s v="Cumple"/>
    <n v="80"/>
    <n v="9501425"/>
    <n v="207"/>
    <n v="24772984"/>
    <n v="106"/>
    <n v="10135966"/>
    <n v="5527372"/>
    <s v="NO"/>
  </r>
  <r>
    <n v="8"/>
    <x v="31"/>
    <n v="2018"/>
    <s v="Agosto"/>
    <s v="JAQUVEGU"/>
    <n v="1036779770"/>
    <x v="16"/>
    <n v="20817459"/>
    <n v="1702200"/>
    <n v="5305607"/>
    <n v="13809652"/>
    <n v="14000000"/>
    <n v="0.98640371428571427"/>
    <x v="0"/>
    <n v="25"/>
    <x v="7"/>
    <s v="Antioquia"/>
    <s v="No Aplica"/>
    <n v="36"/>
    <n v="3458040"/>
    <n v="92"/>
    <n v="8928666"/>
    <n v="57"/>
    <n v="5305607"/>
    <n v="3125146"/>
    <m/>
  </r>
  <r>
    <n v="8"/>
    <x v="31"/>
    <n v="2018"/>
    <s v="Agosto"/>
    <s v="MARIOCOC"/>
    <n v="39448823"/>
    <x v="21"/>
    <n v="55788972"/>
    <n v="3247700"/>
    <n v="11087944"/>
    <n v="41453328"/>
    <n v="35000000"/>
    <n v="1.1843808"/>
    <x v="1"/>
    <n v="25"/>
    <x v="7"/>
    <s v="Antioquia"/>
    <s v="Siempre Cumple"/>
    <n v="84"/>
    <n v="9505997"/>
    <n v="256"/>
    <n v="29397502"/>
    <n v="112"/>
    <n v="11087944"/>
    <n v="5797529"/>
    <s v="NO"/>
  </r>
  <r>
    <n v="8"/>
    <x v="31"/>
    <n v="2018"/>
    <s v="Agosto"/>
    <s v="ALEXLOGR"/>
    <n v="43253531"/>
    <x v="2"/>
    <n v="35193809"/>
    <n v="630000"/>
    <n v="15950913"/>
    <n v="18612896"/>
    <n v="9800000"/>
    <n v="1.8992751020408163"/>
    <x v="1"/>
    <n v="25"/>
    <x v="2"/>
    <s v="Antioquia"/>
    <s v="Cumple"/>
    <n v="41"/>
    <n v="3774531"/>
    <n v="104"/>
    <n v="11445034"/>
    <n v="163"/>
    <n v="15950913"/>
    <n v="4023331"/>
    <s v="Inicio Vacaciones"/>
  </r>
  <r>
    <n v="8"/>
    <x v="31"/>
    <n v="2018"/>
    <s v="Agosto"/>
    <s v="LEIDPAPA"/>
    <n v="1020425089"/>
    <x v="72"/>
    <n v="49714687"/>
    <n v="1599300"/>
    <n v="11365853"/>
    <n v="36749534"/>
    <n v="36000000"/>
    <n v="1.0208203888888889"/>
    <x v="1"/>
    <n v="25"/>
    <x v="8"/>
    <s v="Antioquia"/>
    <s v="Cumple"/>
    <n v="94"/>
    <n v="10343993"/>
    <n v="238"/>
    <n v="21779970"/>
    <n v="119"/>
    <n v="11365853"/>
    <n v="6224871"/>
    <s v="NO"/>
  </r>
  <r>
    <n v="8"/>
    <x v="31"/>
    <n v="2018"/>
    <s v="Agosto"/>
    <s v="YULIRIRE"/>
    <n v="21982241"/>
    <x v="57"/>
    <n v="39244688"/>
    <n v="1886800"/>
    <n v="46283"/>
    <n v="37311605"/>
    <n v="35000000"/>
    <n v="1.066045857142857"/>
    <x v="1"/>
    <n v="25"/>
    <x v="2"/>
    <s v="Antioquia"/>
    <s v="Fluctúa"/>
    <n v="86"/>
    <n v="8715949"/>
    <n v="224"/>
    <n v="25133026"/>
    <n v="1"/>
    <n v="46283"/>
    <n v="5349430"/>
    <s v="NO"/>
  </r>
  <r>
    <n v="8"/>
    <x v="31"/>
    <n v="2018"/>
    <s v="Agosto"/>
    <s v="ADRIMOLU"/>
    <n v="43169964"/>
    <x v="1"/>
    <n v="35692101"/>
    <n v="324000"/>
    <n v="11403218"/>
    <n v="23964883"/>
    <n v="44000000"/>
    <n v="0.5446564318181818"/>
    <x v="1"/>
    <n v="25"/>
    <x v="1"/>
    <s v="Antioquia"/>
    <s v="Cumple"/>
    <n v="68"/>
    <n v="5677833"/>
    <n v="146"/>
    <n v="14994435"/>
    <n v="118"/>
    <n v="11403218"/>
    <n v="3616615"/>
    <s v="NO"/>
  </r>
  <r>
    <n v="8"/>
    <x v="31"/>
    <n v="2018"/>
    <s v="Agosto"/>
    <s v="LEIDCAOR"/>
    <n v="1020399898"/>
    <x v="71"/>
    <n v="37700401"/>
    <n v="408000"/>
    <n v="7613435"/>
    <n v="29678966"/>
    <n v="44000000"/>
    <n v="0.67452195454545449"/>
    <x v="1"/>
    <n v="25"/>
    <x v="10"/>
    <s v="Antioquia"/>
    <s v="Fluctúa"/>
    <n v="75"/>
    <n v="7137645"/>
    <n v="168"/>
    <n v="18910795"/>
    <n v="85"/>
    <n v="7613435"/>
    <n v="4038526"/>
    <s v="NO"/>
  </r>
  <r>
    <n v="8"/>
    <x v="31"/>
    <n v="2018"/>
    <s v="Agosto"/>
    <s v="LILACARA"/>
    <n v="1017141451"/>
    <x v="17"/>
    <n v="62782098"/>
    <n v="1177380"/>
    <n v="12200186"/>
    <n v="49404532"/>
    <n v="44000000"/>
    <n v="1.1228302727272728"/>
    <x v="1"/>
    <n v="25"/>
    <x v="1"/>
    <s v="Antioquia"/>
    <s v="Siempre Cumple"/>
    <n v="98"/>
    <n v="11749729"/>
    <n v="261"/>
    <n v="32276831"/>
    <n v="122"/>
    <n v="12200186"/>
    <n v="6555352"/>
    <s v="NO"/>
  </r>
  <r>
    <n v="8"/>
    <x v="31"/>
    <n v="2018"/>
    <s v="Agosto"/>
    <s v="NATAVAMO"/>
    <n v="32183069"/>
    <x v="63"/>
    <n v="48999947"/>
    <n v="221100"/>
    <n v="11943145"/>
    <n v="36835702"/>
    <n v="44000000"/>
    <n v="0.83717504545454546"/>
    <x v="1"/>
    <n v="25"/>
    <x v="1"/>
    <s v="Antioquia"/>
    <s v="No Cumple"/>
    <n v="88"/>
    <n v="8691212"/>
    <n v="210"/>
    <n v="23102778"/>
    <n v="119"/>
    <n v="11943145"/>
    <n v="5262812"/>
    <s v="NO"/>
  </r>
  <r>
    <n v="8"/>
    <x v="31"/>
    <n v="2018"/>
    <s v="Agosto"/>
    <s v="SUANHECO"/>
    <n v="1020409789"/>
    <x v="58"/>
    <n v="31113988"/>
    <n v="793800"/>
    <n v="5355728"/>
    <n v="24964460"/>
    <n v="31680000"/>
    <n v="0.78801957070707074"/>
    <x v="1"/>
    <n v="25"/>
    <x v="1"/>
    <s v="Antioquia"/>
    <s v="Cumple"/>
    <n v="56"/>
    <n v="5704898"/>
    <n v="138"/>
    <n v="15600136"/>
    <n v="58"/>
    <n v="5355728"/>
    <n v="4453226"/>
    <s v="Regreso Vacaciones"/>
  </r>
  <r>
    <n v="8"/>
    <x v="31"/>
    <n v="2018"/>
    <s v="Agosto"/>
    <s v="ZULYARGA"/>
    <n v="43259130"/>
    <x v="31"/>
    <n v="52587404"/>
    <n v="838200"/>
    <n v="14143846"/>
    <n v="37605358"/>
    <n v="44000000"/>
    <n v="0.85466722727272726"/>
    <x v="1"/>
    <n v="25"/>
    <x v="1"/>
    <s v="Antioquia"/>
    <s v="Fluctúa"/>
    <n v="90"/>
    <n v="8985981"/>
    <n v="250"/>
    <n v="23075589"/>
    <n v="146"/>
    <n v="14143846"/>
    <n v="6381988"/>
    <s v="NO"/>
  </r>
  <r>
    <n v="8"/>
    <x v="31"/>
    <n v="2018"/>
    <s v="Agosto"/>
    <s v="BIBIBECA"/>
    <n v="43971430"/>
    <x v="6"/>
    <n v="60255873"/>
    <n v="1661100"/>
    <n v="14205819"/>
    <n v="44388954"/>
    <n v="42000000"/>
    <n v="1.056879857142857"/>
    <x v="1"/>
    <n v="25"/>
    <x v="5"/>
    <s v="Antioquia"/>
    <s v="Siempre Cumple"/>
    <n v="101"/>
    <n v="10528635"/>
    <n v="278"/>
    <n v="30769336"/>
    <n v="143"/>
    <n v="14205819"/>
    <n v="4752083"/>
    <s v="NO"/>
  </r>
  <r>
    <n v="8"/>
    <x v="31"/>
    <n v="2018"/>
    <s v="Agosto"/>
    <s v="CINDGACU"/>
    <n v="1020443426"/>
    <x v="55"/>
    <n v="34704531"/>
    <n v="1936200"/>
    <n v="9101936"/>
    <n v="23666395"/>
    <n v="40040000"/>
    <n v="0.5910688061938062"/>
    <x v="1"/>
    <n v="25"/>
    <x v="4"/>
    <s v="Antioquia"/>
    <s v="Fluctúa"/>
    <n v="54"/>
    <n v="5453632"/>
    <n v="162"/>
    <n v="14599867"/>
    <n v="94"/>
    <n v="9101936"/>
    <n v="5549096"/>
    <s v="NO"/>
  </r>
  <r>
    <n v="8"/>
    <x v="31"/>
    <n v="2018"/>
    <s v="Agosto"/>
    <s v="CLAUBLAR"/>
    <n v="43554403"/>
    <x v="8"/>
    <n v="61562076"/>
    <n v="0"/>
    <n v="13402752"/>
    <n v="48159324"/>
    <n v="42000000"/>
    <n v="1.1466505714285715"/>
    <x v="1"/>
    <n v="25"/>
    <x v="5"/>
    <s v="Antioquia"/>
    <s v="Siempre Cumple"/>
    <n v="87"/>
    <n v="9608293"/>
    <n v="228"/>
    <n v="31539682"/>
    <n v="128"/>
    <n v="13402752"/>
    <n v="7011349"/>
    <s v="NO"/>
  </r>
  <r>
    <n v="8"/>
    <x v="31"/>
    <n v="2018"/>
    <s v="Agosto"/>
    <s v="HERIRORO"/>
    <n v="21428423"/>
    <x v="52"/>
    <n v="54768883"/>
    <n v="910200"/>
    <n v="11057450"/>
    <n v="42801233"/>
    <n v="42000000"/>
    <n v="1.0190769761904761"/>
    <x v="1"/>
    <n v="25"/>
    <x v="5"/>
    <s v="Antioquia"/>
    <s v="Fluctúa"/>
    <n v="106"/>
    <n v="10561102"/>
    <n v="250"/>
    <n v="25238782"/>
    <n v="112"/>
    <n v="11057450"/>
    <n v="7911549"/>
    <s v="NO"/>
  </r>
  <r>
    <n v="8"/>
    <x v="31"/>
    <n v="2018"/>
    <s v="Agosto"/>
    <s v="MARGGAPA"/>
    <n v="43866877"/>
    <x v="20"/>
    <n v="63351060"/>
    <n v="1888380"/>
    <n v="16057926"/>
    <n v="45404754"/>
    <n v="42000000"/>
    <n v="1.0810655714285715"/>
    <x v="1"/>
    <n v="25"/>
    <x v="5"/>
    <s v="Antioquia"/>
    <s v="Siempre Cumple"/>
    <n v="94"/>
    <n v="11475423"/>
    <n v="207"/>
    <n v="26863912"/>
    <n v="160"/>
    <n v="16057926"/>
    <n v="8953799"/>
    <s v="NO"/>
  </r>
  <r>
    <n v="8"/>
    <x v="31"/>
    <n v="2018"/>
    <s v="Agosto"/>
    <s v="SANDCAAC"/>
    <n v="39175639"/>
    <x v="75"/>
    <n v="46821871"/>
    <n v="1187400"/>
    <n v="10052432"/>
    <n v="35582039"/>
    <n v="42080000"/>
    <n v="0.84558077471482884"/>
    <x v="1"/>
    <n v="25"/>
    <x v="5"/>
    <s v="Antioquia"/>
    <s v="Fluctúa"/>
    <n v="86"/>
    <n v="8213043"/>
    <n v="174"/>
    <n v="18376965"/>
    <n v="100"/>
    <n v="10052432"/>
    <n v="10179431"/>
    <s v="NO"/>
  </r>
  <r>
    <n v="8"/>
    <x v="31"/>
    <n v="2018"/>
    <s v="Agosto"/>
    <s v="YENISIGI"/>
    <n v="1035913369"/>
    <x v="64"/>
    <n v="36319137"/>
    <n v="1038000"/>
    <n v="10329454"/>
    <n v="24951683"/>
    <n v="42000000"/>
    <n v="0.59408769047619048"/>
    <x v="1"/>
    <n v="25"/>
    <x v="5"/>
    <s v="Antioquia"/>
    <s v="Fluctúa"/>
    <n v="60"/>
    <n v="6145784"/>
    <n v="146"/>
    <n v="15827835"/>
    <n v="116"/>
    <n v="10329454"/>
    <n v="4016064"/>
    <s v="NO"/>
  </r>
  <r>
    <n v="8"/>
    <x v="31"/>
    <n v="2018"/>
    <s v="Agosto"/>
    <s v="NATAPIDU"/>
    <n v="43907427"/>
    <x v="25"/>
    <n v="67580505"/>
    <n v="1439370"/>
    <n v="6749635"/>
    <n v="59391500"/>
    <n v="40000000"/>
    <n v="1.4847874999999999"/>
    <x v="1"/>
    <n v="25"/>
    <x v="11"/>
    <s v="Antioquia"/>
    <s v="Siempre Cumple"/>
    <n v="66"/>
    <n v="12985259"/>
    <n v="190"/>
    <n v="39669915"/>
    <n v="67"/>
    <n v="6749635"/>
    <n v="8175696"/>
    <s v="NO"/>
  </r>
  <r>
    <n v="8"/>
    <x v="31"/>
    <n v="2018"/>
    <s v="Agosto"/>
    <s v="ALVAOSOS"/>
    <n v="3438422"/>
    <x v="37"/>
    <n v="58272760"/>
    <n v="1505390"/>
    <n v="10784154"/>
    <n v="45983216"/>
    <n v="44000000"/>
    <n v="1.0450730909090908"/>
    <x v="1"/>
    <n v="25"/>
    <x v="8"/>
    <s v="Antioquia"/>
    <s v="Fluctúa"/>
    <n v="77"/>
    <n v="7844761"/>
    <n v="194"/>
    <n v="27798566"/>
    <n v="110"/>
    <n v="10784154"/>
    <n v="11845279"/>
    <s v="NO"/>
  </r>
  <r>
    <n v="8"/>
    <x v="31"/>
    <n v="2018"/>
    <s v="Agosto"/>
    <s v="CARORAMN"/>
    <n v="1020451288"/>
    <x v="61"/>
    <n v="62996909"/>
    <n v="1170000"/>
    <n v="11809378"/>
    <n v="50017531"/>
    <n v="44000000"/>
    <n v="1.1367620681818182"/>
    <x v="1"/>
    <n v="25"/>
    <x v="8"/>
    <s v="Antioquia"/>
    <s v="Cumple"/>
    <n v="98"/>
    <n v="9872247"/>
    <n v="244"/>
    <n v="33278750"/>
    <n v="116"/>
    <n v="11809378"/>
    <n v="8036534"/>
    <s v="NO"/>
  </r>
  <r>
    <n v="8"/>
    <x v="31"/>
    <n v="2018"/>
    <s v="Agosto"/>
    <s v="DEISCACR"/>
    <n v="1017167720"/>
    <x v="50"/>
    <n v="57717338"/>
    <n v="2136390"/>
    <n v="11751807"/>
    <n v="43829141"/>
    <n v="44000000"/>
    <n v="0.99611684090909092"/>
    <x v="1"/>
    <n v="25"/>
    <x v="8"/>
    <s v="Antioquia"/>
    <s v="Cumple"/>
    <n v="94"/>
    <n v="9576648"/>
    <n v="220"/>
    <n v="26415240"/>
    <n v="123"/>
    <n v="11751807"/>
    <n v="9973643"/>
    <s v="NO"/>
  </r>
  <r>
    <n v="8"/>
    <x v="31"/>
    <n v="2018"/>
    <s v="Agosto"/>
    <s v="GENNHEPO"/>
    <n v="43874518"/>
    <x v="14"/>
    <n v="63400573"/>
    <n v="3705300"/>
    <n v="11801478"/>
    <n v="47893795"/>
    <n v="44000000"/>
    <n v="1.0884953409090909"/>
    <x v="1"/>
    <n v="25"/>
    <x v="8"/>
    <s v="Antioquia"/>
    <s v="Fluctúa"/>
    <n v="105"/>
    <n v="10175449"/>
    <n v="282"/>
    <n v="30149685"/>
    <n v="124"/>
    <n v="11801478"/>
    <n v="11273961"/>
    <s v="NO"/>
  </r>
  <r>
    <n v="8"/>
    <x v="31"/>
    <n v="2018"/>
    <s v="Agosto"/>
    <s v="LEIDGOVI"/>
    <n v="1036598360"/>
    <x v="39"/>
    <n v="28997669"/>
    <n v="324000"/>
    <n v="5927606"/>
    <n v="22746063"/>
    <n v="12320000"/>
    <n v="1.8462713474025974"/>
    <x v="1"/>
    <n v="25"/>
    <x v="8"/>
    <s v="Antioquia"/>
    <s v="Fluctúa"/>
    <n v="39"/>
    <n v="3920759"/>
    <n v="112"/>
    <n v="17039642"/>
    <n v="58"/>
    <n v="5927606"/>
    <n v="2109662"/>
    <s v="Inicio Vacaciones"/>
  </r>
  <r>
    <n v="8"/>
    <x v="31"/>
    <n v="2018"/>
    <s v="Agosto"/>
    <s v="NOREARMA"/>
    <n v="39275090"/>
    <x v="66"/>
    <n v="55564255"/>
    <n v="468000"/>
    <n v="11488107"/>
    <n v="43608148"/>
    <n v="36000000"/>
    <n v="1.2113374444444445"/>
    <x v="1"/>
    <n v="25"/>
    <x v="4"/>
    <s v="Antioquia"/>
    <s v="Siempre Cumple"/>
    <n v="84"/>
    <n v="10348479"/>
    <n v="202"/>
    <n v="29226420"/>
    <n v="111"/>
    <n v="11488107"/>
    <n v="4501249"/>
    <s v="NO"/>
  </r>
  <r>
    <n v="8"/>
    <x v="31"/>
    <n v="2018"/>
    <s v="Agosto"/>
    <s v="YENYSUPE"/>
    <n v="1020419011"/>
    <x v="51"/>
    <n v="60822018"/>
    <n v="2571300"/>
    <n v="13171340"/>
    <n v="45079378"/>
    <n v="44000000"/>
    <n v="1.0245313181818181"/>
    <x v="1"/>
    <n v="25"/>
    <x v="8"/>
    <s v="Antioquia"/>
    <s v="Cumple"/>
    <n v="90"/>
    <n v="8762316"/>
    <n v="238"/>
    <n v="26667003"/>
    <n v="130"/>
    <n v="13171340"/>
    <n v="12221359"/>
    <s v="NO"/>
  </r>
  <r>
    <n v="8"/>
    <x v="31"/>
    <n v="2018"/>
    <s v="Agosto"/>
    <s v="YURAUSVE"/>
    <n v="1020419615"/>
    <x v="56"/>
    <n v="54144891"/>
    <n v="0"/>
    <n v="10273912"/>
    <n v="43870979"/>
    <n v="42240000"/>
    <n v="1.0386121922348486"/>
    <x v="1"/>
    <n v="25"/>
    <x v="8"/>
    <s v="Antioquia"/>
    <s v="Cumple"/>
    <n v="86"/>
    <n v="8346482"/>
    <n v="234"/>
    <n v="27489262"/>
    <n v="102"/>
    <n v="10273912"/>
    <n v="8035235"/>
    <s v="NO"/>
  </r>
  <r>
    <n v="8"/>
    <x v="31"/>
    <n v="2018"/>
    <s v="Agosto"/>
    <s v="ANAMLOBE"/>
    <n v="43821410"/>
    <x v="3"/>
    <n v="76084928"/>
    <n v="792000"/>
    <n v="12964986"/>
    <n v="62327942"/>
    <n v="44000000"/>
    <n v="1.4165441363636364"/>
    <x v="1"/>
    <n v="25"/>
    <x v="3"/>
    <s v="Antioquia"/>
    <s v="Siempre Cumple"/>
    <n v="110"/>
    <n v="14808238"/>
    <n v="262"/>
    <n v="39624722"/>
    <n v="130"/>
    <n v="12964986"/>
    <n v="8686982"/>
    <s v="NO"/>
  </r>
  <r>
    <n v="8"/>
    <x v="31"/>
    <n v="2018"/>
    <s v="Agosto"/>
    <s v="DIANQUME"/>
    <n v="42164020"/>
    <x v="7"/>
    <n v="1844524"/>
    <n v="248000"/>
    <n v="0"/>
    <n v="1596524"/>
    <m/>
    <m/>
    <x v="1"/>
    <n v="25"/>
    <x v="1"/>
    <s v="Antioquia"/>
    <s v="Siempre Cumple"/>
    <n v="3"/>
    <n v="237423"/>
    <n v="10"/>
    <n v="1359101"/>
    <n v="0"/>
    <n v="0"/>
    <n v="248000"/>
    <m/>
  </r>
  <r>
    <n v="8"/>
    <x v="31"/>
    <n v="2018"/>
    <s v="Agosto"/>
    <s v="ELIZVESU"/>
    <n v="1035417626"/>
    <x v="13"/>
    <n v="76156140"/>
    <n v="2559600"/>
    <n v="15669490"/>
    <n v="57927050"/>
    <n v="44000000"/>
    <n v="1.3165238636363636"/>
    <x v="1"/>
    <n v="25"/>
    <x v="3"/>
    <s v="Antioquia"/>
    <s v="Cumple"/>
    <n v="114"/>
    <n v="13656687"/>
    <n v="270"/>
    <n v="38628957"/>
    <n v="152"/>
    <n v="15669490"/>
    <n v="8201006"/>
    <s v="NO"/>
  </r>
  <r>
    <n v="8"/>
    <x v="31"/>
    <n v="2018"/>
    <s v="Agosto"/>
    <s v="VIVIVAZA"/>
    <n v="43745952"/>
    <x v="30"/>
    <n v="81320497"/>
    <n v="2418900"/>
    <n v="15326722"/>
    <n v="63574875"/>
    <n v="44000000"/>
    <n v="1.4448835227272727"/>
    <x v="1"/>
    <n v="25"/>
    <x v="3"/>
    <s v="Antioquia"/>
    <s v="Siempre Cumple"/>
    <n v="114"/>
    <n v="13325352"/>
    <n v="289"/>
    <n v="42684788"/>
    <n v="150"/>
    <n v="14979422"/>
    <n v="10330935"/>
    <s v="NO"/>
  </r>
  <r>
    <n v="8"/>
    <x v="31"/>
    <n v="2018"/>
    <s v="Agosto"/>
    <s v="ANGEGAAR"/>
    <n v="39442617"/>
    <x v="4"/>
    <n v="23096837"/>
    <n v="0"/>
    <n v="5591884"/>
    <n v="17504953"/>
    <n v="14760000"/>
    <n v="1.1859724254742547"/>
    <x v="1"/>
    <n v="25"/>
    <x v="4"/>
    <s v="Antioquia"/>
    <s v="Cumple"/>
    <n v="31"/>
    <n v="3602327"/>
    <n v="77"/>
    <n v="10925484"/>
    <n v="52"/>
    <n v="5591884"/>
    <n v="2977142"/>
    <s v="NO"/>
  </r>
  <r>
    <n v="8"/>
    <x v="31"/>
    <n v="2018"/>
    <s v="Agosto"/>
    <s v="ERIKSAVA"/>
    <n v="1017200970"/>
    <x v="44"/>
    <n v="46621671"/>
    <n v="468000"/>
    <n v="8406566"/>
    <n v="37747105"/>
    <n v="36000000"/>
    <n v="1.0485306944444444"/>
    <x v="1"/>
    <n v="25"/>
    <x v="4"/>
    <s v="Antioquia"/>
    <s v="Cumple"/>
    <n v="76"/>
    <n v="9086207"/>
    <n v="166"/>
    <n v="22206565"/>
    <n v="88"/>
    <n v="8406566"/>
    <n v="6922333"/>
    <s v="NO"/>
  </r>
  <r>
    <n v="8"/>
    <x v="31"/>
    <n v="2018"/>
    <s v="Agosto"/>
    <s v="HISNOSPI"/>
    <n v="43114534"/>
    <x v="7"/>
    <n v="8715396"/>
    <n v="0"/>
    <n v="823723"/>
    <n v="7891673"/>
    <m/>
    <m/>
    <x v="0"/>
    <n v="25"/>
    <x v="4"/>
    <s v="Antioquia"/>
    <s v="No Aplica"/>
    <n v="20"/>
    <n v="2026250"/>
    <n v="46"/>
    <n v="4202303"/>
    <n v="9"/>
    <n v="823723"/>
    <n v="1663120"/>
    <m/>
  </r>
  <r>
    <n v="8"/>
    <x v="31"/>
    <n v="2018"/>
    <s v="Agosto"/>
    <s v="MARIMASA"/>
    <n v="43113640"/>
    <x v="34"/>
    <n v="44974828"/>
    <n v="648000"/>
    <n v="6758553"/>
    <n v="37568275"/>
    <n v="36000000"/>
    <n v="1.0435631944444443"/>
    <x v="1"/>
    <n v="25"/>
    <x v="4"/>
    <s v="Antioquia"/>
    <s v="Cumple"/>
    <n v="64"/>
    <n v="7781836"/>
    <n v="174"/>
    <n v="26632823"/>
    <n v="69"/>
    <n v="6758553"/>
    <n v="3801616"/>
    <s v="NO"/>
  </r>
  <r>
    <n v="8"/>
    <x v="31"/>
    <n v="2018"/>
    <s v="Agosto"/>
    <s v="MARIHIRO"/>
    <n v="1001131473"/>
    <x v="76"/>
    <n v="36150160"/>
    <n v="468000"/>
    <n v="8043300"/>
    <n v="27638860"/>
    <n v="36960000"/>
    <n v="0.74780465367965365"/>
    <x v="1"/>
    <n v="25"/>
    <x v="5"/>
    <s v="Antioquia"/>
    <s v="No Cumple"/>
    <n v="62"/>
    <n v="6819544"/>
    <n v="141"/>
    <n v="15723361"/>
    <n v="92"/>
    <n v="8043300"/>
    <n v="5563955"/>
    <s v="NO"/>
  </r>
  <r>
    <n v="8"/>
    <x v="31"/>
    <n v="2018"/>
    <s v="Agosto"/>
    <s v="ANDRSAZA"/>
    <n v="1020736461"/>
    <x v="45"/>
    <n v="54381564"/>
    <n v="712800"/>
    <n v="7965410"/>
    <n v="45703354"/>
    <n v="28000000"/>
    <n v="1.632262642857143"/>
    <x v="1"/>
    <n v="25"/>
    <x v="9"/>
    <s v="Centro"/>
    <s v="Siempre Cumple"/>
    <n v="92"/>
    <n v="10584045"/>
    <n v="240"/>
    <n v="31784599"/>
    <n v="110"/>
    <n v="7965410"/>
    <n v="4047510"/>
    <s v="NO"/>
  </r>
  <r>
    <n v="8"/>
    <x v="31"/>
    <n v="2018"/>
    <s v="Agosto"/>
    <s v="CAMIPUHE"/>
    <n v="79850984"/>
    <x v="53"/>
    <n v="41184101"/>
    <n v="324000"/>
    <n v="7655311"/>
    <n v="33204790"/>
    <n v="28000000"/>
    <n v="1.1858853571428571"/>
    <x v="1"/>
    <n v="25"/>
    <x v="15"/>
    <s v="Centro"/>
    <s v="Fluctúa"/>
    <n v="75"/>
    <n v="7545994"/>
    <n v="196"/>
    <n v="24515072"/>
    <n v="105"/>
    <n v="7655311"/>
    <n v="1467724"/>
    <s v="NO"/>
  </r>
  <r>
    <n v="8"/>
    <x v="31"/>
    <n v="2018"/>
    <s v="Agosto"/>
    <s v="ISABMOGO"/>
    <n v="52260671"/>
    <x v="15"/>
    <n v="41685579"/>
    <n v="993600"/>
    <n v="6392692"/>
    <n v="34299287"/>
    <n v="28000000"/>
    <n v="1.2249745357142856"/>
    <x v="1"/>
    <n v="25"/>
    <x v="9"/>
    <s v="Centro"/>
    <s v="Siempre Cumple"/>
    <n v="93"/>
    <n v="9014004"/>
    <n v="211"/>
    <n v="22251650"/>
    <n v="92"/>
    <n v="6392692"/>
    <n v="4027233"/>
    <s v="NO"/>
  </r>
  <r>
    <n v="8"/>
    <x v="31"/>
    <n v="2018"/>
    <s v="Agosto"/>
    <s v="LUZNHEGO"/>
    <n v="43745192"/>
    <x v="19"/>
    <n v="39224807"/>
    <n v="0"/>
    <n v="3871400"/>
    <n v="35353407"/>
    <n v="30000000"/>
    <n v="1.1784469"/>
    <x v="1"/>
    <n v="25"/>
    <x v="10"/>
    <s v="Antioquia"/>
    <s v="Cumple"/>
    <n v="61"/>
    <n v="9971921"/>
    <n v="180"/>
    <n v="21763193"/>
    <n v="56"/>
    <n v="3871400"/>
    <n v="3618293"/>
    <s v="NO"/>
  </r>
  <r>
    <n v="8"/>
    <x v="31"/>
    <n v="2018"/>
    <s v="Agosto"/>
    <s v="ROCIFASA"/>
    <n v="34542470"/>
    <x v="28"/>
    <n v="60692941"/>
    <n v="1407060"/>
    <n v="7245879"/>
    <n v="52040002"/>
    <n v="35000000"/>
    <n v="1.4868572"/>
    <x v="1"/>
    <n v="25"/>
    <x v="12"/>
    <s v="Occidente"/>
    <s v="Siempre Cumple"/>
    <n v="92"/>
    <n v="13736109"/>
    <n v="253"/>
    <n v="34059342"/>
    <n v="81"/>
    <n v="7245879"/>
    <n v="5651611"/>
    <s v="NO"/>
  </r>
  <r>
    <n v="8"/>
    <x v="31"/>
    <n v="2018"/>
    <s v="Agosto"/>
    <s v="MONILOSA"/>
    <n v="1095794354"/>
    <x v="69"/>
    <n v="35547657"/>
    <n v="0"/>
    <n v="1593376"/>
    <n v="33954281"/>
    <n v="9200349"/>
    <n v="3.6905427174556094"/>
    <x v="0"/>
    <n v="25"/>
    <x v="17"/>
    <s v="Occidente"/>
    <s v="No Aplica"/>
    <n v="82"/>
    <n v="8761372"/>
    <n v="208"/>
    <n v="20243274"/>
    <n v="20"/>
    <n v="1593376"/>
    <n v="4949635"/>
    <m/>
  </r>
  <r>
    <n v="8"/>
    <x v="31"/>
    <n v="2018"/>
    <s v="Agosto"/>
    <s v="ANGISEBR"/>
    <n v="1144061613"/>
    <x v="70"/>
    <n v="40381932"/>
    <n v="0"/>
    <n v="9150028"/>
    <n v="31231904"/>
    <n v="30000000"/>
    <n v="1.0410634666666667"/>
    <x v="1"/>
    <n v="25"/>
    <x v="14"/>
    <s v="Occidente"/>
    <s v="Fluctúa"/>
    <n v="63"/>
    <n v="7077319"/>
    <n v="220"/>
    <n v="21985570"/>
    <n v="98"/>
    <n v="9150028"/>
    <n v="2169015"/>
    <s v="NO"/>
  </r>
  <r>
    <n v="8"/>
    <x v="31"/>
    <n v="2018"/>
    <s v="Agosto"/>
    <s v="HEIDVAVI"/>
    <n v="1130676531"/>
    <x v="73"/>
    <n v="24104971"/>
    <n v="210600"/>
    <n v="5153890"/>
    <n v="18740481"/>
    <n v="27156176"/>
    <n v="0.69010014517507912"/>
    <x v="1"/>
    <n v="25"/>
    <x v="16"/>
    <s v="Occidente"/>
    <s v="No Cumple"/>
    <n v="31"/>
    <n v="3725140"/>
    <n v="115"/>
    <n v="14031838"/>
    <n v="56"/>
    <n v="5153890"/>
    <n v="1194103"/>
    <s v="NO"/>
  </r>
  <r>
    <n v="8"/>
    <x v="31"/>
    <n v="2018"/>
    <s v="Agosto"/>
    <s v="MONIARGI"/>
    <n v="1151951440"/>
    <x v="67"/>
    <n v="20014229"/>
    <n v="0"/>
    <n v="7031849"/>
    <n v="12982380"/>
    <n v="30000000"/>
    <n v="0.43274600000000002"/>
    <x v="0"/>
    <n v="25"/>
    <x v="16"/>
    <s v="Occidente"/>
    <s v="No Aplica"/>
    <n v="19"/>
    <n v="2591829"/>
    <n v="96"/>
    <n v="8479779"/>
    <n v="71"/>
    <n v="7031849"/>
    <n v="1910772"/>
    <m/>
  </r>
  <r>
    <n v="8"/>
    <x v="31"/>
    <n v="2018"/>
    <s v="Agosto"/>
    <s v="PAOLPACA"/>
    <n v="31445278"/>
    <x v="47"/>
    <n v="42395027"/>
    <n v="0"/>
    <n v="8840157"/>
    <n v="33554870"/>
    <n v="30000000"/>
    <n v="1.1184956666666668"/>
    <x v="1"/>
    <n v="25"/>
    <x v="14"/>
    <s v="Occidente"/>
    <s v="Cumple"/>
    <n v="64"/>
    <n v="7249828"/>
    <n v="206"/>
    <n v="23030852"/>
    <n v="81"/>
    <n v="8840157"/>
    <n v="3274190"/>
    <s v="NO"/>
  </r>
  <r>
    <n v="8"/>
    <x v="31"/>
    <n v="2018"/>
    <s v="Agosto"/>
    <s v="TATIRITR"/>
    <n v="1130597373"/>
    <x v="60"/>
    <n v="42285862"/>
    <n v="0"/>
    <n v="9252641"/>
    <n v="33033221"/>
    <n v="30000000"/>
    <n v="1.1011073666666666"/>
    <x v="1"/>
    <n v="25"/>
    <x v="16"/>
    <s v="Occidente"/>
    <s v="Fluctúa"/>
    <n v="66"/>
    <n v="7985083"/>
    <n v="208"/>
    <n v="21685239"/>
    <n v="99"/>
    <n v="9252641"/>
    <n v="3362899"/>
    <s v="NO"/>
  </r>
  <r>
    <n v="8"/>
    <x v="31"/>
    <n v="2018"/>
    <s v="Agosto"/>
    <s v="ANAKBEZA"/>
    <m/>
    <x v="7"/>
    <n v="259234"/>
    <n v="0"/>
    <n v="0"/>
    <n v="259234"/>
    <m/>
    <m/>
    <x v="0"/>
    <n v="25"/>
    <x v="0"/>
    <s v=""/>
    <s v="No Aplica"/>
    <n v="1"/>
    <n v="39285"/>
    <n v="2"/>
    <n v="219949"/>
    <n v="0"/>
    <n v="0"/>
    <n v="0"/>
    <m/>
  </r>
  <r>
    <n v="8"/>
    <x v="31"/>
    <n v="2018"/>
    <s v="Agosto"/>
    <s v="CARORICA"/>
    <m/>
    <x v="7"/>
    <n v="281438"/>
    <n v="0"/>
    <n v="0"/>
    <n v="281438"/>
    <m/>
    <m/>
    <x v="0"/>
    <n v="25"/>
    <x v="0"/>
    <s v=""/>
    <s v="No Aplica"/>
    <n v="1"/>
    <n v="128403"/>
    <n v="2"/>
    <n v="22035"/>
    <n v="0"/>
    <n v="0"/>
    <n v="131000"/>
    <m/>
  </r>
  <r>
    <n v="8"/>
    <x v="31"/>
    <n v="2018"/>
    <s v="Agosto"/>
    <s v="DANYLESE"/>
    <m/>
    <x v="7"/>
    <n v="5906690"/>
    <n v="0"/>
    <n v="3024535"/>
    <n v="2882155"/>
    <m/>
    <m/>
    <x v="0"/>
    <n v="25"/>
    <x v="0"/>
    <s v=""/>
    <s v="No Aplica"/>
    <n v="9"/>
    <n v="1366407"/>
    <n v="16"/>
    <n v="830612"/>
    <n v="33"/>
    <n v="3024535"/>
    <n v="685136"/>
    <m/>
  </r>
  <r>
    <n v="8"/>
    <x v="31"/>
    <n v="2018"/>
    <s v="Agosto"/>
    <s v="DIANPOPA"/>
    <m/>
    <x v="7"/>
    <n v="90427"/>
    <n v="0"/>
    <n v="0"/>
    <n v="90427"/>
    <m/>
    <m/>
    <x v="0"/>
    <n v="25"/>
    <x v="0"/>
    <s v=""/>
    <s v="No Aplica"/>
    <n v="1"/>
    <n v="66207"/>
    <n v="2"/>
    <n v="24220"/>
    <n v="0"/>
    <n v="0"/>
    <n v="0"/>
    <m/>
  </r>
  <r>
    <n v="8"/>
    <x v="31"/>
    <n v="2018"/>
    <s v="Agosto"/>
    <s v="MILEQUOL"/>
    <m/>
    <x v="7"/>
    <n v="5785950"/>
    <n v="0"/>
    <n v="1833257"/>
    <n v="3952693"/>
    <m/>
    <m/>
    <x v="0"/>
    <n v="25"/>
    <x v="0"/>
    <s v=""/>
    <s v="No Aplica"/>
    <n v="10"/>
    <n v="781562"/>
    <n v="20"/>
    <n v="2881930"/>
    <n v="19"/>
    <n v="1833257"/>
    <n v="289201"/>
    <m/>
  </r>
  <r>
    <n v="9"/>
    <x v="32"/>
    <n v="2018"/>
    <s v="Septiembre"/>
    <s v="DERLARMO"/>
    <n v="52725011"/>
    <x v="10"/>
    <n v="33230138"/>
    <n v="1282200"/>
    <n v="6072549"/>
    <n v="25875389"/>
    <n v="25000000"/>
    <n v="1.0350155599999999"/>
    <x v="1"/>
    <n v="25"/>
    <x v="6"/>
    <s v="Centro"/>
    <s v="Fluctúa"/>
    <n v="83"/>
    <n v="5827171"/>
    <n v="212"/>
    <n v="18948836"/>
    <n v="85"/>
    <n v="6072549"/>
    <n v="2381582"/>
    <s v="NO"/>
  </r>
  <r>
    <n v="9"/>
    <x v="32"/>
    <n v="2018"/>
    <s v="Septiembre"/>
    <s v="LOREBECR"/>
    <n v="1010207310"/>
    <x v="68"/>
    <n v="34303868"/>
    <n v="486000"/>
    <n v="7773840"/>
    <n v="26044028"/>
    <n v="25000000"/>
    <n v="1.0417611200000001"/>
    <x v="1"/>
    <n v="25"/>
    <x v="6"/>
    <s v="Centro"/>
    <s v="Cumple"/>
    <n v="76"/>
    <n v="6269008"/>
    <n v="192"/>
    <n v="18207290"/>
    <n v="110"/>
    <n v="7773840"/>
    <n v="2053730"/>
    <s v="NO"/>
  </r>
  <r>
    <n v="9"/>
    <x v="32"/>
    <n v="2018"/>
    <s v="Septiembre"/>
    <s v="RAULMOGA"/>
    <n v="79701425"/>
    <x v="27"/>
    <n v="35927610"/>
    <n v="1337400"/>
    <n v="6496771"/>
    <n v="28093439"/>
    <n v="25000000"/>
    <n v="1.1237375599999999"/>
    <x v="0"/>
    <n v="25"/>
    <x v="6"/>
    <s v="Centro"/>
    <s v="No Aplica"/>
    <n v="84"/>
    <n v="5678232"/>
    <n v="204"/>
    <n v="19641337"/>
    <n v="95"/>
    <n v="6496771"/>
    <n v="4111270"/>
    <m/>
  </r>
  <r>
    <n v="9"/>
    <x v="32"/>
    <n v="2018"/>
    <s v="Septiembre"/>
    <s v="PAULGOBA"/>
    <n v="32256379"/>
    <x v="36"/>
    <n v="54507473"/>
    <n v="0"/>
    <n v="6436493"/>
    <n v="48070980"/>
    <n v="44000000"/>
    <n v="1.0925222727272728"/>
    <x v="1"/>
    <n v="25"/>
    <x v="13"/>
    <s v="Antioquia"/>
    <s v="Fluctúa"/>
    <n v="3"/>
    <n v="214824"/>
    <n v="8"/>
    <n v="803016"/>
    <n v="79"/>
    <n v="6436493"/>
    <n v="47053140"/>
    <s v="NO"/>
  </r>
  <r>
    <n v="9"/>
    <x v="32"/>
    <n v="2018"/>
    <s v="Septiembre"/>
    <s v="VANELOBE"/>
    <n v="1128476466"/>
    <x v="74"/>
    <n v="24233471"/>
    <n v="0"/>
    <n v="686568"/>
    <n v="23546903"/>
    <n v="14080000"/>
    <n v="1.6723652698863636"/>
    <x v="1"/>
    <n v="25"/>
    <x v="4"/>
    <s v="Antioquia"/>
    <s v="Fluctúa"/>
    <n v="7"/>
    <n v="485976"/>
    <n v="28"/>
    <n v="2466006"/>
    <n v="6"/>
    <n v="686568"/>
    <n v="20594921"/>
    <s v="NO"/>
  </r>
  <r>
    <n v="9"/>
    <x v="32"/>
    <n v="2018"/>
    <s v="Septiembre"/>
    <s v="CINDGACU"/>
    <n v="1020443426"/>
    <x v="55"/>
    <n v="43802640"/>
    <n v="2754200"/>
    <n v="8593841"/>
    <n v="32454599"/>
    <n v="29480000"/>
    <n v="1.1009022727272728"/>
    <x v="1"/>
    <n v="25"/>
    <x v="4"/>
    <s v="Antioquia"/>
    <s v="Fluctúa"/>
    <n v="71"/>
    <n v="7556633"/>
    <n v="164"/>
    <n v="21126564"/>
    <n v="93"/>
    <n v="8593841"/>
    <n v="6525602"/>
    <s v="NO"/>
  </r>
  <r>
    <n v="9"/>
    <x v="32"/>
    <n v="2018"/>
    <s v="Septiembre"/>
    <s v="DIANPAAL"/>
    <n v="1040030764"/>
    <x v="11"/>
    <n v="52141747"/>
    <n v="5288350"/>
    <n v="10813616"/>
    <n v="36039781"/>
    <n v="35000000"/>
    <n v="1.0297080285714286"/>
    <x v="1"/>
    <n v="25"/>
    <x v="7"/>
    <s v="Antioquia"/>
    <s v="Cumple"/>
    <n v="75"/>
    <n v="8217296"/>
    <n v="204"/>
    <n v="24013200"/>
    <n v="110"/>
    <n v="10813616"/>
    <n v="9097635"/>
    <s v="NO"/>
  </r>
  <r>
    <n v="9"/>
    <x v="32"/>
    <n v="2018"/>
    <s v="Septiembre"/>
    <s v="MARIGOOR"/>
    <n v="1128267208"/>
    <x v="77"/>
    <n v="9520790"/>
    <n v="468000"/>
    <n v="2697167"/>
    <n v="6355623"/>
    <n v="19600000"/>
    <n v="0.32426647959183674"/>
    <x v="1"/>
    <n v="25"/>
    <x v="7"/>
    <s v="Antioquia"/>
    <s v="Fluctúa"/>
    <n v="10"/>
    <n v="1049955"/>
    <n v="30"/>
    <n v="4513622"/>
    <n v="25"/>
    <n v="2697167"/>
    <n v="1260046"/>
    <s v="NO"/>
  </r>
  <r>
    <n v="9"/>
    <x v="32"/>
    <n v="2018"/>
    <s v="Septiembre"/>
    <s v="MARIOCOC"/>
    <n v="39448823"/>
    <x v="21"/>
    <n v="57556401"/>
    <n v="3005200"/>
    <n v="11331301"/>
    <n v="43219900"/>
    <n v="35000000"/>
    <n v="1.2348542857142857"/>
    <x v="1"/>
    <n v="25"/>
    <x v="7"/>
    <s v="Antioquia"/>
    <s v="Siempre Cumple"/>
    <n v="98"/>
    <n v="11737698"/>
    <n v="231"/>
    <n v="27812114"/>
    <n v="122"/>
    <n v="11331301"/>
    <n v="6675288"/>
    <s v="NO"/>
  </r>
  <r>
    <n v="9"/>
    <x v="32"/>
    <n v="2018"/>
    <s v="Septiembre"/>
    <s v="ALEXLOGR"/>
    <n v="43253531"/>
    <x v="2"/>
    <n v="57920854"/>
    <n v="0"/>
    <n v="22106999"/>
    <n v="35813855"/>
    <n v="35000000"/>
    <n v="1.023253"/>
    <x v="1"/>
    <n v="25"/>
    <x v="2"/>
    <s v="Antioquia"/>
    <s v="Cumple"/>
    <n v="72"/>
    <n v="8192989"/>
    <n v="170"/>
    <n v="23091579"/>
    <n v="233"/>
    <n v="22106999"/>
    <n v="4529287"/>
    <s v="NO"/>
  </r>
  <r>
    <n v="9"/>
    <x v="32"/>
    <n v="2018"/>
    <s v="Septiembre"/>
    <s v="YULIRIRE"/>
    <n v="21982241"/>
    <x v="57"/>
    <n v="25994883"/>
    <n v="0"/>
    <n v="46283"/>
    <n v="25948600"/>
    <n v="35000000"/>
    <n v="0.7413885714285714"/>
    <x v="1"/>
    <n v="25"/>
    <x v="2"/>
    <s v="Antioquia"/>
    <s v="Fluctúa"/>
    <n v="56"/>
    <n v="4909682"/>
    <n v="162"/>
    <n v="17832005"/>
    <n v="1"/>
    <n v="46283"/>
    <n v="3206913"/>
    <s v="NO"/>
  </r>
  <r>
    <n v="9"/>
    <x v="32"/>
    <n v="2018"/>
    <s v="Septiembre"/>
    <s v="ADRIMOLU"/>
    <n v="43169964"/>
    <x v="1"/>
    <n v="56754592"/>
    <n v="567900"/>
    <n v="11629665"/>
    <n v="44557027"/>
    <n v="44000000"/>
    <n v="1.0126597045454546"/>
    <x v="1"/>
    <n v="25"/>
    <x v="1"/>
    <s v="Antioquia"/>
    <s v="Cumple"/>
    <n v="117"/>
    <n v="11247818"/>
    <n v="273"/>
    <n v="27804018"/>
    <n v="117"/>
    <n v="11629665"/>
    <n v="6073091"/>
    <s v="NO"/>
  </r>
  <r>
    <n v="9"/>
    <x v="32"/>
    <n v="2018"/>
    <s v="Septiembre"/>
    <s v="LILACARA"/>
    <n v="1017141451"/>
    <x v="17"/>
    <n v="35087520"/>
    <n v="1873800"/>
    <n v="8523741"/>
    <n v="24689979"/>
    <n v="19360000"/>
    <n v="1.275308832644628"/>
    <x v="1"/>
    <n v="25"/>
    <x v="1"/>
    <s v="Antioquia"/>
    <s v="Siempre Cumple"/>
    <n v="64"/>
    <n v="6312567"/>
    <n v="156"/>
    <n v="15555596"/>
    <n v="87"/>
    <n v="8523741"/>
    <n v="4695616"/>
    <s v="Inicio Vacaciones"/>
  </r>
  <r>
    <n v="9"/>
    <x v="32"/>
    <n v="2018"/>
    <s v="Septiembre"/>
    <s v="MILEQUOL"/>
    <n v="1035224144"/>
    <x v="78"/>
    <n v="29259683"/>
    <n v="783900"/>
    <n v="7060748"/>
    <n v="21415035"/>
    <n v="44000000"/>
    <n v="0.4867053409090909"/>
    <x v="1"/>
    <n v="25"/>
    <x v="10"/>
    <s v="Antioquia"/>
    <s v="Cumple"/>
    <n v="60"/>
    <n v="6001003"/>
    <n v="116"/>
    <n v="12250207"/>
    <n v="76"/>
    <n v="7060748"/>
    <n v="3947725"/>
    <s v="NO"/>
  </r>
  <r>
    <n v="9"/>
    <x v="32"/>
    <n v="2018"/>
    <s v="Septiembre"/>
    <s v="NATAVAMO"/>
    <n v="32183069"/>
    <x v="63"/>
    <n v="46920106"/>
    <n v="1260000"/>
    <n v="12362631"/>
    <n v="33297475"/>
    <n v="44000000"/>
    <n v="0.75676079545454544"/>
    <x v="1"/>
    <n v="25"/>
    <x v="1"/>
    <s v="Antioquia"/>
    <s v="No Cumple"/>
    <n v="91"/>
    <n v="7665569"/>
    <n v="239"/>
    <n v="21979537"/>
    <n v="127"/>
    <n v="12362631"/>
    <n v="4912369"/>
    <s v="NO"/>
  </r>
  <r>
    <n v="9"/>
    <x v="32"/>
    <n v="2018"/>
    <s v="Septiembre"/>
    <s v="SUANHECO"/>
    <n v="1020409789"/>
    <x v="58"/>
    <n v="61549915"/>
    <n v="1330200"/>
    <n v="13609674"/>
    <n v="46610041"/>
    <n v="44000000"/>
    <n v="1.0593191136363636"/>
    <x v="1"/>
    <n v="25"/>
    <x v="1"/>
    <s v="Antioquia"/>
    <s v="Cumple"/>
    <n v="118"/>
    <n v="13272340"/>
    <n v="252"/>
    <n v="28538664"/>
    <n v="138"/>
    <n v="13609674"/>
    <n v="6129237"/>
    <s v="NO"/>
  </r>
  <r>
    <n v="9"/>
    <x v="32"/>
    <n v="2018"/>
    <s v="Septiembre"/>
    <s v="ZULYARGA"/>
    <n v="43259130"/>
    <x v="31"/>
    <n v="62882162"/>
    <n v="222300"/>
    <n v="15421707"/>
    <n v="47238155"/>
    <n v="44000000"/>
    <n v="1.0735944318181818"/>
    <x v="1"/>
    <n v="25"/>
    <x v="1"/>
    <s v="Antioquia"/>
    <s v="Fluctúa"/>
    <n v="108"/>
    <n v="12611550"/>
    <n v="260"/>
    <n v="29009224"/>
    <n v="153"/>
    <n v="15421707"/>
    <n v="5839681"/>
    <s v="NO"/>
  </r>
  <r>
    <n v="9"/>
    <x v="32"/>
    <n v="2018"/>
    <s v="Septiembre"/>
    <s v="BIBIBECA"/>
    <n v="43971430"/>
    <x v="6"/>
    <n v="61702216"/>
    <n v="234000"/>
    <n v="17283410"/>
    <n v="44184806"/>
    <n v="42000000"/>
    <n v="1.0520191904761904"/>
    <x v="1"/>
    <n v="25"/>
    <x v="5"/>
    <s v="Antioquia"/>
    <s v="Siempre Cumple"/>
    <n v="108"/>
    <n v="9928172"/>
    <n v="274"/>
    <n v="30460981"/>
    <n v="170"/>
    <n v="17283410"/>
    <n v="4029653"/>
    <s v="NO"/>
  </r>
  <r>
    <n v="9"/>
    <x v="32"/>
    <n v="2018"/>
    <s v="Septiembre"/>
    <s v="CLAUBLAR"/>
    <n v="43554403"/>
    <x v="8"/>
    <n v="63786435"/>
    <n v="468000"/>
    <n v="15466183"/>
    <n v="47852252"/>
    <n v="42000000"/>
    <n v="1.1393393333333333"/>
    <x v="1"/>
    <n v="25"/>
    <x v="5"/>
    <s v="Antioquia"/>
    <s v="Siempre Cumple"/>
    <n v="106"/>
    <n v="11768030"/>
    <n v="238"/>
    <n v="28157803"/>
    <n v="159"/>
    <n v="15466183"/>
    <n v="8394419"/>
    <s v="NO"/>
  </r>
  <r>
    <n v="9"/>
    <x v="32"/>
    <n v="2018"/>
    <s v="Septiembre"/>
    <s v="HERIRORO"/>
    <n v="21428423"/>
    <x v="52"/>
    <n v="33792831"/>
    <n v="567000"/>
    <n v="10607262"/>
    <n v="22618569"/>
    <n v="42000000"/>
    <n v="0.53853735714285711"/>
    <x v="1"/>
    <n v="25"/>
    <x v="5"/>
    <s v="Antioquia"/>
    <s v="Fluctúa"/>
    <n v="66"/>
    <n v="5641071"/>
    <n v="151"/>
    <n v="13588384"/>
    <n v="110"/>
    <n v="10607262"/>
    <n v="3956114"/>
    <s v="NO"/>
  </r>
  <r>
    <n v="9"/>
    <x v="32"/>
    <n v="2018"/>
    <s v="Septiembre"/>
    <s v="MARGGAPA"/>
    <n v="43866877"/>
    <x v="20"/>
    <n v="59031961"/>
    <n v="1126400"/>
    <n v="13623331"/>
    <n v="44282230"/>
    <n v="42000000"/>
    <n v="1.0543388095238095"/>
    <x v="1"/>
    <n v="25"/>
    <x v="5"/>
    <s v="Antioquia"/>
    <s v="Siempre Cumple"/>
    <n v="92"/>
    <n v="10380748"/>
    <n v="246"/>
    <n v="27756883"/>
    <n v="149"/>
    <n v="13623331"/>
    <n v="7270999"/>
    <s v="NO"/>
  </r>
  <r>
    <n v="9"/>
    <x v="32"/>
    <n v="2018"/>
    <s v="Septiembre"/>
    <s v="MARIHIRO"/>
    <n v="1001131473"/>
    <x v="76"/>
    <n v="44704760"/>
    <n v="0"/>
    <n v="10982267"/>
    <n v="33722493"/>
    <n v="42000000"/>
    <n v="0.80291650000000003"/>
    <x v="1"/>
    <n v="25"/>
    <x v="5"/>
    <s v="Antioquia"/>
    <s v="No Cumple"/>
    <n v="77"/>
    <n v="7334214"/>
    <n v="170"/>
    <n v="20827799"/>
    <n v="107"/>
    <n v="10982267"/>
    <n v="5560480"/>
    <s v="NO"/>
  </r>
  <r>
    <n v="9"/>
    <x v="32"/>
    <n v="2018"/>
    <s v="Septiembre"/>
    <s v="SANDCAAC"/>
    <n v="39175639"/>
    <x v="75"/>
    <n v="54846631"/>
    <n v="923100"/>
    <n v="11701683"/>
    <n v="42221848"/>
    <n v="42000000"/>
    <n v="1.0052820952380952"/>
    <x v="1"/>
    <n v="25"/>
    <x v="5"/>
    <s v="Antioquia"/>
    <s v="Fluctúa"/>
    <n v="86"/>
    <n v="8416958"/>
    <n v="214"/>
    <n v="29517721"/>
    <n v="115"/>
    <n v="11701683"/>
    <n v="5210269"/>
    <s v="NO"/>
  </r>
  <r>
    <n v="9"/>
    <x v="32"/>
    <n v="2018"/>
    <s v="Septiembre"/>
    <s v="YENISIGI"/>
    <n v="1035913369"/>
    <x v="64"/>
    <n v="53978478"/>
    <n v="2293500"/>
    <n v="9438110"/>
    <n v="42246868"/>
    <n v="42000000"/>
    <n v="1.0058778095238095"/>
    <x v="1"/>
    <n v="25"/>
    <x v="5"/>
    <s v="Antioquia"/>
    <s v="Fluctúa"/>
    <n v="88"/>
    <n v="8102752"/>
    <n v="227"/>
    <n v="29505621"/>
    <n v="108"/>
    <n v="9438110"/>
    <n v="6931995"/>
    <s v="NO"/>
  </r>
  <r>
    <n v="9"/>
    <x v="32"/>
    <n v="2018"/>
    <s v="Septiembre"/>
    <s v="NATAPIDU"/>
    <n v="43907427"/>
    <x v="25"/>
    <n v="69138480"/>
    <n v="765990"/>
    <n v="5905706"/>
    <n v="62466784"/>
    <n v="40000000"/>
    <n v="1.5616696000000001"/>
    <x v="1"/>
    <n v="25"/>
    <x v="11"/>
    <s v="Antioquia"/>
    <s v="Siempre Cumple"/>
    <n v="73"/>
    <n v="16543237"/>
    <n v="200"/>
    <n v="39713879"/>
    <n v="64"/>
    <n v="5905706"/>
    <n v="6975658"/>
    <s v="NO"/>
  </r>
  <r>
    <n v="9"/>
    <x v="32"/>
    <n v="2018"/>
    <s v="Septiembre"/>
    <s v="ALVAOSOS"/>
    <n v="3438422"/>
    <x v="37"/>
    <n v="61592119"/>
    <n v="879200"/>
    <n v="13729218"/>
    <n v="46983701"/>
    <n v="44000000"/>
    <n v="1.0678113863636363"/>
    <x v="1"/>
    <n v="25"/>
    <x v="8"/>
    <s v="Antioquia"/>
    <s v="Fluctúa"/>
    <n v="89"/>
    <n v="9105211"/>
    <n v="211"/>
    <n v="28093025"/>
    <n v="128"/>
    <n v="13729218"/>
    <n v="10664665"/>
    <s v="NO"/>
  </r>
  <r>
    <n v="9"/>
    <x v="32"/>
    <n v="2018"/>
    <s v="Septiembre"/>
    <s v="CARORAMN"/>
    <n v="1020451288"/>
    <x v="61"/>
    <n v="56524114"/>
    <n v="1468200"/>
    <n v="10313986"/>
    <n v="44741928"/>
    <n v="44000000"/>
    <n v="1.0168619999999999"/>
    <x v="1"/>
    <n v="25"/>
    <x v="8"/>
    <s v="Antioquia"/>
    <s v="Cumple"/>
    <n v="89"/>
    <n v="8438338"/>
    <n v="214"/>
    <n v="29055820"/>
    <n v="104"/>
    <n v="10313986"/>
    <n v="8715970"/>
    <s v="NO"/>
  </r>
  <r>
    <n v="9"/>
    <x v="32"/>
    <n v="2018"/>
    <s v="Septiembre"/>
    <s v="DEISCACR"/>
    <n v="1017167720"/>
    <x v="7"/>
    <n v="3265630"/>
    <n v="0"/>
    <n v="1993327"/>
    <n v="1272303"/>
    <m/>
    <m/>
    <x v="1"/>
    <n v="25"/>
    <x v="8"/>
    <s v="Antioquia"/>
    <s v="Cumple"/>
    <n v="3"/>
    <n v="367605"/>
    <n v="8"/>
    <n v="772778"/>
    <n v="19"/>
    <n v="1993327"/>
    <n v="131920"/>
    <s v="NO"/>
  </r>
  <r>
    <n v="9"/>
    <x v="32"/>
    <n v="2018"/>
    <s v="Septiembre"/>
    <s v="GENNHEPO"/>
    <n v="43874518"/>
    <x v="14"/>
    <n v="57363222"/>
    <n v="1602000"/>
    <n v="11108927"/>
    <n v="44652295"/>
    <n v="44000000"/>
    <n v="1.0148248863636364"/>
    <x v="1"/>
    <n v="25"/>
    <x v="8"/>
    <s v="Antioquia"/>
    <s v="Fluctúa"/>
    <n v="98"/>
    <n v="9628914"/>
    <n v="256"/>
    <n v="26726648"/>
    <n v="109"/>
    <n v="11108927"/>
    <n v="9898733"/>
    <s v="NO"/>
  </r>
  <r>
    <n v="9"/>
    <x v="32"/>
    <n v="2018"/>
    <s v="Septiembre"/>
    <s v="LEIDGOVI"/>
    <n v="1036598360"/>
    <x v="39"/>
    <n v="56137447"/>
    <n v="468000"/>
    <n v="8947172"/>
    <n v="46722275"/>
    <n v="44000000"/>
    <n v="1.0618698863636364"/>
    <x v="1"/>
    <n v="25"/>
    <x v="8"/>
    <s v="Antioquia"/>
    <s v="Fluctúa"/>
    <n v="92"/>
    <n v="10890221"/>
    <n v="212"/>
    <n v="29918432"/>
    <n v="86"/>
    <n v="8947172"/>
    <n v="6381622"/>
    <s v="NO"/>
  </r>
  <r>
    <n v="9"/>
    <x v="32"/>
    <n v="2018"/>
    <s v="Septiembre"/>
    <s v="LEIDPAPA"/>
    <n v="1020425089"/>
    <x v="72"/>
    <n v="61613928"/>
    <n v="1396200"/>
    <n v="13908705"/>
    <n v="46309023"/>
    <n v="44000000"/>
    <n v="1.0524777954545455"/>
    <x v="1"/>
    <n v="25"/>
    <x v="8"/>
    <s v="Antioquia"/>
    <s v="Cumple"/>
    <n v="118"/>
    <n v="11164204"/>
    <n v="276"/>
    <n v="29269565"/>
    <n v="137"/>
    <n v="13908705"/>
    <n v="7271454"/>
    <s v="NO"/>
  </r>
  <r>
    <n v="9"/>
    <x v="32"/>
    <n v="2018"/>
    <s v="Septiembre"/>
    <s v="LEIDCAOR"/>
    <n v="1020399898"/>
    <x v="71"/>
    <n v="34343320"/>
    <n v="2646000"/>
    <n v="8084165"/>
    <n v="23613155"/>
    <n v="40480000"/>
    <n v="0.58332892786561263"/>
    <x v="1"/>
    <n v="25"/>
    <x v="10"/>
    <s v="Antioquia"/>
    <s v="Fluctúa"/>
    <n v="53"/>
    <n v="5342527"/>
    <n v="132"/>
    <n v="13202787"/>
    <n v="87"/>
    <n v="8084165"/>
    <n v="7713841"/>
    <s v="NO"/>
  </r>
  <r>
    <n v="9"/>
    <x v="32"/>
    <n v="2018"/>
    <s v="Septiembre"/>
    <s v="YENYSUPE"/>
    <n v="1020419011"/>
    <x v="51"/>
    <n v="58213229"/>
    <n v="162000"/>
    <n v="12688416"/>
    <n v="45362813"/>
    <n v="44000000"/>
    <n v="1.0309730227272726"/>
    <x v="1"/>
    <n v="25"/>
    <x v="8"/>
    <s v="Antioquia"/>
    <s v="Cumple"/>
    <n v="97"/>
    <n v="9383631"/>
    <n v="228"/>
    <n v="25955102"/>
    <n v="122"/>
    <n v="12688416"/>
    <n v="10186080"/>
    <s v="NO"/>
  </r>
  <r>
    <n v="9"/>
    <x v="32"/>
    <n v="2018"/>
    <s v="Septiembre"/>
    <s v="YURAUSVE"/>
    <n v="1020419615"/>
    <x v="56"/>
    <n v="19222963"/>
    <n v="0"/>
    <n v="3547645"/>
    <n v="15675318"/>
    <n v="14080000"/>
    <n v="1.1133038352272728"/>
    <x v="1"/>
    <n v="25"/>
    <x v="8"/>
    <s v="Antioquia"/>
    <s v="Cumple"/>
    <n v="30"/>
    <n v="2610421"/>
    <n v="80"/>
    <n v="10669086"/>
    <n v="39"/>
    <n v="3547645"/>
    <n v="2395811"/>
    <s v="Inicio Vacaciones"/>
  </r>
  <r>
    <n v="9"/>
    <x v="32"/>
    <n v="2018"/>
    <s v="Septiembre"/>
    <s v="ANAMLOBE"/>
    <n v="43821410"/>
    <x v="3"/>
    <n v="80423643"/>
    <n v="1404000"/>
    <n v="13381081"/>
    <n v="65638562"/>
    <n v="44000000"/>
    <n v="1.4917855"/>
    <x v="1"/>
    <n v="25"/>
    <x v="3"/>
    <s v="Antioquia"/>
    <s v="Siempre Cumple"/>
    <n v="131"/>
    <n v="16640829"/>
    <n v="284"/>
    <n v="40689664"/>
    <n v="131"/>
    <n v="13381081"/>
    <n v="9712069"/>
    <s v="NO"/>
  </r>
  <r>
    <n v="9"/>
    <x v="32"/>
    <n v="2018"/>
    <s v="Septiembre"/>
    <s v="ELIZVESU"/>
    <n v="1035417626"/>
    <x v="13"/>
    <n v="66078473"/>
    <n v="1885800"/>
    <n v="13005961"/>
    <n v="51186712"/>
    <n v="44000000"/>
    <n v="1.1633343636363636"/>
    <x v="1"/>
    <n v="25"/>
    <x v="3"/>
    <s v="Antioquia"/>
    <s v="Cumple"/>
    <n v="101"/>
    <n v="11726332"/>
    <n v="244"/>
    <n v="34930290"/>
    <n v="141"/>
    <n v="13005961"/>
    <n v="6415890"/>
    <s v="NO"/>
  </r>
  <r>
    <n v="9"/>
    <x v="32"/>
    <n v="2018"/>
    <s v="Septiembre"/>
    <s v="VIVIVAZA"/>
    <n v="43745952"/>
    <x v="30"/>
    <n v="88159876"/>
    <n v="1674000"/>
    <n v="18363273"/>
    <n v="68122603"/>
    <n v="44000000"/>
    <n v="1.5482409772727272"/>
    <x v="1"/>
    <n v="25"/>
    <x v="3"/>
    <s v="Antioquia"/>
    <s v="Siempre Cumple"/>
    <n v="141"/>
    <n v="14724572"/>
    <n v="326"/>
    <n v="43296207"/>
    <n v="183"/>
    <n v="18363273"/>
    <n v="11775824"/>
    <s v="NO"/>
  </r>
  <r>
    <n v="9"/>
    <x v="32"/>
    <n v="2018"/>
    <s v="Septiembre"/>
    <s v="DIANQUME"/>
    <n v="42164020"/>
    <x v="7"/>
    <n v="681441"/>
    <n v="0"/>
    <n v="0"/>
    <n v="681441"/>
    <m/>
    <m/>
    <x v="1"/>
    <n v="25"/>
    <x v="1"/>
    <s v="Antioquia"/>
    <s v="Siempre Cumple"/>
    <n v="1"/>
    <n v="316891"/>
    <n v="2"/>
    <n v="219949"/>
    <n v="0"/>
    <n v="0"/>
    <n v="144601"/>
    <m/>
  </r>
  <r>
    <n v="9"/>
    <x v="32"/>
    <n v="2018"/>
    <s v="Septiembre"/>
    <s v="ANGEGAAR"/>
    <n v="39442617"/>
    <x v="4"/>
    <n v="36506871"/>
    <n v="923100"/>
    <n v="8751767"/>
    <n v="26832004"/>
    <n v="36000000"/>
    <n v="0.74533344444444449"/>
    <x v="1"/>
    <n v="25"/>
    <x v="4"/>
    <s v="Antioquia"/>
    <s v="Cumple"/>
    <n v="59"/>
    <n v="6266642"/>
    <n v="142"/>
    <n v="17731363"/>
    <n v="93"/>
    <n v="8751767"/>
    <n v="3757099"/>
    <s v="NO"/>
  </r>
  <r>
    <n v="9"/>
    <x v="32"/>
    <n v="2018"/>
    <s v="Septiembre"/>
    <s v="ERIKSAVA"/>
    <n v="1017200970"/>
    <x v="44"/>
    <n v="46643188"/>
    <n v="243000"/>
    <n v="8928095"/>
    <n v="37472093"/>
    <n v="36000000"/>
    <n v="1.0408914722222222"/>
    <x v="1"/>
    <n v="25"/>
    <x v="4"/>
    <s v="Antioquia"/>
    <s v="Cumple"/>
    <n v="72"/>
    <n v="6762542"/>
    <n v="186"/>
    <n v="25645386"/>
    <n v="89"/>
    <n v="8928095"/>
    <n v="5307165"/>
    <s v="NO"/>
  </r>
  <r>
    <n v="9"/>
    <x v="32"/>
    <n v="2018"/>
    <s v="Septiembre"/>
    <s v="MARIMASA"/>
    <n v="43113640"/>
    <x v="34"/>
    <n v="53279263"/>
    <n v="0"/>
    <n v="10161705"/>
    <n v="43117558"/>
    <n v="36000000"/>
    <n v="1.1977099444444443"/>
    <x v="1"/>
    <n v="25"/>
    <x v="4"/>
    <s v="Antioquia"/>
    <s v="Cumple"/>
    <n v="79"/>
    <n v="8876959"/>
    <n v="208"/>
    <n v="27408158"/>
    <n v="109"/>
    <n v="10161705"/>
    <n v="6832441"/>
    <s v="NO"/>
  </r>
  <r>
    <n v="9"/>
    <x v="32"/>
    <n v="2018"/>
    <s v="Septiembre"/>
    <s v="NOREARMA"/>
    <n v="39275090"/>
    <x v="66"/>
    <n v="50286731"/>
    <n v="954000"/>
    <n v="10668786"/>
    <n v="38663945"/>
    <n v="36000000"/>
    <n v="1.0739984722222222"/>
    <x v="1"/>
    <n v="25"/>
    <x v="4"/>
    <s v="Antioquia"/>
    <s v="Siempre Cumple"/>
    <n v="75"/>
    <n v="8655470"/>
    <n v="167"/>
    <n v="27677609"/>
    <n v="106"/>
    <n v="10668786"/>
    <n v="3284866"/>
    <s v="NO"/>
  </r>
  <r>
    <n v="9"/>
    <x v="32"/>
    <n v="2018"/>
    <s v="Septiembre"/>
    <s v="HISNOSPI"/>
    <n v="43114534"/>
    <x v="7"/>
    <n v="1347799"/>
    <n v="0"/>
    <n v="0"/>
    <n v="1347799"/>
    <m/>
    <m/>
    <x v="0"/>
    <n v="25"/>
    <x v="4"/>
    <s v="Antioquia"/>
    <s v="No Aplica"/>
    <n v="4"/>
    <n v="417120"/>
    <n v="12"/>
    <n v="546291"/>
    <n v="0"/>
    <n v="0"/>
    <n v="384388"/>
    <m/>
  </r>
  <r>
    <n v="9"/>
    <x v="32"/>
    <n v="2018"/>
    <s v="Septiembre"/>
    <s v="ANDRSAZA"/>
    <n v="1020736461"/>
    <x v="45"/>
    <n v="60514611"/>
    <n v="1145100"/>
    <n v="9313035"/>
    <n v="50056476"/>
    <n v="28000000"/>
    <n v="1.7877312857142857"/>
    <x v="1"/>
    <n v="25"/>
    <x v="9"/>
    <s v="Centro"/>
    <s v="Siempre Cumple"/>
    <n v="85"/>
    <n v="9415128"/>
    <n v="267"/>
    <n v="37886876"/>
    <n v="117"/>
    <n v="9313035"/>
    <n v="3899572"/>
    <s v="NO"/>
  </r>
  <r>
    <n v="9"/>
    <x v="32"/>
    <n v="2018"/>
    <s v="Septiembre"/>
    <s v="CAMIPUHE"/>
    <n v="79850984"/>
    <x v="53"/>
    <n v="39036191"/>
    <n v="2333850"/>
    <n v="6247859"/>
    <n v="30454482"/>
    <n v="28000000"/>
    <n v="1.0876600714285714"/>
    <x v="1"/>
    <n v="25"/>
    <x v="15"/>
    <s v="Centro"/>
    <s v="Fluctúa"/>
    <n v="68"/>
    <n v="6283908"/>
    <n v="194"/>
    <n v="22203044"/>
    <n v="81"/>
    <n v="6247859"/>
    <n v="4301380"/>
    <s v="NO"/>
  </r>
  <r>
    <n v="9"/>
    <x v="32"/>
    <n v="2018"/>
    <s v="Septiembre"/>
    <s v="ISABMOGO"/>
    <n v="52260671"/>
    <x v="15"/>
    <n v="43335247"/>
    <n v="2582400"/>
    <n v="7818770"/>
    <n v="32934077"/>
    <n v="28000000"/>
    <n v="1.1762170357142858"/>
    <x v="1"/>
    <n v="25"/>
    <x v="9"/>
    <s v="Centro"/>
    <s v="Siempre Cumple"/>
    <n v="66"/>
    <n v="7180531"/>
    <n v="197"/>
    <n v="22666016"/>
    <n v="104"/>
    <n v="7818770"/>
    <n v="5669930"/>
    <s v="NO"/>
  </r>
  <r>
    <n v="9"/>
    <x v="32"/>
    <n v="2018"/>
    <s v="Septiembre"/>
    <s v="LUZNHEGO"/>
    <n v="43745192"/>
    <x v="19"/>
    <n v="39511438"/>
    <n v="0"/>
    <n v="3569771"/>
    <n v="35941667"/>
    <n v="30000000"/>
    <n v="1.1980555666666666"/>
    <x v="1"/>
    <n v="25"/>
    <x v="10"/>
    <s v="Antioquia"/>
    <s v="Cumple"/>
    <n v="56"/>
    <n v="10153828"/>
    <n v="179"/>
    <n v="22813419"/>
    <n v="51"/>
    <n v="3569771"/>
    <n v="2974420"/>
    <s v="NO"/>
  </r>
  <r>
    <n v="9"/>
    <x v="32"/>
    <n v="2018"/>
    <s v="Septiembre"/>
    <s v="ROCIFASA"/>
    <n v="34542470"/>
    <x v="28"/>
    <n v="59329892"/>
    <n v="1467720"/>
    <n v="7536559"/>
    <n v="50325613"/>
    <n v="35000000"/>
    <n v="1.4378746571428571"/>
    <x v="1"/>
    <n v="25"/>
    <x v="12"/>
    <s v="Occidente"/>
    <s v="Siempre Cumple"/>
    <n v="95"/>
    <n v="14664603"/>
    <n v="261"/>
    <n v="32808937"/>
    <n v="79"/>
    <n v="7536559"/>
    <n v="4319793"/>
    <s v="NO"/>
  </r>
  <r>
    <n v="9"/>
    <x v="32"/>
    <n v="2018"/>
    <s v="Septiembre"/>
    <s v="HEIDVAVI"/>
    <n v="1130676531"/>
    <x v="73"/>
    <n v="28823486"/>
    <n v="0"/>
    <n v="1685942"/>
    <n v="27137544"/>
    <n v="35518950"/>
    <n v="0.76403001777924173"/>
    <x v="1"/>
    <n v="25"/>
    <x v="16"/>
    <s v="Occidente"/>
    <s v="No Cumple"/>
    <n v="34"/>
    <n v="3483286"/>
    <n v="94"/>
    <n v="10269169"/>
    <n v="22"/>
    <n v="1685942"/>
    <n v="13385089"/>
    <s v="NO"/>
  </r>
  <r>
    <n v="9"/>
    <x v="32"/>
    <n v="2018"/>
    <s v="Septiembre"/>
    <s v="ANGISEBR"/>
    <n v="1144061613"/>
    <x v="70"/>
    <n v="38887810"/>
    <n v="0"/>
    <n v="9163350"/>
    <n v="29724460"/>
    <n v="30000000"/>
    <n v="0.99081533333333338"/>
    <x v="1"/>
    <n v="25"/>
    <x v="14"/>
    <s v="Occidente"/>
    <s v="Fluctúa"/>
    <n v="55"/>
    <n v="6898417"/>
    <n v="146"/>
    <n v="20213234"/>
    <n v="102"/>
    <n v="9163350"/>
    <n v="2612809"/>
    <s v="NO"/>
  </r>
  <r>
    <n v="9"/>
    <x v="32"/>
    <n v="2018"/>
    <s v="Septiembre"/>
    <s v="DANYLESE"/>
    <n v="16379021"/>
    <x v="79"/>
    <n v="28822219"/>
    <n v="221100"/>
    <n v="9054754"/>
    <n v="19546365"/>
    <n v="30000000"/>
    <n v="0.6515455"/>
    <x v="1"/>
    <n v="25"/>
    <x v="16"/>
    <s v="Occidente"/>
    <s v="Fluctúa"/>
    <n v="48"/>
    <n v="5942324"/>
    <n v="142"/>
    <n v="11933768"/>
    <n v="92"/>
    <n v="9054754"/>
    <n v="1891373"/>
    <s v="NO"/>
  </r>
  <r>
    <n v="9"/>
    <x v="32"/>
    <n v="2018"/>
    <s v="Septiembre"/>
    <s v="MONIARGI"/>
    <n v="1151951440"/>
    <x v="67"/>
    <n v="15162477"/>
    <n v="0"/>
    <n v="4775160"/>
    <n v="10387317"/>
    <n v="30000000"/>
    <n v="0.34624389999999999"/>
    <x v="0"/>
    <n v="25"/>
    <x v="16"/>
    <s v="Occidente"/>
    <s v="No Aplica"/>
    <n v="21"/>
    <n v="1883047"/>
    <n v="92"/>
    <n v="7573400"/>
    <n v="54"/>
    <n v="4775160"/>
    <n v="930870"/>
    <m/>
  </r>
  <r>
    <n v="9"/>
    <x v="32"/>
    <n v="2018"/>
    <s v="Septiembre"/>
    <s v="PAOLPACA"/>
    <n v="31445278"/>
    <x v="47"/>
    <n v="42030763"/>
    <n v="234000"/>
    <n v="9572220"/>
    <n v="32224543"/>
    <n v="30000000"/>
    <n v="1.0741514333333333"/>
    <x v="1"/>
    <n v="25"/>
    <x v="14"/>
    <s v="Occidente"/>
    <s v="Cumple"/>
    <n v="61"/>
    <n v="7628207"/>
    <n v="178"/>
    <n v="22064019"/>
    <n v="102"/>
    <n v="9572220"/>
    <n v="2766317"/>
    <s v="NO"/>
  </r>
  <r>
    <n v="9"/>
    <x v="32"/>
    <n v="2018"/>
    <s v="Septiembre"/>
    <s v="TATIRITR"/>
    <n v="1130597373"/>
    <x v="60"/>
    <n v="28319084"/>
    <n v="0"/>
    <n v="7437221"/>
    <n v="20881863"/>
    <n v="19200000"/>
    <n v="1.0875970312500001"/>
    <x v="1"/>
    <n v="25"/>
    <x v="16"/>
    <s v="Occidente"/>
    <s v="Fluctúa"/>
    <n v="40"/>
    <n v="4868712"/>
    <n v="122"/>
    <n v="14018589"/>
    <n v="83"/>
    <n v="7437221"/>
    <n v="1994562"/>
    <s v="Inicio Vacaciones"/>
  </r>
  <r>
    <n v="9"/>
    <x v="32"/>
    <n v="2018"/>
    <s v="Septiembre"/>
    <s v="ANAKBEZA"/>
    <m/>
    <x v="7"/>
    <n v="271310"/>
    <n v="0"/>
    <n v="0"/>
    <n v="271310"/>
    <m/>
    <m/>
    <x v="0"/>
    <n v="25"/>
    <x v="0"/>
    <s v=""/>
    <s v="No Aplica"/>
    <n v="0"/>
    <n v="0"/>
    <n v="2"/>
    <n v="271310"/>
    <n v="0"/>
    <n v="0"/>
    <n v="0"/>
    <m/>
  </r>
  <r>
    <n v="9"/>
    <x v="32"/>
    <n v="2018"/>
    <s v="Septiembre"/>
    <s v="CAROVABE"/>
    <m/>
    <x v="7"/>
    <n v="249130"/>
    <n v="0"/>
    <n v="0"/>
    <n v="249130"/>
    <m/>
    <m/>
    <x v="0"/>
    <n v="25"/>
    <x v="0"/>
    <s v=""/>
    <s v="No Aplica"/>
    <n v="1"/>
    <n v="77000"/>
    <n v="2"/>
    <n v="172130"/>
    <n v="0"/>
    <n v="0"/>
    <n v="0"/>
    <m/>
  </r>
  <r>
    <n v="9"/>
    <x v="32"/>
    <n v="2018"/>
    <s v="Septiembre"/>
    <s v="JAQUVEGU"/>
    <m/>
    <x v="7"/>
    <n v="825017"/>
    <n v="0"/>
    <n v="0"/>
    <n v="825017"/>
    <m/>
    <m/>
    <x v="0"/>
    <n v="25"/>
    <x v="0"/>
    <s v=""/>
    <s v="No Aplica"/>
    <n v="2"/>
    <n v="195714"/>
    <n v="4"/>
    <n v="386301"/>
    <n v="0"/>
    <n v="0"/>
    <n v="243002"/>
    <m/>
  </r>
  <r>
    <n v="9"/>
    <x v="32"/>
    <n v="2018"/>
    <s v="Septiembre"/>
    <s v="MONILOSA"/>
    <m/>
    <x v="7"/>
    <n v="2581735"/>
    <n v="0"/>
    <n v="0"/>
    <n v="2581735"/>
    <m/>
    <m/>
    <x v="0"/>
    <n v="25"/>
    <x v="0"/>
    <s v=""/>
    <s v="No Aplica"/>
    <n v="4"/>
    <n v="399326"/>
    <n v="10"/>
    <n v="1727309"/>
    <n v="0"/>
    <n v="0"/>
    <n v="455100"/>
    <m/>
  </r>
  <r>
    <n v="9"/>
    <x v="32"/>
    <n v="2018"/>
    <s v="Septiembre"/>
    <s v="OSCADESU"/>
    <m/>
    <x v="7"/>
    <n v="112660"/>
    <n v="0"/>
    <n v="112659"/>
    <n v="1"/>
    <m/>
    <m/>
    <x v="0"/>
    <n v="25"/>
    <x v="0"/>
    <s v=""/>
    <s v="No Aplica"/>
    <n v="0"/>
    <n v="0"/>
    <n v="0"/>
    <n v="0"/>
    <n v="1"/>
    <n v="112659"/>
    <n v="1"/>
    <m/>
  </r>
  <r>
    <n v="9"/>
    <x v="32"/>
    <n v="2018"/>
    <s v="Septiembre"/>
    <s v="(en blanco)"/>
    <m/>
    <x v="7"/>
    <n v="-199593"/>
    <n v="0"/>
    <n v="0"/>
    <n v="-199593"/>
    <m/>
    <m/>
    <x v="0"/>
    <n v="25"/>
    <x v="0"/>
    <s v=""/>
    <s v="No Aplica"/>
    <n v="3"/>
    <n v="-36413"/>
    <n v="6"/>
    <n v="-101536"/>
    <n v="0"/>
    <n v="0"/>
    <n v="-61644"/>
    <m/>
  </r>
  <r>
    <n v="10"/>
    <x v="33"/>
    <n v="2018"/>
    <s v="Octubre"/>
    <s v="DERLARMO"/>
    <n v="52725011"/>
    <x v="10"/>
    <n v="21209985"/>
    <n v="468000"/>
    <n v="5433002"/>
    <n v="15308983"/>
    <n v="24999988"/>
    <n v="0.61235961393261473"/>
    <x v="1"/>
    <n v="26"/>
    <x v="6"/>
    <s v="Centro"/>
    <s v="Fluctúa"/>
    <n v="43"/>
    <n v="3113725"/>
    <n v="146"/>
    <n v="11844524"/>
    <n v="72"/>
    <n v="5103202"/>
    <n v="1148534"/>
    <s v="NO"/>
  </r>
  <r>
    <n v="10"/>
    <x v="33"/>
    <n v="2018"/>
    <s v="Octubre"/>
    <s v="LOREBECR"/>
    <n v="1010207310"/>
    <x v="68"/>
    <n v="34133012"/>
    <n v="0"/>
    <n v="5713347"/>
    <n v="28419665"/>
    <n v="24999988"/>
    <n v="1.13678714565783"/>
    <x v="1"/>
    <n v="26"/>
    <x v="6"/>
    <s v="Centro"/>
    <s v="Cumple"/>
    <n v="73"/>
    <n v="5907070"/>
    <n v="174"/>
    <n v="20190485"/>
    <n v="79"/>
    <n v="5713347"/>
    <n v="2322110"/>
    <s v="NO"/>
  </r>
  <r>
    <n v="10"/>
    <x v="33"/>
    <n v="2018"/>
    <s v="Octubre"/>
    <s v="RAULMOGA"/>
    <n v="79701425"/>
    <x v="27"/>
    <n v="26385550"/>
    <n v="0"/>
    <n v="4464837"/>
    <n v="21920713"/>
    <n v="17307684"/>
    <n v="1.2665306923791768"/>
    <x v="0"/>
    <n v="26"/>
    <x v="6"/>
    <s v="Centro"/>
    <s v="No Aplica"/>
    <n v="62"/>
    <n v="4513157"/>
    <n v="156"/>
    <n v="15907917"/>
    <n v="57"/>
    <n v="4464837"/>
    <n v="1499639"/>
    <m/>
  </r>
  <r>
    <n v="10"/>
    <x v="33"/>
    <n v="2018"/>
    <s v="Octubre"/>
    <s v="PAULGOBA"/>
    <n v="32256379"/>
    <x v="36"/>
    <n v="17307163"/>
    <n v="0"/>
    <n v="3102539"/>
    <n v="14204624"/>
    <n v="13538464"/>
    <n v="1.0492049910536381"/>
    <x v="1"/>
    <n v="26"/>
    <x v="13"/>
    <s v="Antioquia"/>
    <s v="Fluctúa"/>
    <n v="4"/>
    <n v="520756"/>
    <n v="8"/>
    <n v="1387282"/>
    <n v="37"/>
    <n v="3102539"/>
    <n v="12296586"/>
    <s v="NO"/>
  </r>
  <r>
    <n v="10"/>
    <x v="33"/>
    <n v="2018"/>
    <s v="Octubre"/>
    <s v="VANELOBE"/>
    <n v="1128476466"/>
    <x v="74"/>
    <n v="27586471"/>
    <n v="1414000"/>
    <n v="3350097"/>
    <n v="22822374"/>
    <n v="13538464"/>
    <n v="1.6857432275921405"/>
    <x v="1"/>
    <n v="26"/>
    <x v="4"/>
    <s v="Antioquia"/>
    <s v="Fluctúa"/>
    <n v="9"/>
    <n v="992858"/>
    <n v="32"/>
    <n v="2865810"/>
    <n v="45"/>
    <n v="3350097"/>
    <n v="20377706"/>
    <s v="NO"/>
  </r>
  <r>
    <n v="10"/>
    <x v="33"/>
    <n v="2018"/>
    <s v="Octubre"/>
    <s v="DIANPAAL"/>
    <n v="1040030764"/>
    <x v="11"/>
    <n v="49280735"/>
    <n v="1583100"/>
    <n v="10320848"/>
    <n v="37376787"/>
    <n v="35000004"/>
    <n v="1.0679080779533625"/>
    <x v="1"/>
    <n v="26"/>
    <x v="7"/>
    <s v="Antioquia"/>
    <s v="Cumple"/>
    <n v="84"/>
    <n v="8648808"/>
    <n v="213"/>
    <n v="24980042"/>
    <n v="107"/>
    <n v="10320848"/>
    <n v="5331037"/>
    <s v="NO"/>
  </r>
  <r>
    <n v="10"/>
    <x v="33"/>
    <n v="2018"/>
    <s v="Octubre"/>
    <s v="MARIGOOR"/>
    <n v="1128267208"/>
    <x v="77"/>
    <n v="34004862"/>
    <n v="2332200"/>
    <n v="5603399"/>
    <n v="26069263"/>
    <n v="35000004"/>
    <n v="0.74483600059017141"/>
    <x v="1"/>
    <n v="26"/>
    <x v="7"/>
    <s v="Antioquia"/>
    <s v="Fluctúa"/>
    <n v="50"/>
    <n v="5419057"/>
    <n v="130"/>
    <n v="17654076"/>
    <n v="61"/>
    <n v="5603399"/>
    <n v="5328330"/>
    <s v="NO"/>
  </r>
  <r>
    <n v="10"/>
    <x v="33"/>
    <n v="2018"/>
    <s v="Octubre"/>
    <s v="MARIOCOC"/>
    <n v="39448823"/>
    <x v="21"/>
    <n v="53454327"/>
    <n v="1956000"/>
    <n v="7185799"/>
    <n v="44312528"/>
    <n v="35000004"/>
    <n v="1.2660720838774762"/>
    <x v="1"/>
    <n v="26"/>
    <x v="7"/>
    <s v="Antioquia"/>
    <s v="Siempre Cumple"/>
    <n v="92"/>
    <n v="9806587"/>
    <n v="258"/>
    <n v="31295572"/>
    <n v="82"/>
    <n v="7185799"/>
    <n v="5166369"/>
    <s v="NO"/>
  </r>
  <r>
    <n v="10"/>
    <x v="33"/>
    <n v="2018"/>
    <s v="Octubre"/>
    <s v="ALEXLOGR"/>
    <n v="43253531"/>
    <x v="2"/>
    <n v="47811892"/>
    <n v="1171100"/>
    <n v="8573861"/>
    <n v="38066931"/>
    <n v="35000004"/>
    <n v="1.0876264756998313"/>
    <x v="1"/>
    <n v="26"/>
    <x v="2"/>
    <s v="Antioquia"/>
    <s v="Cumple"/>
    <n v="85"/>
    <n v="8783526"/>
    <n v="192"/>
    <n v="24117341"/>
    <n v="89"/>
    <n v="8573861"/>
    <n v="6337164"/>
    <s v="NO"/>
  </r>
  <r>
    <n v="10"/>
    <x v="33"/>
    <n v="2018"/>
    <s v="Octubre"/>
    <s v="YULIRIRE"/>
    <n v="21982241"/>
    <x v="57"/>
    <n v="44816021"/>
    <n v="221100"/>
    <n v="6036652"/>
    <n v="38558269"/>
    <n v="35000004"/>
    <n v="1.1016647026668911"/>
    <x v="1"/>
    <n v="26"/>
    <x v="2"/>
    <s v="Antioquia"/>
    <s v="Fluctúa"/>
    <n v="83"/>
    <n v="8177361"/>
    <n v="218"/>
    <n v="26859540"/>
    <n v="68"/>
    <n v="6036652"/>
    <n v="3742468"/>
    <s v="NO"/>
  </r>
  <r>
    <n v="10"/>
    <x v="33"/>
    <n v="2018"/>
    <s v="Octubre"/>
    <s v="ADRIMOLU"/>
    <n v="43169964"/>
    <x v="1"/>
    <n v="35743053"/>
    <n v="689100"/>
    <n v="3991623"/>
    <n v="31062330"/>
    <n v="28769236"/>
    <n v="1.079706461443745"/>
    <x v="1"/>
    <n v="26"/>
    <x v="1"/>
    <s v="Antioquia"/>
    <s v="Cumple"/>
    <n v="61"/>
    <n v="5928144"/>
    <n v="161"/>
    <n v="21502373"/>
    <n v="43"/>
    <n v="3991623"/>
    <n v="4320913"/>
    <s v="NO"/>
  </r>
  <r>
    <n v="10"/>
    <x v="33"/>
    <n v="2018"/>
    <s v="Octubre"/>
    <s v="ASTRTAAR"/>
    <n v="1017191161"/>
    <x v="80"/>
    <n v="21222606"/>
    <n v="442200"/>
    <n v="4592850"/>
    <n v="16187556"/>
    <n v="13538464"/>
    <n v="1.1956715326051759"/>
    <x v="1"/>
    <n v="26"/>
    <x v="1"/>
    <s v="Antioquia"/>
    <s v="No Cumple"/>
    <n v="42"/>
    <n v="4250113"/>
    <n v="98"/>
    <n v="9425834"/>
    <n v="48"/>
    <n v="4592850"/>
    <n v="2953809"/>
    <s v="NO"/>
  </r>
  <r>
    <n v="10"/>
    <x v="33"/>
    <n v="2018"/>
    <s v="Octubre"/>
    <s v="LILACARA"/>
    <n v="1017141451"/>
    <x v="17"/>
    <n v="47790947"/>
    <n v="604200"/>
    <n v="8104372"/>
    <n v="39082375"/>
    <n v="37230776"/>
    <n v="1.0497330219493679"/>
    <x v="1"/>
    <n v="26"/>
    <x v="1"/>
    <s v="Antioquia"/>
    <s v="Siempre Cumple"/>
    <n v="78"/>
    <n v="8737901"/>
    <n v="194"/>
    <n v="26052923"/>
    <n v="80"/>
    <n v="8104372"/>
    <n v="4895751"/>
    <s v="Regreso Vacaciones"/>
  </r>
  <r>
    <n v="10"/>
    <x v="33"/>
    <n v="2018"/>
    <s v="Octubre"/>
    <s v="LIZEGASA"/>
    <n v="1128442101"/>
    <x v="81"/>
    <n v="22500319"/>
    <n v="140000"/>
    <n v="5065161"/>
    <n v="17295158"/>
    <n v="37230776"/>
    <n v="0.46453928330690719"/>
    <x v="1"/>
    <n v="26"/>
    <x v="10"/>
    <s v="Antioquia"/>
    <s v="Fluctúa"/>
    <n v="37"/>
    <n v="3799196"/>
    <n v="104"/>
    <n v="11479713"/>
    <n v="55"/>
    <n v="5065161"/>
    <n v="2156249"/>
    <s v="NO"/>
  </r>
  <r>
    <n v="10"/>
    <x v="33"/>
    <n v="2018"/>
    <s v="Octubre"/>
    <s v="SUANHECO"/>
    <n v="1020409789"/>
    <x v="58"/>
    <n v="55981504"/>
    <n v="468000"/>
    <n v="10577122"/>
    <n v="44936382"/>
    <n v="44000008"/>
    <n v="1.0212812234034139"/>
    <x v="1"/>
    <n v="26"/>
    <x v="1"/>
    <s v="Antioquia"/>
    <s v="Cumple"/>
    <n v="90"/>
    <n v="9028166"/>
    <n v="244"/>
    <n v="29432531"/>
    <n v="112"/>
    <n v="10577122"/>
    <n v="6943685"/>
    <s v="NO"/>
  </r>
  <r>
    <n v="10"/>
    <x v="33"/>
    <n v="2018"/>
    <s v="Octubre"/>
    <s v="ZULYARGA"/>
    <n v="43259130"/>
    <x v="31"/>
    <n v="24205093"/>
    <n v="648000"/>
    <n v="3582301"/>
    <n v="19974792"/>
    <n v="13538464"/>
    <n v="1.4754105044708175"/>
    <x v="1"/>
    <n v="26"/>
    <x v="1"/>
    <s v="Antioquia"/>
    <s v="Fluctúa"/>
    <n v="54"/>
    <n v="5190641"/>
    <n v="120"/>
    <n v="11442269"/>
    <n v="35"/>
    <n v="3582301"/>
    <n v="3989882"/>
    <s v="NO"/>
  </r>
  <r>
    <n v="10"/>
    <x v="33"/>
    <n v="2018"/>
    <s v="Octubre"/>
    <s v="BIBIBECA"/>
    <n v="43971430"/>
    <x v="6"/>
    <n v="59719491"/>
    <n v="1094100"/>
    <n v="13533361"/>
    <n v="45092030"/>
    <n v="37153855"/>
    <n v="1.2136568331872963"/>
    <x v="1"/>
    <n v="26"/>
    <x v="5"/>
    <s v="Antioquia"/>
    <s v="Siempre Cumple"/>
    <n v="100"/>
    <n v="10941505"/>
    <n v="276"/>
    <n v="30274179"/>
    <n v="127"/>
    <n v="13533361"/>
    <n v="4970446"/>
    <s v="Inicio Vacaciones"/>
  </r>
  <r>
    <n v="10"/>
    <x v="33"/>
    <n v="2018"/>
    <s v="Octubre"/>
    <s v="CLAUBLAR"/>
    <n v="43554403"/>
    <x v="8"/>
    <n v="61840803"/>
    <n v="1963200"/>
    <n v="10868367"/>
    <n v="49009236"/>
    <n v="42000010"/>
    <n v="1.1668862935985016"/>
    <x v="1"/>
    <n v="26"/>
    <x v="5"/>
    <s v="Antioquia"/>
    <s v="Siempre Cumple"/>
    <n v="102"/>
    <n v="11011276"/>
    <n v="232"/>
    <n v="29105028"/>
    <n v="113"/>
    <n v="10868367"/>
    <n v="10856132"/>
    <s v="NO"/>
  </r>
  <r>
    <n v="10"/>
    <x v="33"/>
    <n v="2018"/>
    <s v="Octubre"/>
    <s v="HERIRORO"/>
    <n v="21428423"/>
    <x v="52"/>
    <n v="57124175"/>
    <n v="1512240"/>
    <n v="10489750"/>
    <n v="45122185"/>
    <n v="42000010"/>
    <n v="1.0743374823005996"/>
    <x v="1"/>
    <n v="26"/>
    <x v="5"/>
    <s v="Antioquia"/>
    <s v="Fluctúa"/>
    <n v="119"/>
    <n v="10271226"/>
    <n v="280"/>
    <n v="28936117"/>
    <n v="106"/>
    <n v="10489750"/>
    <n v="7427082"/>
    <s v="NO"/>
  </r>
  <r>
    <n v="10"/>
    <x v="33"/>
    <n v="2018"/>
    <s v="Octubre"/>
    <s v="MARGGAPA"/>
    <n v="43866877"/>
    <x v="20"/>
    <n v="58849348"/>
    <n v="1365300"/>
    <n v="11222938"/>
    <n v="46261110"/>
    <n v="42000010"/>
    <n v="1.1014547377488719"/>
    <x v="1"/>
    <n v="26"/>
    <x v="5"/>
    <s v="Antioquia"/>
    <s v="Siempre Cumple"/>
    <n v="95"/>
    <n v="10834984"/>
    <n v="233"/>
    <n v="28939585"/>
    <n v="118"/>
    <n v="11222938"/>
    <n v="7851841"/>
    <s v="NO"/>
  </r>
  <r>
    <n v="10"/>
    <x v="33"/>
    <n v="2018"/>
    <s v="Octubre"/>
    <s v="MARIHIRO"/>
    <n v="1001131473"/>
    <x v="76"/>
    <n v="56518550"/>
    <n v="1617300"/>
    <n v="10025565"/>
    <n v="44875685"/>
    <n v="42000010"/>
    <n v="1.0684684360789438"/>
    <x v="1"/>
    <n v="26"/>
    <x v="5"/>
    <s v="Antioquia"/>
    <s v="No Cumple"/>
    <n v="92"/>
    <n v="10602683"/>
    <n v="236"/>
    <n v="27595138"/>
    <n v="109"/>
    <n v="10025565"/>
    <n v="8295164"/>
    <s v="NO"/>
  </r>
  <r>
    <n v="10"/>
    <x v="33"/>
    <n v="2018"/>
    <s v="Octubre"/>
    <s v="NATAVAMO"/>
    <n v="32183069"/>
    <x v="63"/>
    <n v="49367957"/>
    <n v="2278200"/>
    <n v="10086185"/>
    <n v="37003572"/>
    <n v="43769239"/>
    <n v="0.84542415736311982"/>
    <x v="1"/>
    <n v="26"/>
    <x v="1"/>
    <s v="Antioquia"/>
    <s v="No Cumple"/>
    <n v="91"/>
    <n v="8384997"/>
    <n v="242"/>
    <n v="23154419"/>
    <n v="89"/>
    <n v="10086185"/>
    <n v="7742356"/>
    <s v="NO"/>
  </r>
  <r>
    <n v="10"/>
    <x v="33"/>
    <n v="2018"/>
    <s v="Octubre"/>
    <s v="SANDCAAC"/>
    <n v="39175639"/>
    <x v="75"/>
    <n v="42995030"/>
    <n v="1357700"/>
    <n v="9055769"/>
    <n v="32581561"/>
    <n v="42000010"/>
    <n v="0.77575126767826963"/>
    <x v="1"/>
    <n v="26"/>
    <x v="5"/>
    <s v="Antioquia"/>
    <s v="Fluctúa"/>
    <n v="78"/>
    <n v="8044941"/>
    <n v="180"/>
    <n v="19990649"/>
    <n v="95"/>
    <n v="9055769"/>
    <n v="5903671"/>
    <s v="NO"/>
  </r>
  <r>
    <n v="10"/>
    <x v="33"/>
    <n v="2018"/>
    <s v="Octubre"/>
    <s v="YENISIGI"/>
    <n v="1035913369"/>
    <x v="64"/>
    <n v="37455127"/>
    <n v="1026000"/>
    <n v="9606197"/>
    <n v="26822930"/>
    <n v="42000010"/>
    <n v="0.63864103841880038"/>
    <x v="1"/>
    <n v="26"/>
    <x v="5"/>
    <s v="Antioquia"/>
    <s v="Fluctúa"/>
    <n v="68"/>
    <n v="5647181"/>
    <n v="170"/>
    <n v="17552147"/>
    <n v="101"/>
    <n v="9606197"/>
    <n v="4649602"/>
    <s v="NO"/>
  </r>
  <r>
    <n v="10"/>
    <x v="33"/>
    <n v="2018"/>
    <s v="Octubre"/>
    <s v="NATAPIDU"/>
    <n v="43907427"/>
    <x v="25"/>
    <n v="41714539"/>
    <n v="198990"/>
    <n v="5190239"/>
    <n v="36325310"/>
    <n v="16923082"/>
    <n v="2.1464949469606069"/>
    <x v="1"/>
    <n v="26"/>
    <x v="11"/>
    <s v="Antioquia"/>
    <s v="Siempre Cumple"/>
    <n v="35"/>
    <n v="6589068"/>
    <n v="128"/>
    <n v="24707596"/>
    <n v="53"/>
    <n v="5190239"/>
    <n v="5227636"/>
    <s v="Inicio Vacaciones"/>
  </r>
  <r>
    <n v="10"/>
    <x v="33"/>
    <n v="2018"/>
    <s v="Octubre"/>
    <s v="ALVAOSOS"/>
    <n v="3438422"/>
    <x v="37"/>
    <n v="58379443"/>
    <n v="799800"/>
    <n v="9863462"/>
    <n v="47716181"/>
    <n v="44000008"/>
    <n v="1.0844584619166433"/>
    <x v="1"/>
    <n v="26"/>
    <x v="8"/>
    <s v="Antioquia"/>
    <s v="Fluctúa"/>
    <n v="87"/>
    <n v="9326376"/>
    <n v="220"/>
    <n v="28479585"/>
    <n v="96"/>
    <n v="9863462"/>
    <n v="10710020"/>
    <s v="NO"/>
  </r>
  <r>
    <n v="10"/>
    <x v="33"/>
    <n v="2018"/>
    <s v="Octubre"/>
    <s v="CARORAMN"/>
    <n v="1020451288"/>
    <x v="61"/>
    <n v="57313112"/>
    <n v="864000"/>
    <n v="9267204"/>
    <n v="47181908"/>
    <n v="44000008"/>
    <n v="1.0723158959425643"/>
    <x v="1"/>
    <n v="26"/>
    <x v="8"/>
    <s v="Antioquia"/>
    <s v="Cumple"/>
    <n v="96"/>
    <n v="9793883"/>
    <n v="256"/>
    <n v="28723179"/>
    <n v="96"/>
    <n v="9267204"/>
    <n v="9528846"/>
    <s v="NO"/>
  </r>
  <r>
    <n v="10"/>
    <x v="33"/>
    <n v="2018"/>
    <s v="Octubre"/>
    <s v="CINDGACU"/>
    <n v="1020443426"/>
    <x v="55"/>
    <n v="16957780"/>
    <n v="442200"/>
    <n v="1653656"/>
    <n v="14861924"/>
    <n v="25384620"/>
    <n v="0.58546962688431026"/>
    <x v="1"/>
    <n v="26"/>
    <x v="4"/>
    <s v="Antioquia"/>
    <s v="Fluctúa"/>
    <n v="37"/>
    <n v="3796539"/>
    <n v="88"/>
    <n v="9672940"/>
    <n v="16"/>
    <n v="1653656"/>
    <n v="1834645"/>
    <s v="Inicio Vacaciones"/>
  </r>
  <r>
    <n v="10"/>
    <x v="33"/>
    <n v="2018"/>
    <s v="Octubre"/>
    <s v="GENNHEPO"/>
    <n v="43874518"/>
    <x v="14"/>
    <n v="58592700"/>
    <n v="3742200"/>
    <n v="9754591"/>
    <n v="45095909"/>
    <n v="44000008"/>
    <n v="1.0249068363805751"/>
    <x v="1"/>
    <n v="26"/>
    <x v="8"/>
    <s v="Antioquia"/>
    <s v="Fluctúa"/>
    <n v="100"/>
    <n v="9755973"/>
    <n v="254"/>
    <n v="27976834"/>
    <n v="96"/>
    <n v="9647062"/>
    <n v="11212831"/>
    <s v="NO"/>
  </r>
  <r>
    <n v="10"/>
    <x v="33"/>
    <n v="2018"/>
    <s v="Octubre"/>
    <s v="LEIDGOVI"/>
    <n v="1036598360"/>
    <x v="39"/>
    <n v="57116544"/>
    <n v="766200"/>
    <n v="8684376"/>
    <n v="47665968"/>
    <n v="44000008"/>
    <n v="1.0833172575786805"/>
    <x v="1"/>
    <n v="26"/>
    <x v="8"/>
    <s v="Antioquia"/>
    <s v="Fluctúa"/>
    <n v="84"/>
    <n v="10889959"/>
    <n v="233"/>
    <n v="29735079"/>
    <n v="90"/>
    <n v="8684376"/>
    <n v="7807130"/>
    <s v="NO"/>
  </r>
  <r>
    <n v="10"/>
    <x v="33"/>
    <n v="2018"/>
    <s v="Octubre"/>
    <s v="LEIDPAPA"/>
    <n v="1020425089"/>
    <x v="72"/>
    <n v="61566824"/>
    <n v="887250"/>
    <n v="13463033"/>
    <n v="47216541"/>
    <n v="44000008"/>
    <n v="1.0731030094358165"/>
    <x v="1"/>
    <n v="26"/>
    <x v="8"/>
    <s v="Antioquia"/>
    <s v="Cumple"/>
    <n v="109"/>
    <n v="9751195"/>
    <n v="308"/>
    <n v="31575564"/>
    <n v="133"/>
    <n v="13463033"/>
    <n v="6777032"/>
    <s v="NO"/>
  </r>
  <r>
    <n v="10"/>
    <x v="33"/>
    <n v="2018"/>
    <s v="Octubre"/>
    <s v="YENYSUPE"/>
    <n v="1020419011"/>
    <x v="51"/>
    <n v="59490430"/>
    <n v="1067100"/>
    <n v="11476366"/>
    <n v="46946964"/>
    <n v="44000008"/>
    <n v="1.0669762605497708"/>
    <x v="1"/>
    <n v="26"/>
    <x v="8"/>
    <s v="Antioquia"/>
    <s v="Cumple"/>
    <n v="99"/>
    <n v="9047905"/>
    <n v="218"/>
    <n v="29219725"/>
    <n v="112"/>
    <n v="11476366"/>
    <n v="9746434"/>
    <s v="NO"/>
  </r>
  <r>
    <n v="10"/>
    <x v="33"/>
    <n v="2018"/>
    <s v="Octubre"/>
    <s v="YURAUSVE"/>
    <n v="1020419615"/>
    <x v="56"/>
    <n v="72312305"/>
    <n v="486000"/>
    <n v="10158544"/>
    <n v="61667761"/>
    <n v="41692318"/>
    <n v="1.4791156730599628"/>
    <x v="1"/>
    <n v="26"/>
    <x v="8"/>
    <s v="Antioquia"/>
    <s v="Cumple"/>
    <n v="84"/>
    <n v="12304915"/>
    <n v="234"/>
    <n v="40668077"/>
    <n v="98"/>
    <n v="10158544"/>
    <n v="9180769"/>
    <s v="NO"/>
  </r>
  <r>
    <n v="10"/>
    <x v="33"/>
    <n v="2018"/>
    <s v="Octubre"/>
    <s v="ANAMLOBE"/>
    <n v="43821410"/>
    <x v="3"/>
    <n v="88790448"/>
    <n v="1971000"/>
    <n v="12864079"/>
    <n v="73955369"/>
    <n v="44000008"/>
    <n v="1.6808035353084481"/>
    <x v="1"/>
    <n v="26"/>
    <x v="3"/>
    <s v="Antioquia"/>
    <s v="Siempre Cumple"/>
    <n v="113"/>
    <n v="14716650"/>
    <n v="292"/>
    <n v="49326483"/>
    <n v="115"/>
    <n v="11385179"/>
    <n v="13362136"/>
    <s v="NO"/>
  </r>
  <r>
    <n v="10"/>
    <x v="33"/>
    <n v="2018"/>
    <s v="Octubre"/>
    <s v="ELIZVESU"/>
    <n v="1035417626"/>
    <x v="13"/>
    <n v="74550137"/>
    <n v="2009400"/>
    <n v="11827552"/>
    <n v="60713185"/>
    <n v="44000008"/>
    <n v="1.3798448627554796"/>
    <x v="1"/>
    <n v="26"/>
    <x v="3"/>
    <s v="Antioquia"/>
    <s v="Cumple"/>
    <n v="107"/>
    <n v="13764024"/>
    <n v="268"/>
    <n v="41582945"/>
    <n v="124"/>
    <n v="11827552"/>
    <n v="7375616"/>
    <s v="NO"/>
  </r>
  <r>
    <n v="10"/>
    <x v="33"/>
    <n v="2018"/>
    <s v="Octubre"/>
    <s v="VIVIVAZA"/>
    <n v="43745952"/>
    <x v="30"/>
    <n v="73440772"/>
    <n v="1764000"/>
    <n v="11599549"/>
    <n v="60077223"/>
    <n v="44000008"/>
    <n v="1.3653911835652393"/>
    <x v="1"/>
    <n v="26"/>
    <x v="3"/>
    <s v="Antioquia"/>
    <s v="Siempre Cumple"/>
    <n v="116"/>
    <n v="13902282"/>
    <n v="268"/>
    <n v="38258652"/>
    <n v="114"/>
    <n v="11206949"/>
    <n v="10072889"/>
    <s v="NO"/>
  </r>
  <r>
    <n v="10"/>
    <x v="33"/>
    <n v="2018"/>
    <s v="Octubre"/>
    <s v="ANGEGAAR"/>
    <n v="39442617"/>
    <x v="4"/>
    <n v="26940269"/>
    <n v="0"/>
    <n v="5046422"/>
    <n v="21893847"/>
    <n v="14358457"/>
    <n v="1.5248049981972296"/>
    <x v="1"/>
    <n v="26"/>
    <x v="4"/>
    <s v="Antioquia"/>
    <s v="Cumple"/>
    <n v="38"/>
    <n v="4614568"/>
    <n v="102"/>
    <n v="13521364"/>
    <n v="44"/>
    <n v="5046422"/>
    <n v="3757915"/>
    <s v="NO"/>
  </r>
  <r>
    <n v="10"/>
    <x v="33"/>
    <n v="2018"/>
    <s v="Octubre"/>
    <s v="ERIKSAVA"/>
    <n v="1017200970"/>
    <x v="44"/>
    <n v="45691102"/>
    <n v="2030100"/>
    <n v="6384226"/>
    <n v="37276776"/>
    <n v="35999990"/>
    <n v="1.0354662876295244"/>
    <x v="1"/>
    <n v="26"/>
    <x v="4"/>
    <s v="Antioquia"/>
    <s v="Cumple"/>
    <n v="82"/>
    <n v="7946718"/>
    <n v="174"/>
    <n v="23255007"/>
    <n v="70"/>
    <n v="6384226"/>
    <n v="8105151"/>
    <s v="NO"/>
  </r>
  <r>
    <n v="10"/>
    <x v="33"/>
    <n v="2018"/>
    <s v="Octubre"/>
    <s v="MARIMASA"/>
    <n v="43113640"/>
    <x v="34"/>
    <n v="46719046"/>
    <n v="2048100"/>
    <n v="6417187"/>
    <n v="38253759"/>
    <n v="35999990"/>
    <n v="1.0626047118346422"/>
    <x v="1"/>
    <n v="26"/>
    <x v="4"/>
    <s v="Antioquia"/>
    <s v="Cumple"/>
    <n v="80"/>
    <n v="8990252"/>
    <n v="204"/>
    <n v="23475150"/>
    <n v="67"/>
    <n v="6417187"/>
    <n v="7836457"/>
    <s v="NO"/>
  </r>
  <r>
    <n v="10"/>
    <x v="33"/>
    <n v="2018"/>
    <s v="Octubre"/>
    <s v="NOREARMA"/>
    <n v="39275090"/>
    <x v="66"/>
    <n v="51771331"/>
    <n v="421200"/>
    <n v="7875103"/>
    <n v="43475028"/>
    <n v="35999990"/>
    <n v="1.2076400021222229"/>
    <x v="1"/>
    <n v="26"/>
    <x v="4"/>
    <s v="Antioquia"/>
    <s v="Siempre Cumple"/>
    <n v="73"/>
    <n v="8923189"/>
    <n v="180"/>
    <n v="30628542"/>
    <n v="83"/>
    <n v="7875103"/>
    <n v="4344497"/>
    <s v="NO"/>
  </r>
  <r>
    <n v="10"/>
    <x v="33"/>
    <n v="2018"/>
    <s v="Octubre"/>
    <s v="VIVIRUAL"/>
    <n v="32352312"/>
    <x v="82"/>
    <n v="24007981"/>
    <n v="0"/>
    <n v="4513718"/>
    <n v="19494263"/>
    <n v="35999990"/>
    <n v="0.54150745597429328"/>
    <x v="1"/>
    <n v="26"/>
    <x v="4"/>
    <s v="Antioquia"/>
    <s v="No Cumple"/>
    <n v="45"/>
    <n v="5240267"/>
    <n v="104"/>
    <n v="11941673"/>
    <n v="46"/>
    <n v="4513718"/>
    <n v="2312323"/>
    <s v="NO"/>
  </r>
  <r>
    <n v="10"/>
    <x v="33"/>
    <n v="2018"/>
    <s v="Octubre"/>
    <s v="ANDRSAZA"/>
    <n v="1020736461"/>
    <x v="45"/>
    <n v="66397880"/>
    <n v="1311000"/>
    <n v="8465944"/>
    <n v="56620936"/>
    <n v="27999998"/>
    <n v="2.0221764301554592"/>
    <x v="1"/>
    <n v="26"/>
    <x v="9"/>
    <s v="Centro"/>
    <s v="Siempre Cumple"/>
    <n v="108"/>
    <n v="11582565"/>
    <n v="308"/>
    <n v="41806912"/>
    <n v="104"/>
    <n v="8465944"/>
    <n v="4542459"/>
    <s v="NO"/>
  </r>
  <r>
    <n v="10"/>
    <x v="33"/>
    <n v="2018"/>
    <s v="Octubre"/>
    <s v="CAMIPUHE"/>
    <n v="79850984"/>
    <x v="53"/>
    <n v="37261371"/>
    <n v="1741200"/>
    <n v="6866469"/>
    <n v="28653702"/>
    <n v="27999998"/>
    <n v="1.0233465730961837"/>
    <x v="1"/>
    <n v="26"/>
    <x v="15"/>
    <s v="Centro"/>
    <s v="Fluctúa"/>
    <n v="60"/>
    <n v="5895999"/>
    <n v="166"/>
    <n v="19887938"/>
    <n v="83"/>
    <n v="6866469"/>
    <n v="4610965"/>
    <s v="NO"/>
  </r>
  <r>
    <n v="10"/>
    <x v="33"/>
    <n v="2018"/>
    <s v="Octubre"/>
    <s v="ISABMOGO"/>
    <n v="52260671"/>
    <x v="15"/>
    <n v="47343624"/>
    <n v="2240400"/>
    <n v="7602709"/>
    <n v="37500515"/>
    <n v="27999998"/>
    <n v="1.3393042028074431"/>
    <x v="1"/>
    <n v="26"/>
    <x v="9"/>
    <s v="Centro"/>
    <s v="Siempre Cumple"/>
    <n v="81"/>
    <n v="8677455"/>
    <n v="209"/>
    <n v="24446498"/>
    <n v="89"/>
    <n v="7602709"/>
    <n v="6616962"/>
    <s v="NO"/>
  </r>
  <r>
    <n v="10"/>
    <x v="33"/>
    <n v="2018"/>
    <s v="Octubre"/>
    <s v="LUZNHEGO"/>
    <n v="43745192"/>
    <x v="19"/>
    <n v="40397919"/>
    <n v="0"/>
    <n v="3822408"/>
    <n v="36575511"/>
    <n v="29999996"/>
    <n v="1.2191838625578484"/>
    <x v="1"/>
    <n v="26"/>
    <x v="10"/>
    <s v="Antioquia"/>
    <s v="Cumple"/>
    <n v="64"/>
    <n v="9817652"/>
    <n v="160"/>
    <n v="24350767"/>
    <n v="52"/>
    <n v="3822408"/>
    <n v="2407092"/>
    <s v="NO"/>
  </r>
  <r>
    <n v="10"/>
    <x v="33"/>
    <n v="2018"/>
    <s v="Octubre"/>
    <s v="ROCIFASA"/>
    <n v="34542470"/>
    <x v="28"/>
    <n v="79243612"/>
    <n v="2957049"/>
    <n v="5647425"/>
    <n v="70639138"/>
    <n v="43470147"/>
    <n v="1.6250034305151992"/>
    <x v="1"/>
    <n v="26"/>
    <x v="12"/>
    <s v="Occidente"/>
    <s v="Siempre Cumple"/>
    <n v="150"/>
    <n v="22543160"/>
    <n v="335"/>
    <n v="45407542"/>
    <n v="67"/>
    <n v="5647425"/>
    <n v="5645485"/>
    <s v="NO"/>
  </r>
  <r>
    <n v="10"/>
    <x v="33"/>
    <n v="2018"/>
    <s v="Octubre"/>
    <s v="HEIDVAVI"/>
    <n v="1130676531"/>
    <x v="73"/>
    <n v="52535166"/>
    <n v="0"/>
    <n v="1247608"/>
    <n v="51287558"/>
    <n v="50788008"/>
    <n v="1.0098359833289781"/>
    <x v="1"/>
    <n v="26"/>
    <x v="16"/>
    <s v="Occidente"/>
    <s v="No Cumple"/>
    <n v="134"/>
    <n v="12514908"/>
    <n v="292"/>
    <n v="30513272"/>
    <n v="14"/>
    <n v="1247608"/>
    <n v="8259378"/>
    <s v="NO"/>
  </r>
  <r>
    <n v="10"/>
    <x v="33"/>
    <n v="2018"/>
    <s v="Octubre"/>
    <s v="ANGISEBR"/>
    <n v="1144061613"/>
    <x v="70"/>
    <n v="39673751"/>
    <n v="0"/>
    <n v="8054025"/>
    <n v="31619726"/>
    <n v="29999996"/>
    <n v="1.053991007198801"/>
    <x v="1"/>
    <n v="26"/>
    <x v="14"/>
    <s v="Occidente"/>
    <s v="Fluctúa"/>
    <n v="65"/>
    <n v="6867834"/>
    <n v="204"/>
    <n v="21119080"/>
    <n v="89"/>
    <n v="8054025"/>
    <n v="3632812"/>
    <s v="NO"/>
  </r>
  <r>
    <n v="10"/>
    <x v="33"/>
    <n v="2018"/>
    <s v="Octubre"/>
    <s v="DANYLESE"/>
    <n v="16379021"/>
    <x v="79"/>
    <n v="38291155"/>
    <n v="0"/>
    <n v="8355879"/>
    <n v="29935276"/>
    <n v="29999996"/>
    <n v="0.99784266637902219"/>
    <x v="1"/>
    <n v="26"/>
    <x v="16"/>
    <s v="Occidente"/>
    <s v="Fluctúa"/>
    <n v="59"/>
    <n v="6835220"/>
    <n v="194"/>
    <n v="21202184"/>
    <n v="85"/>
    <n v="8355879"/>
    <n v="1897872"/>
    <s v="NO"/>
  </r>
  <r>
    <n v="10"/>
    <x v="33"/>
    <n v="2018"/>
    <s v="Octubre"/>
    <s v="MONIARGI"/>
    <n v="1151951440"/>
    <x v="67"/>
    <n v="38700514"/>
    <n v="0"/>
    <n v="4867272"/>
    <n v="33833242"/>
    <n v="32115384"/>
    <n v="1.0534901902465186"/>
    <x v="0"/>
    <n v="26"/>
    <x v="16"/>
    <s v="Occidente"/>
    <s v="No Aplica"/>
    <n v="55"/>
    <n v="7249363"/>
    <n v="168"/>
    <n v="24225282"/>
    <n v="50"/>
    <n v="4867272"/>
    <n v="2358597"/>
    <m/>
  </r>
  <r>
    <n v="10"/>
    <x v="33"/>
    <n v="2018"/>
    <s v="Octubre"/>
    <s v="PAOLPACA"/>
    <n v="31445278"/>
    <x v="47"/>
    <n v="43696434"/>
    <n v="676200"/>
    <n v="8671508"/>
    <n v="34348726"/>
    <n v="29999996"/>
    <n v="1.1449576859943582"/>
    <x v="1"/>
    <n v="26"/>
    <x v="14"/>
    <s v="Occidente"/>
    <s v="Cumple"/>
    <n v="63"/>
    <n v="7140981"/>
    <n v="228"/>
    <n v="23638129"/>
    <n v="92"/>
    <n v="8671508"/>
    <n v="4245816"/>
    <s v="NO"/>
  </r>
  <r>
    <n v="10"/>
    <x v="33"/>
    <n v="2018"/>
    <s v="Octubre"/>
    <s v="TATIRITR"/>
    <n v="1130597373"/>
    <x v="60"/>
    <n v="25861925"/>
    <n v="596970"/>
    <n v="5723282"/>
    <n v="19541673"/>
    <n v="29999996"/>
    <n v="0.65138918685189162"/>
    <x v="1"/>
    <n v="26"/>
    <x v="16"/>
    <s v="Occidente"/>
    <s v="Fluctúa"/>
    <n v="35"/>
    <n v="4739661"/>
    <n v="114"/>
    <n v="13160141"/>
    <n v="64"/>
    <n v="5723282"/>
    <n v="2238841"/>
    <s v="NO"/>
  </r>
  <r>
    <n v="10"/>
    <x v="33"/>
    <n v="2018"/>
    <s v="Octubre"/>
    <s v="LEIDCAOR"/>
    <n v="1020399898"/>
    <x v="71"/>
    <n v="34931697"/>
    <n v="0"/>
    <n v="6115447"/>
    <n v="28816250"/>
    <n v="16769232"/>
    <n v="1.7184001032366896"/>
    <x v="1"/>
    <n v="26"/>
    <x v="10"/>
    <s v="Antioquia"/>
    <s v="Fluctúa"/>
    <n v="71"/>
    <n v="7047524"/>
    <n v="152"/>
    <n v="18867241"/>
    <n v="65"/>
    <n v="6115447"/>
    <n v="2901485"/>
    <s v="NO"/>
  </r>
  <r>
    <n v="10"/>
    <x v="33"/>
    <n v="2018"/>
    <s v="Octubre"/>
    <s v="MILEQUOL"/>
    <n v="1035224144"/>
    <x v="78"/>
    <n v="27782498"/>
    <n v="442200"/>
    <n v="4271015"/>
    <n v="23069283"/>
    <n v="18461540"/>
    <n v="1.2495860583678284"/>
    <x v="1"/>
    <n v="26"/>
    <x v="10"/>
    <s v="Antioquia"/>
    <s v="Cumple"/>
    <n v="60"/>
    <n v="5416101"/>
    <n v="130"/>
    <n v="15763172"/>
    <n v="49"/>
    <n v="4271015"/>
    <n v="2332210"/>
    <s v="NO"/>
  </r>
  <r>
    <n v="10"/>
    <x v="33"/>
    <n v="2018"/>
    <s v="Octubre"/>
    <s v="ANAKBEZA"/>
    <m/>
    <x v="7"/>
    <n v="827755"/>
    <n v="0"/>
    <n v="0"/>
    <n v="827755"/>
    <m/>
    <m/>
    <x v="0"/>
    <n v="26"/>
    <x v="0"/>
    <s v=""/>
    <s v="No Aplica"/>
    <n v="1"/>
    <n v="67267"/>
    <n v="2"/>
    <n v="561055"/>
    <n v="0"/>
    <n v="0"/>
    <n v="199433"/>
    <m/>
  </r>
  <r>
    <n v="10"/>
    <x v="33"/>
    <n v="2018"/>
    <s v="Octubre"/>
    <s v="ALEJIRRA"/>
    <m/>
    <x v="7"/>
    <n v="109600"/>
    <n v="0"/>
    <n v="109600"/>
    <n v="0"/>
    <m/>
    <m/>
    <x v="0"/>
    <n v="26"/>
    <x v="0"/>
    <s v=""/>
    <s v="No Aplica"/>
    <n v="0"/>
    <n v="0"/>
    <n v="0"/>
    <n v="0"/>
    <n v="0"/>
    <n v="0"/>
    <n v="109600"/>
    <m/>
  </r>
  <r>
    <n v="10"/>
    <x v="33"/>
    <n v="2018"/>
    <s v="Octubre"/>
    <s v="CAROGOCE"/>
    <m/>
    <x v="7"/>
    <n v="147800"/>
    <n v="0"/>
    <n v="0"/>
    <n v="147800"/>
    <m/>
    <m/>
    <x v="0"/>
    <n v="26"/>
    <x v="0"/>
    <s v=""/>
    <s v="No Aplica"/>
    <n v="0"/>
    <n v="0"/>
    <n v="0"/>
    <n v="0"/>
    <n v="0"/>
    <n v="0"/>
    <n v="147800"/>
    <m/>
  </r>
  <r>
    <n v="10"/>
    <x v="33"/>
    <n v="2018"/>
    <s v="Octubre"/>
    <s v="CHRIVERO"/>
    <m/>
    <x v="7"/>
    <n v="615769"/>
    <n v="0"/>
    <n v="0"/>
    <n v="615769"/>
    <m/>
    <m/>
    <x v="0"/>
    <n v="26"/>
    <x v="0"/>
    <s v=""/>
    <s v="No Aplica"/>
    <n v="0"/>
    <n v="0"/>
    <n v="2"/>
    <n v="615769"/>
    <n v="0"/>
    <n v="0"/>
    <n v="0"/>
    <m/>
  </r>
  <r>
    <n v="10"/>
    <x v="33"/>
    <n v="2018"/>
    <s v="Octubre"/>
    <s v="DARWHERI"/>
    <m/>
    <x v="7"/>
    <n v="1103334"/>
    <n v="0"/>
    <n v="797986"/>
    <n v="305348"/>
    <m/>
    <m/>
    <x v="0"/>
    <n v="26"/>
    <x v="0"/>
    <s v=""/>
    <s v="No Aplica"/>
    <n v="2"/>
    <n v="192689"/>
    <n v="0"/>
    <n v="0"/>
    <n v="14"/>
    <n v="797986"/>
    <n v="112659"/>
    <m/>
  </r>
  <r>
    <n v="10"/>
    <x v="33"/>
    <n v="2018"/>
    <s v="Octubre"/>
    <s v="DEISCACR"/>
    <m/>
    <x v="7"/>
    <n v="1150893"/>
    <n v="0"/>
    <n v="0"/>
    <n v="1150893"/>
    <m/>
    <m/>
    <x v="0"/>
    <n v="26"/>
    <x v="0"/>
    <s v=""/>
    <s v="No Aplica"/>
    <n v="1"/>
    <n v="110000"/>
    <n v="2"/>
    <n v="268897"/>
    <n v="0"/>
    <n v="0"/>
    <n v="771996"/>
    <m/>
  </r>
  <r>
    <n v="10"/>
    <x v="33"/>
    <n v="2018"/>
    <s v="Octubre"/>
    <s v="HISNOSPI"/>
    <m/>
    <x v="7"/>
    <n v="726422"/>
    <n v="0"/>
    <n v="0"/>
    <n v="726422"/>
    <m/>
    <m/>
    <x v="0"/>
    <n v="26"/>
    <x v="0"/>
    <s v=""/>
    <s v="No Aplica"/>
    <n v="2"/>
    <n v="165673"/>
    <n v="4"/>
    <n v="416149"/>
    <n v="0"/>
    <n v="0"/>
    <n v="144600"/>
    <m/>
  </r>
  <r>
    <n v="10"/>
    <x v="33"/>
    <n v="2018"/>
    <s v="Octubre"/>
    <s v="JAQUVEGU"/>
    <m/>
    <x v="7"/>
    <n v="183886"/>
    <n v="0"/>
    <n v="0"/>
    <n v="183886"/>
    <m/>
    <m/>
    <x v="0"/>
    <n v="26"/>
    <x v="0"/>
    <s v=""/>
    <s v="No Aplica"/>
    <n v="1"/>
    <n v="39285"/>
    <n v="0"/>
    <n v="0"/>
    <n v="0"/>
    <n v="0"/>
    <n v="144601"/>
    <m/>
  </r>
  <r>
    <n v="10"/>
    <x v="33"/>
    <n v="2018"/>
    <s v="Octubre"/>
    <s v="JENNLORA"/>
    <m/>
    <x v="7"/>
    <n v="109600"/>
    <n v="0"/>
    <n v="109600"/>
    <n v="0"/>
    <m/>
    <m/>
    <x v="0"/>
    <n v="26"/>
    <x v="0"/>
    <s v=""/>
    <s v="No Aplica"/>
    <n v="0"/>
    <n v="0"/>
    <n v="0"/>
    <n v="0"/>
    <n v="0"/>
    <n v="0"/>
    <n v="109600"/>
    <m/>
  </r>
  <r>
    <n v="10"/>
    <x v="33"/>
    <n v="2018"/>
    <s v="Octubre"/>
    <s v="LISERARA"/>
    <m/>
    <x v="7"/>
    <n v="109600"/>
    <n v="0"/>
    <n v="109600"/>
    <n v="0"/>
    <m/>
    <m/>
    <x v="0"/>
    <n v="26"/>
    <x v="0"/>
    <s v=""/>
    <s v="No Aplica"/>
    <n v="0"/>
    <n v="0"/>
    <n v="0"/>
    <n v="0"/>
    <n v="0"/>
    <n v="0"/>
    <n v="109600"/>
    <m/>
  </r>
  <r>
    <n v="10"/>
    <x v="33"/>
    <n v="2018"/>
    <s v="Octubre"/>
    <s v="MONILOSA"/>
    <m/>
    <x v="7"/>
    <n v="141671"/>
    <n v="0"/>
    <n v="141671"/>
    <n v="0"/>
    <m/>
    <m/>
    <x v="0"/>
    <n v="26"/>
    <x v="0"/>
    <s v=""/>
    <s v="No Aplica"/>
    <n v="0"/>
    <n v="0"/>
    <n v="0"/>
    <n v="0"/>
    <n v="1"/>
    <n v="141671"/>
    <n v="0"/>
    <m/>
  </r>
  <r>
    <n v="10"/>
    <x v="33"/>
    <n v="2018"/>
    <s v="Octubre"/>
    <s v="(en blanco)"/>
    <m/>
    <x v="7"/>
    <n v="7228308"/>
    <n v="0"/>
    <n v="0"/>
    <n v="7228308"/>
    <m/>
    <m/>
    <x v="0"/>
    <n v="26"/>
    <x v="0"/>
    <s v=""/>
    <s v="No Aplica"/>
    <n v="11"/>
    <n v="826013"/>
    <n v="26"/>
    <n v="5358848"/>
    <n v="0"/>
    <n v="0"/>
    <n v="1043447"/>
    <m/>
  </r>
  <r>
    <n v="11"/>
    <x v="34"/>
    <n v="2018"/>
    <s v="Noviembre"/>
    <s v="DERLARMO"/>
    <n v="52725011"/>
    <x v="10"/>
    <n v="31580391"/>
    <n v="0"/>
    <n v="6304527"/>
    <n v="25275864"/>
    <n v="25000008"/>
    <n v="1.0110342364690443"/>
    <x v="1"/>
    <n v="24"/>
    <x v="6"/>
    <s v="Centro"/>
    <s v="Fluctúa"/>
    <n v="65"/>
    <n v="5084418"/>
    <n v="180"/>
    <n v="18724316"/>
    <n v="85"/>
    <n v="6304527"/>
    <n v="1467130"/>
    <s v="NO"/>
  </r>
  <r>
    <n v="11"/>
    <x v="34"/>
    <n v="2018"/>
    <s v="Noviembre"/>
    <s v="LOREBECR"/>
    <n v="1010207310"/>
    <x v="68"/>
    <n v="32304860"/>
    <n v="234000"/>
    <n v="6760695"/>
    <n v="25310165"/>
    <n v="25000008"/>
    <n v="1.0124062760299917"/>
    <x v="1"/>
    <n v="24"/>
    <x v="6"/>
    <s v="Centro"/>
    <s v="Cumple"/>
    <n v="68"/>
    <n v="5301750"/>
    <n v="188"/>
    <n v="18645726"/>
    <n v="89"/>
    <n v="6760695"/>
    <n v="1596689"/>
    <s v="NO"/>
  </r>
  <r>
    <n v="11"/>
    <x v="34"/>
    <n v="2018"/>
    <s v="Noviembre"/>
    <s v="RAULMOGA"/>
    <n v="79701425"/>
    <x v="27"/>
    <n v="32372918"/>
    <n v="0"/>
    <n v="6790385"/>
    <n v="25582533"/>
    <n v="25000008"/>
    <n v="1.0233009925436825"/>
    <x v="0"/>
    <n v="24"/>
    <x v="6"/>
    <s v="Centro"/>
    <s v="No Aplica"/>
    <n v="65"/>
    <n v="4778978"/>
    <n v="152"/>
    <n v="19149924"/>
    <n v="87"/>
    <n v="6790385"/>
    <n v="1653631"/>
    <m/>
  </r>
  <r>
    <n v="11"/>
    <x v="34"/>
    <n v="2018"/>
    <s v="Noviembre"/>
    <s v="PAULGOBA"/>
    <n v="32256379"/>
    <x v="36"/>
    <n v="28612038"/>
    <n v="0"/>
    <n v="3825456"/>
    <n v="24786582"/>
    <n v="14666664"/>
    <n v="1.6899945345444609"/>
    <x v="1"/>
    <n v="24"/>
    <x v="13"/>
    <s v="Antioquia"/>
    <s v="Fluctúa"/>
    <n v="26"/>
    <n v="2283979"/>
    <n v="76"/>
    <n v="10011048"/>
    <n v="40"/>
    <n v="3825456"/>
    <n v="12491555"/>
    <s v="NO"/>
  </r>
  <r>
    <n v="11"/>
    <x v="34"/>
    <n v="2018"/>
    <s v="Noviembre"/>
    <s v="VANELOBE"/>
    <n v="1128476466"/>
    <x v="74"/>
    <n v="15258143"/>
    <n v="0"/>
    <n v="4219651"/>
    <n v="11038492"/>
    <n v="7333332"/>
    <n v="1.5052491827725787"/>
    <x v="1"/>
    <n v="24"/>
    <x v="4"/>
    <s v="Antioquia"/>
    <s v="Fluctúa"/>
    <n v="25"/>
    <n v="3057402"/>
    <n v="58"/>
    <n v="7116288"/>
    <n v="47"/>
    <n v="4219651"/>
    <n v="864802"/>
    <s v="NO"/>
  </r>
  <r>
    <n v="11"/>
    <x v="34"/>
    <n v="2018"/>
    <s v="Noviembre"/>
    <s v="DIANPAAL"/>
    <n v="1040030764"/>
    <x v="11"/>
    <n v="49826431"/>
    <n v="1632900"/>
    <n v="10750740"/>
    <n v="37442791"/>
    <n v="32083326"/>
    <n v="1.1670482979227279"/>
    <x v="1"/>
    <n v="24"/>
    <x v="7"/>
    <s v="Antioquia"/>
    <s v="Cumple"/>
    <n v="80"/>
    <n v="8842251"/>
    <n v="198"/>
    <n v="25965145"/>
    <n v="106"/>
    <n v="10750740"/>
    <n v="4268295"/>
    <s v="NO"/>
  </r>
  <r>
    <n v="11"/>
    <x v="34"/>
    <n v="2018"/>
    <s v="Noviembre"/>
    <s v="MARIGOOR"/>
    <n v="1128267208"/>
    <x v="77"/>
    <n v="43671015"/>
    <n v="468000"/>
    <n v="7747429"/>
    <n v="35455586"/>
    <n v="32083326"/>
    <n v="1.1051094266224144"/>
    <x v="1"/>
    <n v="24"/>
    <x v="7"/>
    <s v="Antioquia"/>
    <s v="Fluctúa"/>
    <n v="67"/>
    <n v="8462134"/>
    <n v="152"/>
    <n v="22431558"/>
    <n v="77"/>
    <n v="7747429"/>
    <n v="5029894"/>
    <s v="NO"/>
  </r>
  <r>
    <n v="11"/>
    <x v="34"/>
    <n v="2018"/>
    <s v="Noviembre"/>
    <s v="MARIOCOC"/>
    <n v="39448823"/>
    <x v="21"/>
    <n v="61537443"/>
    <n v="2277300"/>
    <n v="12262474"/>
    <n v="46997669"/>
    <n v="32083326"/>
    <n v="1.4648627452153806"/>
    <x v="1"/>
    <n v="24"/>
    <x v="7"/>
    <s v="Antioquia"/>
    <s v="Siempre Cumple"/>
    <n v="92"/>
    <n v="9852569"/>
    <n v="234"/>
    <n v="33100829"/>
    <n v="119"/>
    <n v="12262474"/>
    <n v="6321571"/>
    <s v="NO"/>
  </r>
  <r>
    <n v="11"/>
    <x v="34"/>
    <n v="2018"/>
    <s v="Noviembre"/>
    <s v="ALEXLOGR"/>
    <n v="43253531"/>
    <x v="2"/>
    <n v="41914075"/>
    <n v="1278000"/>
    <n v="11065915"/>
    <n v="29570160"/>
    <n v="32083326"/>
    <n v="0.92166753534218993"/>
    <x v="1"/>
    <n v="24"/>
    <x v="2"/>
    <s v="Antioquia"/>
    <s v="Cumple"/>
    <n v="68"/>
    <n v="6491403"/>
    <n v="166"/>
    <n v="19197207"/>
    <n v="107"/>
    <n v="11065915"/>
    <n v="5159550"/>
    <s v="NO"/>
  </r>
  <r>
    <n v="11"/>
    <x v="34"/>
    <n v="2018"/>
    <s v="Noviembre"/>
    <s v="CINDGACU"/>
    <n v="1020443426"/>
    <x v="55"/>
    <n v="42940375"/>
    <n v="1536400"/>
    <n v="9717838"/>
    <n v="31686137"/>
    <n v="39583326"/>
    <n v="0.80049203040694461"/>
    <x v="1"/>
    <n v="24"/>
    <x v="4"/>
    <s v="Antioquia"/>
    <s v="Fluctúa"/>
    <n v="60"/>
    <n v="6561873"/>
    <n v="174"/>
    <n v="21287057"/>
    <n v="92"/>
    <n v="9717838"/>
    <n v="5373607"/>
    <s v="NO"/>
  </r>
  <r>
    <n v="11"/>
    <x v="34"/>
    <n v="2018"/>
    <s v="Noviembre"/>
    <s v="YULIRIRE"/>
    <n v="21982241"/>
    <x v="57"/>
    <n v="40136644"/>
    <n v="324000"/>
    <n v="10842178"/>
    <n v="28970466"/>
    <n v="29166660"/>
    <n v="0.99327334703390791"/>
    <x v="1"/>
    <n v="24"/>
    <x v="2"/>
    <s v="Antioquia"/>
    <s v="Fluctúa"/>
    <n v="71"/>
    <n v="6067464"/>
    <n v="158"/>
    <n v="18770842"/>
    <n v="110"/>
    <n v="10842178"/>
    <n v="4456160"/>
    <s v="Inicio Vacaciones"/>
  </r>
  <r>
    <n v="11"/>
    <x v="34"/>
    <n v="2018"/>
    <s v="Noviembre"/>
    <s v="ADRIMOLU"/>
    <n v="43169964"/>
    <x v="1"/>
    <n v="55350284"/>
    <n v="0"/>
    <n v="13311880"/>
    <n v="42038404"/>
    <n v="40333326"/>
    <n v="1.0422746688433282"/>
    <x v="1"/>
    <n v="24"/>
    <x v="1"/>
    <s v="Antioquia"/>
    <s v="Cumple"/>
    <n v="87"/>
    <n v="9899047"/>
    <n v="211"/>
    <n v="28269236"/>
    <n v="126"/>
    <n v="13311880"/>
    <n v="3870121"/>
    <s v="NO"/>
  </r>
  <r>
    <n v="11"/>
    <x v="34"/>
    <n v="2018"/>
    <s v="Noviembre"/>
    <s v="ASTRTAAR"/>
    <n v="1017191161"/>
    <x v="80"/>
    <n v="30416908"/>
    <n v="766200"/>
    <n v="8256542"/>
    <n v="21394166"/>
    <n v="36666660"/>
    <n v="0.58347736063224742"/>
    <x v="1"/>
    <n v="24"/>
    <x v="1"/>
    <s v="Antioquia"/>
    <s v="No Cumple"/>
    <n v="49"/>
    <n v="4584025"/>
    <n v="116"/>
    <n v="14124325"/>
    <n v="88"/>
    <n v="8256542"/>
    <n v="3452016"/>
    <s v="NO"/>
  </r>
  <r>
    <n v="11"/>
    <x v="34"/>
    <n v="2018"/>
    <s v="Noviembre"/>
    <s v="LILACARA"/>
    <n v="1017141451"/>
    <x v="17"/>
    <n v="55601482"/>
    <n v="984400"/>
    <n v="13256116"/>
    <n v="41360966"/>
    <n v="40333326"/>
    <n v="1.0254786823184381"/>
    <x v="1"/>
    <n v="24"/>
    <x v="1"/>
    <s v="Antioquia"/>
    <s v="Siempre Cumple"/>
    <n v="81"/>
    <n v="9167634"/>
    <n v="198"/>
    <n v="27550321"/>
    <n v="128"/>
    <n v="13256116"/>
    <n v="5627411"/>
    <s v="NO"/>
  </r>
  <r>
    <n v="11"/>
    <x v="34"/>
    <n v="2018"/>
    <s v="Noviembre"/>
    <s v="LIZEGASA"/>
    <n v="1128442101"/>
    <x v="81"/>
    <n v="33490181"/>
    <n v="1467450"/>
    <n v="8827176"/>
    <n v="23195555"/>
    <n v="40333326"/>
    <n v="0.57509650952167946"/>
    <x v="1"/>
    <n v="24"/>
    <x v="10"/>
    <s v="Antioquia"/>
    <s v="Fluctúa"/>
    <n v="55"/>
    <n v="5555955"/>
    <n v="122"/>
    <n v="13430727"/>
    <n v="88"/>
    <n v="8827176"/>
    <n v="5676323"/>
    <s v="NO"/>
  </r>
  <r>
    <n v="11"/>
    <x v="34"/>
    <n v="2018"/>
    <s v="Noviembre"/>
    <s v="SUANHECO"/>
    <n v="1020409789"/>
    <x v="58"/>
    <n v="60703224"/>
    <n v="0"/>
    <n v="13798077"/>
    <n v="46905147"/>
    <n v="40333326"/>
    <n v="1.1629377403688455"/>
    <x v="1"/>
    <n v="24"/>
    <x v="1"/>
    <s v="Antioquia"/>
    <s v="Cumple"/>
    <n v="111"/>
    <n v="12190761"/>
    <n v="242"/>
    <n v="29212762"/>
    <n v="141"/>
    <n v="13798077"/>
    <n v="5501624"/>
    <s v="NO"/>
  </r>
  <r>
    <n v="11"/>
    <x v="34"/>
    <n v="2018"/>
    <s v="Noviembre"/>
    <s v="ZULYARGA"/>
    <n v="43259130"/>
    <x v="31"/>
    <n v="46383624"/>
    <n v="221100"/>
    <n v="11607878"/>
    <n v="34554646"/>
    <n v="40333326"/>
    <n v="0.85672691609910867"/>
    <x v="1"/>
    <n v="24"/>
    <x v="1"/>
    <s v="Antioquia"/>
    <s v="Fluctúa"/>
    <n v="76"/>
    <n v="9120434"/>
    <n v="178"/>
    <n v="21288915"/>
    <n v="118"/>
    <n v="11607878"/>
    <n v="4366397"/>
    <s v="NO"/>
  </r>
  <r>
    <n v="11"/>
    <x v="34"/>
    <n v="2018"/>
    <s v="Noviembre"/>
    <s v="BIBIBECA"/>
    <n v="43971430"/>
    <x v="6"/>
    <n v="18848492"/>
    <n v="0"/>
    <n v="4740165"/>
    <n v="14108327"/>
    <n v="12250000"/>
    <n v="1.1517001632653061"/>
    <x v="1"/>
    <n v="24"/>
    <x v="5"/>
    <s v="Antioquia"/>
    <s v="Siempre Cumple"/>
    <n v="32"/>
    <n v="2975082"/>
    <n v="92"/>
    <n v="9696919"/>
    <n v="45"/>
    <n v="4740165"/>
    <n v="1436326"/>
    <s v="Regreso Vacaciones"/>
  </r>
  <r>
    <n v="11"/>
    <x v="34"/>
    <n v="2018"/>
    <s v="Noviembre"/>
    <s v="CLAUBLAR"/>
    <n v="43554403"/>
    <x v="8"/>
    <n v="56374022"/>
    <n v="1396200"/>
    <n v="11368222"/>
    <n v="43609600"/>
    <n v="38500000"/>
    <n v="1.132716883116883"/>
    <x v="1"/>
    <n v="24"/>
    <x v="5"/>
    <s v="Antioquia"/>
    <s v="Siempre Cumple"/>
    <n v="82"/>
    <n v="8391793"/>
    <n v="208"/>
    <n v="30125206"/>
    <n v="110"/>
    <n v="11368222"/>
    <n v="6488801"/>
    <s v="NO"/>
  </r>
  <r>
    <n v="11"/>
    <x v="34"/>
    <n v="2018"/>
    <s v="Noviembre"/>
    <s v="HERIRORO"/>
    <n v="21428423"/>
    <x v="52"/>
    <n v="35582559"/>
    <n v="1468200"/>
    <n v="12189236"/>
    <n v="21925123"/>
    <n v="38500000"/>
    <n v="0.56948371428571432"/>
    <x v="1"/>
    <n v="24"/>
    <x v="5"/>
    <s v="Antioquia"/>
    <s v="Fluctúa"/>
    <n v="61"/>
    <n v="4955733"/>
    <n v="135"/>
    <n v="13744653"/>
    <n v="116"/>
    <n v="12189236"/>
    <n v="4692937"/>
    <s v="NO"/>
  </r>
  <r>
    <n v="11"/>
    <x v="34"/>
    <n v="2018"/>
    <s v="Noviembre"/>
    <s v="MARGGAPA"/>
    <n v="43866877"/>
    <x v="20"/>
    <n v="60990792"/>
    <n v="1968900"/>
    <n v="13570050"/>
    <n v="45451842"/>
    <n v="38500000"/>
    <n v="1.1805673246753248"/>
    <x v="1"/>
    <n v="24"/>
    <x v="5"/>
    <s v="Antioquia"/>
    <s v="Siempre Cumple"/>
    <n v="84"/>
    <n v="10007967"/>
    <n v="220"/>
    <n v="31382320"/>
    <n v="136"/>
    <n v="13570050"/>
    <n v="6030455"/>
    <s v="NO"/>
  </r>
  <r>
    <n v="11"/>
    <x v="34"/>
    <n v="2018"/>
    <s v="Noviembre"/>
    <s v="MARIHIRO"/>
    <n v="1001131473"/>
    <x v="76"/>
    <n v="50188331"/>
    <n v="324000"/>
    <n v="11641852"/>
    <n v="38222479"/>
    <n v="38500000"/>
    <n v="0.99279166233766236"/>
    <x v="1"/>
    <n v="24"/>
    <x v="5"/>
    <s v="Antioquia"/>
    <s v="No Cumple"/>
    <n v="81"/>
    <n v="8583635"/>
    <n v="204"/>
    <n v="24380156"/>
    <n v="120"/>
    <n v="11641852"/>
    <n v="5582688"/>
    <s v="NO"/>
  </r>
  <r>
    <n v="11"/>
    <x v="34"/>
    <n v="2018"/>
    <s v="Noviembre"/>
    <s v="NATAVAMO"/>
    <n v="32183069"/>
    <x v="63"/>
    <n v="31700848"/>
    <n v="1000200"/>
    <n v="9446689"/>
    <n v="21253959"/>
    <n v="39083331"/>
    <n v="0.5438113501635774"/>
    <x v="1"/>
    <n v="24"/>
    <x v="1"/>
    <s v="Antioquia"/>
    <s v="No Cumple"/>
    <n v="53"/>
    <n v="4355876"/>
    <n v="144"/>
    <n v="14828385"/>
    <n v="97"/>
    <n v="9446689"/>
    <n v="3069898"/>
    <s v="NO"/>
  </r>
  <r>
    <n v="11"/>
    <x v="34"/>
    <n v="2018"/>
    <s v="Noviembre"/>
    <s v="SANDCAAC"/>
    <n v="39175639"/>
    <x v="75"/>
    <n v="39106889"/>
    <n v="689000"/>
    <n v="10970077"/>
    <n v="27447812"/>
    <n v="38500000"/>
    <n v="0.7129301818181818"/>
    <x v="1"/>
    <n v="24"/>
    <x v="5"/>
    <s v="Antioquia"/>
    <s v="Fluctúa"/>
    <n v="60"/>
    <n v="6407929"/>
    <n v="150"/>
    <n v="16481683"/>
    <n v="107"/>
    <n v="10970077"/>
    <n v="5247200"/>
    <s v="NO"/>
  </r>
  <r>
    <n v="11"/>
    <x v="34"/>
    <n v="2018"/>
    <s v="Noviembre"/>
    <s v="YENISIGI"/>
    <n v="1035913369"/>
    <x v="64"/>
    <n v="49634230"/>
    <n v="1566400"/>
    <n v="8926288"/>
    <n v="39141542"/>
    <n v="38500000"/>
    <n v="1.0166634285714287"/>
    <x v="1"/>
    <n v="24"/>
    <x v="5"/>
    <s v="Antioquia"/>
    <s v="Fluctúa"/>
    <n v="96"/>
    <n v="9508025"/>
    <n v="220"/>
    <n v="24541309"/>
    <n v="94"/>
    <n v="8926288"/>
    <n v="6658608"/>
    <s v="NO"/>
  </r>
  <r>
    <n v="11"/>
    <x v="34"/>
    <n v="2018"/>
    <s v="Noviembre"/>
    <s v="NATAPIDU"/>
    <n v="43907427"/>
    <x v="25"/>
    <n v="39795495"/>
    <n v="0"/>
    <n v="5713462"/>
    <n v="34082033"/>
    <n v="30000006"/>
    <n v="1.1360675394531587"/>
    <x v="1"/>
    <n v="24"/>
    <x v="11"/>
    <s v="Antioquia"/>
    <s v="Siempre Cumple"/>
    <n v="35"/>
    <n v="5695866"/>
    <n v="108"/>
    <n v="25458700"/>
    <n v="54"/>
    <n v="5713462"/>
    <n v="2927467"/>
    <s v="Regreso Vacaciones"/>
  </r>
  <r>
    <n v="11"/>
    <x v="34"/>
    <n v="2018"/>
    <s v="Noviembre"/>
    <s v="ALVAOSOS"/>
    <n v="3438422"/>
    <x v="37"/>
    <n v="27395406"/>
    <n v="468000"/>
    <n v="5915413"/>
    <n v="21011993"/>
    <n v="10999998"/>
    <n v="1.9101815291239144"/>
    <x v="1"/>
    <n v="24"/>
    <x v="8"/>
    <s v="Antioquia"/>
    <s v="Fluctúa"/>
    <n v="37"/>
    <n v="4013302"/>
    <n v="74"/>
    <n v="13131045"/>
    <n v="51"/>
    <n v="5915413"/>
    <n v="4335646"/>
    <s v="Inicio Vacaciones"/>
  </r>
  <r>
    <n v="11"/>
    <x v="34"/>
    <n v="2018"/>
    <s v="Noviembre"/>
    <s v="CARORAMN"/>
    <n v="1020451288"/>
    <x v="61"/>
    <n v="52334496"/>
    <n v="1260000"/>
    <n v="11599637"/>
    <n v="39474859"/>
    <n v="40333326"/>
    <n v="0.9787156903450015"/>
    <x v="1"/>
    <n v="24"/>
    <x v="8"/>
    <s v="Antioquia"/>
    <s v="Cumple"/>
    <n v="83"/>
    <n v="7767530"/>
    <n v="216"/>
    <n v="24584142"/>
    <n v="115"/>
    <n v="11599637"/>
    <n v="8383187"/>
    <s v="NO"/>
  </r>
  <r>
    <n v="11"/>
    <x v="34"/>
    <n v="2018"/>
    <s v="Noviembre"/>
    <s v="GENNHEPO"/>
    <n v="43874518"/>
    <x v="14"/>
    <n v="54051835"/>
    <n v="1375800"/>
    <n v="11275094"/>
    <n v="41400941"/>
    <n v="40333326"/>
    <n v="1.0264697982011204"/>
    <x v="1"/>
    <n v="24"/>
    <x v="8"/>
    <s v="Antioquia"/>
    <s v="Fluctúa"/>
    <n v="79"/>
    <n v="7614905"/>
    <n v="226"/>
    <n v="25781114"/>
    <n v="112"/>
    <n v="11275094"/>
    <n v="9380722"/>
    <s v="NO"/>
  </r>
  <r>
    <n v="11"/>
    <x v="34"/>
    <n v="2018"/>
    <s v="Noviembre"/>
    <s v="LEIDGOVI"/>
    <n v="1036598360"/>
    <x v="39"/>
    <n v="44609773"/>
    <n v="954000"/>
    <n v="9516003"/>
    <n v="34139770"/>
    <n v="40333326"/>
    <n v="0.84644073241071172"/>
    <x v="1"/>
    <n v="24"/>
    <x v="8"/>
    <s v="Antioquia"/>
    <s v="Fluctúa"/>
    <n v="66"/>
    <n v="7999808"/>
    <n v="148"/>
    <n v="18827052"/>
    <n v="97"/>
    <n v="9516003"/>
    <n v="8266910"/>
    <s v="NO"/>
  </r>
  <r>
    <n v="11"/>
    <x v="34"/>
    <n v="2018"/>
    <s v="Noviembre"/>
    <s v="LEIDPAPA"/>
    <n v="1020425089"/>
    <x v="72"/>
    <n v="59415234"/>
    <n v="2394000"/>
    <n v="15137347"/>
    <n v="41883887"/>
    <n v="40333326"/>
    <n v="1.0384436681467826"/>
    <x v="1"/>
    <n v="24"/>
    <x v="8"/>
    <s v="Antioquia"/>
    <s v="Cumple"/>
    <n v="100"/>
    <n v="9815265"/>
    <n v="256"/>
    <n v="26489622"/>
    <n v="151"/>
    <n v="15137347"/>
    <n v="7973000"/>
    <s v="NO"/>
  </r>
  <r>
    <n v="11"/>
    <x v="34"/>
    <n v="2018"/>
    <s v="Noviembre"/>
    <s v="YENYSUPE"/>
    <n v="1020419011"/>
    <x v="51"/>
    <n v="43045664"/>
    <n v="1260200"/>
    <n v="11992365"/>
    <n v="29793099"/>
    <n v="40333326"/>
    <n v="0.73867201033705976"/>
    <x v="1"/>
    <n v="24"/>
    <x v="8"/>
    <s v="Antioquia"/>
    <s v="Cumple"/>
    <n v="53"/>
    <n v="4792434"/>
    <n v="146"/>
    <n v="18524314"/>
    <n v="111"/>
    <n v="11992365"/>
    <n v="7736551"/>
    <s v="NO"/>
  </r>
  <r>
    <n v="11"/>
    <x v="34"/>
    <n v="2018"/>
    <s v="Noviembre"/>
    <s v="YURAUSVE"/>
    <n v="1020419615"/>
    <x v="56"/>
    <n v="57329611"/>
    <n v="0"/>
    <n v="11591284"/>
    <n v="45738327"/>
    <n v="39666662"/>
    <n v="1.1530672028818558"/>
    <x v="1"/>
    <n v="24"/>
    <x v="8"/>
    <s v="Antioquia"/>
    <s v="Cumple"/>
    <n v="67"/>
    <n v="8704326"/>
    <n v="188"/>
    <n v="30472426"/>
    <n v="116"/>
    <n v="11591284"/>
    <n v="6561575"/>
    <s v="NO"/>
  </r>
  <r>
    <n v="11"/>
    <x v="34"/>
    <n v="2018"/>
    <s v="Noviembre"/>
    <s v="ANAMLOBE"/>
    <n v="43821410"/>
    <x v="3"/>
    <n v="71901395"/>
    <n v="1326600"/>
    <n v="11523460"/>
    <n v="59051335"/>
    <n v="40333326"/>
    <n v="1.4640829521473135"/>
    <x v="1"/>
    <n v="24"/>
    <x v="3"/>
    <s v="Antioquia"/>
    <s v="Siempre Cumple"/>
    <n v="99"/>
    <n v="14576666"/>
    <n v="238"/>
    <n v="39176007"/>
    <n v="114"/>
    <n v="11026860"/>
    <n v="7121862"/>
    <s v="NO"/>
  </r>
  <r>
    <n v="11"/>
    <x v="34"/>
    <n v="2018"/>
    <s v="Noviembre"/>
    <s v="ELIZVESU"/>
    <n v="1035417626"/>
    <x v="13"/>
    <n v="64945850"/>
    <n v="1234200"/>
    <n v="12313883"/>
    <n v="51397767"/>
    <n v="27499995"/>
    <n v="1.869010048910918"/>
    <x v="1"/>
    <n v="24"/>
    <x v="3"/>
    <s v="Antioquia"/>
    <s v="Cumple"/>
    <n v="81"/>
    <n v="11577822"/>
    <n v="214"/>
    <n v="34460353"/>
    <n v="107"/>
    <n v="10877283"/>
    <n v="8030392"/>
    <s v="Inicio Vacaciones"/>
  </r>
  <r>
    <n v="11"/>
    <x v="34"/>
    <n v="2018"/>
    <s v="Noviembre"/>
    <s v="VIVIVAZA"/>
    <n v="43745952"/>
    <x v="30"/>
    <n v="76543441"/>
    <n v="1728000"/>
    <n v="14979925"/>
    <n v="59835516"/>
    <n v="40333326"/>
    <n v="1.4835254598145464"/>
    <x v="1"/>
    <n v="24"/>
    <x v="3"/>
    <s v="Antioquia"/>
    <s v="Siempre Cumple"/>
    <n v="97"/>
    <n v="11967092"/>
    <n v="237"/>
    <n v="40505531"/>
    <n v="143"/>
    <n v="13771325"/>
    <n v="10299493"/>
    <s v="NO"/>
  </r>
  <r>
    <n v="11"/>
    <x v="34"/>
    <n v="2018"/>
    <s v="Noviembre"/>
    <s v="ANGEGAAR"/>
    <n v="39442617"/>
    <x v="4"/>
    <n v="20294530"/>
    <n v="0"/>
    <n v="4991673"/>
    <n v="15302857"/>
    <n v="12929999"/>
    <n v="1.1835157141156778"/>
    <x v="1"/>
    <n v="24"/>
    <x v="4"/>
    <s v="Antioquia"/>
    <s v="Cumple"/>
    <n v="27"/>
    <n v="3887053"/>
    <n v="64"/>
    <n v="9367466"/>
    <n v="49"/>
    <n v="4991673"/>
    <n v="2048338"/>
    <s v="NO"/>
  </r>
  <r>
    <n v="11"/>
    <x v="34"/>
    <n v="2018"/>
    <s v="Noviembre"/>
    <s v="ERIKSAVA"/>
    <n v="1017200970"/>
    <x v="44"/>
    <n v="32887032"/>
    <n v="2233800"/>
    <n v="6999851"/>
    <n v="23653381"/>
    <n v="33000000"/>
    <n v="0.71676912121212122"/>
    <x v="1"/>
    <n v="24"/>
    <x v="4"/>
    <s v="Antioquia"/>
    <s v="Cumple"/>
    <n v="48"/>
    <n v="5618543"/>
    <n v="102"/>
    <n v="12560858"/>
    <n v="70"/>
    <n v="6892322"/>
    <n v="7815309"/>
    <s v="NO"/>
  </r>
  <r>
    <n v="11"/>
    <x v="34"/>
    <n v="2018"/>
    <s v="Noviembre"/>
    <s v="MARIMASA"/>
    <n v="43113640"/>
    <x v="34"/>
    <n v="43548255"/>
    <n v="1864200"/>
    <n v="8106065"/>
    <n v="33577990"/>
    <n v="33000000"/>
    <n v="1.0175148484848484"/>
    <x v="1"/>
    <n v="24"/>
    <x v="4"/>
    <s v="Antioquia"/>
    <s v="Cumple"/>
    <n v="61"/>
    <n v="6132374"/>
    <n v="145"/>
    <n v="23211990"/>
    <n v="81"/>
    <n v="8106065"/>
    <n v="6097826"/>
    <s v="NO"/>
  </r>
  <r>
    <n v="11"/>
    <x v="34"/>
    <n v="2018"/>
    <s v="Noviembre"/>
    <s v="NOREARMA"/>
    <n v="39275090"/>
    <x v="66"/>
    <n v="45002969"/>
    <n v="2251600"/>
    <n v="8366492"/>
    <n v="34384877"/>
    <n v="33000000"/>
    <n v="1.0419659696969696"/>
    <x v="1"/>
    <n v="24"/>
    <x v="4"/>
    <s v="Antioquia"/>
    <s v="Siempre Cumple"/>
    <n v="59"/>
    <n v="8210645"/>
    <n v="156"/>
    <n v="24516126"/>
    <n v="86"/>
    <n v="8366492"/>
    <n v="3909706"/>
    <s v="NO"/>
  </r>
  <r>
    <n v="11"/>
    <x v="34"/>
    <n v="2018"/>
    <s v="Noviembre"/>
    <s v="VIVIRUAL"/>
    <n v="32352312"/>
    <x v="82"/>
    <n v="41074195"/>
    <n v="468000"/>
    <n v="7354249"/>
    <n v="33251946"/>
    <n v="33000000"/>
    <n v="1.0076347272727273"/>
    <x v="1"/>
    <n v="24"/>
    <x v="4"/>
    <s v="Antioquia"/>
    <s v="No Cumple"/>
    <n v="52"/>
    <n v="7075108"/>
    <n v="138"/>
    <n v="22097225"/>
    <n v="73"/>
    <n v="7354249"/>
    <n v="4547613"/>
    <s v="NO"/>
  </r>
  <r>
    <n v="11"/>
    <x v="34"/>
    <n v="2018"/>
    <s v="Noviembre"/>
    <s v="ANDRSAZA"/>
    <n v="1020736461"/>
    <x v="45"/>
    <n v="47170254"/>
    <n v="0"/>
    <n v="10079300"/>
    <n v="37090954"/>
    <n v="28000008"/>
    <n v="1.3246765500924143"/>
    <x v="1"/>
    <n v="24"/>
    <x v="9"/>
    <s v="Centro"/>
    <s v="Siempre Cumple"/>
    <n v="70"/>
    <n v="6650150"/>
    <n v="222"/>
    <n v="27741620"/>
    <n v="128"/>
    <n v="10079300"/>
    <n v="2699184"/>
    <s v="NO"/>
  </r>
  <r>
    <n v="11"/>
    <x v="34"/>
    <n v="2018"/>
    <s v="Noviembre"/>
    <s v="CHRIVERO"/>
    <n v="1020769180"/>
    <x v="83"/>
    <n v="17775734"/>
    <n v="486000"/>
    <n v="2587782"/>
    <n v="14701952"/>
    <n v="28000008"/>
    <n v="0.52506956426583873"/>
    <x v="1"/>
    <n v="24"/>
    <x v="9"/>
    <s v="Centro"/>
    <s v="No Cumple"/>
    <n v="27"/>
    <n v="3210369"/>
    <n v="76"/>
    <n v="10147605"/>
    <n v="30"/>
    <n v="2587782"/>
    <n v="1829978"/>
    <s v="NO"/>
  </r>
  <r>
    <n v="11"/>
    <x v="34"/>
    <n v="2018"/>
    <s v="Noviembre"/>
    <s v="ISABMOGO"/>
    <n v="52260671"/>
    <x v="15"/>
    <n v="41084488"/>
    <n v="2134200"/>
    <n v="8039802"/>
    <n v="30910486"/>
    <n v="28000008"/>
    <n v="1.1039456131583962"/>
    <x v="1"/>
    <n v="24"/>
    <x v="9"/>
    <s v="Centro"/>
    <s v="Siempre Cumple"/>
    <n v="60"/>
    <n v="6586190"/>
    <n v="158"/>
    <n v="20973900"/>
    <n v="104"/>
    <n v="8039802"/>
    <n v="5484596"/>
    <s v="NO"/>
  </r>
  <r>
    <n v="11"/>
    <x v="34"/>
    <n v="2018"/>
    <s v="Noviembre"/>
    <s v="CAMIPUHE"/>
    <n v="79850984"/>
    <x v="53"/>
    <n v="26513247"/>
    <n v="1251990"/>
    <n v="3813489"/>
    <n v="21447768"/>
    <n v="30000000"/>
    <n v="0.71492560000000005"/>
    <x v="1"/>
    <n v="24"/>
    <x v="15"/>
    <s v="Centro"/>
    <s v="Fluctúa"/>
    <n v="28"/>
    <n v="3103841"/>
    <n v="122"/>
    <n v="14837921"/>
    <n v="51"/>
    <n v="3813489"/>
    <n v="4757996"/>
    <s v="NO"/>
  </r>
  <r>
    <n v="11"/>
    <x v="34"/>
    <n v="2018"/>
    <s v="Noviembre"/>
    <s v="ROCIFASA"/>
    <n v="34542470"/>
    <x v="28"/>
    <n v="57847441"/>
    <n v="1517400"/>
    <n v="7609032"/>
    <n v="48721009"/>
    <n v="34999992"/>
    <n v="1.3920291467495192"/>
    <x v="1"/>
    <n v="24"/>
    <x v="12"/>
    <s v="Occidente"/>
    <s v="Siempre Cumple"/>
    <n v="98"/>
    <n v="11913714"/>
    <n v="268"/>
    <n v="33961556"/>
    <n v="82"/>
    <n v="7609032"/>
    <n v="4363139"/>
    <s v="NO"/>
  </r>
  <r>
    <n v="11"/>
    <x v="34"/>
    <n v="2018"/>
    <s v="Noviembre"/>
    <s v="HEIDVAVI"/>
    <n v="1130676531"/>
    <x v="73"/>
    <n v="22153865"/>
    <n v="0"/>
    <n v="419369"/>
    <n v="21734496"/>
    <n v="42073200"/>
    <n v="0.51658766150423552"/>
    <x v="1"/>
    <n v="24"/>
    <x v="16"/>
    <s v="Occidente"/>
    <s v="No Cumple"/>
    <n v="22"/>
    <n v="2090623"/>
    <n v="53"/>
    <n v="5997844"/>
    <n v="7"/>
    <n v="419369"/>
    <n v="13646029"/>
    <s v="NO"/>
  </r>
  <r>
    <n v="11"/>
    <x v="34"/>
    <n v="2018"/>
    <s v="Noviembre"/>
    <s v="ANGISEBR"/>
    <n v="1144061613"/>
    <x v="70"/>
    <n v="29269993"/>
    <n v="0"/>
    <n v="8172329"/>
    <n v="21097664"/>
    <n v="18750000"/>
    <n v="1.1252087466666667"/>
    <x v="1"/>
    <n v="24"/>
    <x v="14"/>
    <s v="Occidente"/>
    <s v="Fluctúa"/>
    <n v="43"/>
    <n v="5127075"/>
    <n v="114"/>
    <n v="13786207"/>
    <n v="85"/>
    <n v="8172329"/>
    <n v="2184382"/>
    <s v="NO"/>
  </r>
  <r>
    <n v="11"/>
    <x v="34"/>
    <n v="2018"/>
    <s v="Noviembre"/>
    <s v="AURACAMO"/>
    <n v="66910365"/>
    <x v="84"/>
    <n v="11973184"/>
    <n v="455100"/>
    <n v="4402187"/>
    <n v="7115897"/>
    <n v="30000000"/>
    <n v="0.23719656666666666"/>
    <x v="1"/>
    <n v="24"/>
    <x v="14"/>
    <s v="Occidente"/>
    <s v="Fluctúa"/>
    <n v="17"/>
    <n v="2008441"/>
    <n v="50"/>
    <n v="5041075"/>
    <n v="43"/>
    <n v="4402187"/>
    <n v="521481"/>
    <s v="NO"/>
  </r>
  <r>
    <n v="11"/>
    <x v="34"/>
    <n v="2018"/>
    <s v="Noviembre"/>
    <s v="DANYLESE"/>
    <n v="16379021"/>
    <x v="79"/>
    <n v="27070595"/>
    <n v="0"/>
    <n v="8922973"/>
    <n v="18147622"/>
    <n v="30000000"/>
    <n v="0.60492073333333329"/>
    <x v="1"/>
    <n v="24"/>
    <x v="16"/>
    <s v="Occidente"/>
    <s v="Fluctúa"/>
    <n v="41"/>
    <n v="4915731"/>
    <n v="118"/>
    <n v="11323509"/>
    <n v="101"/>
    <n v="8866573"/>
    <n v="1964782"/>
    <s v="NO"/>
  </r>
  <r>
    <n v="11"/>
    <x v="34"/>
    <n v="2018"/>
    <s v="Noviembre"/>
    <s v="PAOLPACA"/>
    <n v="31445278"/>
    <x v="47"/>
    <n v="32304813"/>
    <n v="439900"/>
    <n v="8336570"/>
    <n v="23528343"/>
    <n v="18750000"/>
    <n v="1.25484496"/>
    <x v="1"/>
    <n v="24"/>
    <x v="14"/>
    <s v="Occidente"/>
    <s v="Cumple"/>
    <n v="52"/>
    <n v="5577000"/>
    <n v="160"/>
    <n v="16308987"/>
    <n v="76"/>
    <n v="7012770"/>
    <n v="3406056"/>
    <s v="NO"/>
  </r>
  <r>
    <n v="11"/>
    <x v="34"/>
    <n v="2018"/>
    <s v="Noviembre"/>
    <s v="TATIRITR"/>
    <n v="1130597373"/>
    <x v="60"/>
    <n v="44752059"/>
    <n v="0"/>
    <n v="12879079"/>
    <n v="31872980"/>
    <n v="30000000"/>
    <n v="1.0624326666666666"/>
    <x v="1"/>
    <n v="24"/>
    <x v="16"/>
    <s v="Occidente"/>
    <s v="Fluctúa"/>
    <n v="58"/>
    <n v="7196651"/>
    <n v="174"/>
    <n v="21939225"/>
    <n v="127"/>
    <n v="12879079"/>
    <n v="2737104"/>
    <s v="NO"/>
  </r>
  <r>
    <n v="11"/>
    <x v="34"/>
    <n v="2018"/>
    <s v="Noviembre"/>
    <s v="LEIDCAOR"/>
    <n v="1020399898"/>
    <x v="71"/>
    <n v="40557251"/>
    <n v="941100"/>
    <n v="8621612"/>
    <n v="30994539"/>
    <n v="15000000"/>
    <n v="2.0663026000000002"/>
    <x v="1"/>
    <n v="24"/>
    <x v="10"/>
    <s v="Antioquia"/>
    <s v="Fluctúa"/>
    <n v="79"/>
    <n v="7850102"/>
    <n v="174"/>
    <n v="19253350"/>
    <n v="100"/>
    <n v="8621612"/>
    <n v="4832187"/>
    <s v="NO"/>
  </r>
  <r>
    <n v="11"/>
    <x v="34"/>
    <n v="2018"/>
    <s v="Noviembre"/>
    <s v="LUZNHEGO"/>
    <n v="43745192"/>
    <x v="19"/>
    <n v="16492689"/>
    <n v="0"/>
    <n v="1283731"/>
    <n v="15208958"/>
    <n v="3125000"/>
    <n v="4.8668665600000001"/>
    <x v="1"/>
    <n v="24"/>
    <x v="10"/>
    <s v="Antioquia"/>
    <s v="Cumple"/>
    <n v="21"/>
    <n v="3173717"/>
    <n v="94"/>
    <n v="11484195"/>
    <n v="21"/>
    <n v="1283731"/>
    <n v="551046"/>
    <s v="NO"/>
  </r>
  <r>
    <n v="11"/>
    <x v="34"/>
    <n v="2018"/>
    <s v="Noviembre"/>
    <s v="MAKEBEVA"/>
    <n v="1232400088"/>
    <x v="85"/>
    <n v="21555813"/>
    <n v="221100"/>
    <n v="5464663"/>
    <n v="15870050"/>
    <n v="15000000"/>
    <n v="1.0580033333333334"/>
    <x v="1"/>
    <n v="24"/>
    <x v="10"/>
    <s v="Antioquia"/>
    <s v="Fluctúa"/>
    <n v="43"/>
    <n v="3111739"/>
    <n v="96"/>
    <n v="11103458"/>
    <n v="53"/>
    <n v="5464663"/>
    <n v="1875953"/>
    <s v="NO"/>
  </r>
  <r>
    <n v="11"/>
    <x v="34"/>
    <n v="2018"/>
    <s v="Noviembre"/>
    <s v="MILEQUOL"/>
    <n v="1035224144"/>
    <x v="78"/>
    <n v="44096230"/>
    <n v="0"/>
    <n v="9605069"/>
    <n v="34491161"/>
    <n v="15000000"/>
    <n v="2.2994107333333331"/>
    <x v="1"/>
    <n v="24"/>
    <x v="10"/>
    <s v="Antioquia"/>
    <s v="Cumple"/>
    <n v="84"/>
    <n v="8168133"/>
    <n v="194"/>
    <n v="22968378"/>
    <n v="103"/>
    <n v="9605069"/>
    <n v="3354650"/>
    <s v="NO"/>
  </r>
  <r>
    <n v="11"/>
    <x v="34"/>
    <n v="2018"/>
    <s v="Noviembre"/>
    <s v="ANGEROPI"/>
    <m/>
    <x v="7"/>
    <n v="73601"/>
    <n v="0"/>
    <n v="73601"/>
    <n v="0"/>
    <m/>
    <m/>
    <x v="0"/>
    <n v="24"/>
    <x v="0"/>
    <s v=""/>
    <s v="No Aplica"/>
    <n v="0"/>
    <n v="0"/>
    <n v="0"/>
    <n v="0"/>
    <n v="1"/>
    <n v="73601"/>
    <n v="0"/>
    <m/>
  </r>
  <r>
    <n v="11"/>
    <x v="34"/>
    <n v="2018"/>
    <s v="Noviembre"/>
    <s v="DARWHERI"/>
    <m/>
    <x v="7"/>
    <n v="727321"/>
    <n v="0"/>
    <n v="868878"/>
    <n v="-141557"/>
    <m/>
    <m/>
    <x v="0"/>
    <n v="24"/>
    <x v="0"/>
    <s v=""/>
    <s v="No Aplica"/>
    <n v="0"/>
    <n v="0"/>
    <n v="2"/>
    <n v="-141557"/>
    <n v="12"/>
    <n v="868878"/>
    <n v="0"/>
    <m/>
  </r>
  <r>
    <n v="11"/>
    <x v="34"/>
    <n v="2018"/>
    <s v="Noviembre"/>
    <s v="DEISCACR"/>
    <m/>
    <x v="7"/>
    <n v="468000"/>
    <n v="0"/>
    <n v="0"/>
    <n v="468000"/>
    <m/>
    <m/>
    <x v="0"/>
    <n v="24"/>
    <x v="0"/>
    <s v=""/>
    <s v="No Aplica"/>
    <n v="0"/>
    <n v="0"/>
    <n v="0"/>
    <n v="0"/>
    <n v="0"/>
    <n v="0"/>
    <n v="468000"/>
    <m/>
  </r>
  <r>
    <n v="11"/>
    <x v="34"/>
    <n v="2018"/>
    <s v="Noviembre"/>
    <s v="EMMAARMA"/>
    <m/>
    <x v="7"/>
    <n v="361200"/>
    <n v="0"/>
    <n v="361200"/>
    <n v="0"/>
    <m/>
    <m/>
    <x v="0"/>
    <n v="24"/>
    <x v="0"/>
    <s v=""/>
    <s v="No Aplica"/>
    <n v="0"/>
    <n v="0"/>
    <n v="0"/>
    <n v="0"/>
    <n v="0"/>
    <n v="0"/>
    <n v="361200"/>
    <m/>
  </r>
  <r>
    <n v="11"/>
    <x v="34"/>
    <n v="2018"/>
    <s v="Noviembre"/>
    <s v="HISNOSPI"/>
    <m/>
    <x v="7"/>
    <n v="217091"/>
    <n v="0"/>
    <n v="0"/>
    <n v="217091"/>
    <m/>
    <m/>
    <x v="0"/>
    <n v="24"/>
    <x v="0"/>
    <s v=""/>
    <s v="No Aplica"/>
    <n v="1"/>
    <n v="85714"/>
    <n v="2"/>
    <n v="131377"/>
    <n v="0"/>
    <n v="0"/>
    <n v="0"/>
    <m/>
  </r>
  <r>
    <n v="11"/>
    <x v="34"/>
    <n v="2018"/>
    <s v="Noviembre"/>
    <s v="SANDRIVI"/>
    <m/>
    <x v="7"/>
    <n v="190600"/>
    <n v="0"/>
    <n v="190600"/>
    <n v="0"/>
    <m/>
    <m/>
    <x v="0"/>
    <n v="24"/>
    <x v="0"/>
    <s v=""/>
    <s v="No Aplica"/>
    <n v="0"/>
    <n v="0"/>
    <n v="0"/>
    <n v="0"/>
    <n v="0"/>
    <n v="0"/>
    <n v="190600"/>
    <m/>
  </r>
  <r>
    <n v="11"/>
    <x v="34"/>
    <n v="2018"/>
    <s v="Noviembre"/>
    <s v="ANAUROCA"/>
    <m/>
    <x v="7"/>
    <n v="207600"/>
    <n v="0"/>
    <n v="207600"/>
    <n v="0"/>
    <m/>
    <m/>
    <x v="0"/>
    <n v="24"/>
    <x v="0"/>
    <s v=""/>
    <s v="No Aplica"/>
    <n v="0"/>
    <n v="0"/>
    <n v="0"/>
    <n v="0"/>
    <n v="0"/>
    <n v="0"/>
    <n v="207600"/>
    <m/>
  </r>
  <r>
    <n v="11"/>
    <x v="34"/>
    <n v="2018"/>
    <s v="Noviembre"/>
    <s v="ALEJVAVA"/>
    <m/>
    <x v="7"/>
    <n v="109600"/>
    <n v="0"/>
    <n v="109600"/>
    <n v="0"/>
    <m/>
    <m/>
    <x v="0"/>
    <n v="24"/>
    <x v="0"/>
    <s v=""/>
    <s v="No Aplica"/>
    <n v="0"/>
    <n v="0"/>
    <n v="0"/>
    <n v="0"/>
    <n v="0"/>
    <n v="0"/>
    <n v="109600"/>
    <m/>
  </r>
  <r>
    <n v="11"/>
    <x v="34"/>
    <n v="2018"/>
    <s v="Noviembre"/>
    <s v="ALEJIRRA"/>
    <m/>
    <x v="7"/>
    <n v="109600"/>
    <n v="0"/>
    <n v="109600"/>
    <n v="0"/>
    <m/>
    <m/>
    <x v="0"/>
    <n v="24"/>
    <x v="0"/>
    <s v=""/>
    <s v="No Aplica"/>
    <n v="0"/>
    <n v="0"/>
    <n v="0"/>
    <n v="0"/>
    <n v="0"/>
    <n v="0"/>
    <n v="109600"/>
    <m/>
  </r>
  <r>
    <n v="11"/>
    <x v="34"/>
    <n v="2018"/>
    <s v="Noviembre"/>
    <s v="JHONLOCR"/>
    <m/>
    <x v="7"/>
    <n v="205225"/>
    <n v="0"/>
    <n v="205225"/>
    <n v="0"/>
    <m/>
    <m/>
    <x v="0"/>
    <n v="24"/>
    <x v="0"/>
    <s v=""/>
    <s v="No Aplica"/>
    <n v="0"/>
    <n v="0"/>
    <n v="0"/>
    <n v="0"/>
    <n v="3"/>
    <n v="205225"/>
    <n v="0"/>
    <m/>
  </r>
  <r>
    <n v="11"/>
    <x v="34"/>
    <n v="2018"/>
    <s v="Noviembre"/>
    <s v="MONIARGI"/>
    <m/>
    <x v="7"/>
    <n v="4424036"/>
    <n v="0"/>
    <n v="2631356"/>
    <n v="1792680"/>
    <m/>
    <m/>
    <x v="0"/>
    <n v="24"/>
    <x v="0"/>
    <s v=""/>
    <s v="No Aplica"/>
    <n v="3"/>
    <n v="400790"/>
    <n v="12"/>
    <n v="1247286"/>
    <n v="28"/>
    <n v="2631356"/>
    <n v="144604"/>
    <m/>
  </r>
  <r>
    <n v="11"/>
    <x v="34"/>
    <n v="2018"/>
    <s v="Noviembre"/>
    <s v="JOSEVAPR"/>
    <m/>
    <x v="7"/>
    <n v="6128887"/>
    <n v="0"/>
    <n v="0"/>
    <n v="6128887"/>
    <m/>
    <m/>
    <x v="0"/>
    <n v="24"/>
    <x v="0"/>
    <s v=""/>
    <s v="No Aplica"/>
    <n v="10"/>
    <n v="1494606"/>
    <n v="38"/>
    <n v="3856276"/>
    <n v="0"/>
    <n v="0"/>
    <n v="778005"/>
    <m/>
  </r>
  <r>
    <n v="11"/>
    <x v="34"/>
    <n v="2018"/>
    <s v="Noviembre"/>
    <s v="ALEXDERI"/>
    <m/>
    <x v="7"/>
    <n v="46283"/>
    <n v="0"/>
    <n v="46283"/>
    <n v="0"/>
    <m/>
    <m/>
    <x v="0"/>
    <n v="24"/>
    <x v="0"/>
    <s v=""/>
    <s v="No Aplica"/>
    <n v="0"/>
    <n v="0"/>
    <n v="0"/>
    <n v="0"/>
    <n v="1"/>
    <n v="46283"/>
    <n v="0"/>
    <m/>
  </r>
  <r>
    <n v="11"/>
    <x v="34"/>
    <n v="2018"/>
    <s v="Noviembre"/>
    <s v="(en blanco)"/>
    <m/>
    <x v="7"/>
    <n v="-112659"/>
    <n v="0"/>
    <n v="0"/>
    <n v="-112659"/>
    <m/>
    <m/>
    <x v="0"/>
    <n v="24"/>
    <x v="0"/>
    <s v=""/>
    <s v="No Aplica"/>
    <n v="2"/>
    <n v="0"/>
    <n v="48"/>
    <n v="0"/>
    <n v="0"/>
    <n v="0"/>
    <n v="-112659"/>
    <m/>
  </r>
  <r>
    <n v="12"/>
    <x v="35"/>
    <n v="2018"/>
    <s v="Diciembre"/>
    <s v="DERLARMO"/>
    <n v="52725011"/>
    <x v="10"/>
    <n v="35530889"/>
    <n v="897300"/>
    <n v="6169064"/>
    <n v="28464525"/>
    <n v="23958341"/>
    <n v="1.1880841415522052"/>
    <x v="1"/>
    <n v="24"/>
    <x v="6"/>
    <s v="Centro"/>
    <s v="Fluctúa"/>
    <n v="77"/>
    <n v="5902124"/>
    <n v="204"/>
    <n v="21064495"/>
    <n v="84"/>
    <n v="6169064"/>
    <n v="2395206"/>
    <s v="NO"/>
  </r>
  <r>
    <n v="12"/>
    <x v="35"/>
    <n v="2018"/>
    <s v="Diciembre"/>
    <s v="LOREBECR"/>
    <n v="1010207310"/>
    <x v="68"/>
    <n v="33255365"/>
    <n v="0"/>
    <n v="5919364"/>
    <n v="27336001"/>
    <n v="23958341"/>
    <n v="1.1409805461905731"/>
    <x v="1"/>
    <n v="24"/>
    <x v="6"/>
    <s v="Centro"/>
    <s v="Cumple"/>
    <n v="67"/>
    <n v="5793435"/>
    <n v="184"/>
    <n v="19425783"/>
    <n v="74"/>
    <n v="5919364"/>
    <n v="2116783"/>
    <s v="NO"/>
  </r>
  <r>
    <n v="12"/>
    <x v="35"/>
    <n v="2018"/>
    <s v="Diciembre"/>
    <s v="RAULMOGA"/>
    <n v="79701425"/>
    <x v="27"/>
    <n v="30997462"/>
    <n v="1400100"/>
    <n v="5598920"/>
    <n v="23998442"/>
    <n v="23958341"/>
    <n v="1.0016737803339555"/>
    <x v="0"/>
    <n v="24"/>
    <x v="6"/>
    <s v="Centro"/>
    <s v="No Aplica"/>
    <n v="70"/>
    <n v="5180910"/>
    <n v="156"/>
    <n v="16453526"/>
    <n v="76"/>
    <n v="5466920"/>
    <n v="3896106"/>
    <m/>
  </r>
  <r>
    <n v="12"/>
    <x v="35"/>
    <n v="2018"/>
    <s v="Diciembre"/>
    <s v="PAULGOBA"/>
    <n v="32256379"/>
    <x v="7"/>
    <n v="8603206"/>
    <n v="923100"/>
    <n v="234237"/>
    <n v="7445869"/>
    <m/>
    <m/>
    <x v="1"/>
    <n v="24"/>
    <x v="13"/>
    <s v="Antioquia"/>
    <s v="Fluctúa"/>
    <n v="15"/>
    <n v="1464396"/>
    <n v="28"/>
    <n v="4451876"/>
    <n v="3"/>
    <n v="234237"/>
    <n v="2452697"/>
    <s v="NO"/>
  </r>
  <r>
    <n v="12"/>
    <x v="35"/>
    <n v="2018"/>
    <s v="Diciembre"/>
    <s v="VANELOBE"/>
    <n v="1128476466"/>
    <x v="7"/>
    <n v="22408839"/>
    <n v="0"/>
    <n v="2119195"/>
    <n v="20289644"/>
    <m/>
    <m/>
    <x v="1"/>
    <n v="24"/>
    <x v="4"/>
    <s v="Antioquia"/>
    <s v="Fluctúa"/>
    <n v="34"/>
    <n v="2586383"/>
    <n v="76"/>
    <n v="12602940"/>
    <n v="29"/>
    <n v="2119195"/>
    <n v="5100321"/>
    <s v="NO"/>
  </r>
  <r>
    <n v="12"/>
    <x v="35"/>
    <n v="2018"/>
    <s v="Diciembre"/>
    <s v="DIANPAAL"/>
    <n v="1040030764"/>
    <x v="11"/>
    <n v="51248383"/>
    <n v="2753940"/>
    <n v="9300053"/>
    <n v="39194390"/>
    <n v="33541659"/>
    <n v="1.1685286646077941"/>
    <x v="1"/>
    <n v="24"/>
    <x v="7"/>
    <s v="Antioquia"/>
    <s v="Cumple"/>
    <n v="77"/>
    <n v="8334856"/>
    <n v="208"/>
    <n v="28076456"/>
    <n v="97"/>
    <n v="9300053"/>
    <n v="5537018"/>
    <s v="NO"/>
  </r>
  <r>
    <n v="12"/>
    <x v="35"/>
    <n v="2018"/>
    <s v="Diciembre"/>
    <s v="MARIGOOR"/>
    <n v="1128267208"/>
    <x v="77"/>
    <n v="45264049"/>
    <n v="1864200"/>
    <n v="7249973"/>
    <n v="36149876"/>
    <n v="33541659"/>
    <n v="1.0777605246061324"/>
    <x v="1"/>
    <n v="24"/>
    <x v="7"/>
    <s v="Antioquia"/>
    <s v="Fluctúa"/>
    <n v="62"/>
    <n v="8164609"/>
    <n v="150"/>
    <n v="22724741"/>
    <n v="79"/>
    <n v="7022255"/>
    <n v="7352444"/>
    <s v="NO"/>
  </r>
  <r>
    <n v="12"/>
    <x v="35"/>
    <n v="2018"/>
    <s v="Diciembre"/>
    <s v="MARIOCOC"/>
    <n v="39448823"/>
    <x v="21"/>
    <n v="37772629"/>
    <n v="2838150"/>
    <n v="3943646"/>
    <n v="30990833"/>
    <n v="17499996"/>
    <n v="1.7709051476354623"/>
    <x v="1"/>
    <n v="24"/>
    <x v="7"/>
    <s v="Antioquia"/>
    <s v="Siempre Cumple"/>
    <n v="60"/>
    <n v="6467291"/>
    <n v="168"/>
    <n v="21744599"/>
    <n v="42"/>
    <n v="3943646"/>
    <n v="5617093"/>
    <s v="Inicio Vacaciones"/>
  </r>
  <r>
    <n v="12"/>
    <x v="35"/>
    <n v="2018"/>
    <s v="Diciembre"/>
    <s v="ALEXLOGR"/>
    <n v="43253531"/>
    <x v="2"/>
    <n v="47203643"/>
    <n v="1110000"/>
    <n v="10199184"/>
    <n v="35894459"/>
    <n v="33541659"/>
    <n v="1.0701456060953931"/>
    <x v="1"/>
    <n v="24"/>
    <x v="2"/>
    <s v="Antioquia"/>
    <s v="Cumple"/>
    <n v="84"/>
    <n v="7467942"/>
    <n v="194"/>
    <n v="23511019"/>
    <n v="102"/>
    <n v="10199184"/>
    <n v="6025498"/>
    <s v="NO"/>
  </r>
  <r>
    <n v="12"/>
    <x v="35"/>
    <n v="2018"/>
    <s v="Diciembre"/>
    <s v="YULIRIRE"/>
    <n v="21982241"/>
    <x v="57"/>
    <n v="17597903"/>
    <n v="397980"/>
    <n v="2470720"/>
    <n v="14729203"/>
    <n v="11666664"/>
    <n v="1.2625034028579207"/>
    <x v="1"/>
    <n v="24"/>
    <x v="2"/>
    <s v="Antioquia"/>
    <s v="Fluctúa"/>
    <n v="31"/>
    <n v="2597723"/>
    <n v="100"/>
    <n v="9987665"/>
    <n v="26"/>
    <n v="2470720"/>
    <n v="2541795"/>
    <s v="Regreso Vacaciones"/>
  </r>
  <r>
    <n v="12"/>
    <x v="35"/>
    <n v="2018"/>
    <s v="Diciembre"/>
    <s v="ADRIMOLU"/>
    <n v="43169964"/>
    <x v="1"/>
    <n v="55591763"/>
    <n v="468000"/>
    <n v="11489685"/>
    <n v="43634078"/>
    <n v="42166659"/>
    <n v="1.0348004569202411"/>
    <x v="1"/>
    <n v="24"/>
    <x v="1"/>
    <s v="Antioquia"/>
    <s v="Cumple"/>
    <n v="99"/>
    <n v="9769559"/>
    <n v="230"/>
    <n v="28948533"/>
    <n v="109"/>
    <n v="11489685"/>
    <n v="5383986"/>
    <s v="NO"/>
  </r>
  <r>
    <n v="12"/>
    <x v="35"/>
    <n v="2018"/>
    <s v="Diciembre"/>
    <s v="ASTRTAAR"/>
    <n v="1017191161"/>
    <x v="80"/>
    <n v="36187958"/>
    <n v="874800"/>
    <n v="8150768"/>
    <n v="27162390"/>
    <n v="42166659"/>
    <n v="0.64416746890001408"/>
    <x v="1"/>
    <n v="24"/>
    <x v="1"/>
    <s v="Antioquia"/>
    <s v="No Cumple"/>
    <n v="65"/>
    <n v="6248922"/>
    <n v="126"/>
    <n v="17384394"/>
    <n v="76"/>
    <n v="8150768"/>
    <n v="4403874"/>
    <s v="NO"/>
  </r>
  <r>
    <n v="12"/>
    <x v="35"/>
    <n v="2018"/>
    <s v="Diciembre"/>
    <s v="JUANVALN"/>
    <n v="1128402269"/>
    <x v="86"/>
    <n v="4256797"/>
    <n v="324000"/>
    <n v="1367605"/>
    <n v="2565192"/>
    <n v="18333330"/>
    <n v="0.13991958907628893"/>
    <x v="1"/>
    <n v="24"/>
    <x v="1"/>
    <s v="Antioquia"/>
    <s v="No Cumple"/>
    <n v="6"/>
    <n v="572615"/>
    <n v="14"/>
    <n v="1330116"/>
    <n v="11"/>
    <n v="1367605"/>
    <n v="986461"/>
    <s v="NO"/>
  </r>
  <r>
    <n v="12"/>
    <x v="35"/>
    <n v="2018"/>
    <s v="Diciembre"/>
    <s v="LILACARA"/>
    <n v="1017141451"/>
    <x v="17"/>
    <n v="55321547"/>
    <n v="1000200"/>
    <n v="9316646"/>
    <n v="45004701"/>
    <n v="40333326"/>
    <n v="1.1158192359340759"/>
    <x v="1"/>
    <n v="24"/>
    <x v="1"/>
    <s v="Antioquia"/>
    <s v="Siempre Cumple"/>
    <n v="89"/>
    <n v="9282893"/>
    <n v="221"/>
    <n v="29399024"/>
    <n v="100"/>
    <n v="9316646"/>
    <n v="7322984"/>
    <s v="NO"/>
  </r>
  <r>
    <n v="12"/>
    <x v="35"/>
    <n v="2018"/>
    <s v="Diciembre"/>
    <s v="LIZEGASA"/>
    <n v="1128442101"/>
    <x v="81"/>
    <n v="40458746"/>
    <n v="442200"/>
    <n v="8804148"/>
    <n v="31212398"/>
    <n v="42166659"/>
    <n v="0.74021510691658066"/>
    <x v="1"/>
    <n v="24"/>
    <x v="10"/>
    <s v="Antioquia"/>
    <s v="Fluctúa"/>
    <n v="70"/>
    <n v="6912233"/>
    <n v="156"/>
    <n v="18448986"/>
    <n v="96"/>
    <n v="8804148"/>
    <n v="6293379"/>
    <s v="NO"/>
  </r>
  <r>
    <n v="12"/>
    <x v="35"/>
    <n v="2018"/>
    <s v="Diciembre"/>
    <s v="SUANHECO"/>
    <n v="1020409789"/>
    <x v="58"/>
    <n v="68336861"/>
    <n v="2183100"/>
    <n v="14180308"/>
    <n v="51973453"/>
    <n v="42166659"/>
    <n v="1.2325722320091805"/>
    <x v="1"/>
    <n v="24"/>
    <x v="1"/>
    <s v="Antioquia"/>
    <s v="Cumple"/>
    <n v="113"/>
    <n v="12064419"/>
    <n v="242"/>
    <n v="32029819"/>
    <n v="138"/>
    <n v="14180308"/>
    <n v="10062315"/>
    <s v="NO"/>
  </r>
  <r>
    <n v="12"/>
    <x v="35"/>
    <n v="2018"/>
    <s v="Diciembre"/>
    <s v="ZULYARGA"/>
    <n v="43259130"/>
    <x v="31"/>
    <n v="40417586"/>
    <n v="923100"/>
    <n v="8515838"/>
    <n v="30978648"/>
    <n v="25666662"/>
    <n v="1.206960531135681"/>
    <x v="1"/>
    <n v="24"/>
    <x v="1"/>
    <s v="Antioquia"/>
    <s v="Fluctúa"/>
    <n v="72"/>
    <n v="7087420"/>
    <n v="174"/>
    <n v="17966957"/>
    <n v="88"/>
    <n v="8515838"/>
    <n v="6847371"/>
    <s v="Inicio Vacaciones"/>
  </r>
  <r>
    <n v="12"/>
    <x v="35"/>
    <n v="2018"/>
    <s v="Diciembre"/>
    <s v="BIBIBECA"/>
    <n v="43971430"/>
    <x v="6"/>
    <n v="58990595"/>
    <n v="604200"/>
    <n v="13771999"/>
    <n v="44614396"/>
    <n v="40250000"/>
    <n v="1.1084321987577639"/>
    <x v="1"/>
    <n v="24"/>
    <x v="5"/>
    <s v="Antioquia"/>
    <s v="Siempre Cumple"/>
    <n v="106"/>
    <n v="9092984"/>
    <n v="256"/>
    <n v="30009479"/>
    <n v="135"/>
    <n v="13771999"/>
    <n v="6116133"/>
    <s v="NO"/>
  </r>
  <r>
    <n v="12"/>
    <x v="35"/>
    <n v="2018"/>
    <s v="Diciembre"/>
    <s v="CLAUBLAR"/>
    <n v="43554403"/>
    <x v="8"/>
    <n v="63018874"/>
    <n v="2784900"/>
    <n v="14091578"/>
    <n v="46142396"/>
    <n v="40250000"/>
    <n v="1.1463949316770186"/>
    <x v="1"/>
    <n v="24"/>
    <x v="5"/>
    <s v="Antioquia"/>
    <s v="Siempre Cumple"/>
    <n v="92"/>
    <n v="9040083"/>
    <n v="214"/>
    <n v="28888322"/>
    <n v="138"/>
    <n v="14091578"/>
    <n v="10998891"/>
    <s v="NO"/>
  </r>
  <r>
    <n v="12"/>
    <x v="35"/>
    <n v="2018"/>
    <s v="Diciembre"/>
    <s v="HERIRORO"/>
    <n v="21428423"/>
    <x v="52"/>
    <n v="54225241"/>
    <n v="468000"/>
    <n v="9881073"/>
    <n v="43876168"/>
    <n v="40250000"/>
    <n v="1.0900911304347827"/>
    <x v="1"/>
    <n v="24"/>
    <x v="5"/>
    <s v="Antioquia"/>
    <s v="Fluctúa"/>
    <n v="112"/>
    <n v="9556159"/>
    <n v="244"/>
    <n v="27876494"/>
    <n v="109"/>
    <n v="9881073"/>
    <n v="6911515"/>
    <s v="NO"/>
  </r>
  <r>
    <n v="12"/>
    <x v="35"/>
    <n v="2018"/>
    <s v="Diciembre"/>
    <s v="MARGGAPA"/>
    <n v="43866877"/>
    <x v="20"/>
    <n v="59708409"/>
    <n v="234000"/>
    <n v="11290445"/>
    <n v="48183964"/>
    <n v="40250000"/>
    <n v="1.1971171180124223"/>
    <x v="1"/>
    <n v="24"/>
    <x v="5"/>
    <s v="Antioquia"/>
    <s v="Siempre Cumple"/>
    <n v="106"/>
    <n v="11076765"/>
    <n v="224"/>
    <n v="32542023"/>
    <n v="123"/>
    <n v="11290445"/>
    <n v="4799176"/>
    <s v="NO"/>
  </r>
  <r>
    <n v="12"/>
    <x v="35"/>
    <n v="2018"/>
    <s v="Diciembre"/>
    <s v="MARIHIRO"/>
    <n v="1001131473"/>
    <x v="76"/>
    <n v="55743984"/>
    <n v="468000"/>
    <n v="12035486"/>
    <n v="43240498"/>
    <n v="40250000"/>
    <n v="1.0742980869565217"/>
    <x v="1"/>
    <n v="24"/>
    <x v="5"/>
    <s v="Antioquia"/>
    <s v="No Cumple"/>
    <n v="90"/>
    <n v="9382932"/>
    <n v="225"/>
    <n v="28722750"/>
    <n v="130"/>
    <n v="12035486"/>
    <n v="5602816"/>
    <s v="NO"/>
  </r>
  <r>
    <n v="12"/>
    <x v="35"/>
    <n v="2018"/>
    <s v="Diciembre"/>
    <s v="SANDCAAC"/>
    <n v="39175639"/>
    <x v="75"/>
    <n v="55493822"/>
    <n v="1740000"/>
    <n v="9708469"/>
    <n v="44045353"/>
    <n v="40250000"/>
    <n v="1.0942944844720497"/>
    <x v="1"/>
    <n v="24"/>
    <x v="5"/>
    <s v="Antioquia"/>
    <s v="Fluctúa"/>
    <n v="92"/>
    <n v="8645283"/>
    <n v="203"/>
    <n v="28291438"/>
    <n v="91"/>
    <n v="9708469"/>
    <n v="8848632"/>
    <s v="NO"/>
  </r>
  <r>
    <n v="12"/>
    <x v="35"/>
    <n v="2018"/>
    <s v="Diciembre"/>
    <s v="YENISIGI"/>
    <n v="1035913369"/>
    <x v="64"/>
    <n v="54643726"/>
    <n v="0"/>
    <n v="11096507"/>
    <n v="43547219"/>
    <n v="40250000"/>
    <n v="1.0819184844720497"/>
    <x v="1"/>
    <n v="24"/>
    <x v="5"/>
    <s v="Antioquia"/>
    <s v="Fluctúa"/>
    <n v="98"/>
    <n v="9689625"/>
    <n v="224"/>
    <n v="27546292"/>
    <n v="113"/>
    <n v="11096507"/>
    <n v="6311302"/>
    <s v="NO"/>
  </r>
  <r>
    <n v="12"/>
    <x v="35"/>
    <n v="2018"/>
    <s v="Diciembre"/>
    <s v="NATAPIDU"/>
    <n v="43907427"/>
    <x v="25"/>
    <n v="54539056"/>
    <n v="596970"/>
    <n v="5123637"/>
    <n v="48818449"/>
    <n v="38333341"/>
    <n v="1.2735245018168388"/>
    <x v="1"/>
    <n v="24"/>
    <x v="11"/>
    <s v="Antioquia"/>
    <s v="Siempre Cumple"/>
    <n v="50"/>
    <n v="9180776"/>
    <n v="165"/>
    <n v="32081925"/>
    <n v="63"/>
    <n v="5123637"/>
    <n v="8152718"/>
    <s v="NO"/>
  </r>
  <r>
    <n v="12"/>
    <x v="35"/>
    <n v="2018"/>
    <s v="Diciembre"/>
    <s v="ALVAOSOS"/>
    <n v="3438422"/>
    <x v="37"/>
    <n v="52315252"/>
    <n v="0"/>
    <n v="9084327"/>
    <n v="43230925"/>
    <n v="42166659"/>
    <n v="1.0252395144704256"/>
    <x v="1"/>
    <n v="24"/>
    <x v="8"/>
    <s v="Antioquia"/>
    <s v="Fluctúa"/>
    <n v="64"/>
    <n v="6045710"/>
    <n v="187"/>
    <n v="26609763"/>
    <n v="89"/>
    <n v="9084327"/>
    <n v="10575452"/>
    <s v="NO"/>
  </r>
  <r>
    <n v="12"/>
    <x v="35"/>
    <n v="2018"/>
    <s v="Diciembre"/>
    <s v="CARORAMN"/>
    <n v="1020451288"/>
    <x v="61"/>
    <n v="34998030"/>
    <n v="954000"/>
    <n v="5982242"/>
    <n v="28061788"/>
    <n v="27499995"/>
    <n v="1.0204288400779709"/>
    <x v="1"/>
    <n v="24"/>
    <x v="8"/>
    <s v="Antioquia"/>
    <s v="Cumple"/>
    <n v="57"/>
    <n v="5101688"/>
    <n v="138"/>
    <n v="17538848"/>
    <n v="58"/>
    <n v="5982242"/>
    <n v="6375252"/>
    <s v="Inicio Vacaciones"/>
  </r>
  <r>
    <n v="12"/>
    <x v="35"/>
    <n v="2018"/>
    <s v="Diciembre"/>
    <s v="CINDGACU"/>
    <n v="1020443426"/>
    <x v="55"/>
    <n v="33988800"/>
    <n v="0"/>
    <n v="11153853"/>
    <n v="22834947"/>
    <n v="36541659"/>
    <n v="0.62490175938645809"/>
    <x v="1"/>
    <n v="24"/>
    <x v="4"/>
    <s v="Antioquia"/>
    <s v="Fluctúa"/>
    <n v="61"/>
    <n v="5172985"/>
    <n v="154"/>
    <n v="14120841"/>
    <n v="115"/>
    <n v="11153853"/>
    <n v="3541121"/>
    <s v="NO"/>
  </r>
  <r>
    <n v="12"/>
    <x v="35"/>
    <n v="2018"/>
    <s v="Diciembre"/>
    <s v="GENNHEPO"/>
    <n v="43874518"/>
    <x v="14"/>
    <n v="57357192"/>
    <n v="1840100"/>
    <n v="9444659"/>
    <n v="46072433"/>
    <n v="42166659"/>
    <n v="1.0926270682246844"/>
    <x v="1"/>
    <n v="24"/>
    <x v="8"/>
    <s v="Antioquia"/>
    <s v="Fluctúa"/>
    <n v="99"/>
    <n v="9164230"/>
    <n v="269"/>
    <n v="30459189"/>
    <n v="91"/>
    <n v="9444659"/>
    <n v="8289114"/>
    <s v="NO"/>
  </r>
  <r>
    <n v="12"/>
    <x v="35"/>
    <n v="2018"/>
    <s v="Diciembre"/>
    <s v="LEIDGOVI"/>
    <n v="1036598360"/>
    <x v="39"/>
    <n v="32191938"/>
    <n v="942000"/>
    <n v="8908227"/>
    <n v="22341711"/>
    <n v="42166659"/>
    <n v="0.52984304495169987"/>
    <x v="1"/>
    <n v="24"/>
    <x v="8"/>
    <s v="Antioquia"/>
    <s v="Fluctúa"/>
    <n v="52"/>
    <n v="4395350"/>
    <n v="122"/>
    <n v="12769597"/>
    <n v="81"/>
    <n v="8908227"/>
    <n v="6118764"/>
    <s v="NO"/>
  </r>
  <r>
    <n v="12"/>
    <x v="35"/>
    <n v="2018"/>
    <s v="Diciembre"/>
    <s v="LEIDPAPA"/>
    <n v="1020425089"/>
    <x v="72"/>
    <n v="57406600"/>
    <n v="936000"/>
    <n v="12649356"/>
    <n v="43821244"/>
    <n v="41833327"/>
    <n v="1.0475199354811058"/>
    <x v="1"/>
    <n v="24"/>
    <x v="8"/>
    <s v="Antioquia"/>
    <s v="Cumple"/>
    <n v="96"/>
    <n v="8716244"/>
    <n v="258"/>
    <n v="29027192"/>
    <n v="124"/>
    <n v="12649356"/>
    <n v="7013808"/>
    <s v="NO"/>
  </r>
  <r>
    <n v="12"/>
    <x v="35"/>
    <n v="2018"/>
    <s v="Diciembre"/>
    <s v="YENYSUPE"/>
    <n v="1020419011"/>
    <x v="51"/>
    <n v="59257538"/>
    <n v="840000"/>
    <n v="12782673"/>
    <n v="45634865"/>
    <n v="42166659"/>
    <n v="1.0822499596185697"/>
    <x v="1"/>
    <n v="24"/>
    <x v="8"/>
    <s v="Antioquia"/>
    <s v="Cumple"/>
    <n v="99"/>
    <n v="9803327"/>
    <n v="226"/>
    <n v="29464117"/>
    <n v="117"/>
    <n v="12782673"/>
    <n v="7207421"/>
    <s v="NO"/>
  </r>
  <r>
    <n v="12"/>
    <x v="35"/>
    <n v="2018"/>
    <s v="Diciembre"/>
    <s v="YURAUSVE"/>
    <n v="1020419615"/>
    <x v="56"/>
    <n v="58193090"/>
    <n v="640000"/>
    <n v="11530022"/>
    <n v="46023068"/>
    <n v="42166659"/>
    <n v="1.0914563565493771"/>
    <x v="1"/>
    <n v="24"/>
    <x v="8"/>
    <s v="Antioquia"/>
    <s v="Cumple"/>
    <n v="83"/>
    <n v="7742076"/>
    <n v="239"/>
    <n v="31194770"/>
    <n v="110"/>
    <n v="11124504"/>
    <n v="8131740"/>
    <s v="NO"/>
  </r>
  <r>
    <n v="12"/>
    <x v="35"/>
    <n v="2018"/>
    <s v="Diciembre"/>
    <s v="ANAMLOBE"/>
    <n v="43821410"/>
    <x v="3"/>
    <n v="70727093"/>
    <n v="2804100"/>
    <n v="11439189"/>
    <n v="56483804"/>
    <n v="42166659"/>
    <n v="1.3395370973071403"/>
    <x v="1"/>
    <n v="24"/>
    <x v="3"/>
    <s v="Antioquia"/>
    <s v="Siempre Cumple"/>
    <n v="83"/>
    <n v="9244184"/>
    <n v="224"/>
    <n v="41430369"/>
    <n v="113"/>
    <n v="11193589"/>
    <n v="8858951"/>
    <s v="NO"/>
  </r>
  <r>
    <n v="12"/>
    <x v="35"/>
    <n v="2018"/>
    <s v="Diciembre"/>
    <s v="ELIZVESU"/>
    <n v="1035417626"/>
    <x v="13"/>
    <n v="18734883"/>
    <n v="567000"/>
    <n v="4143904"/>
    <n v="14023979"/>
    <n v="27499995"/>
    <n v="0.50996296544781194"/>
    <x v="1"/>
    <n v="24"/>
    <x v="3"/>
    <s v="Antioquia"/>
    <s v="Cumple"/>
    <n v="31"/>
    <n v="2633550"/>
    <n v="82"/>
    <n v="10022223"/>
    <n v="38"/>
    <n v="4143904"/>
    <n v="1935206"/>
    <s v="Regreso Vacaciones"/>
  </r>
  <r>
    <n v="12"/>
    <x v="35"/>
    <n v="2018"/>
    <s v="Diciembre"/>
    <s v="VIVIVAZA"/>
    <n v="43745952"/>
    <x v="30"/>
    <n v="77488844"/>
    <n v="1733100"/>
    <n v="11378236"/>
    <n v="64377508"/>
    <n v="42166659"/>
    <n v="1.5267395977471205"/>
    <x v="1"/>
    <n v="24"/>
    <x v="3"/>
    <s v="Antioquia"/>
    <s v="Siempre Cumple"/>
    <n v="104"/>
    <n v="11760230"/>
    <n v="247"/>
    <n v="45203064"/>
    <n v="110"/>
    <n v="11222036"/>
    <n v="9303514"/>
    <s v="NO"/>
  </r>
  <r>
    <n v="12"/>
    <x v="35"/>
    <n v="2018"/>
    <s v="Diciembre"/>
    <s v="ANGEGAAR"/>
    <n v="39442617"/>
    <x v="4"/>
    <n v="21887657"/>
    <n v="0"/>
    <n v="5058049"/>
    <n v="16829608"/>
    <n v="15270000"/>
    <n v="1.1021354289456451"/>
    <x v="1"/>
    <n v="24"/>
    <x v="4"/>
    <s v="Antioquia"/>
    <s v="Cumple"/>
    <n v="33"/>
    <n v="3817650"/>
    <n v="73"/>
    <n v="10199258"/>
    <n v="49"/>
    <n v="5058049"/>
    <n v="2812700"/>
    <s v="NO"/>
  </r>
  <r>
    <n v="12"/>
    <x v="35"/>
    <n v="2018"/>
    <s v="Diciembre"/>
    <s v="ERIKSAVA"/>
    <n v="1017200970"/>
    <x v="44"/>
    <n v="45912025"/>
    <n v="945000"/>
    <n v="7202532"/>
    <n v="37764493"/>
    <n v="34500000"/>
    <n v="1.0946229855072465"/>
    <x v="1"/>
    <n v="24"/>
    <x v="4"/>
    <s v="Antioquia"/>
    <s v="Cumple"/>
    <n v="68"/>
    <n v="7412284"/>
    <n v="151"/>
    <n v="24242479"/>
    <n v="72"/>
    <n v="7202532"/>
    <n v="7054730"/>
    <s v="NO"/>
  </r>
  <r>
    <n v="12"/>
    <x v="35"/>
    <n v="2018"/>
    <s v="Diciembre"/>
    <s v="MARIMASA"/>
    <n v="43113640"/>
    <x v="34"/>
    <n v="48129831"/>
    <n v="221100"/>
    <n v="7028462"/>
    <n v="40880269"/>
    <n v="34500000"/>
    <n v="1.1849353333333332"/>
    <x v="1"/>
    <n v="24"/>
    <x v="4"/>
    <s v="Antioquia"/>
    <s v="Cumple"/>
    <n v="78"/>
    <n v="9170437"/>
    <n v="176"/>
    <n v="26087795"/>
    <n v="70"/>
    <n v="7028462"/>
    <n v="5843137"/>
    <s v="NO"/>
  </r>
  <r>
    <n v="12"/>
    <x v="35"/>
    <n v="2018"/>
    <s v="Diciembre"/>
    <s v="NATAVAMO"/>
    <n v="32183069"/>
    <x v="63"/>
    <n v="38804047"/>
    <n v="630000"/>
    <n v="7658700"/>
    <n v="30515347"/>
    <n v="36708327"/>
    <n v="0.83129222968946526"/>
    <x v="1"/>
    <n v="24"/>
    <x v="1"/>
    <s v="Antioquia"/>
    <s v="No Cumple"/>
    <n v="66"/>
    <n v="5827351"/>
    <n v="154"/>
    <n v="20316465"/>
    <n v="76"/>
    <n v="7658700"/>
    <n v="5001531"/>
    <s v="NO"/>
  </r>
  <r>
    <n v="12"/>
    <x v="35"/>
    <n v="2018"/>
    <s v="Diciembre"/>
    <s v="NOREARMA"/>
    <n v="39275090"/>
    <x v="66"/>
    <n v="43438226"/>
    <n v="468000"/>
    <n v="9460802"/>
    <n v="33509424"/>
    <n v="30000000"/>
    <n v="1.1169808000000001"/>
    <x v="1"/>
    <n v="24"/>
    <x v="4"/>
    <s v="Antioquia"/>
    <s v="Siempre Cumple"/>
    <n v="61"/>
    <n v="5693145"/>
    <n v="146"/>
    <n v="23147017"/>
    <n v="94"/>
    <n v="9460802"/>
    <n v="5137262"/>
    <s v="Inicio Vacaciones"/>
  </r>
  <r>
    <n v="12"/>
    <x v="35"/>
    <n v="2018"/>
    <s v="Diciembre"/>
    <s v="VIVIRUAL"/>
    <n v="32352312"/>
    <x v="82"/>
    <n v="27067045"/>
    <n v="954000"/>
    <n v="5162356"/>
    <n v="20950689"/>
    <n v="34500000"/>
    <n v="0.60726634782608691"/>
    <x v="1"/>
    <n v="24"/>
    <x v="4"/>
    <s v="Antioquia"/>
    <s v="No Cumple"/>
    <n v="47"/>
    <n v="5644413"/>
    <n v="98"/>
    <n v="11842229"/>
    <n v="50"/>
    <n v="5162356"/>
    <n v="4418047"/>
    <s v="NO"/>
  </r>
  <r>
    <n v="12"/>
    <x v="35"/>
    <n v="2018"/>
    <s v="Diciembre"/>
    <s v="ANDRSAZA"/>
    <n v="1020736461"/>
    <x v="45"/>
    <n v="59161100"/>
    <n v="842400"/>
    <n v="8602197"/>
    <n v="49716503"/>
    <n v="26833341"/>
    <n v="1.8527884023089036"/>
    <x v="1"/>
    <n v="24"/>
    <x v="9"/>
    <s v="Centro"/>
    <s v="Siempre Cumple"/>
    <n v="84"/>
    <n v="9084178"/>
    <n v="232"/>
    <n v="36126522"/>
    <n v="99"/>
    <n v="8602197"/>
    <n v="5348203"/>
    <s v="NO"/>
  </r>
  <r>
    <n v="12"/>
    <x v="35"/>
    <n v="2018"/>
    <s v="Diciembre"/>
    <s v="CHRIVERO"/>
    <n v="1020769180"/>
    <x v="83"/>
    <n v="26067777"/>
    <n v="1175400"/>
    <n v="5010298"/>
    <n v="19882079"/>
    <n v="26833341"/>
    <n v="0.74094683177916609"/>
    <x v="1"/>
    <n v="24"/>
    <x v="9"/>
    <s v="Centro"/>
    <s v="No Cumple"/>
    <n v="40"/>
    <n v="4359138"/>
    <n v="118"/>
    <n v="13043550"/>
    <n v="66"/>
    <n v="5010298"/>
    <n v="3654791"/>
    <s v="NO"/>
  </r>
  <r>
    <n v="12"/>
    <x v="35"/>
    <n v="2018"/>
    <s v="Diciembre"/>
    <s v="ISABMOGO"/>
    <n v="52260671"/>
    <x v="15"/>
    <n v="33952545"/>
    <n v="1577400"/>
    <n v="4475449"/>
    <n v="27899696"/>
    <n v="26833341"/>
    <n v="1.039739926533934"/>
    <x v="1"/>
    <n v="24"/>
    <x v="9"/>
    <s v="Centro"/>
    <s v="Siempre Cumple"/>
    <n v="66"/>
    <n v="6485247"/>
    <n v="176"/>
    <n v="19880645"/>
    <n v="59"/>
    <n v="4475449"/>
    <n v="3111204"/>
    <s v="NO"/>
  </r>
  <r>
    <n v="12"/>
    <x v="35"/>
    <n v="2018"/>
    <s v="Diciembre"/>
    <s v="CAMIPUHE"/>
    <n v="79850984"/>
    <x v="53"/>
    <n v="34709705"/>
    <n v="0"/>
    <n v="2765576"/>
    <n v="31944129"/>
    <n v="28750000"/>
    <n v="1.1111001391304347"/>
    <x v="1"/>
    <n v="24"/>
    <x v="15"/>
    <s v="Centro"/>
    <s v="Fluctúa"/>
    <n v="44"/>
    <n v="6407330"/>
    <n v="125"/>
    <n v="22087353"/>
    <n v="38"/>
    <n v="2765576"/>
    <n v="3449446"/>
    <s v="NO"/>
  </r>
  <r>
    <n v="12"/>
    <x v="35"/>
    <n v="2018"/>
    <s v="Diciembre"/>
    <s v="ROCIFASA"/>
    <n v="34542470"/>
    <x v="28"/>
    <n v="55036374"/>
    <n v="4932540"/>
    <n v="5842151"/>
    <n v="44261683"/>
    <n v="33541659"/>
    <n v="1.3196032730521767"/>
    <x v="1"/>
    <n v="24"/>
    <x v="12"/>
    <s v="Occidente"/>
    <s v="Siempre Cumple"/>
    <n v="75"/>
    <n v="12186725"/>
    <n v="212"/>
    <n v="28368798"/>
    <n v="63"/>
    <n v="5842151"/>
    <n v="8638700"/>
    <s v="NO"/>
  </r>
  <r>
    <n v="12"/>
    <x v="35"/>
    <n v="2018"/>
    <s v="Diciembre"/>
    <s v="TATIRITR"/>
    <n v="1130597373"/>
    <x v="60"/>
    <n v="44311120"/>
    <n v="572400"/>
    <n v="8368595"/>
    <n v="35370125"/>
    <n v="28958333"/>
    <n v="1.2214144025486551"/>
    <x v="1"/>
    <n v="24"/>
    <x v="16"/>
    <s v="Occidente"/>
    <s v="Fluctúa"/>
    <n v="59"/>
    <n v="6902023"/>
    <n v="182"/>
    <n v="26007210"/>
    <n v="84"/>
    <n v="8368595"/>
    <n v="3033292"/>
    <s v="NO"/>
  </r>
  <r>
    <n v="12"/>
    <x v="35"/>
    <n v="2018"/>
    <s v="Diciembre"/>
    <s v="HEIDVAVI"/>
    <n v="1130676531"/>
    <x v="73"/>
    <n v="23631197"/>
    <n v="0"/>
    <n v="4220216"/>
    <n v="19410981"/>
    <n v="17333328"/>
    <n v="1.1198646330352717"/>
    <x v="1"/>
    <n v="24"/>
    <x v="16"/>
    <s v="Occidente"/>
    <s v="No Cumple"/>
    <n v="45"/>
    <n v="3960638"/>
    <n v="116"/>
    <n v="9955243"/>
    <n v="50"/>
    <n v="4220216"/>
    <n v="5495100"/>
    <s v="NO"/>
  </r>
  <r>
    <n v="12"/>
    <x v="35"/>
    <n v="2018"/>
    <s v="Diciembre"/>
    <s v="DANYLESE"/>
    <n v="16379021"/>
    <x v="79"/>
    <n v="43554868"/>
    <n v="221100"/>
    <n v="8859349"/>
    <n v="34474419"/>
    <n v="28750000"/>
    <n v="1.1991102260869566"/>
    <x v="1"/>
    <n v="24"/>
    <x v="16"/>
    <s v="Occidente"/>
    <s v="Fluctúa"/>
    <n v="69"/>
    <n v="7461921"/>
    <n v="192"/>
    <n v="23940195"/>
    <n v="99"/>
    <n v="8859349"/>
    <n v="3293403"/>
    <s v="NO"/>
  </r>
  <r>
    <n v="12"/>
    <x v="35"/>
    <n v="2018"/>
    <s v="Diciembre"/>
    <s v="JOSEVAPR"/>
    <n v="6228363"/>
    <x v="87"/>
    <n v="48979386"/>
    <n v="0"/>
    <n v="11890657"/>
    <n v="37088729"/>
    <n v="28958333"/>
    <n v="1.2807618794907842"/>
    <x v="1"/>
    <n v="24"/>
    <x v="16"/>
    <s v="Occidente"/>
    <s v="Siempre Cumple"/>
    <n v="72"/>
    <n v="6776423"/>
    <n v="218"/>
    <n v="26457102"/>
    <n v="125"/>
    <n v="11890657"/>
    <n v="3855204"/>
    <s v="NO"/>
  </r>
  <r>
    <n v="12"/>
    <x v="35"/>
    <n v="2018"/>
    <s v="Diciembre"/>
    <s v="LEIDCAOR"/>
    <n v="1020399898"/>
    <x v="71"/>
    <n v="35014143"/>
    <n v="636000"/>
    <n v="7029590"/>
    <n v="27348553"/>
    <n v="24725000"/>
    <n v="1.1061093225480283"/>
    <x v="1"/>
    <n v="24"/>
    <x v="10"/>
    <s v="Antioquia"/>
    <s v="Fluctúa"/>
    <n v="60"/>
    <n v="5563175"/>
    <n v="142"/>
    <n v="18236936"/>
    <n v="68"/>
    <n v="7029590"/>
    <n v="4184442"/>
    <s v="NO"/>
  </r>
  <r>
    <n v="12"/>
    <x v="35"/>
    <n v="2018"/>
    <s v="Diciembre"/>
    <s v="LUZNHEGO"/>
    <n v="43745192"/>
    <x v="19"/>
    <n v="33075066"/>
    <n v="0"/>
    <n v="6336137"/>
    <n v="26738929"/>
    <n v="24725000"/>
    <n v="1.0814531445904954"/>
    <x v="1"/>
    <n v="24"/>
    <x v="10"/>
    <s v="Antioquia"/>
    <s v="Cumple"/>
    <n v="53"/>
    <n v="7046705"/>
    <n v="134"/>
    <n v="18232559"/>
    <n v="73"/>
    <n v="6336137"/>
    <n v="1459665"/>
    <s v="Inicio Vacaciones"/>
  </r>
  <r>
    <n v="12"/>
    <x v="35"/>
    <n v="2018"/>
    <s v="Diciembre"/>
    <s v="MAKEBEVA"/>
    <n v="1232400088"/>
    <x v="85"/>
    <n v="28245251"/>
    <n v="0"/>
    <n v="6379257"/>
    <n v="21865994"/>
    <n v="24725000"/>
    <n v="0.88436780586450958"/>
    <x v="1"/>
    <n v="24"/>
    <x v="10"/>
    <s v="Antioquia"/>
    <s v="Fluctúa"/>
    <n v="47"/>
    <n v="4111683"/>
    <n v="114"/>
    <n v="14278973"/>
    <n v="65"/>
    <n v="6379257"/>
    <n v="3475338"/>
    <s v="NO"/>
  </r>
  <r>
    <n v="12"/>
    <x v="35"/>
    <n v="2018"/>
    <s v="Diciembre"/>
    <s v="MILEQUOL"/>
    <n v="1035224144"/>
    <x v="78"/>
    <n v="33015518"/>
    <n v="884400"/>
    <n v="5905253"/>
    <n v="26225865"/>
    <n v="24725000"/>
    <n v="1.0607023255813954"/>
    <x v="1"/>
    <n v="24"/>
    <x v="10"/>
    <s v="Antioquia"/>
    <s v="Cumple"/>
    <n v="58"/>
    <n v="5925398"/>
    <n v="126"/>
    <n v="16269597"/>
    <n v="57"/>
    <n v="5905253"/>
    <n v="4915270"/>
    <s v="NO"/>
  </r>
  <r>
    <n v="12"/>
    <x v="35"/>
    <n v="2018"/>
    <s v="Diciembre"/>
    <s v="ANGISEBR"/>
    <n v="1144061613"/>
    <x v="70"/>
    <n v="35652242"/>
    <n v="0"/>
    <n v="7390372"/>
    <n v="28261870"/>
    <n v="24916659"/>
    <n v="1.1342560011757596"/>
    <x v="1"/>
    <n v="24"/>
    <x v="14"/>
    <s v="Occidente"/>
    <s v="Fluctúa"/>
    <n v="58"/>
    <n v="5294607"/>
    <n v="180"/>
    <n v="20967569"/>
    <n v="80"/>
    <n v="7390372"/>
    <n v="1999694"/>
    <s v="NO"/>
  </r>
  <r>
    <n v="12"/>
    <x v="35"/>
    <n v="2018"/>
    <s v="Diciembre"/>
    <s v="AURACAMO"/>
    <n v="66910365"/>
    <x v="84"/>
    <n v="36319885"/>
    <n v="0"/>
    <n v="9501554"/>
    <n v="26818331"/>
    <n v="24916659"/>
    <n v="1.0763213077644158"/>
    <x v="1"/>
    <n v="24"/>
    <x v="14"/>
    <s v="Occidente"/>
    <s v="Fluctúa"/>
    <n v="71"/>
    <n v="6457898"/>
    <n v="182"/>
    <n v="18322879"/>
    <n v="94"/>
    <n v="9501554"/>
    <n v="2037554"/>
    <s v="NO"/>
  </r>
  <r>
    <n v="12"/>
    <x v="35"/>
    <n v="2018"/>
    <s v="Diciembre"/>
    <s v="PAOLPACA"/>
    <n v="31445278"/>
    <x v="47"/>
    <n v="24433870"/>
    <n v="0"/>
    <n v="2437448"/>
    <n v="21996422"/>
    <n v="7583331"/>
    <n v="2.9006279694239905"/>
    <x v="1"/>
    <n v="24"/>
    <x v="14"/>
    <s v="Occidente"/>
    <s v="Cumple"/>
    <n v="46"/>
    <n v="4902893"/>
    <n v="124"/>
    <n v="15196602"/>
    <n v="29"/>
    <n v="2437448"/>
    <n v="1896927"/>
    <s v="NO"/>
  </r>
  <r>
    <n v="12"/>
    <x v="35"/>
    <n v="2018"/>
    <s v="Diciembre"/>
    <s v="DIANQUME"/>
    <n v="42164020"/>
    <x v="7"/>
    <n v="1229515"/>
    <n v="0"/>
    <n v="0"/>
    <n v="1229515"/>
    <m/>
    <m/>
    <x v="1"/>
    <n v="24"/>
    <x v="1"/>
    <s v="Antioquia"/>
    <s v="Siempre Cumple"/>
    <n v="0"/>
    <n v="0"/>
    <n v="2"/>
    <n v="284215"/>
    <n v="0"/>
    <n v="0"/>
    <n v="945300"/>
    <m/>
  </r>
  <r>
    <n v="12"/>
    <x v="35"/>
    <n v="2018"/>
    <s v="Diciembre"/>
    <s v="ALEJIRRA"/>
    <m/>
    <x v="7"/>
    <n v="98000"/>
    <n v="0"/>
    <n v="98000"/>
    <n v="0"/>
    <m/>
    <m/>
    <x v="0"/>
    <n v="24"/>
    <x v="0"/>
    <s v=""/>
    <s v="No Aplica"/>
    <n v="0"/>
    <n v="0"/>
    <n v="0"/>
    <n v="0"/>
    <n v="0"/>
    <n v="0"/>
    <n v="98000"/>
    <m/>
  </r>
  <r>
    <n v="12"/>
    <x v="35"/>
    <n v="2018"/>
    <s v="Diciembre"/>
    <s v="ALEJVAVA"/>
    <m/>
    <x v="7"/>
    <n v="196000"/>
    <n v="0"/>
    <n v="196000"/>
    <n v="0"/>
    <m/>
    <m/>
    <x v="0"/>
    <n v="24"/>
    <x v="0"/>
    <s v=""/>
    <s v="No Aplica"/>
    <n v="0"/>
    <n v="0"/>
    <n v="0"/>
    <n v="0"/>
    <n v="0"/>
    <n v="0"/>
    <n v="196000"/>
    <m/>
  </r>
  <r>
    <n v="12"/>
    <x v="35"/>
    <n v="2018"/>
    <s v="Diciembre"/>
    <s v="ALEXDERI"/>
    <m/>
    <x v="7"/>
    <n v="141671"/>
    <n v="0"/>
    <n v="141671"/>
    <n v="0"/>
    <m/>
    <m/>
    <x v="0"/>
    <n v="24"/>
    <x v="0"/>
    <s v=""/>
    <s v="No Aplica"/>
    <n v="0"/>
    <n v="0"/>
    <n v="0"/>
    <n v="0"/>
    <n v="1"/>
    <n v="141671"/>
    <n v="0"/>
    <m/>
  </r>
  <r>
    <n v="12"/>
    <x v="35"/>
    <n v="2018"/>
    <s v="Diciembre"/>
    <s v="ANAKBEZA"/>
    <m/>
    <x v="7"/>
    <n v="407150"/>
    <n v="0"/>
    <n v="0"/>
    <n v="407150"/>
    <m/>
    <m/>
    <x v="0"/>
    <n v="24"/>
    <x v="0"/>
    <s v=""/>
    <s v="No Aplica"/>
    <n v="0"/>
    <n v="0"/>
    <n v="0"/>
    <n v="0"/>
    <n v="0"/>
    <n v="0"/>
    <n v="407150"/>
    <m/>
  </r>
  <r>
    <n v="12"/>
    <x v="35"/>
    <n v="2018"/>
    <s v="Diciembre"/>
    <s v="ANAUROCA"/>
    <m/>
    <x v="7"/>
    <n v="92600"/>
    <n v="0"/>
    <n v="92600"/>
    <n v="0"/>
    <m/>
    <m/>
    <x v="0"/>
    <n v="24"/>
    <x v="0"/>
    <s v=""/>
    <s v="No Aplica"/>
    <n v="0"/>
    <n v="0"/>
    <n v="0"/>
    <n v="0"/>
    <n v="0"/>
    <n v="0"/>
    <n v="92600"/>
    <m/>
  </r>
  <r>
    <n v="12"/>
    <x v="35"/>
    <n v="2018"/>
    <s v="Diciembre"/>
    <s v="DARWHERI"/>
    <m/>
    <x v="7"/>
    <n v="141671"/>
    <n v="0"/>
    <n v="141671"/>
    <n v="0"/>
    <m/>
    <m/>
    <x v="0"/>
    <n v="24"/>
    <x v="0"/>
    <s v=""/>
    <s v="No Aplica"/>
    <n v="0"/>
    <n v="0"/>
    <n v="0"/>
    <n v="0"/>
    <n v="1"/>
    <n v="141671"/>
    <n v="0"/>
    <m/>
  </r>
  <r>
    <n v="12"/>
    <x v="35"/>
    <n v="2018"/>
    <s v="Diciembre"/>
    <s v="DIANGUAV"/>
    <m/>
    <x v="7"/>
    <n v="141671"/>
    <n v="0"/>
    <n v="141671"/>
    <n v="0"/>
    <m/>
    <m/>
    <x v="0"/>
    <n v="24"/>
    <x v="0"/>
    <s v=""/>
    <s v="No Aplica"/>
    <n v="0"/>
    <n v="0"/>
    <n v="0"/>
    <n v="0"/>
    <n v="1"/>
    <n v="141671"/>
    <n v="0"/>
    <m/>
  </r>
  <r>
    <n v="12"/>
    <x v="35"/>
    <n v="2018"/>
    <s v="Diciembre"/>
    <s v="DORYMOCR"/>
    <m/>
    <x v="7"/>
    <n v="936000"/>
    <n v="936000"/>
    <n v="0"/>
    <n v="0"/>
    <m/>
    <m/>
    <x v="0"/>
    <n v="24"/>
    <x v="0"/>
    <s v=""/>
    <s v="No Aplica"/>
    <n v="0"/>
    <n v="0"/>
    <n v="0"/>
    <n v="0"/>
    <n v="0"/>
    <n v="0"/>
    <n v="936000"/>
    <m/>
  </r>
  <r>
    <n v="12"/>
    <x v="35"/>
    <n v="2018"/>
    <s v="Diciembre"/>
    <s v="ESTEAREC"/>
    <m/>
    <x v="7"/>
    <n v="147577"/>
    <n v="0"/>
    <n v="0"/>
    <n v="147577"/>
    <m/>
    <m/>
    <x v="0"/>
    <n v="24"/>
    <x v="0"/>
    <s v=""/>
    <s v="No Aplica"/>
    <n v="0"/>
    <n v="0"/>
    <n v="2"/>
    <n v="147577"/>
    <n v="0"/>
    <n v="0"/>
    <n v="0"/>
    <m/>
  </r>
  <r>
    <n v="12"/>
    <x v="35"/>
    <n v="2018"/>
    <s v="Diciembre"/>
    <s v="MONIARGI"/>
    <m/>
    <x v="7"/>
    <n v="201435"/>
    <n v="0"/>
    <n v="134285"/>
    <n v="67150"/>
    <m/>
    <m/>
    <x v="0"/>
    <n v="24"/>
    <x v="0"/>
    <s v=""/>
    <s v="No Aplica"/>
    <n v="0"/>
    <n v="0"/>
    <n v="2"/>
    <n v="67150"/>
    <n v="1"/>
    <n v="134285"/>
    <n v="0"/>
    <m/>
  </r>
  <r>
    <n v="12"/>
    <x v="35"/>
    <n v="2018"/>
    <s v="Diciembre"/>
    <s v="YANEARNA"/>
    <m/>
    <x v="7"/>
    <n v="86270"/>
    <n v="0"/>
    <n v="0"/>
    <n v="86270"/>
    <m/>
    <m/>
    <x v="0"/>
    <n v="24"/>
    <x v="0"/>
    <s v=""/>
    <s v="No Aplica"/>
    <n v="0"/>
    <n v="0"/>
    <n v="2"/>
    <n v="86270"/>
    <n v="0"/>
    <n v="0"/>
    <n v="0"/>
    <m/>
  </r>
  <r>
    <n v="12"/>
    <x v="35"/>
    <n v="2018"/>
    <s v="Diciembre"/>
    <s v="(en blanco)"/>
    <m/>
    <x v="7"/>
    <n v="24551871"/>
    <n v="0"/>
    <n v="0"/>
    <n v="24551871"/>
    <m/>
    <m/>
    <x v="0"/>
    <n v="24"/>
    <x v="0"/>
    <s v=""/>
    <s v="No Aplica"/>
    <n v="87"/>
    <n v="5974352"/>
    <n v="128"/>
    <n v="14208507"/>
    <n v="0"/>
    <n v="0"/>
    <n v="4369012"/>
    <m/>
  </r>
  <r>
    <n v="1"/>
    <x v="36"/>
    <n v="2019"/>
    <s v="Enero"/>
    <s v="DERLARMO"/>
    <n v="52725011"/>
    <x v="10"/>
    <n v="37339206"/>
    <n v="468000"/>
    <n v="7220929"/>
    <n v="29650277"/>
    <n v="28000000"/>
    <n v="1.0589384642857143"/>
    <x v="1"/>
    <n v="25"/>
    <x v="6"/>
    <s v="Centro"/>
    <s v="Fluctúa"/>
    <n v="72"/>
    <n v="5655997"/>
    <n v="202"/>
    <n v="23295092"/>
    <n v="91"/>
    <n v="7220929"/>
    <n v="1167188"/>
    <m/>
  </r>
  <r>
    <n v="1"/>
    <x v="36"/>
    <n v="2019"/>
    <s v="Enero"/>
    <s v="LOREBECR"/>
    <n v="1010207310"/>
    <x v="68"/>
    <n v="38740268"/>
    <n v="0"/>
    <n v="7944864"/>
    <n v="30795404"/>
    <n v="28000000"/>
    <n v="1.0998358571428573"/>
    <x v="1"/>
    <n v="25"/>
    <x v="6"/>
    <s v="Centro"/>
    <s v="Cumple"/>
    <n v="76"/>
    <n v="6278738"/>
    <n v="212"/>
    <n v="21946527"/>
    <n v="104"/>
    <n v="7944864"/>
    <n v="2570139"/>
    <m/>
  </r>
  <r>
    <n v="1"/>
    <x v="36"/>
    <n v="2019"/>
    <s v="Enero"/>
    <s v="RAULMOGA"/>
    <n v="79701425"/>
    <x v="27"/>
    <n v="11474983"/>
    <n v="0"/>
    <n v="1438271"/>
    <n v="10036712"/>
    <n v="6720000"/>
    <n v="1.4935583333333333"/>
    <x v="0"/>
    <n v="25"/>
    <x v="6"/>
    <s v="Centro"/>
    <s v="No Aplica"/>
    <n v="29"/>
    <n v="2409944"/>
    <n v="76"/>
    <n v="6820703"/>
    <n v="19"/>
    <n v="1438271"/>
    <n v="806065"/>
    <m/>
  </r>
  <r>
    <n v="1"/>
    <x v="36"/>
    <n v="2019"/>
    <s v="Enero"/>
    <s v="PAULGOBA"/>
    <n v="32256379"/>
    <x v="7"/>
    <n v="486000"/>
    <n v="486000"/>
    <n v="0"/>
    <n v="0"/>
    <m/>
    <m/>
    <x v="1"/>
    <n v="25"/>
    <x v="13"/>
    <s v="Antioquia"/>
    <s v="Fluctúa"/>
    <n v="0"/>
    <n v="0"/>
    <n v="0"/>
    <n v="0"/>
    <n v="0"/>
    <n v="0"/>
    <n v="486000"/>
    <m/>
  </r>
  <r>
    <n v="1"/>
    <x v="36"/>
    <n v="2019"/>
    <s v="Enero"/>
    <s v="VANELOBE"/>
    <n v="1128476466"/>
    <x v="74"/>
    <n v="19889152"/>
    <n v="0"/>
    <n v="4404783"/>
    <n v="15484369"/>
    <n v="22400000"/>
    <n v="0.69126647321428569"/>
    <x v="1"/>
    <n v="25"/>
    <x v="4"/>
    <s v="Antioquia"/>
    <s v="Fluctúa"/>
    <n v="40"/>
    <n v="3941998"/>
    <n v="92"/>
    <n v="9039210"/>
    <n v="51"/>
    <n v="4404783"/>
    <n v="2503161"/>
    <m/>
  </r>
  <r>
    <n v="1"/>
    <x v="36"/>
    <n v="2019"/>
    <s v="Enero"/>
    <s v="DIANPAAL"/>
    <n v="1040030764"/>
    <x v="11"/>
    <n v="41338131"/>
    <n v="2322900"/>
    <n v="7331897"/>
    <n v="31683334"/>
    <n v="16000000"/>
    <n v="1.9802083749999999"/>
    <x v="1"/>
    <n v="25"/>
    <x v="7"/>
    <s v="Antioquia"/>
    <s v="Cumple"/>
    <n v="74"/>
    <n v="8704817"/>
    <n v="174"/>
    <n v="19929828"/>
    <n v="71"/>
    <n v="7331897"/>
    <n v="5371589"/>
    <m/>
  </r>
  <r>
    <n v="1"/>
    <x v="36"/>
    <n v="2019"/>
    <s v="Enero"/>
    <s v="MARIGOOR"/>
    <n v="1128267208"/>
    <x v="77"/>
    <n v="50288339"/>
    <n v="1884900"/>
    <n v="6804724"/>
    <n v="41598715"/>
    <n v="36800000"/>
    <n v="1.1303998641304347"/>
    <x v="1"/>
    <n v="25"/>
    <x v="7"/>
    <s v="Antioquia"/>
    <s v="Fluctúa"/>
    <n v="69"/>
    <n v="10421960"/>
    <n v="157"/>
    <n v="25164151"/>
    <n v="74"/>
    <n v="6804724"/>
    <n v="7897504"/>
    <m/>
  </r>
  <r>
    <n v="1"/>
    <x v="36"/>
    <n v="2019"/>
    <s v="Enero"/>
    <s v="MARIOCOC"/>
    <n v="39448823"/>
    <x v="21"/>
    <n v="31697169"/>
    <n v="1544100"/>
    <n v="4974643"/>
    <n v="25178426"/>
    <n v="22400000"/>
    <n v="1.124036875"/>
    <x v="1"/>
    <n v="25"/>
    <x v="7"/>
    <s v="Antioquia"/>
    <s v="Siempre Cumple"/>
    <n v="43"/>
    <n v="5427563"/>
    <n v="126"/>
    <n v="16523993"/>
    <n v="55"/>
    <n v="4974643"/>
    <n v="4770970"/>
    <m/>
  </r>
  <r>
    <n v="1"/>
    <x v="36"/>
    <n v="2019"/>
    <s v="Enero"/>
    <s v="ALEXLOGR"/>
    <n v="43253531"/>
    <x v="2"/>
    <n v="54018464"/>
    <n v="1812600"/>
    <n v="11975433"/>
    <n v="40230431"/>
    <n v="34040000"/>
    <n v="1.1818575499412456"/>
    <x v="1"/>
    <n v="25"/>
    <x v="2"/>
    <s v="Antioquia"/>
    <s v="Cumple"/>
    <n v="79"/>
    <n v="8837006"/>
    <n v="186"/>
    <n v="26227615"/>
    <n v="123"/>
    <n v="11975433"/>
    <n v="6978410"/>
    <m/>
  </r>
  <r>
    <n v="1"/>
    <x v="36"/>
    <n v="2019"/>
    <s v="Enero"/>
    <s v="YULIRIRE"/>
    <n v="21982241"/>
    <x v="57"/>
    <n v="27082204"/>
    <n v="421200"/>
    <n v="7733995"/>
    <n v="18927009"/>
    <n v="34040000"/>
    <n v="0.55602259106933016"/>
    <x v="1"/>
    <n v="25"/>
    <x v="2"/>
    <s v="Antioquia"/>
    <s v="Fluctúa"/>
    <n v="35"/>
    <n v="3186715"/>
    <n v="128"/>
    <n v="14293290"/>
    <n v="77"/>
    <n v="7733995"/>
    <n v="1868204"/>
    <m/>
  </r>
  <r>
    <n v="1"/>
    <x v="36"/>
    <n v="2019"/>
    <s v="Enero"/>
    <s v="ADRIMOLU"/>
    <n v="43169964"/>
    <x v="1"/>
    <n v="50719664"/>
    <n v="1602990"/>
    <n v="7234702"/>
    <n v="41881972"/>
    <n v="41400000"/>
    <n v="1.0116418357487922"/>
    <x v="1"/>
    <n v="25"/>
    <x v="1"/>
    <s v="Antioquia"/>
    <s v="Cumple"/>
    <n v="91"/>
    <n v="10149919"/>
    <n v="202"/>
    <n v="25490157"/>
    <n v="76"/>
    <n v="7234702"/>
    <n v="7844886"/>
    <m/>
  </r>
  <r>
    <n v="1"/>
    <x v="36"/>
    <n v="2019"/>
    <s v="Enero"/>
    <s v="ASTRTAAR"/>
    <n v="1017191161"/>
    <x v="80"/>
    <n v="40926951"/>
    <n v="324000"/>
    <n v="9550546"/>
    <n v="31052405"/>
    <n v="39600000"/>
    <n v="0.7841516414141414"/>
    <x v="1"/>
    <n v="25"/>
    <x v="1"/>
    <s v="Antioquia"/>
    <s v="No Cumple"/>
    <n v="72"/>
    <n v="6208231"/>
    <n v="174"/>
    <n v="20582587"/>
    <n v="98"/>
    <n v="9550546"/>
    <n v="4585587"/>
    <m/>
  </r>
  <r>
    <n v="1"/>
    <x v="36"/>
    <n v="2019"/>
    <s v="Enero"/>
    <s v="JUANVALN"/>
    <n v="1128402269"/>
    <x v="86"/>
    <n v="27653424"/>
    <n v="1656000"/>
    <n v="6840508"/>
    <n v="19156916"/>
    <n v="38800000"/>
    <n v="0.49373494845360827"/>
    <x v="1"/>
    <n v="25"/>
    <x v="1"/>
    <s v="Antioquia"/>
    <s v="No Cumple"/>
    <n v="46"/>
    <n v="4301903"/>
    <n v="112"/>
    <n v="12299648"/>
    <n v="68"/>
    <n v="6840508"/>
    <n v="4211365"/>
    <m/>
  </r>
  <r>
    <n v="1"/>
    <x v="36"/>
    <n v="2019"/>
    <s v="Enero"/>
    <s v="LILACARA"/>
    <n v="1017141451"/>
    <x v="17"/>
    <n v="50462553"/>
    <n v="221100"/>
    <n v="8338496"/>
    <n v="41902957"/>
    <n v="41400000"/>
    <n v="1.0121487198067634"/>
    <x v="1"/>
    <n v="25"/>
    <x v="1"/>
    <s v="Antioquia"/>
    <s v="Siempre Cumple"/>
    <n v="85"/>
    <n v="9599771"/>
    <n v="219"/>
    <n v="28671053"/>
    <n v="88"/>
    <n v="8338496"/>
    <n v="3853233"/>
    <m/>
  </r>
  <r>
    <n v="1"/>
    <x v="36"/>
    <n v="2019"/>
    <s v="Enero"/>
    <s v="LIZEGASA"/>
    <n v="1128442101"/>
    <x v="81"/>
    <n v="42493607"/>
    <n v="468000"/>
    <n v="8098615"/>
    <n v="33926992"/>
    <n v="31500000"/>
    <n v="1.077047365079365"/>
    <x v="1"/>
    <n v="25"/>
    <x v="10"/>
    <s v="Antioquia"/>
    <s v="Fluctúa"/>
    <n v="65"/>
    <n v="7997401"/>
    <n v="164"/>
    <n v="20778988"/>
    <n v="89"/>
    <n v="8098615"/>
    <n v="5618603"/>
    <m/>
  </r>
  <r>
    <n v="1"/>
    <x v="36"/>
    <n v="2019"/>
    <s v="Enero"/>
    <s v="SUANHECO"/>
    <n v="1020409789"/>
    <x v="58"/>
    <n v="57923521"/>
    <n v="0"/>
    <n v="10857755"/>
    <n v="47065766"/>
    <n v="41400000"/>
    <n v="1.1368542512077295"/>
    <x v="1"/>
    <n v="25"/>
    <x v="1"/>
    <s v="Antioquia"/>
    <s v="Cumple"/>
    <n v="87"/>
    <n v="9553587"/>
    <n v="226"/>
    <n v="32062937"/>
    <n v="-207"/>
    <n v="10857755"/>
    <n v="5449242"/>
    <m/>
  </r>
  <r>
    <n v="1"/>
    <x v="36"/>
    <n v="2019"/>
    <s v="Enero"/>
    <s v="ZULYARGA"/>
    <n v="43259130"/>
    <x v="31"/>
    <n v="49631063"/>
    <n v="0"/>
    <n v="9322290"/>
    <n v="40308773"/>
    <n v="39600000"/>
    <n v="1.0178983080808082"/>
    <x v="1"/>
    <n v="25"/>
    <x v="1"/>
    <s v="Antioquia"/>
    <s v="Fluctúa"/>
    <n v="95"/>
    <n v="9293592"/>
    <n v="224"/>
    <n v="25628912"/>
    <n v="96"/>
    <n v="9322290"/>
    <n v="5386269"/>
    <m/>
  </r>
  <r>
    <n v="1"/>
    <x v="36"/>
    <n v="2019"/>
    <s v="Enero"/>
    <s v="BIBIBECA"/>
    <n v="43971430"/>
    <x v="6"/>
    <n v="62929606"/>
    <n v="2906190"/>
    <n v="12236535"/>
    <n v="47786881"/>
    <n v="40480000"/>
    <n v="1.1805059535573124"/>
    <x v="1"/>
    <n v="25"/>
    <x v="5"/>
    <s v="Antioquia"/>
    <s v="Siempre Cumple"/>
    <n v="96"/>
    <n v="10422098"/>
    <n v="264"/>
    <n v="32122950"/>
    <n v="119"/>
    <n v="12236535"/>
    <n v="8148023"/>
    <m/>
  </r>
  <r>
    <n v="1"/>
    <x v="36"/>
    <n v="2019"/>
    <s v="Enero"/>
    <s v="CLAUBLAR"/>
    <n v="43554403"/>
    <x v="8"/>
    <n v="65277768"/>
    <n v="442200"/>
    <n v="12553856"/>
    <n v="52281712"/>
    <n v="40480000"/>
    <n v="1.2915442687747036"/>
    <x v="1"/>
    <n v="25"/>
    <x v="5"/>
    <s v="Antioquia"/>
    <s v="Siempre Cumple"/>
    <n v="87"/>
    <n v="10580834"/>
    <n v="242"/>
    <n v="34808536"/>
    <n v="128"/>
    <n v="12553856"/>
    <n v="7334542"/>
    <m/>
  </r>
  <r>
    <n v="1"/>
    <x v="36"/>
    <n v="2019"/>
    <s v="Enero"/>
    <s v="HERIRORO"/>
    <n v="21428423"/>
    <x v="52"/>
    <n v="56596530"/>
    <n v="1890000"/>
    <n v="9279909"/>
    <n v="45426621"/>
    <n v="40480000"/>
    <n v="1.1221991353754941"/>
    <x v="1"/>
    <n v="25"/>
    <x v="5"/>
    <s v="Antioquia"/>
    <s v="Fluctúa"/>
    <n v="89"/>
    <n v="8716540"/>
    <n v="235"/>
    <n v="29919635"/>
    <n v="93"/>
    <n v="8961509"/>
    <n v="8998846"/>
    <m/>
  </r>
  <r>
    <n v="1"/>
    <x v="36"/>
    <n v="2019"/>
    <s v="Enero"/>
    <s v="MARGGAPA"/>
    <n v="43866877"/>
    <x v="20"/>
    <n v="57583370"/>
    <n v="720000"/>
    <n v="10673075"/>
    <n v="46190295"/>
    <n v="40480000"/>
    <n v="1.1410645998023716"/>
    <x v="1"/>
    <n v="25"/>
    <x v="5"/>
    <s v="Antioquia"/>
    <s v="Siempre Cumple"/>
    <n v="101"/>
    <n v="12850337"/>
    <n v="248"/>
    <n v="26163723"/>
    <n v="115"/>
    <n v="10673075"/>
    <n v="7896235"/>
    <m/>
  </r>
  <r>
    <n v="1"/>
    <x v="36"/>
    <n v="2019"/>
    <s v="Enero"/>
    <s v="MARIHIRO"/>
    <n v="1001131473"/>
    <x v="76"/>
    <n v="30196722"/>
    <n v="1702200"/>
    <n v="7968231"/>
    <n v="20526291"/>
    <n v="40480000"/>
    <n v="0.50707240612648219"/>
    <x v="1"/>
    <n v="25"/>
    <x v="5"/>
    <s v="Antioquia"/>
    <s v="No Cumple"/>
    <n v="34"/>
    <n v="3710230"/>
    <n v="110"/>
    <n v="12442498"/>
    <n v="81"/>
    <n v="7968231"/>
    <n v="6075763"/>
    <m/>
  </r>
  <r>
    <n v="1"/>
    <x v="36"/>
    <n v="2019"/>
    <s v="Enero"/>
    <s v="SANDCAAC"/>
    <n v="39175639"/>
    <x v="75"/>
    <n v="57122103"/>
    <n v="1940400"/>
    <n v="9405034"/>
    <n v="45776669"/>
    <n v="40480000"/>
    <n v="1.1308465662055336"/>
    <x v="1"/>
    <n v="25"/>
    <x v="5"/>
    <s v="Antioquia"/>
    <s v="Fluctúa"/>
    <n v="81"/>
    <n v="8704487"/>
    <n v="204"/>
    <n v="31609151"/>
    <n v="90"/>
    <n v="9405034"/>
    <n v="7403431"/>
    <m/>
  </r>
  <r>
    <n v="1"/>
    <x v="36"/>
    <n v="2019"/>
    <s v="Enero"/>
    <s v="YENISIGI"/>
    <n v="1035913369"/>
    <x v="64"/>
    <n v="30053419"/>
    <n v="1197000"/>
    <n v="7580696"/>
    <n v="21275723"/>
    <n v="40480000"/>
    <n v="0.52558604249011853"/>
    <x v="1"/>
    <n v="25"/>
    <x v="5"/>
    <s v="Antioquia"/>
    <s v="Fluctúa"/>
    <n v="43"/>
    <n v="4619837"/>
    <n v="110"/>
    <n v="14301209"/>
    <n v="72"/>
    <n v="7580696"/>
    <n v="3551677"/>
    <m/>
  </r>
  <r>
    <n v="1"/>
    <x v="36"/>
    <n v="2019"/>
    <s v="Enero"/>
    <s v="NATAPIDU"/>
    <n v="43907427"/>
    <x v="25"/>
    <n v="46474200"/>
    <n v="421200"/>
    <n v="4971580"/>
    <n v="41081420"/>
    <n v="36800000"/>
    <n v="1.1163429347826086"/>
    <x v="1"/>
    <n v="25"/>
    <x v="11"/>
    <s v="Antioquia"/>
    <s v="Siempre Cumple"/>
    <n v="39"/>
    <n v="8390831"/>
    <n v="126"/>
    <n v="28020254"/>
    <n v="50"/>
    <n v="4971580"/>
    <n v="5091535"/>
    <m/>
  </r>
  <r>
    <n v="1"/>
    <x v="36"/>
    <n v="2019"/>
    <s v="Enero"/>
    <s v="ALVAOSOS"/>
    <n v="3438422"/>
    <x v="37"/>
    <n v="37016520"/>
    <n v="1605900"/>
    <n v="10290168"/>
    <n v="25120452"/>
    <n v="42320000"/>
    <n v="0.59358345935727785"/>
    <x v="1"/>
    <n v="25"/>
    <x v="8"/>
    <s v="Antioquia"/>
    <s v="Fluctúa"/>
    <n v="41"/>
    <n v="3759718"/>
    <n v="106"/>
    <n v="15839653"/>
    <n v="100"/>
    <n v="10290168"/>
    <n v="7126981"/>
    <m/>
  </r>
  <r>
    <n v="1"/>
    <x v="36"/>
    <n v="2019"/>
    <s v="Enero"/>
    <s v="CARORAMN"/>
    <n v="1020451288"/>
    <x v="61"/>
    <n v="32105444"/>
    <n v="889200"/>
    <n v="3690444"/>
    <n v="27525800"/>
    <n v="23920000"/>
    <n v="1.1507441471571906"/>
    <x v="1"/>
    <n v="25"/>
    <x v="8"/>
    <s v="Antioquia"/>
    <s v="Cumple"/>
    <n v="50"/>
    <n v="4528155"/>
    <n v="147"/>
    <n v="19754085"/>
    <n v="38"/>
    <n v="3690444"/>
    <n v="4132760"/>
    <m/>
  </r>
  <r>
    <n v="1"/>
    <x v="36"/>
    <n v="2019"/>
    <s v="Enero"/>
    <s v="CINDGACU"/>
    <n v="1020443426"/>
    <x v="55"/>
    <n v="53263561"/>
    <n v="810000"/>
    <n v="11950596"/>
    <n v="40502965"/>
    <n v="39200000"/>
    <n v="1.0332389030612246"/>
    <x v="1"/>
    <n v="25"/>
    <x v="4"/>
    <s v="Antioquia"/>
    <s v="Fluctúa"/>
    <n v="92"/>
    <n v="8292139"/>
    <n v="250"/>
    <n v="26951128"/>
    <n v="110"/>
    <n v="11950596"/>
    <n v="6069698"/>
    <m/>
  </r>
  <r>
    <n v="1"/>
    <x v="36"/>
    <n v="2019"/>
    <s v="Enero"/>
    <s v="GENNHEPO"/>
    <n v="43874518"/>
    <x v="14"/>
    <n v="55197426"/>
    <n v="1510400"/>
    <n v="10328099"/>
    <n v="43358927"/>
    <n v="42320000"/>
    <n v="1.0245493147448015"/>
    <x v="1"/>
    <n v="25"/>
    <x v="8"/>
    <s v="Antioquia"/>
    <s v="Fluctúa"/>
    <n v="91"/>
    <n v="9102233"/>
    <n v="256"/>
    <n v="27641841"/>
    <n v="101"/>
    <n v="10328099"/>
    <n v="8125253"/>
    <m/>
  </r>
  <r>
    <n v="1"/>
    <x v="36"/>
    <n v="2019"/>
    <s v="Enero"/>
    <s v="LEIDGOVI"/>
    <n v="1036598360"/>
    <x v="39"/>
    <n v="61382022"/>
    <n v="1564200"/>
    <n v="8295713"/>
    <n v="51522109"/>
    <n v="42320000"/>
    <n v="1.2174411389413988"/>
    <x v="1"/>
    <n v="25"/>
    <x v="8"/>
    <s v="Antioquia"/>
    <s v="Fluctúa"/>
    <n v="99"/>
    <n v="8856240"/>
    <n v="270"/>
    <n v="35018553"/>
    <n v="83"/>
    <n v="8295713"/>
    <n v="9211516"/>
    <m/>
  </r>
  <r>
    <n v="1"/>
    <x v="36"/>
    <n v="2019"/>
    <s v="Enero"/>
    <s v="LEIDPAPA"/>
    <n v="1020425089"/>
    <x v="72"/>
    <n v="59504566"/>
    <n v="453000"/>
    <n v="14105686"/>
    <n v="44945880"/>
    <n v="42320000"/>
    <n v="1.0620482041587902"/>
    <x v="1"/>
    <n v="25"/>
    <x v="8"/>
    <s v="Antioquia"/>
    <s v="Cumple"/>
    <n v="94"/>
    <n v="9934403"/>
    <n v="257"/>
    <n v="29505090"/>
    <n v="130"/>
    <n v="14105686"/>
    <n v="5959387"/>
    <m/>
  </r>
  <r>
    <n v="1"/>
    <x v="36"/>
    <n v="2019"/>
    <s v="Enero"/>
    <s v="YENYSUPE"/>
    <n v="1020419011"/>
    <x v="51"/>
    <n v="57743482"/>
    <n v="1422000"/>
    <n v="10817229"/>
    <n v="45504253"/>
    <n v="42320000"/>
    <n v="1.0752422731568998"/>
    <x v="1"/>
    <n v="25"/>
    <x v="8"/>
    <s v="Antioquia"/>
    <s v="Cumple"/>
    <n v="90"/>
    <n v="9614756"/>
    <n v="226"/>
    <n v="26820658"/>
    <n v="101"/>
    <n v="10817229"/>
    <n v="10490839"/>
    <m/>
  </r>
  <r>
    <n v="1"/>
    <x v="36"/>
    <n v="2019"/>
    <s v="Enero"/>
    <s v="YURAUSVE"/>
    <n v="1020419615"/>
    <x v="56"/>
    <n v="68543572"/>
    <n v="707000"/>
    <n v="13578515"/>
    <n v="54258057"/>
    <n v="42080000"/>
    <n v="1.2894024952471483"/>
    <x v="1"/>
    <n v="25"/>
    <x v="8"/>
    <s v="Antioquia"/>
    <s v="Cumple"/>
    <n v="109"/>
    <n v="10844836"/>
    <n v="268"/>
    <n v="34588070"/>
    <n v="131"/>
    <n v="13578515"/>
    <n v="9532151"/>
    <m/>
  </r>
  <r>
    <n v="1"/>
    <x v="36"/>
    <n v="2019"/>
    <s v="Enero"/>
    <s v="ANAMLOBE"/>
    <n v="43821410"/>
    <x v="3"/>
    <n v="70199260"/>
    <n v="0"/>
    <n v="8466319"/>
    <n v="61732941"/>
    <n v="41400000"/>
    <n v="1.4911338405797101"/>
    <x v="1"/>
    <n v="25"/>
    <x v="3"/>
    <s v="Antioquia"/>
    <s v="Siempre Cumple"/>
    <n v="91"/>
    <n v="11034805"/>
    <n v="212"/>
    <n v="42240483"/>
    <n v="75"/>
    <n v="8209919"/>
    <n v="8714053"/>
    <m/>
  </r>
  <r>
    <n v="1"/>
    <x v="36"/>
    <n v="2019"/>
    <s v="Enero"/>
    <s v="ELIZVESU"/>
    <n v="1035417626"/>
    <x v="13"/>
    <n v="63805713"/>
    <n v="1841000"/>
    <n v="8225836"/>
    <n v="53738877"/>
    <n v="41400000"/>
    <n v="1.2980405072463768"/>
    <x v="1"/>
    <n v="25"/>
    <x v="3"/>
    <s v="Antioquia"/>
    <s v="Cumple"/>
    <n v="87"/>
    <n v="10185129"/>
    <n v="218"/>
    <n v="39972305"/>
    <n v="88"/>
    <n v="8225836"/>
    <n v="5422443"/>
    <m/>
  </r>
  <r>
    <n v="1"/>
    <x v="36"/>
    <n v="2019"/>
    <s v="Enero"/>
    <s v="VIVIVAZA"/>
    <n v="43745952"/>
    <x v="30"/>
    <n v="76978398"/>
    <n v="1527300"/>
    <n v="14279579"/>
    <n v="61171519"/>
    <n v="41400000"/>
    <n v="1.477572922705314"/>
    <x v="1"/>
    <n v="25"/>
    <x v="3"/>
    <s v="Antioquia"/>
    <s v="Siempre Cumple"/>
    <n v="123"/>
    <n v="12568012"/>
    <n v="263"/>
    <n v="41138884"/>
    <n v="135"/>
    <n v="13428379"/>
    <n v="9843123"/>
    <m/>
  </r>
  <r>
    <n v="1"/>
    <x v="36"/>
    <n v="2019"/>
    <s v="Enero"/>
    <s v="ANGEGAAR"/>
    <n v="39442617"/>
    <x v="4"/>
    <n v="8148197"/>
    <n v="453600"/>
    <n v="988875"/>
    <n v="6705722"/>
    <n v="4000000"/>
    <n v="1.6764304999999999"/>
    <x v="1"/>
    <n v="25"/>
    <x v="4"/>
    <s v="Antioquia"/>
    <s v="Cumple"/>
    <n v="9"/>
    <n v="1032491"/>
    <n v="32"/>
    <n v="4549569"/>
    <n v="9"/>
    <n v="988875"/>
    <n v="1577262"/>
    <m/>
  </r>
  <r>
    <n v="1"/>
    <x v="36"/>
    <n v="2019"/>
    <s v="Enero"/>
    <s v="ERIKSAVA"/>
    <n v="1017200970"/>
    <x v="44"/>
    <n v="29467892"/>
    <n v="442200"/>
    <n v="6349684"/>
    <n v="22676008"/>
    <n v="16000000"/>
    <n v="1.4172505"/>
    <x v="1"/>
    <n v="25"/>
    <x v="4"/>
    <s v="Antioquia"/>
    <s v="Cumple"/>
    <n v="40"/>
    <n v="4420179"/>
    <n v="106"/>
    <n v="14675797"/>
    <n v="68"/>
    <n v="6349684"/>
    <n v="4022232"/>
    <m/>
  </r>
  <r>
    <n v="1"/>
    <x v="36"/>
    <n v="2019"/>
    <s v="Enero"/>
    <s v="MARIMASA"/>
    <n v="43113640"/>
    <x v="34"/>
    <n v="48092808"/>
    <n v="396000"/>
    <n v="8631544"/>
    <n v="39065264"/>
    <n v="36800000"/>
    <n v="1.0615560869565217"/>
    <x v="1"/>
    <n v="25"/>
    <x v="4"/>
    <s v="Antioquia"/>
    <s v="Cumple"/>
    <n v="73"/>
    <n v="7425662"/>
    <n v="172"/>
    <n v="25097930"/>
    <n v="78"/>
    <n v="8631544"/>
    <n v="6937672"/>
    <m/>
  </r>
  <r>
    <n v="1"/>
    <x v="36"/>
    <n v="2019"/>
    <s v="Enero"/>
    <s v="NATAVAMO"/>
    <n v="32183069"/>
    <x v="63"/>
    <n v="37670258"/>
    <n v="0"/>
    <n v="6712384"/>
    <n v="30957874"/>
    <n v="36800000"/>
    <n v="0.84124657608695652"/>
    <x v="1"/>
    <n v="25"/>
    <x v="1"/>
    <s v="Antioquia"/>
    <s v="No Cumple"/>
    <n v="65"/>
    <n v="7069754"/>
    <n v="186"/>
    <n v="19069147"/>
    <n v="62"/>
    <n v="6712384"/>
    <n v="4818973"/>
    <m/>
  </r>
  <r>
    <n v="1"/>
    <x v="36"/>
    <n v="2019"/>
    <s v="Enero"/>
    <s v="NOREARMA"/>
    <n v="39275090"/>
    <x v="66"/>
    <n v="18254096"/>
    <n v="162000"/>
    <n v="2113777"/>
    <n v="15978319"/>
    <n v="14400000"/>
    <n v="1.1096054861111111"/>
    <x v="1"/>
    <n v="25"/>
    <x v="4"/>
    <s v="Antioquia"/>
    <s v="Siempre Cumple"/>
    <n v="34"/>
    <n v="3448664"/>
    <n v="76"/>
    <n v="11251584"/>
    <n v="23"/>
    <n v="2113777"/>
    <n v="1440071"/>
    <m/>
  </r>
  <r>
    <n v="1"/>
    <x v="36"/>
    <n v="2019"/>
    <s v="Enero"/>
    <s v="VIVIRUAL"/>
    <n v="32352312"/>
    <x v="82"/>
    <n v="46688441"/>
    <n v="910200"/>
    <n v="7109853"/>
    <n v="38668388"/>
    <n v="36800000"/>
    <n v="1.0507714130434782"/>
    <x v="1"/>
    <n v="25"/>
    <x v="4"/>
    <s v="Antioquia"/>
    <s v="No Cumple"/>
    <n v="69"/>
    <n v="8202546"/>
    <n v="174"/>
    <n v="25744093"/>
    <n v="75"/>
    <n v="7109853"/>
    <n v="5631949"/>
    <m/>
  </r>
  <r>
    <n v="1"/>
    <x v="36"/>
    <n v="2019"/>
    <s v="Enero"/>
    <s v="ANDRSAZA"/>
    <n v="1020736461"/>
    <x v="45"/>
    <n v="54940302"/>
    <n v="1342800"/>
    <n v="7513755"/>
    <n v="46083747"/>
    <n v="32160000"/>
    <n v="1.4329523320895523"/>
    <x v="1"/>
    <n v="25"/>
    <x v="9"/>
    <s v="Centro"/>
    <s v="Siempre Cumple"/>
    <n v="86"/>
    <n v="10563648"/>
    <n v="246"/>
    <n v="32336176"/>
    <n v="97"/>
    <n v="7513755"/>
    <n v="4526723"/>
    <m/>
  </r>
  <r>
    <n v="1"/>
    <x v="36"/>
    <n v="2019"/>
    <s v="Enero"/>
    <s v="CHRIVERO"/>
    <n v="1020769180"/>
    <x v="83"/>
    <n v="32321764"/>
    <n v="2654400"/>
    <n v="4804961"/>
    <n v="24862403"/>
    <n v="33500000"/>
    <n v="0.74216128358208955"/>
    <x v="1"/>
    <n v="25"/>
    <x v="9"/>
    <s v="Centro"/>
    <s v="No Cumple"/>
    <n v="45"/>
    <n v="4754765"/>
    <n v="141"/>
    <n v="19055391"/>
    <n v="67"/>
    <n v="4804961"/>
    <n v="3706647"/>
    <m/>
  </r>
  <r>
    <n v="1"/>
    <x v="36"/>
    <n v="2019"/>
    <s v="Enero"/>
    <s v="ISABMOGO"/>
    <n v="52260671"/>
    <x v="15"/>
    <n v="43341642"/>
    <n v="814200"/>
    <n v="8242615"/>
    <n v="34284827"/>
    <n v="33500000"/>
    <n v="1.0234276716417909"/>
    <x v="1"/>
    <n v="25"/>
    <x v="9"/>
    <s v="Centro"/>
    <s v="Siempre Cumple"/>
    <n v="74"/>
    <n v="7861317"/>
    <n v="224"/>
    <n v="21963500"/>
    <n v="101"/>
    <n v="8022415"/>
    <n v="5494410"/>
    <m/>
  </r>
  <r>
    <n v="1"/>
    <x v="36"/>
    <n v="2019"/>
    <s v="Enero"/>
    <s v="CAMIPUHE"/>
    <n v="79850984"/>
    <x v="53"/>
    <n v="44881047"/>
    <n v="0"/>
    <n v="3194991"/>
    <n v="41686056"/>
    <n v="30000000"/>
    <n v="1.3895352000000001"/>
    <x v="1"/>
    <n v="25"/>
    <x v="15"/>
    <s v="Centro"/>
    <s v="Fluctúa"/>
    <n v="64"/>
    <n v="10872030"/>
    <n v="161"/>
    <n v="27284412"/>
    <n v="45"/>
    <n v="3194991"/>
    <n v="3529614"/>
    <m/>
  </r>
  <r>
    <n v="1"/>
    <x v="36"/>
    <n v="2019"/>
    <s v="Enero"/>
    <s v="ROCIFASA"/>
    <n v="34542470"/>
    <x v="28"/>
    <n v="31353778"/>
    <n v="2212272"/>
    <n v="3727246"/>
    <n v="25414260"/>
    <n v="13320000"/>
    <n v="1.9079774774774774"/>
    <x v="1"/>
    <n v="25"/>
    <x v="12"/>
    <s v="Occidente"/>
    <s v="Siempre Cumple"/>
    <n v="46"/>
    <n v="5474375"/>
    <n v="141"/>
    <n v="15883638"/>
    <n v="42"/>
    <n v="3727246"/>
    <n v="6268519"/>
    <m/>
  </r>
  <r>
    <n v="1"/>
    <x v="36"/>
    <n v="2019"/>
    <s v="Enero"/>
    <s v="TATIRITR"/>
    <n v="1130597373"/>
    <x v="60"/>
    <n v="45183666"/>
    <n v="0"/>
    <n v="9025629"/>
    <n v="36158037"/>
    <n v="31000000"/>
    <n v="1.1663882903225806"/>
    <x v="1"/>
    <n v="25"/>
    <x v="16"/>
    <s v="Occidente"/>
    <s v="Fluctúa"/>
    <n v="69"/>
    <n v="9210947"/>
    <n v="193"/>
    <n v="24137482"/>
    <n v="97"/>
    <n v="9025629"/>
    <n v="2809608"/>
    <m/>
  </r>
  <r>
    <n v="1"/>
    <x v="36"/>
    <n v="2019"/>
    <s v="Enero"/>
    <s v="HEIDVAVI"/>
    <n v="1130676531"/>
    <x v="73"/>
    <n v="30011191"/>
    <n v="684405"/>
    <n v="3963740"/>
    <n v="25363046"/>
    <n v="23680000"/>
    <n v="1.0710745777027026"/>
    <x v="1"/>
    <n v="25"/>
    <x v="16"/>
    <s v="Occidente"/>
    <s v="No Cumple"/>
    <n v="43"/>
    <n v="4972557"/>
    <n v="126"/>
    <n v="15179080"/>
    <n v="40"/>
    <n v="3963740"/>
    <n v="5895814"/>
    <m/>
  </r>
  <r>
    <n v="1"/>
    <x v="36"/>
    <n v="2019"/>
    <s v="Enero"/>
    <s v="DANYLESE"/>
    <n v="16379021"/>
    <x v="79"/>
    <n v="40437486"/>
    <n v="0"/>
    <n v="7021124"/>
    <n v="33416362"/>
    <n v="31000000"/>
    <n v="1.0779471612903226"/>
    <x v="1"/>
    <n v="25"/>
    <x v="16"/>
    <s v="Occidente"/>
    <s v="Fluctúa"/>
    <n v="75"/>
    <n v="7635394"/>
    <n v="198"/>
    <n v="22705871"/>
    <n v="74"/>
    <n v="7021124"/>
    <n v="3075097"/>
    <m/>
  </r>
  <r>
    <n v="1"/>
    <x v="36"/>
    <n v="2019"/>
    <s v="Enero"/>
    <s v="JOSEVAPR"/>
    <n v="6228363"/>
    <x v="87"/>
    <n v="58512552"/>
    <n v="0"/>
    <n v="11624473"/>
    <n v="46888079"/>
    <n v="31000000"/>
    <n v="1.5125186774193549"/>
    <x v="1"/>
    <n v="25"/>
    <x v="16"/>
    <s v="Occidente"/>
    <s v="Siempre Cumple"/>
    <n v="88"/>
    <n v="8935375"/>
    <n v="269"/>
    <n v="35566694"/>
    <n v="129"/>
    <n v="11624473"/>
    <n v="2386010"/>
    <m/>
  </r>
  <r>
    <n v="1"/>
    <x v="36"/>
    <n v="2019"/>
    <s v="Enero"/>
    <s v="LEIDCAOR"/>
    <n v="1020399898"/>
    <x v="71"/>
    <n v="32692464"/>
    <n v="698100"/>
    <n v="5412736"/>
    <n v="26581628"/>
    <n v="26220000"/>
    <n v="1.0137920671243326"/>
    <x v="1"/>
    <n v="25"/>
    <x v="10"/>
    <s v="Antioquia"/>
    <s v="Fluctúa"/>
    <n v="66"/>
    <n v="6116937"/>
    <n v="146"/>
    <n v="18118199"/>
    <n v="56"/>
    <n v="5412736"/>
    <n v="3044592"/>
    <m/>
  </r>
  <r>
    <n v="1"/>
    <x v="36"/>
    <n v="2019"/>
    <s v="Enero"/>
    <s v="LUZNHEGO"/>
    <n v="43745192"/>
    <x v="19"/>
    <n v="32583796"/>
    <n v="455100"/>
    <n v="4742198"/>
    <n v="27386498"/>
    <n v="26220000"/>
    <n v="1.0444888634630054"/>
    <x v="1"/>
    <n v="25"/>
    <x v="10"/>
    <s v="Antioquia"/>
    <s v="Cumple"/>
    <n v="68"/>
    <n v="7597121"/>
    <n v="156"/>
    <n v="17414764"/>
    <n v="58"/>
    <n v="4742198"/>
    <n v="2829713"/>
    <m/>
  </r>
  <r>
    <n v="1"/>
    <x v="36"/>
    <n v="2019"/>
    <s v="Enero"/>
    <s v="MAKEBEVA"/>
    <n v="1232400088"/>
    <x v="85"/>
    <n v="33006396"/>
    <n v="468000"/>
    <n v="5440053"/>
    <n v="27098343"/>
    <n v="26220000"/>
    <n v="1.0334989702517163"/>
    <x v="1"/>
    <n v="25"/>
    <x v="10"/>
    <s v="Antioquia"/>
    <s v="Fluctúa"/>
    <n v="52"/>
    <n v="5455972"/>
    <n v="120"/>
    <n v="16726917"/>
    <n v="57"/>
    <n v="5440053"/>
    <n v="5383454"/>
    <m/>
  </r>
  <r>
    <n v="1"/>
    <x v="36"/>
    <n v="2019"/>
    <s v="Enero"/>
    <s v="MILEQUOL"/>
    <n v="1035224144"/>
    <x v="78"/>
    <n v="33791266"/>
    <n v="468000"/>
    <n v="4954648"/>
    <n v="28368618"/>
    <n v="26220000"/>
    <n v="1.0819457665903891"/>
    <x v="1"/>
    <n v="25"/>
    <x v="10"/>
    <s v="Antioquia"/>
    <s v="Cumple"/>
    <n v="64"/>
    <n v="6511295"/>
    <n v="172"/>
    <n v="18505880"/>
    <n v="62"/>
    <n v="4954648"/>
    <n v="3819443"/>
    <m/>
  </r>
  <r>
    <n v="1"/>
    <x v="36"/>
    <n v="2019"/>
    <s v="Enero"/>
    <s v="ANGISEBR"/>
    <n v="1144061613"/>
    <x v="70"/>
    <n v="39684716"/>
    <n v="221100"/>
    <n v="8615631"/>
    <n v="30847985"/>
    <n v="28500000"/>
    <n v="1.0823854385964913"/>
    <x v="1"/>
    <n v="25"/>
    <x v="14"/>
    <s v="Occidente"/>
    <s v="Fluctúa"/>
    <n v="56"/>
    <n v="6312309"/>
    <n v="172"/>
    <n v="21517797"/>
    <n v="99"/>
    <n v="8615631"/>
    <n v="3238979"/>
    <m/>
  </r>
  <r>
    <n v="1"/>
    <x v="36"/>
    <n v="2019"/>
    <s v="Enero"/>
    <s v="AURACAMO"/>
    <n v="66910365"/>
    <x v="84"/>
    <n v="39105151"/>
    <n v="1340970"/>
    <n v="7778134"/>
    <n v="29986047"/>
    <n v="28500000"/>
    <n v="1.0521419999999999"/>
    <x v="1"/>
    <n v="25"/>
    <x v="14"/>
    <s v="Occidente"/>
    <s v="Fluctúa"/>
    <n v="72"/>
    <n v="7048787"/>
    <n v="186"/>
    <n v="17607660"/>
    <n v="78"/>
    <n v="7778134"/>
    <n v="6670570"/>
    <m/>
  </r>
  <r>
    <n v="1"/>
    <x v="36"/>
    <n v="2019"/>
    <s v="Enero"/>
    <s v="PAOLPACA"/>
    <n v="31445278"/>
    <x v="47"/>
    <n v="39441854"/>
    <n v="0"/>
    <n v="6141071"/>
    <n v="33300783"/>
    <n v="28500000"/>
    <n v="1.1684485263157895"/>
    <x v="1"/>
    <n v="25"/>
    <x v="14"/>
    <s v="Occidente"/>
    <s v="Cumple"/>
    <n v="70"/>
    <n v="7616817"/>
    <n v="162"/>
    <n v="24447707"/>
    <n v="65"/>
    <n v="6141071"/>
    <n v="1236259"/>
    <m/>
  </r>
  <r>
    <n v="1"/>
    <x v="36"/>
    <n v="2019"/>
    <s v="Enero"/>
    <s v="ANAUROCA"/>
    <m/>
    <x v="7"/>
    <n v="92600"/>
    <n v="0"/>
    <n v="92600"/>
    <n v="0"/>
    <m/>
    <m/>
    <x v="0"/>
    <n v="25"/>
    <x v="0"/>
    <s v=""/>
    <s v="No Aplica"/>
    <n v="0"/>
    <n v="0"/>
    <n v="0"/>
    <n v="0"/>
    <n v="0"/>
    <n v="0"/>
    <n v="92600"/>
    <m/>
  </r>
  <r>
    <n v="1"/>
    <x v="36"/>
    <n v="2019"/>
    <s v="Enero"/>
    <s v="CINDALVA"/>
    <m/>
    <x v="7"/>
    <n v="151380"/>
    <n v="0"/>
    <n v="0"/>
    <n v="151380"/>
    <m/>
    <m/>
    <x v="0"/>
    <n v="25"/>
    <x v="0"/>
    <s v=""/>
    <s v="No Aplica"/>
    <n v="0"/>
    <n v="0"/>
    <n v="2"/>
    <n v="151380"/>
    <n v="0"/>
    <n v="0"/>
    <n v="0"/>
    <m/>
  </r>
  <r>
    <n v="1"/>
    <x v="36"/>
    <n v="2019"/>
    <s v="Enero"/>
    <s v="DARWHERI"/>
    <m/>
    <x v="7"/>
    <n v="861383"/>
    <n v="0"/>
    <n v="588358"/>
    <n v="273025"/>
    <m/>
    <m/>
    <x v="0"/>
    <n v="25"/>
    <x v="0"/>
    <s v=""/>
    <s v="No Aplica"/>
    <n v="1"/>
    <n v="273025"/>
    <n v="0"/>
    <n v="0"/>
    <n v="8"/>
    <n v="588358"/>
    <n v="0"/>
    <m/>
  </r>
  <r>
    <n v="1"/>
    <x v="36"/>
    <n v="2019"/>
    <s v="Enero"/>
    <s v="DIANGUAV"/>
    <m/>
    <x v="7"/>
    <n v="375908"/>
    <n v="0"/>
    <n v="375908"/>
    <n v="0"/>
    <m/>
    <m/>
    <x v="0"/>
    <n v="25"/>
    <x v="0"/>
    <s v=""/>
    <s v="No Aplica"/>
    <n v="0"/>
    <n v="0"/>
    <n v="0"/>
    <n v="0"/>
    <n v="4"/>
    <n v="375908"/>
    <n v="0"/>
    <m/>
  </r>
  <r>
    <n v="1"/>
    <x v="36"/>
    <n v="2019"/>
    <s v="Enero"/>
    <s v="ESTESESE"/>
    <m/>
    <x v="7"/>
    <n v="1766315"/>
    <n v="0"/>
    <n v="1766315"/>
    <n v="0"/>
    <m/>
    <m/>
    <x v="0"/>
    <n v="25"/>
    <x v="0"/>
    <s v=""/>
    <s v="No Aplica"/>
    <n v="0"/>
    <n v="0"/>
    <n v="0"/>
    <n v="0"/>
    <n v="17"/>
    <n v="1766315"/>
    <n v="0"/>
    <m/>
  </r>
  <r>
    <n v="1"/>
    <x v="36"/>
    <n v="2019"/>
    <s v="Enero"/>
    <s v="ESTEAREC"/>
    <m/>
    <x v="7"/>
    <n v="620889"/>
    <n v="0"/>
    <n v="0"/>
    <n v="620889"/>
    <m/>
    <m/>
    <x v="0"/>
    <n v="25"/>
    <x v="0"/>
    <s v=""/>
    <s v="No Aplica"/>
    <n v="1"/>
    <n v="212143"/>
    <n v="4"/>
    <n v="408746"/>
    <n v="0"/>
    <n v="0"/>
    <n v="0"/>
    <m/>
  </r>
  <r>
    <n v="1"/>
    <x v="36"/>
    <n v="2019"/>
    <s v="Enero"/>
    <s v="JAQUVEGU"/>
    <m/>
    <x v="7"/>
    <n v="450000"/>
    <n v="450000"/>
    <n v="0"/>
    <n v="0"/>
    <m/>
    <m/>
    <x v="0"/>
    <n v="25"/>
    <x v="0"/>
    <s v=""/>
    <s v="No Aplica"/>
    <n v="0"/>
    <n v="0"/>
    <n v="0"/>
    <n v="0"/>
    <n v="0"/>
    <n v="0"/>
    <n v="450000"/>
    <m/>
  </r>
  <r>
    <n v="1"/>
    <x v="36"/>
    <n v="2019"/>
    <s v="Enero"/>
    <s v="MONIARGI"/>
    <m/>
    <x v="7"/>
    <n v="481323"/>
    <n v="0"/>
    <n v="141671"/>
    <n v="339652"/>
    <m/>
    <m/>
    <x v="0"/>
    <n v="25"/>
    <x v="0"/>
    <s v=""/>
    <s v="No Aplica"/>
    <n v="1"/>
    <n v="128403"/>
    <n v="2"/>
    <n v="66649"/>
    <n v="1"/>
    <n v="141671"/>
    <n v="144600"/>
    <m/>
  </r>
  <r>
    <n v="1"/>
    <x v="36"/>
    <n v="2019"/>
    <s v="Enero"/>
    <s v="PAULESVE"/>
    <m/>
    <x v="7"/>
    <n v="46283"/>
    <n v="0"/>
    <n v="46283"/>
    <n v="0"/>
    <m/>
    <m/>
    <x v="0"/>
    <n v="25"/>
    <x v="0"/>
    <s v=""/>
    <s v="No Aplica"/>
    <n v="0"/>
    <n v="0"/>
    <n v="0"/>
    <n v="0"/>
    <n v="1"/>
    <n v="46283"/>
    <n v="0"/>
    <m/>
  </r>
  <r>
    <n v="1"/>
    <x v="36"/>
    <n v="2019"/>
    <s v="Enero"/>
    <s v="XIOMMERO"/>
    <m/>
    <x v="7"/>
    <n v="46283"/>
    <n v="0"/>
    <n v="46283"/>
    <n v="0"/>
    <m/>
    <m/>
    <x v="0"/>
    <n v="25"/>
    <x v="0"/>
    <s v=""/>
    <s v="No Aplica"/>
    <n v="0"/>
    <n v="0"/>
    <n v="0"/>
    <n v="0"/>
    <n v="1"/>
    <n v="46283"/>
    <n v="0"/>
    <m/>
  </r>
  <r>
    <n v="1"/>
    <x v="36"/>
    <n v="2019"/>
    <s v="Enero"/>
    <s v="(en blanco)"/>
    <m/>
    <x v="7"/>
    <n v="29434380"/>
    <n v="0"/>
    <n v="0"/>
    <n v="29434380"/>
    <m/>
    <m/>
    <x v="0"/>
    <n v="25"/>
    <x v="0"/>
    <s v=""/>
    <s v="No Aplica"/>
    <n v="105"/>
    <n v="7109280"/>
    <n v="205"/>
    <n v="20411520"/>
    <n v="4783"/>
    <n v="0"/>
    <n v="1913580"/>
    <m/>
  </r>
  <r>
    <n v="2"/>
    <x v="37"/>
    <n v="2019"/>
    <s v="Febrero"/>
    <s v="DERLARMO"/>
    <n v="52725011"/>
    <x v="10"/>
    <n v="38854247"/>
    <n v="972000"/>
    <n v="9688151"/>
    <n v="28194096"/>
    <n v="26833333.333333336"/>
    <n v="1.050711652173913"/>
    <x v="1"/>
    <n v="24"/>
    <x v="6"/>
    <s v="Centro"/>
    <s v="Fluctúa"/>
    <n v="73"/>
    <n v="5628143"/>
    <n v="234"/>
    <n v="21120620"/>
    <n v="129"/>
    <n v="9688151"/>
    <n v="2417333"/>
    <m/>
  </r>
  <r>
    <n v="2"/>
    <x v="37"/>
    <n v="2019"/>
    <s v="Febrero"/>
    <s v="LOREBECR"/>
    <n v="1010207310"/>
    <x v="68"/>
    <n v="37844360"/>
    <n v="0"/>
    <n v="8192759"/>
    <n v="29651601"/>
    <n v="26833333.333333336"/>
    <n v="1.105028608695652"/>
    <x v="1"/>
    <n v="24"/>
    <x v="6"/>
    <s v="Centro"/>
    <s v="Cumple"/>
    <n v="85"/>
    <n v="7165296"/>
    <n v="231"/>
    <n v="19883511"/>
    <n v="117"/>
    <n v="8192759"/>
    <n v="2602794"/>
    <m/>
  </r>
  <r>
    <n v="2"/>
    <x v="37"/>
    <n v="2019"/>
    <s v="Febrero"/>
    <s v="PAULGOBA"/>
    <n v="32256379"/>
    <x v="36"/>
    <n v="13774223"/>
    <n v="504000"/>
    <n v="4272143"/>
    <n v="8998080"/>
    <n v="40333333.333333328"/>
    <n v="0.2230928925619835"/>
    <x v="1"/>
    <n v="24"/>
    <x v="13"/>
    <s v="Antioquia"/>
    <s v="Fluctúa"/>
    <n v="10"/>
    <n v="1356221"/>
    <n v="28"/>
    <n v="2006489"/>
    <n v="47"/>
    <n v="4272143"/>
    <n v="6139370"/>
    <m/>
  </r>
  <r>
    <n v="2"/>
    <x v="37"/>
    <n v="2019"/>
    <s v="Febrero"/>
    <s v="VANELOBE"/>
    <n v="1128476466"/>
    <x v="74"/>
    <n v="21808825"/>
    <n v="442200"/>
    <n v="4824265"/>
    <n v="16542360"/>
    <n v="20000000"/>
    <n v="0.82711800000000002"/>
    <x v="1"/>
    <n v="24"/>
    <x v="4"/>
    <s v="Antioquia"/>
    <s v="Fluctúa"/>
    <n v="41"/>
    <n v="3875208"/>
    <n v="98"/>
    <n v="10350414"/>
    <n v="53"/>
    <n v="4824265"/>
    <n v="2758938"/>
    <m/>
  </r>
  <r>
    <n v="2"/>
    <x v="37"/>
    <n v="2019"/>
    <s v="Febrero"/>
    <s v="DIANPAAL"/>
    <n v="1040030764"/>
    <x v="11"/>
    <n v="16878856"/>
    <n v="1396200"/>
    <n v="5432716"/>
    <n v="10049940"/>
    <n v="29166666.666666668"/>
    <n v="0.34456937142857141"/>
    <x v="1"/>
    <n v="24"/>
    <x v="7"/>
    <s v="Antioquia"/>
    <s v="Cumple"/>
    <n v="18"/>
    <n v="1845492"/>
    <n v="56"/>
    <n v="7255628"/>
    <n v="60"/>
    <n v="5432716"/>
    <n v="2345020"/>
    <m/>
  </r>
  <r>
    <n v="2"/>
    <x v="37"/>
    <n v="2019"/>
    <s v="Febrero"/>
    <s v="MARIGOOR"/>
    <n v="1128267208"/>
    <x v="77"/>
    <n v="51955674"/>
    <n v="4788600"/>
    <n v="8538190"/>
    <n v="38628884"/>
    <n v="39166666.666666672"/>
    <n v="0.98626937872340414"/>
    <x v="1"/>
    <n v="24"/>
    <x v="7"/>
    <s v="Antioquia"/>
    <s v="Fluctúa"/>
    <n v="68"/>
    <n v="8971416"/>
    <n v="156"/>
    <n v="23203473"/>
    <n v="90"/>
    <n v="8538190"/>
    <n v="11242595"/>
    <m/>
  </r>
  <r>
    <n v="2"/>
    <x v="37"/>
    <n v="2019"/>
    <s v="Febrero"/>
    <s v="MARIOCOC"/>
    <n v="39448823"/>
    <x v="21"/>
    <n v="55238406"/>
    <n v="2185200"/>
    <n v="11461804"/>
    <n v="41591402"/>
    <n v="39166666.666666672"/>
    <n v="1.0619081361702127"/>
    <x v="1"/>
    <n v="24"/>
    <x v="7"/>
    <s v="Antioquia"/>
    <s v="Siempre Cumple"/>
    <n v="75"/>
    <n v="9474404"/>
    <n v="190"/>
    <n v="26946899"/>
    <n v="114"/>
    <n v="11461804"/>
    <n v="7355299"/>
    <m/>
  </r>
  <r>
    <n v="2"/>
    <x v="37"/>
    <n v="2019"/>
    <s v="Febrero"/>
    <s v="ALEXLOGR"/>
    <n v="43253531"/>
    <x v="2"/>
    <n v="52146063"/>
    <n v="2089200"/>
    <n v="11746839"/>
    <n v="38310024"/>
    <n v="37000000"/>
    <n v="1.0354060540540539"/>
    <x v="1"/>
    <n v="24"/>
    <x v="2"/>
    <s v="Antioquia"/>
    <s v="Cumple"/>
    <n v="91"/>
    <n v="8957339"/>
    <n v="216"/>
    <n v="24968163"/>
    <n v="117"/>
    <n v="11746839"/>
    <n v="6473722"/>
    <m/>
  </r>
  <r>
    <n v="2"/>
    <x v="37"/>
    <n v="2019"/>
    <s v="Febrero"/>
    <s v="YULIRIRE"/>
    <n v="21982241"/>
    <x v="57"/>
    <n v="47514062"/>
    <n v="0"/>
    <n v="8959140"/>
    <n v="38554922"/>
    <n v="36229166.666666672"/>
    <n v="1.0641956618746404"/>
    <x v="1"/>
    <n v="24"/>
    <x v="2"/>
    <s v="Antioquia"/>
    <s v="Fluctúa"/>
    <n v="87"/>
    <n v="8142277"/>
    <n v="236"/>
    <n v="25317388"/>
    <n v="102"/>
    <n v="8959140"/>
    <n v="5095257"/>
    <m/>
  </r>
  <r>
    <n v="2"/>
    <x v="37"/>
    <n v="2019"/>
    <s v="Febrero"/>
    <s v="ADRIMOLU"/>
    <n v="43169964"/>
    <x v="1"/>
    <n v="36477526"/>
    <n v="1098000"/>
    <n v="11732952"/>
    <n v="23646574"/>
    <n v="43125000"/>
    <n v="0.54832635362318838"/>
    <x v="1"/>
    <n v="24"/>
    <x v="1"/>
    <s v="Antioquia"/>
    <s v="Cumple"/>
    <n v="50"/>
    <n v="5872656"/>
    <n v="124"/>
    <n v="13788180"/>
    <n v="110"/>
    <n v="11732952"/>
    <n v="5083738"/>
    <m/>
  </r>
  <r>
    <n v="2"/>
    <x v="37"/>
    <n v="2019"/>
    <s v="Febrero"/>
    <s v="ASTRTAAR"/>
    <n v="1017191161"/>
    <x v="80"/>
    <n v="41056711"/>
    <n v="552000"/>
    <n v="10448998"/>
    <n v="30055713"/>
    <n v="43125000"/>
    <n v="0.69694406956521737"/>
    <x v="1"/>
    <n v="24"/>
    <x v="1"/>
    <s v="Antioquia"/>
    <s v="No Cumple"/>
    <n v="63"/>
    <n v="6974119"/>
    <n v="158"/>
    <n v="17943119"/>
    <n v="106"/>
    <n v="10448998"/>
    <n v="5690475"/>
    <m/>
  </r>
  <r>
    <n v="2"/>
    <x v="37"/>
    <n v="2019"/>
    <s v="Febrero"/>
    <s v="JUANVALN"/>
    <n v="1128402269"/>
    <x v="86"/>
    <n v="27783812"/>
    <n v="1090200"/>
    <n v="7374230"/>
    <n v="19319382"/>
    <n v="43125000"/>
    <n v="0.4479856695652174"/>
    <x v="1"/>
    <n v="24"/>
    <x v="1"/>
    <s v="Antioquia"/>
    <s v="No Cumple"/>
    <n v="40"/>
    <n v="4771131"/>
    <n v="94"/>
    <n v="10959997"/>
    <n v="76"/>
    <n v="7374230"/>
    <n v="4678454"/>
    <m/>
  </r>
  <r>
    <n v="2"/>
    <x v="37"/>
    <n v="2019"/>
    <s v="Febrero"/>
    <s v="LILACARA"/>
    <n v="1017141451"/>
    <x v="17"/>
    <n v="58019330"/>
    <n v="1396200"/>
    <n v="11952065"/>
    <n v="44671065"/>
    <n v="43125000"/>
    <n v="1.0358507826086956"/>
    <x v="1"/>
    <n v="24"/>
    <x v="1"/>
    <s v="Antioquia"/>
    <s v="Siempre Cumple"/>
    <n v="86"/>
    <n v="10764810"/>
    <n v="218"/>
    <n v="28403162"/>
    <n v="119"/>
    <n v="11952065"/>
    <n v="6899293"/>
    <m/>
  </r>
  <r>
    <n v="2"/>
    <x v="37"/>
    <n v="2019"/>
    <s v="Febrero"/>
    <s v="LIZEGASA"/>
    <n v="1128442101"/>
    <x v="81"/>
    <n v="35361404"/>
    <n v="0"/>
    <n v="6104835"/>
    <n v="29256569"/>
    <n v="28500000"/>
    <n v="1.0265462807017545"/>
    <x v="1"/>
    <n v="24"/>
    <x v="10"/>
    <s v="Antioquia"/>
    <s v="Fluctúa"/>
    <n v="58"/>
    <n v="7965972"/>
    <n v="140"/>
    <n v="17297446"/>
    <n v="63"/>
    <n v="6104835"/>
    <n v="3993151"/>
    <m/>
  </r>
  <r>
    <n v="2"/>
    <x v="37"/>
    <n v="2019"/>
    <s v="Febrero"/>
    <s v="SUANHECO"/>
    <n v="1020409789"/>
    <x v="58"/>
    <n v="60062942"/>
    <n v="1185200"/>
    <n v="10787429"/>
    <n v="48090313"/>
    <n v="43125000"/>
    <n v="1.1151376927536232"/>
    <x v="1"/>
    <n v="24"/>
    <x v="1"/>
    <s v="Antioquia"/>
    <s v="Cumple"/>
    <n v="86"/>
    <n v="9687055"/>
    <n v="211"/>
    <n v="32058295"/>
    <n v="115"/>
    <n v="10787429"/>
    <n v="7530163"/>
    <m/>
  </r>
  <r>
    <n v="2"/>
    <x v="37"/>
    <n v="2019"/>
    <s v="Febrero"/>
    <s v="ZULYARGA"/>
    <n v="43259130"/>
    <x v="31"/>
    <n v="33013530"/>
    <n v="910200"/>
    <n v="9068638"/>
    <n v="23034692"/>
    <n v="33750000"/>
    <n v="0.68250939259259258"/>
    <x v="1"/>
    <n v="24"/>
    <x v="1"/>
    <s v="Antioquia"/>
    <s v="Fluctúa"/>
    <n v="52"/>
    <n v="4639170"/>
    <n v="126"/>
    <n v="14982466"/>
    <n v="92"/>
    <n v="9068638"/>
    <n v="4323256"/>
    <m/>
  </r>
  <r>
    <n v="2"/>
    <x v="37"/>
    <n v="2019"/>
    <s v="Febrero"/>
    <s v="BIBIBECA"/>
    <n v="43971430"/>
    <x v="6"/>
    <n v="60517696"/>
    <n v="964980"/>
    <n v="13929136"/>
    <n v="45623580"/>
    <n v="44000000"/>
    <n v="1.0368995454545455"/>
    <x v="1"/>
    <n v="24"/>
    <x v="5"/>
    <s v="Antioquia"/>
    <s v="Siempre Cumple"/>
    <n v="101"/>
    <n v="10690809"/>
    <n v="260"/>
    <n v="30857580"/>
    <n v="140"/>
    <n v="13929136"/>
    <n v="5040171"/>
    <m/>
  </r>
  <r>
    <n v="2"/>
    <x v="37"/>
    <n v="2019"/>
    <s v="Febrero"/>
    <s v="CLAUBLAR"/>
    <n v="43554403"/>
    <x v="8"/>
    <n v="65187698"/>
    <n v="2256300"/>
    <n v="13513154"/>
    <n v="49418244"/>
    <n v="44000000"/>
    <n v="1.1231419090909092"/>
    <x v="1"/>
    <n v="24"/>
    <x v="5"/>
    <s v="Antioquia"/>
    <s v="Siempre Cumple"/>
    <n v="82"/>
    <n v="9882835"/>
    <n v="212"/>
    <n v="32229920"/>
    <n v="134"/>
    <n v="13513154"/>
    <n v="9561789"/>
    <m/>
  </r>
  <r>
    <n v="2"/>
    <x v="37"/>
    <n v="2019"/>
    <s v="Febrero"/>
    <s v="HERIRORO"/>
    <n v="21428423"/>
    <x v="52"/>
    <n v="34757141"/>
    <n v="1391100"/>
    <n v="10168478"/>
    <n v="23197563"/>
    <n v="44000000"/>
    <n v="0.52721734090909089"/>
    <x v="1"/>
    <n v="24"/>
    <x v="5"/>
    <s v="Antioquia"/>
    <s v="Fluctúa"/>
    <n v="59"/>
    <n v="6127189"/>
    <n v="142"/>
    <n v="12943613"/>
    <n v="102"/>
    <n v="10168478"/>
    <n v="5517861"/>
    <m/>
  </r>
  <r>
    <n v="2"/>
    <x v="37"/>
    <n v="2019"/>
    <s v="Febrero"/>
    <s v="MARGGAPA"/>
    <n v="43866877"/>
    <x v="20"/>
    <n v="43445082"/>
    <n v="1352400"/>
    <n v="9003277"/>
    <n v="33089405"/>
    <n v="27500000"/>
    <n v="1.203251090909091"/>
    <x v="1"/>
    <n v="24"/>
    <x v="5"/>
    <s v="Antioquia"/>
    <s v="Siempre Cumple"/>
    <n v="70"/>
    <n v="8274160"/>
    <n v="186"/>
    <n v="21080421"/>
    <n v="95"/>
    <n v="9003277"/>
    <n v="5087224"/>
    <m/>
  </r>
  <r>
    <n v="2"/>
    <x v="37"/>
    <n v="2019"/>
    <s v="Febrero"/>
    <s v="MARIHIRO"/>
    <n v="1001131473"/>
    <x v="76"/>
    <n v="35757602"/>
    <n v="1882200"/>
    <n v="12223553"/>
    <n v="21651849"/>
    <n v="44000000"/>
    <n v="0.49208747727272728"/>
    <x v="1"/>
    <n v="24"/>
    <x v="5"/>
    <s v="Antioquia"/>
    <s v="No Cumple"/>
    <n v="51"/>
    <n v="4595348"/>
    <n v="130"/>
    <n v="13412780"/>
    <n v="127"/>
    <n v="12223553"/>
    <n v="5525921"/>
    <m/>
  </r>
  <r>
    <n v="2"/>
    <x v="37"/>
    <n v="2019"/>
    <s v="Febrero"/>
    <s v="SANDCAAC"/>
    <n v="39175639"/>
    <x v="75"/>
    <n v="55854703"/>
    <n v="1486200"/>
    <n v="8993342"/>
    <n v="45375161"/>
    <n v="44000000"/>
    <n v="1.0312536590909092"/>
    <x v="1"/>
    <n v="24"/>
    <x v="5"/>
    <s v="Antioquia"/>
    <s v="Fluctúa"/>
    <n v="84"/>
    <n v="9260054"/>
    <n v="198"/>
    <n v="29816543"/>
    <n v="92"/>
    <n v="8993342"/>
    <n v="7784764"/>
    <m/>
  </r>
  <r>
    <n v="2"/>
    <x v="37"/>
    <n v="2019"/>
    <s v="Febrero"/>
    <s v="YENISIGI"/>
    <n v="1035913369"/>
    <x v="64"/>
    <n v="28251306"/>
    <n v="1365300"/>
    <n v="5247018"/>
    <n v="21638988"/>
    <n v="20166666.666666664"/>
    <n v="1.0730076694214878"/>
    <x v="1"/>
    <n v="24"/>
    <x v="5"/>
    <s v="Antioquia"/>
    <s v="Fluctúa"/>
    <n v="38"/>
    <n v="3585585"/>
    <n v="113"/>
    <n v="15193743"/>
    <n v="54"/>
    <n v="5247018"/>
    <n v="4224960"/>
    <m/>
  </r>
  <r>
    <n v="2"/>
    <x v="37"/>
    <n v="2019"/>
    <s v="Febrero"/>
    <s v="NATAPIDU"/>
    <n v="43907427"/>
    <x v="25"/>
    <n v="61563450"/>
    <n v="432810"/>
    <n v="8133270"/>
    <n v="52997370"/>
    <n v="40000000"/>
    <n v="1.3249342500000001"/>
    <x v="1"/>
    <n v="24"/>
    <x v="11"/>
    <s v="Antioquia"/>
    <s v="Siempre Cumple"/>
    <n v="52"/>
    <n v="10403634"/>
    <n v="158"/>
    <n v="37899300"/>
    <n v="86"/>
    <n v="8133270"/>
    <n v="5127246"/>
    <m/>
  </r>
  <r>
    <n v="2"/>
    <x v="37"/>
    <n v="2019"/>
    <s v="Febrero"/>
    <s v="ALVAOSOS"/>
    <n v="3438422"/>
    <x v="37"/>
    <n v="62730752"/>
    <n v="442200"/>
    <n v="9744031"/>
    <n v="52544521"/>
    <n v="46000000"/>
    <n v="1.142272195652174"/>
    <x v="1"/>
    <n v="24"/>
    <x v="8"/>
    <s v="Antioquia"/>
    <s v="Fluctúa"/>
    <n v="93"/>
    <n v="9398579"/>
    <n v="210"/>
    <n v="33440225"/>
    <n v="101"/>
    <n v="9744031"/>
    <n v="10147917"/>
    <m/>
  </r>
  <r>
    <n v="2"/>
    <x v="37"/>
    <n v="2019"/>
    <s v="Febrero"/>
    <s v="CARORAMN"/>
    <n v="1020451288"/>
    <x v="61"/>
    <n v="58042412"/>
    <n v="641000"/>
    <n v="10788556"/>
    <n v="46612856"/>
    <n v="46000000"/>
    <n v="1.0133229565217392"/>
    <x v="1"/>
    <n v="24"/>
    <x v="8"/>
    <s v="Antioquia"/>
    <s v="Cumple"/>
    <n v="91"/>
    <n v="8818028"/>
    <n v="243"/>
    <n v="29642123"/>
    <n v="114"/>
    <n v="10788556"/>
    <n v="8793705"/>
    <m/>
  </r>
  <r>
    <n v="2"/>
    <x v="37"/>
    <n v="2019"/>
    <s v="Febrero"/>
    <s v="CINDGACU"/>
    <n v="1020443426"/>
    <x v="55"/>
    <n v="27420891"/>
    <n v="1188000"/>
    <n v="5056468"/>
    <n v="21176423"/>
    <n v="20000000"/>
    <n v="1.05882115"/>
    <x v="1"/>
    <n v="24"/>
    <x v="4"/>
    <s v="Antioquia"/>
    <s v="Fluctúa"/>
    <n v="44"/>
    <n v="3946126"/>
    <n v="136"/>
    <n v="15462227"/>
    <n v="44"/>
    <n v="5056468"/>
    <n v="2956070"/>
    <m/>
  </r>
  <r>
    <n v="2"/>
    <x v="37"/>
    <n v="2019"/>
    <s v="Febrero"/>
    <s v="GENNHEPO"/>
    <n v="43874518"/>
    <x v="14"/>
    <n v="24110598"/>
    <n v="954000"/>
    <n v="5016169"/>
    <n v="18140429"/>
    <n v="11500000"/>
    <n v="1.5774286086956522"/>
    <x v="1"/>
    <n v="24"/>
    <x v="8"/>
    <s v="Antioquia"/>
    <s v="Fluctúa"/>
    <n v="37"/>
    <n v="3295727"/>
    <n v="108"/>
    <n v="12690739"/>
    <n v="51"/>
    <n v="5016169"/>
    <n v="3107963"/>
    <m/>
  </r>
  <r>
    <n v="2"/>
    <x v="37"/>
    <n v="2019"/>
    <s v="Febrero"/>
    <s v="LEIDGOVI"/>
    <n v="1036598360"/>
    <x v="39"/>
    <n v="61670734"/>
    <n v="906000"/>
    <n v="9702716"/>
    <n v="51062018"/>
    <n v="46000000"/>
    <n v="1.1100438695652175"/>
    <x v="1"/>
    <n v="24"/>
    <x v="8"/>
    <s v="Antioquia"/>
    <s v="Fluctúa"/>
    <n v="89"/>
    <n v="9734799"/>
    <n v="232"/>
    <n v="33735672"/>
    <n v="106"/>
    <n v="9702716"/>
    <n v="8497547"/>
    <m/>
  </r>
  <r>
    <n v="2"/>
    <x v="37"/>
    <n v="2019"/>
    <s v="Febrero"/>
    <s v="LEIDPAPA"/>
    <n v="1020425089"/>
    <x v="72"/>
    <n v="59232491"/>
    <n v="966900"/>
    <n v="10730531"/>
    <n v="47535060"/>
    <n v="43000000"/>
    <n v="1.105466511627907"/>
    <x v="1"/>
    <n v="24"/>
    <x v="8"/>
    <s v="Antioquia"/>
    <s v="Cumple"/>
    <n v="85"/>
    <n v="10522101"/>
    <n v="208"/>
    <n v="30962067"/>
    <n v="115"/>
    <n v="10730531"/>
    <n v="7017792"/>
    <m/>
  </r>
  <r>
    <n v="2"/>
    <x v="37"/>
    <n v="2019"/>
    <s v="Febrero"/>
    <s v="YENYSUPE"/>
    <n v="1020419011"/>
    <x v="51"/>
    <n v="59643113"/>
    <n v="455100"/>
    <n v="12771838"/>
    <n v="46416175"/>
    <n v="46000000"/>
    <n v="1.0090472826086956"/>
    <x v="1"/>
    <n v="24"/>
    <x v="8"/>
    <s v="Antioquia"/>
    <s v="Cumple"/>
    <n v="96"/>
    <n v="9043540"/>
    <n v="254"/>
    <n v="27872276"/>
    <n v="132"/>
    <n v="12771838"/>
    <n v="9955459"/>
    <m/>
  </r>
  <r>
    <n v="2"/>
    <x v="37"/>
    <n v="2019"/>
    <s v="Febrero"/>
    <s v="YURAUSVE"/>
    <n v="1020419615"/>
    <x v="56"/>
    <n v="60415521"/>
    <n v="0"/>
    <n v="12423811"/>
    <n v="47991710"/>
    <n v="46000000"/>
    <n v="1.0432980434782608"/>
    <x v="1"/>
    <n v="24"/>
    <x v="8"/>
    <s v="Antioquia"/>
    <s v="Cumple"/>
    <n v="104"/>
    <n v="11366365"/>
    <n v="256"/>
    <n v="29526993"/>
    <n v="133"/>
    <n v="12423811"/>
    <n v="7098352"/>
    <m/>
  </r>
  <r>
    <n v="2"/>
    <x v="37"/>
    <n v="2019"/>
    <s v="Febrero"/>
    <s v="ANAMLOBE"/>
    <n v="43821410"/>
    <x v="3"/>
    <n v="70074625"/>
    <n v="486000"/>
    <n v="10989157"/>
    <n v="58599468"/>
    <n v="45000000"/>
    <n v="1.3022104000000001"/>
    <x v="1"/>
    <n v="24"/>
    <x v="3"/>
    <s v="Antioquia"/>
    <s v="Siempre Cumple"/>
    <n v="96"/>
    <n v="10445569"/>
    <n v="233"/>
    <n v="41697176"/>
    <n v="110"/>
    <n v="10892976"/>
    <n v="7038904"/>
    <m/>
  </r>
  <r>
    <n v="2"/>
    <x v="37"/>
    <n v="2019"/>
    <s v="Febrero"/>
    <s v="ELIZVESU"/>
    <n v="1035417626"/>
    <x v="13"/>
    <n v="52889436"/>
    <n v="1149300"/>
    <n v="11568143"/>
    <n v="40171993"/>
    <n v="33750000"/>
    <n v="1.190281274074074"/>
    <x v="1"/>
    <n v="24"/>
    <x v="3"/>
    <s v="Antioquia"/>
    <s v="Cumple"/>
    <n v="83"/>
    <n v="8210719"/>
    <n v="192"/>
    <n v="27446346"/>
    <n v="129"/>
    <n v="11568143"/>
    <n v="5664228"/>
    <m/>
  </r>
  <r>
    <n v="2"/>
    <x v="37"/>
    <n v="2019"/>
    <s v="Febrero"/>
    <s v="VIVIVAZA"/>
    <n v="43745952"/>
    <x v="30"/>
    <n v="73968589"/>
    <n v="1036980"/>
    <n v="13106318"/>
    <n v="59825291"/>
    <n v="45000000"/>
    <n v="1.329450911111111"/>
    <x v="1"/>
    <n v="24"/>
    <x v="3"/>
    <s v="Antioquia"/>
    <s v="Siempre Cumple"/>
    <n v="96"/>
    <n v="10298669"/>
    <n v="266"/>
    <n v="42902447"/>
    <n v="146"/>
    <n v="13106318"/>
    <n v="7661155"/>
    <m/>
  </r>
  <r>
    <n v="2"/>
    <x v="37"/>
    <n v="2019"/>
    <s v="Febrero"/>
    <s v="ANGEGAAR"/>
    <n v="39442617"/>
    <x v="4"/>
    <n v="19823194"/>
    <n v="0"/>
    <n v="4069740"/>
    <n v="15753454"/>
    <n v="14366666.666666666"/>
    <n v="1.096528120649652"/>
    <x v="1"/>
    <n v="24"/>
    <x v="4"/>
    <s v="Antioquia"/>
    <s v="Cumple"/>
    <n v="30"/>
    <n v="3606656"/>
    <n v="71"/>
    <n v="9497056"/>
    <n v="42"/>
    <n v="4069740"/>
    <n v="2649742"/>
    <m/>
  </r>
  <r>
    <n v="2"/>
    <x v="37"/>
    <n v="2019"/>
    <s v="Febrero"/>
    <s v="ERIKSAVA"/>
    <n v="1017200970"/>
    <x v="44"/>
    <n v="8161990"/>
    <n v="0"/>
    <n v="2929034"/>
    <n v="5232956"/>
    <n v="31666666.666666668"/>
    <n v="0.16525124210526315"/>
    <x v="1"/>
    <n v="24"/>
    <x v="4"/>
    <s v="Antioquia"/>
    <s v="Cumple"/>
    <n v="8"/>
    <n v="814872"/>
    <n v="28"/>
    <n v="3795684"/>
    <n v="38"/>
    <n v="2929034"/>
    <n v="622400"/>
    <m/>
  </r>
  <r>
    <n v="2"/>
    <x v="37"/>
    <n v="2019"/>
    <s v="Febrero"/>
    <s v="MARIMASA"/>
    <n v="43113640"/>
    <x v="34"/>
    <n v="19976650"/>
    <n v="468000"/>
    <n v="2628534"/>
    <n v="16880116"/>
    <n v="10000000"/>
    <n v="1.6880116000000001"/>
    <x v="1"/>
    <n v="24"/>
    <x v="4"/>
    <s v="Antioquia"/>
    <s v="Cumple"/>
    <n v="32"/>
    <n v="3286679"/>
    <n v="82"/>
    <n v="12243778"/>
    <n v="30"/>
    <n v="2628534"/>
    <n v="1817659"/>
    <m/>
  </r>
  <r>
    <n v="2"/>
    <x v="37"/>
    <n v="2019"/>
    <s v="Febrero"/>
    <s v="NATAVAMO"/>
    <n v="32183069"/>
    <x v="63"/>
    <n v="39847082"/>
    <n v="1396200"/>
    <n v="10590075"/>
    <n v="27860807"/>
    <n v="44708333.333333336"/>
    <n v="0.62316809692451069"/>
    <x v="1"/>
    <n v="24"/>
    <x v="1"/>
    <s v="Antioquia"/>
    <s v="No Cumple"/>
    <n v="72"/>
    <n v="6792775"/>
    <n v="184"/>
    <n v="16863333"/>
    <n v="111"/>
    <n v="10309357"/>
    <n v="5881617"/>
    <m/>
  </r>
  <r>
    <n v="2"/>
    <x v="37"/>
    <n v="2019"/>
    <s v="Febrero"/>
    <s v="NOREARMA"/>
    <n v="39275090"/>
    <x v="66"/>
    <n v="50912593"/>
    <n v="648000"/>
    <n v="8400921"/>
    <n v="41863672"/>
    <n v="40000000"/>
    <n v="1.0465918000000001"/>
    <x v="1"/>
    <n v="24"/>
    <x v="4"/>
    <s v="Antioquia"/>
    <s v="Siempre Cumple"/>
    <n v="73"/>
    <n v="9519416"/>
    <n v="191"/>
    <n v="27530183"/>
    <n v="93"/>
    <n v="8400921"/>
    <n v="5462073"/>
    <m/>
  </r>
  <r>
    <n v="2"/>
    <x v="37"/>
    <n v="2019"/>
    <s v="Febrero"/>
    <s v="VIVIRUAL"/>
    <n v="32352312"/>
    <x v="82"/>
    <n v="23891603"/>
    <n v="1728000"/>
    <n v="6398789"/>
    <n v="15764814"/>
    <n v="40000000"/>
    <n v="0.39412035000000001"/>
    <x v="1"/>
    <n v="24"/>
    <x v="4"/>
    <s v="Antioquia"/>
    <s v="No Cumple"/>
    <n v="36"/>
    <n v="4265847"/>
    <n v="78"/>
    <n v="8245375"/>
    <n v="67"/>
    <n v="6398789"/>
    <n v="4981592"/>
    <m/>
  </r>
  <r>
    <n v="2"/>
    <x v="37"/>
    <n v="2019"/>
    <s v="Febrero"/>
    <s v="ANDRSAZA"/>
    <n v="1020736461"/>
    <x v="45"/>
    <n v="27074183"/>
    <n v="889200"/>
    <n v="4326553"/>
    <n v="21858430"/>
    <n v="18145833.333333332"/>
    <n v="1.2045977497129736"/>
    <x v="1"/>
    <n v="24"/>
    <x v="9"/>
    <s v="Centro"/>
    <s v="Siempre Cumple"/>
    <n v="47"/>
    <n v="4989931"/>
    <n v="136"/>
    <n v="15464814"/>
    <n v="57"/>
    <n v="4326553"/>
    <n v="2292885"/>
    <m/>
  </r>
  <r>
    <n v="2"/>
    <x v="37"/>
    <n v="2019"/>
    <s v="Febrero"/>
    <s v="CHRIVERO"/>
    <n v="1020769180"/>
    <x v="83"/>
    <n v="44988959"/>
    <n v="1857900"/>
    <n v="8134399"/>
    <n v="34996660"/>
    <n v="32104166.666666664"/>
    <n v="1.0900971317326413"/>
    <x v="1"/>
    <n v="24"/>
    <x v="9"/>
    <s v="Centro"/>
    <s v="No Cumple"/>
    <n v="63"/>
    <n v="6583183"/>
    <n v="204"/>
    <n v="26799854"/>
    <n v="111"/>
    <n v="8134399"/>
    <n v="3471523"/>
    <m/>
  </r>
  <r>
    <n v="2"/>
    <x v="37"/>
    <n v="2019"/>
    <s v="Febrero"/>
    <s v="ISABMOGO"/>
    <n v="52260671"/>
    <x v="15"/>
    <n v="43414995"/>
    <n v="1036800"/>
    <n v="6350812"/>
    <n v="36027383"/>
    <n v="30354166.666666664"/>
    <n v="1.1869007439945094"/>
    <x v="1"/>
    <n v="24"/>
    <x v="9"/>
    <s v="Centro"/>
    <s v="Siempre Cumple"/>
    <n v="80"/>
    <n v="9492488"/>
    <n v="208"/>
    <n v="23501115"/>
    <n v="94"/>
    <n v="6350812"/>
    <n v="4070580"/>
    <m/>
  </r>
  <r>
    <n v="2"/>
    <x v="37"/>
    <n v="2019"/>
    <s v="Febrero"/>
    <s v="CAMIPUHE"/>
    <n v="79850984"/>
    <x v="53"/>
    <n v="38285703"/>
    <n v="421200"/>
    <n v="3223550"/>
    <n v="34640953"/>
    <n v="13750000"/>
    <n v="2.5193420363636365"/>
    <x v="1"/>
    <n v="24"/>
    <x v="15"/>
    <s v="Centro"/>
    <s v="Fluctúa"/>
    <n v="42"/>
    <n v="5838152"/>
    <n v="138"/>
    <n v="25645566"/>
    <n v="38"/>
    <n v="3223550"/>
    <n v="3578435"/>
    <m/>
  </r>
  <r>
    <n v="2"/>
    <x v="37"/>
    <n v="2019"/>
    <s v="Febrero"/>
    <s v="ROCIFASA"/>
    <n v="34542470"/>
    <x v="28"/>
    <n v="44234029"/>
    <n v="3402180"/>
    <n v="3929649"/>
    <n v="36902200"/>
    <n v="33916666.666666672"/>
    <n v="1.0880255528255527"/>
    <x v="1"/>
    <n v="24"/>
    <x v="12"/>
    <s v="Occidente"/>
    <s v="Siempre Cumple"/>
    <n v="56"/>
    <n v="8682429"/>
    <n v="170"/>
    <n v="24384045"/>
    <n v="47"/>
    <n v="3929649"/>
    <n v="7237906"/>
    <m/>
  </r>
  <r>
    <n v="2"/>
    <x v="37"/>
    <n v="2019"/>
    <s v="Febrero"/>
    <s v="TATIRITR"/>
    <n v="1130597373"/>
    <x v="60"/>
    <n v="24414499"/>
    <n v="403200"/>
    <n v="2810391"/>
    <n v="21200908"/>
    <n v="7750000"/>
    <n v="2.7356010322580646"/>
    <x v="1"/>
    <n v="24"/>
    <x v="16"/>
    <s v="Occidente"/>
    <s v="Fluctúa"/>
    <n v="35"/>
    <n v="4536059"/>
    <n v="108"/>
    <n v="14595441"/>
    <n v="29"/>
    <n v="2810391"/>
    <n v="2472608"/>
    <m/>
  </r>
  <r>
    <n v="2"/>
    <x v="37"/>
    <n v="2019"/>
    <s v="Febrero"/>
    <s v="HEIDVAVI"/>
    <n v="1130676531"/>
    <x v="73"/>
    <n v="38547837"/>
    <n v="0"/>
    <n v="7685499"/>
    <n v="30862338"/>
    <n v="26333333.333333332"/>
    <n v="1.1719875189873419"/>
    <x v="1"/>
    <n v="24"/>
    <x v="16"/>
    <s v="Occidente"/>
    <s v="No Cumple"/>
    <n v="58"/>
    <n v="7680761"/>
    <n v="185"/>
    <n v="21441960"/>
    <n v="91"/>
    <n v="7685499"/>
    <n v="1739617"/>
    <m/>
  </r>
  <r>
    <n v="2"/>
    <x v="37"/>
    <n v="2019"/>
    <s v="Febrero"/>
    <s v="DANYLESE"/>
    <n v="16379021"/>
    <x v="79"/>
    <n v="45635968"/>
    <n v="0"/>
    <n v="10677478"/>
    <n v="34958490"/>
    <n v="31000000"/>
    <n v="1.1276932258064516"/>
    <x v="1"/>
    <n v="24"/>
    <x v="16"/>
    <s v="Occidente"/>
    <s v="Fluctúa"/>
    <n v="74"/>
    <n v="7626092"/>
    <n v="206"/>
    <n v="23509892"/>
    <n v="118"/>
    <n v="10677478"/>
    <n v="3822506"/>
    <m/>
  </r>
  <r>
    <n v="2"/>
    <x v="37"/>
    <n v="2019"/>
    <s v="Febrero"/>
    <s v="JOSEVAPR"/>
    <n v="6228363"/>
    <x v="87"/>
    <n v="74108760"/>
    <n v="0"/>
    <n v="17746844"/>
    <n v="56361916"/>
    <n v="31000000"/>
    <n v="1.8181263225806452"/>
    <x v="1"/>
    <n v="24"/>
    <x v="16"/>
    <s v="Occidente"/>
    <s v="Siempre Cumple"/>
    <n v="95"/>
    <n v="10969096"/>
    <n v="286"/>
    <n v="41475122"/>
    <n v="190"/>
    <n v="17520244"/>
    <n v="4144298"/>
    <m/>
  </r>
  <r>
    <n v="2"/>
    <x v="37"/>
    <n v="2019"/>
    <s v="Febrero"/>
    <s v="LEIDCAOR"/>
    <n v="1020399898"/>
    <x v="71"/>
    <n v="21664030"/>
    <n v="468000"/>
    <n v="6990871"/>
    <n v="14205159"/>
    <n v="28500000"/>
    <n v="0.49842663157894734"/>
    <x v="1"/>
    <n v="24"/>
    <x v="10"/>
    <s v="Antioquia"/>
    <s v="Fluctúa"/>
    <n v="42"/>
    <n v="4114626"/>
    <n v="90"/>
    <n v="8791525"/>
    <n v="81"/>
    <n v="6990871"/>
    <n v="1767008"/>
    <m/>
  </r>
  <r>
    <n v="2"/>
    <x v="37"/>
    <n v="2019"/>
    <s v="Febrero"/>
    <s v="LUZNHEGO"/>
    <n v="43745192"/>
    <x v="19"/>
    <n v="36828556"/>
    <n v="1044000"/>
    <n v="7162569"/>
    <n v="28621987"/>
    <n v="28500000"/>
    <n v="1.0042802456140352"/>
    <x v="1"/>
    <n v="24"/>
    <x v="10"/>
    <s v="Antioquia"/>
    <s v="Cumple"/>
    <n v="65"/>
    <n v="7042985"/>
    <n v="154"/>
    <n v="17850967"/>
    <n v="85"/>
    <n v="7162569"/>
    <n v="4772035"/>
    <m/>
  </r>
  <r>
    <n v="2"/>
    <x v="37"/>
    <n v="2019"/>
    <s v="Febrero"/>
    <s v="MAKEBEVA"/>
    <n v="1232400088"/>
    <x v="85"/>
    <n v="36738041"/>
    <n v="468000"/>
    <n v="6737219"/>
    <n v="29532822"/>
    <n v="28500000"/>
    <n v="1.0362393684210527"/>
    <x v="1"/>
    <n v="24"/>
    <x v="10"/>
    <s v="Antioquia"/>
    <s v="Fluctúa"/>
    <n v="71"/>
    <n v="7338478"/>
    <n v="158"/>
    <n v="18719629"/>
    <n v="77"/>
    <n v="6737219"/>
    <n v="3942715"/>
    <m/>
  </r>
  <r>
    <n v="2"/>
    <x v="37"/>
    <n v="2019"/>
    <s v="Febrero"/>
    <s v="MILEQUOL"/>
    <n v="1035224144"/>
    <x v="78"/>
    <n v="36557317"/>
    <n v="0"/>
    <n v="7455621"/>
    <n v="29101696"/>
    <n v="28500000"/>
    <n v="1.0211121403508772"/>
    <x v="1"/>
    <n v="24"/>
    <x v="10"/>
    <s v="Antioquia"/>
    <s v="Cumple"/>
    <n v="63"/>
    <n v="6695260"/>
    <n v="141"/>
    <n v="18647818"/>
    <n v="81"/>
    <n v="7455621"/>
    <n v="3758618"/>
    <m/>
  </r>
  <r>
    <n v="2"/>
    <x v="37"/>
    <n v="2019"/>
    <s v="Febrero"/>
    <s v="ANGISEBR"/>
    <n v="1144061613"/>
    <x v="70"/>
    <n v="39437596"/>
    <n v="604200"/>
    <n v="8668119"/>
    <n v="30165277"/>
    <n v="28500000"/>
    <n v="1.0584307719298245"/>
    <x v="1"/>
    <n v="24"/>
    <x v="14"/>
    <s v="Occidente"/>
    <s v="Fluctúa"/>
    <n v="62"/>
    <n v="6741944"/>
    <n v="173"/>
    <n v="19861317"/>
    <n v="93"/>
    <n v="8668119"/>
    <n v="4166216"/>
    <m/>
  </r>
  <r>
    <n v="2"/>
    <x v="37"/>
    <n v="2019"/>
    <s v="Febrero"/>
    <s v="AURACAMO"/>
    <n v="66910365"/>
    <x v="84"/>
    <n v="36203627"/>
    <n v="442200"/>
    <n v="7764024"/>
    <n v="27997403"/>
    <n v="28500000"/>
    <n v="0.98236501754385963"/>
    <x v="1"/>
    <n v="24"/>
    <x v="14"/>
    <s v="Occidente"/>
    <s v="Fluctúa"/>
    <n v="49"/>
    <n v="5644335"/>
    <n v="160"/>
    <n v="19171877"/>
    <n v="88"/>
    <n v="7764024"/>
    <n v="3623391"/>
    <m/>
  </r>
  <r>
    <n v="2"/>
    <x v="37"/>
    <n v="2019"/>
    <s v="Febrero"/>
    <s v="PAOLPACA"/>
    <n v="31445278"/>
    <x v="47"/>
    <n v="42040372"/>
    <n v="0"/>
    <n v="8881135"/>
    <n v="33159237"/>
    <n v="28500000"/>
    <n v="1.1634819999999999"/>
    <x v="1"/>
    <n v="24"/>
    <x v="14"/>
    <s v="Occidente"/>
    <s v="Cumple"/>
    <n v="76"/>
    <n v="8052327"/>
    <n v="204"/>
    <n v="23164895"/>
    <n v="99"/>
    <n v="8881135"/>
    <n v="1942015"/>
    <m/>
  </r>
  <r>
    <n v="2"/>
    <x v="37"/>
    <n v="2019"/>
    <s v="Febrero"/>
    <s v="ALCIPANA"/>
    <n v="1126257967"/>
    <x v="88"/>
    <n v="16926301"/>
    <n v="0"/>
    <n v="4382204"/>
    <n v="12544097"/>
    <n v="26520833.333333332"/>
    <n v="0.47299030322073843"/>
    <x v="1"/>
    <n v="24"/>
    <x v="9"/>
    <s v="Centro"/>
    <s v="No Cumple"/>
    <n v="26"/>
    <n v="2828054"/>
    <n v="78"/>
    <n v="9481435"/>
    <n v="60"/>
    <n v="4382204"/>
    <n v="234608"/>
    <m/>
  </r>
  <r>
    <n v="2"/>
    <x v="37"/>
    <n v="2019"/>
    <s v="Febrero"/>
    <s v="ALEXROBR"/>
    <m/>
    <x v="7"/>
    <n v="4332410"/>
    <n v="0"/>
    <n v="1961381"/>
    <n v="2371029"/>
    <m/>
    <m/>
    <x v="0"/>
    <n v="24"/>
    <x v="0"/>
    <s v=""/>
    <s v="No Aplica"/>
    <n v="6"/>
    <n v="452610"/>
    <n v="20"/>
    <n v="1811816"/>
    <n v="25"/>
    <n v="1961381"/>
    <n v="106603"/>
    <m/>
  </r>
  <r>
    <n v="2"/>
    <x v="37"/>
    <n v="2019"/>
    <s v="Febrero"/>
    <s v="ANAKBEZA"/>
    <m/>
    <x v="7"/>
    <n v="694594"/>
    <n v="0"/>
    <n v="0"/>
    <n v="694594"/>
    <m/>
    <m/>
    <x v="0"/>
    <n v="24"/>
    <x v="0"/>
    <s v=""/>
    <s v="No Aplica"/>
    <n v="1"/>
    <n v="153879"/>
    <n v="2"/>
    <n v="540715"/>
    <n v="0"/>
    <n v="0"/>
    <n v="0"/>
    <m/>
  </r>
  <r>
    <n v="2"/>
    <x v="37"/>
    <n v="2019"/>
    <s v="Febrero"/>
    <s v="ANAUROCA"/>
    <m/>
    <x v="7"/>
    <n v="98000"/>
    <n v="0"/>
    <n v="98000"/>
    <n v="0"/>
    <m/>
    <m/>
    <x v="0"/>
    <n v="24"/>
    <x v="0"/>
    <s v=""/>
    <s v="No Aplica"/>
    <n v="0"/>
    <n v="0"/>
    <n v="0"/>
    <n v="0"/>
    <n v="0"/>
    <n v="0"/>
    <n v="98000"/>
    <m/>
  </r>
  <r>
    <n v="2"/>
    <x v="37"/>
    <n v="2019"/>
    <s v="Febrero"/>
    <s v="DARWHERI"/>
    <m/>
    <x v="7"/>
    <n v="73601"/>
    <n v="0"/>
    <n v="73601"/>
    <n v="0"/>
    <m/>
    <m/>
    <x v="0"/>
    <n v="24"/>
    <x v="0"/>
    <s v=""/>
    <s v="No Aplica"/>
    <n v="0"/>
    <n v="0"/>
    <n v="0"/>
    <n v="0"/>
    <n v="1"/>
    <n v="73601"/>
    <n v="0"/>
    <m/>
  </r>
  <r>
    <n v="2"/>
    <x v="37"/>
    <n v="2019"/>
    <s v="Febrero"/>
    <s v="DEISCACR"/>
    <m/>
    <x v="7"/>
    <n v="17203709"/>
    <n v="1134000"/>
    <n v="5136618"/>
    <n v="10933091"/>
    <m/>
    <m/>
    <x v="0"/>
    <n v="24"/>
    <x v="0"/>
    <s v=""/>
    <s v="No Aplica"/>
    <n v="23"/>
    <n v="2676570"/>
    <n v="48"/>
    <n v="6148212"/>
    <n v="56"/>
    <n v="5136618"/>
    <n v="3242309"/>
    <m/>
  </r>
  <r>
    <n v="2"/>
    <x v="37"/>
    <n v="2019"/>
    <s v="Febrero"/>
    <s v="HISNOSPI"/>
    <m/>
    <x v="7"/>
    <n v="221744"/>
    <n v="0"/>
    <n v="0"/>
    <n v="221744"/>
    <m/>
    <m/>
    <x v="0"/>
    <n v="24"/>
    <x v="0"/>
    <s v=""/>
    <s v="No Aplica"/>
    <n v="1"/>
    <n v="77143"/>
    <n v="0"/>
    <n v="0"/>
    <n v="0"/>
    <n v="0"/>
    <n v="144601"/>
    <m/>
  </r>
  <r>
    <n v="2"/>
    <x v="37"/>
    <n v="2019"/>
    <s v="Febrero"/>
    <s v="MONIARGI"/>
    <m/>
    <x v="7"/>
    <n v="886020"/>
    <n v="0"/>
    <n v="0"/>
    <n v="886020"/>
    <m/>
    <m/>
    <x v="0"/>
    <n v="24"/>
    <x v="0"/>
    <s v=""/>
    <s v="No Aplica"/>
    <n v="2"/>
    <n v="235001"/>
    <n v="4"/>
    <n v="202899"/>
    <n v="0"/>
    <n v="0"/>
    <n v="448120"/>
    <m/>
  </r>
  <r>
    <n v="2"/>
    <x v="37"/>
    <n v="2019"/>
    <s v="Febrero"/>
    <s v="OSCADESU"/>
    <m/>
    <x v="7"/>
    <n v="468000"/>
    <n v="468000"/>
    <n v="0"/>
    <n v="0"/>
    <m/>
    <m/>
    <x v="0"/>
    <n v="24"/>
    <x v="0"/>
    <s v=""/>
    <s v="No Aplica"/>
    <n v="0"/>
    <n v="0"/>
    <n v="0"/>
    <n v="0"/>
    <n v="0"/>
    <n v="0"/>
    <n v="468000"/>
    <m/>
  </r>
  <r>
    <n v="2"/>
    <x v="37"/>
    <n v="2019"/>
    <s v="Febrero"/>
    <s v="RAULMOGA"/>
    <m/>
    <x v="7"/>
    <n v="111979"/>
    <n v="0"/>
    <n v="0"/>
    <n v="111979"/>
    <m/>
    <m/>
    <x v="0"/>
    <n v="24"/>
    <x v="0"/>
    <s v=""/>
    <s v="No Aplica"/>
    <n v="0"/>
    <n v="0"/>
    <n v="2"/>
    <n v="111979"/>
    <n v="0"/>
    <n v="0"/>
    <n v="0"/>
    <m/>
  </r>
  <r>
    <n v="2"/>
    <x v="37"/>
    <n v="2019"/>
    <s v="Febrero"/>
    <s v="(en blanco)"/>
    <m/>
    <x v="7"/>
    <n v="2721988"/>
    <n v="0"/>
    <n v="0"/>
    <n v="2721988"/>
    <m/>
    <m/>
    <x v="0"/>
    <n v="24"/>
    <x v="0"/>
    <s v=""/>
    <s v="No Aplica"/>
    <n v="5"/>
    <n v="589120"/>
    <n v="19"/>
    <n v="924569"/>
    <n v="0"/>
    <n v="0"/>
    <n v="1208299"/>
    <m/>
  </r>
  <r>
    <n v="3"/>
    <x v="38"/>
    <n v="2019"/>
    <s v="Marzo"/>
    <s v="HEIDVAVI"/>
    <n v="1130676531"/>
    <x v="73"/>
    <n v="18657107"/>
    <n v="0"/>
    <n v="2958648"/>
    <n v="15698459"/>
    <n v="27640000"/>
    <n v="0.56796161360347319"/>
    <x v="1"/>
    <n v="25"/>
    <x v="16"/>
    <s v="Occidente"/>
    <s v="No Cumple"/>
    <n v="30"/>
    <n v="3892994"/>
    <n v="80"/>
    <n v="10016914"/>
    <m/>
    <m/>
    <n v="4747199"/>
    <m/>
  </r>
  <r>
    <n v="3"/>
    <x v="38"/>
    <n v="2019"/>
    <s v="Marzo"/>
    <s v="PAULGOBA"/>
    <n v="32256379"/>
    <x v="36"/>
    <n v="53603204"/>
    <n v="468000"/>
    <n v="5356821"/>
    <n v="47778383"/>
    <n v="33920000"/>
    <n v="1.4085608195754717"/>
    <x v="1"/>
    <n v="25"/>
    <x v="13"/>
    <s v="Antioquia"/>
    <s v="Fluctúa"/>
    <n v="77"/>
    <n v="8850699"/>
    <n v="144"/>
    <n v="20704313"/>
    <m/>
    <m/>
    <n v="24048192"/>
    <m/>
  </r>
  <r>
    <n v="3"/>
    <x v="38"/>
    <n v="2019"/>
    <s v="Marzo"/>
    <s v="BIBIBECA"/>
    <n v="43971430"/>
    <x v="6"/>
    <n v="58898179"/>
    <n v="1157100"/>
    <n v="11886128"/>
    <n v="45854951"/>
    <n v="44000000"/>
    <n v="1.0421579772727272"/>
    <x v="1"/>
    <n v="25"/>
    <x v="5"/>
    <s v="Antioquia"/>
    <s v="Siempre Cumple"/>
    <n v="107"/>
    <n v="11296835"/>
    <n v="263"/>
    <n v="30962767"/>
    <m/>
    <m/>
    <n v="16638577"/>
    <m/>
  </r>
  <r>
    <n v="3"/>
    <x v="38"/>
    <n v="2019"/>
    <s v="Marzo"/>
    <s v="CINDGACU"/>
    <n v="1020443426"/>
    <x v="55"/>
    <n v="42398526"/>
    <n v="1829100"/>
    <n v="9549339"/>
    <n v="31020087"/>
    <n v="45680000"/>
    <n v="0.67907370840630477"/>
    <x v="1"/>
    <n v="25"/>
    <x v="4"/>
    <s v="Antioquia"/>
    <s v="Fluctúa"/>
    <n v="60"/>
    <n v="6544311"/>
    <n v="170"/>
    <n v="20781968"/>
    <m/>
    <m/>
    <n v="15072247"/>
    <m/>
  </r>
  <r>
    <n v="3"/>
    <x v="38"/>
    <n v="2019"/>
    <s v="Marzo"/>
    <s v="CLAUBLAR"/>
    <n v="43554403"/>
    <x v="8"/>
    <n v="63319217"/>
    <n v="483100"/>
    <n v="11370753"/>
    <n v="51465364"/>
    <n v="36960000"/>
    <n v="1.3924611471861472"/>
    <x v="1"/>
    <n v="25"/>
    <x v="5"/>
    <s v="Antioquia"/>
    <s v="Siempre Cumple"/>
    <n v="103"/>
    <n v="12176052"/>
    <n v="234"/>
    <n v="31483031"/>
    <m/>
    <m/>
    <n v="19660134"/>
    <m/>
  </r>
  <r>
    <n v="3"/>
    <x v="38"/>
    <n v="2019"/>
    <s v="Marzo"/>
    <s v="HERIRORO"/>
    <n v="21428423"/>
    <x v="52"/>
    <n v="57845150"/>
    <n v="1577200"/>
    <n v="10476500"/>
    <n v="45791450"/>
    <n v="44000000"/>
    <n v="1.0407147727272728"/>
    <x v="1"/>
    <n v="25"/>
    <x v="5"/>
    <s v="Antioquia"/>
    <s v="Fluctúa"/>
    <n v="110"/>
    <n v="10782351"/>
    <n v="253"/>
    <n v="29846803"/>
    <m/>
    <m/>
    <n v="17215996"/>
    <m/>
  </r>
  <r>
    <n v="3"/>
    <x v="38"/>
    <n v="2019"/>
    <s v="Marzo"/>
    <s v="MARGGAPA"/>
    <n v="43866877"/>
    <x v="20"/>
    <n v="59479471"/>
    <n v="936000"/>
    <n v="12892757"/>
    <n v="45650714"/>
    <n v="44000000"/>
    <n v="1.0375162272727272"/>
    <x v="1"/>
    <n v="25"/>
    <x v="5"/>
    <s v="Antioquia"/>
    <s v="Siempre Cumple"/>
    <n v="98"/>
    <n v="11387703"/>
    <n v="250"/>
    <n v="27686532"/>
    <m/>
    <m/>
    <n v="20405236"/>
    <m/>
  </r>
  <r>
    <n v="3"/>
    <x v="38"/>
    <n v="2019"/>
    <s v="Marzo"/>
    <s v="MARIHIRO"/>
    <n v="1001131473"/>
    <x v="76"/>
    <n v="56458431"/>
    <n v="1644900"/>
    <n v="8914007"/>
    <n v="45899524"/>
    <n v="44000000"/>
    <n v="1.0431710000000001"/>
    <x v="1"/>
    <n v="25"/>
    <x v="5"/>
    <s v="Antioquia"/>
    <s v="No Cumple"/>
    <n v="97"/>
    <n v="10703961"/>
    <n v="231"/>
    <n v="27295134"/>
    <m/>
    <m/>
    <n v="18459336"/>
    <m/>
  </r>
  <r>
    <n v="3"/>
    <x v="38"/>
    <n v="2019"/>
    <s v="Marzo"/>
    <s v="SANDCAAC"/>
    <n v="39175639"/>
    <x v="75"/>
    <n v="55016930"/>
    <n v="0"/>
    <n v="9866472"/>
    <n v="45150458"/>
    <n v="44000000"/>
    <n v="1.0261467727272728"/>
    <x v="1"/>
    <n v="25"/>
    <x v="5"/>
    <s v="Antioquia"/>
    <s v="Fluctúa"/>
    <n v="91"/>
    <n v="10188347"/>
    <n v="206"/>
    <n v="29858927"/>
    <m/>
    <m/>
    <n v="14969656"/>
    <m/>
  </r>
  <r>
    <n v="3"/>
    <x v="38"/>
    <n v="2019"/>
    <s v="Marzo"/>
    <s v="VANELOBE"/>
    <n v="1128476466"/>
    <x v="74"/>
    <n v="22898819"/>
    <n v="0"/>
    <n v="5078792"/>
    <n v="17820027"/>
    <n v="17120000"/>
    <n v="1.0408894275700935"/>
    <x v="1"/>
    <n v="25"/>
    <x v="4"/>
    <s v="Antioquia"/>
    <s v="Fluctúa"/>
    <n v="41"/>
    <n v="3849865"/>
    <n v="102"/>
    <n v="11351568"/>
    <m/>
    <m/>
    <n v="7697386"/>
    <m/>
  </r>
  <r>
    <n v="3"/>
    <x v="38"/>
    <n v="2019"/>
    <s v="Marzo"/>
    <s v="YENISIGI"/>
    <n v="1035913369"/>
    <x v="64"/>
    <n v="22207862"/>
    <n v="0"/>
    <n v="4994891"/>
    <n v="17212971"/>
    <n v="35200000"/>
    <n v="0.48900485795454546"/>
    <x v="1"/>
    <n v="25"/>
    <x v="5"/>
    <s v="Antioquia"/>
    <s v="Fluctúa"/>
    <n v="42"/>
    <n v="4168169"/>
    <n v="78"/>
    <n v="10176060"/>
    <m/>
    <m/>
    <n v="7863633"/>
    <m/>
  </r>
  <r>
    <n v="3"/>
    <x v="38"/>
    <n v="2019"/>
    <s v="Marzo"/>
    <s v="LEIDPAPA"/>
    <n v="1020425089"/>
    <x v="72"/>
    <n v="53889051"/>
    <n v="862200"/>
    <n v="8758948"/>
    <n v="44267903"/>
    <n v="43000000"/>
    <n v="1.0294861162790698"/>
    <x v="1"/>
    <n v="25"/>
    <x v="8"/>
    <s v="Antioquia"/>
    <s v="Cumple"/>
    <n v="79"/>
    <n v="10102407"/>
    <n v="192"/>
    <n v="29420512"/>
    <m/>
    <m/>
    <n v="14366132"/>
    <m/>
  </r>
  <r>
    <n v="3"/>
    <x v="38"/>
    <n v="2019"/>
    <s v="Marzo"/>
    <s v="NATAPIDU"/>
    <n v="43907427"/>
    <x v="25"/>
    <n v="55249669"/>
    <n v="0"/>
    <n v="4901542"/>
    <n v="50348127"/>
    <n v="40000000"/>
    <n v="1.258703175"/>
    <x v="1"/>
    <n v="25"/>
    <x v="11"/>
    <s v="Antioquia"/>
    <s v="Siempre Cumple"/>
    <n v="60"/>
    <n v="11331382"/>
    <n v="142"/>
    <n v="31491590"/>
    <m/>
    <m/>
    <n v="12426697"/>
    <m/>
  </r>
  <r>
    <n v="3"/>
    <x v="38"/>
    <n v="2019"/>
    <s v="Marzo"/>
    <s v="ADRIMOLU"/>
    <n v="43169964"/>
    <x v="1"/>
    <n v="54510169"/>
    <n v="421200"/>
    <n v="7654469"/>
    <n v="46434500"/>
    <n v="45000000"/>
    <n v="1.0318777777777777"/>
    <x v="1"/>
    <n v="25"/>
    <x v="1"/>
    <s v="Antioquia"/>
    <s v="Cumple"/>
    <n v="89"/>
    <n v="10616602"/>
    <n v="222"/>
    <n v="29703004"/>
    <m/>
    <m/>
    <n v="14190563"/>
    <m/>
  </r>
  <r>
    <n v="3"/>
    <x v="38"/>
    <n v="2019"/>
    <s v="Marzo"/>
    <s v="ASTRTAAR"/>
    <n v="1017191161"/>
    <x v="80"/>
    <n v="37080813"/>
    <n v="468000"/>
    <n v="4288979"/>
    <n v="32323834"/>
    <n v="32400000"/>
    <n v="0.99764919753086423"/>
    <x v="1"/>
    <n v="25"/>
    <x v="1"/>
    <s v="Antioquia"/>
    <s v="No Cumple"/>
    <n v="68"/>
    <n v="7302482"/>
    <n v="146"/>
    <n v="20495836"/>
    <m/>
    <m/>
    <n v="9282495"/>
    <m/>
  </r>
  <r>
    <n v="3"/>
    <x v="38"/>
    <n v="2019"/>
    <s v="Marzo"/>
    <s v="JUANVALN"/>
    <n v="1128402269"/>
    <x v="86"/>
    <n v="54530043"/>
    <n v="663300"/>
    <n v="7362549"/>
    <n v="46504194"/>
    <n v="45000000"/>
    <n v="1.0334265333333332"/>
    <x v="1"/>
    <n v="25"/>
    <x v="1"/>
    <s v="Antioquia"/>
    <s v="No Cumple"/>
    <n v="81"/>
    <n v="8984519"/>
    <n v="184"/>
    <n v="29596808"/>
    <m/>
    <m/>
    <n v="15948716"/>
    <m/>
  </r>
  <r>
    <n v="3"/>
    <x v="38"/>
    <n v="2019"/>
    <s v="Marzo"/>
    <s v="LILACARA"/>
    <n v="1017141451"/>
    <x v="17"/>
    <n v="57597281"/>
    <n v="960000"/>
    <n v="9495970"/>
    <n v="47141311"/>
    <n v="45000000"/>
    <n v="1.0475846888888889"/>
    <x v="1"/>
    <n v="25"/>
    <x v="1"/>
    <s v="Antioquia"/>
    <s v="Siempre Cumple"/>
    <n v="93"/>
    <n v="11042040"/>
    <n v="233"/>
    <n v="31364094"/>
    <m/>
    <m/>
    <n v="15191147"/>
    <m/>
  </r>
  <r>
    <n v="3"/>
    <x v="38"/>
    <n v="2019"/>
    <s v="Marzo"/>
    <s v="NATAVAMO"/>
    <n v="32183069"/>
    <x v="63"/>
    <n v="37850931"/>
    <n v="1612200"/>
    <n v="6614227"/>
    <n v="29624504"/>
    <n v="25200000"/>
    <n v="1.1755755555555556"/>
    <x v="1"/>
    <n v="25"/>
    <x v="1"/>
    <s v="Antioquia"/>
    <s v="No Cumple"/>
    <n v="63"/>
    <n v="6923552"/>
    <n v="152"/>
    <n v="18248440"/>
    <m/>
    <m/>
    <n v="12678939"/>
    <m/>
  </r>
  <r>
    <n v="3"/>
    <x v="38"/>
    <n v="2019"/>
    <s v="Marzo"/>
    <s v="SUANHECO"/>
    <n v="1020409789"/>
    <x v="58"/>
    <n v="57933048"/>
    <n v="1104000"/>
    <n v="10531064"/>
    <n v="46297984"/>
    <n v="45000000"/>
    <n v="1.0288440888888888"/>
    <x v="1"/>
    <n v="25"/>
    <x v="1"/>
    <s v="Antioquia"/>
    <s v="Cumple"/>
    <n v="98"/>
    <n v="11151183"/>
    <n v="254"/>
    <n v="29063180"/>
    <m/>
    <m/>
    <n v="17718685"/>
    <m/>
  </r>
  <r>
    <n v="3"/>
    <x v="38"/>
    <n v="2019"/>
    <s v="Marzo"/>
    <s v="ZULYARGA"/>
    <n v="43259130"/>
    <x v="31"/>
    <n v="58137197"/>
    <n v="442200"/>
    <n v="10360058"/>
    <n v="47334939"/>
    <n v="45000000"/>
    <n v="1.0518875333333333"/>
    <x v="1"/>
    <n v="25"/>
    <x v="1"/>
    <s v="Antioquia"/>
    <s v="Fluctúa"/>
    <n v="116"/>
    <n v="11080172"/>
    <n v="278"/>
    <n v="31024240"/>
    <m/>
    <m/>
    <n v="16032785"/>
    <m/>
  </r>
  <r>
    <n v="3"/>
    <x v="38"/>
    <n v="2019"/>
    <s v="Marzo"/>
    <s v="ALEXROBR"/>
    <n v="79805095"/>
    <x v="89"/>
    <n v="25095403"/>
    <n v="0"/>
    <n v="5037943"/>
    <n v="20057460"/>
    <n v="28000000"/>
    <n v="0.71633785714285714"/>
    <x v="1"/>
    <n v="25"/>
    <x v="6"/>
    <s v="Centro"/>
    <s v="No Cumple"/>
    <n v="49"/>
    <n v="4059682"/>
    <n v="118"/>
    <n v="14689850"/>
    <m/>
    <m/>
    <n v="6345871"/>
    <m/>
  </r>
  <r>
    <n v="3"/>
    <x v="38"/>
    <n v="2019"/>
    <s v="Marzo"/>
    <s v="DERLARMO"/>
    <n v="52725011"/>
    <x v="10"/>
    <n v="30941647"/>
    <n v="0"/>
    <n v="4870818"/>
    <n v="26070829"/>
    <n v="25760000"/>
    <n v="1.0120663431677019"/>
    <x v="1"/>
    <n v="25"/>
    <x v="6"/>
    <s v="Centro"/>
    <s v="Fluctúa"/>
    <n v="74"/>
    <n v="5442186"/>
    <n v="198"/>
    <n v="19698112"/>
    <m/>
    <m/>
    <n v="5801349"/>
    <m/>
  </r>
  <r>
    <n v="3"/>
    <x v="38"/>
    <n v="2019"/>
    <s v="Marzo"/>
    <s v="LOREBECR"/>
    <n v="1010207310"/>
    <x v="68"/>
    <n v="33362822"/>
    <n v="342000"/>
    <n v="5248874"/>
    <n v="27771948"/>
    <n v="20160000"/>
    <n v="1.3775767857142858"/>
    <x v="1"/>
    <n v="25"/>
    <x v="6"/>
    <s v="Centro"/>
    <s v="Cumple"/>
    <n v="80"/>
    <n v="6323517"/>
    <n v="202"/>
    <n v="20252204"/>
    <m/>
    <m/>
    <n v="6787101"/>
    <m/>
  </r>
  <r>
    <n v="3"/>
    <x v="38"/>
    <n v="2019"/>
    <s v="Marzo"/>
    <s v="ALVAOSOS"/>
    <n v="3438422"/>
    <x v="37"/>
    <n v="27330758"/>
    <n v="243000"/>
    <n v="7855728"/>
    <n v="19232030"/>
    <n v="46000000"/>
    <n v="0.41808760869565215"/>
    <x v="1"/>
    <n v="25"/>
    <x v="8"/>
    <s v="Antioquia"/>
    <s v="Fluctúa"/>
    <n v="37"/>
    <n v="4006013"/>
    <n v="86"/>
    <n v="10962733"/>
    <m/>
    <m/>
    <n v="12362012"/>
    <m/>
  </r>
  <r>
    <n v="3"/>
    <x v="38"/>
    <n v="2019"/>
    <s v="Marzo"/>
    <s v="CARORAMN"/>
    <n v="1020451288"/>
    <x v="61"/>
    <n v="58165569"/>
    <n v="936000"/>
    <n v="10047060"/>
    <n v="47182509"/>
    <n v="46000000"/>
    <n v="1.0257067173913044"/>
    <x v="1"/>
    <n v="25"/>
    <x v="8"/>
    <s v="Antioquia"/>
    <s v="Cumple"/>
    <n v="100"/>
    <n v="9811114"/>
    <n v="255"/>
    <n v="29887025"/>
    <m/>
    <m/>
    <n v="18467430"/>
    <m/>
  </r>
  <r>
    <n v="3"/>
    <x v="38"/>
    <n v="2019"/>
    <s v="Marzo"/>
    <s v="DEISCACR"/>
    <n v="1017167720"/>
    <x v="50"/>
    <n v="65667513"/>
    <n v="889200"/>
    <n v="7016773"/>
    <n v="57761540"/>
    <n v="46000000"/>
    <n v="1.255685652173913"/>
    <x v="1"/>
    <n v="25"/>
    <x v="8"/>
    <s v="Antioquia"/>
    <s v="Cumple"/>
    <n v="106"/>
    <n v="12385801"/>
    <n v="271"/>
    <n v="37794455"/>
    <m/>
    <m/>
    <n v="15487257"/>
    <m/>
  </r>
  <r>
    <n v="3"/>
    <x v="38"/>
    <n v="2019"/>
    <s v="Marzo"/>
    <s v="GENNHEPO"/>
    <n v="43874518"/>
    <x v="14"/>
    <n v="23635216"/>
    <n v="1334200"/>
    <n v="9560564"/>
    <n v="12740452"/>
    <n v="46000000"/>
    <n v="0.27696634782608698"/>
    <x v="1"/>
    <n v="25"/>
    <x v="8"/>
    <s v="Antioquia"/>
    <s v="Fluctúa"/>
    <n v="32"/>
    <n v="2858189"/>
    <n v="90"/>
    <n v="7752762"/>
    <m/>
    <m/>
    <n v="13024265"/>
    <m/>
  </r>
  <r>
    <n v="3"/>
    <x v="38"/>
    <n v="2019"/>
    <s v="Marzo"/>
    <s v="LEIDGOVI"/>
    <n v="1036598360"/>
    <x v="39"/>
    <n v="59849985"/>
    <n v="1813200"/>
    <n v="7738572"/>
    <n v="50298213"/>
    <n v="46000000"/>
    <n v="1.0934394130434784"/>
    <x v="1"/>
    <n v="25"/>
    <x v="8"/>
    <s v="Antioquia"/>
    <s v="Fluctúa"/>
    <n v="96"/>
    <n v="11511687"/>
    <n v="256"/>
    <n v="33264505"/>
    <m/>
    <m/>
    <n v="15073793"/>
    <m/>
  </r>
  <r>
    <n v="3"/>
    <x v="38"/>
    <n v="2019"/>
    <s v="Marzo"/>
    <s v="YENYSUPE"/>
    <n v="1020419011"/>
    <x v="51"/>
    <n v="9799150"/>
    <n v="468000"/>
    <n v="1221009"/>
    <n v="8110141"/>
    <n v="7360000"/>
    <n v="1.1019213315217391"/>
    <x v="1"/>
    <n v="25"/>
    <x v="8"/>
    <s v="Antioquia"/>
    <s v="Cumple"/>
    <n v="20"/>
    <n v="1934653"/>
    <n v="54"/>
    <n v="4728381"/>
    <m/>
    <m/>
    <n v="3136116"/>
    <m/>
  </r>
  <r>
    <n v="3"/>
    <x v="38"/>
    <n v="2019"/>
    <s v="Marzo"/>
    <s v="YURAUSVE"/>
    <n v="1020419615"/>
    <x v="56"/>
    <n v="57799902"/>
    <n v="972000"/>
    <n v="10545277"/>
    <n v="46282625"/>
    <n v="46000000"/>
    <n v="1.0061440217391304"/>
    <x v="1"/>
    <n v="25"/>
    <x v="8"/>
    <s v="Antioquia"/>
    <s v="Cumple"/>
    <n v="104"/>
    <n v="11063465"/>
    <n v="259"/>
    <n v="28045675"/>
    <m/>
    <m/>
    <n v="18690762"/>
    <m/>
  </r>
  <r>
    <n v="3"/>
    <x v="38"/>
    <n v="2019"/>
    <s v="Marzo"/>
    <s v="DIANPAAL"/>
    <n v="1040030764"/>
    <x v="11"/>
    <n v="49722427"/>
    <n v="694800"/>
    <n v="7981895"/>
    <n v="41045732"/>
    <n v="40000000"/>
    <n v="1.0261433"/>
    <x v="1"/>
    <n v="25"/>
    <x v="7"/>
    <s v="Antioquia"/>
    <s v="Cumple"/>
    <n v="86"/>
    <n v="9666375"/>
    <n v="212"/>
    <n v="28920469"/>
    <m/>
    <m/>
    <n v="11135583"/>
    <m/>
  </r>
  <r>
    <n v="3"/>
    <x v="38"/>
    <n v="2019"/>
    <s v="Marzo"/>
    <s v="MARIGOOR"/>
    <n v="1128267208"/>
    <x v="77"/>
    <n v="51808570"/>
    <n v="3209300"/>
    <n v="7441340"/>
    <n v="41157930"/>
    <n v="40000000"/>
    <n v="1.02894825"/>
    <x v="1"/>
    <n v="25"/>
    <x v="7"/>
    <s v="Antioquia"/>
    <s v="Fluctúa"/>
    <n v="70"/>
    <n v="9155687"/>
    <n v="181"/>
    <n v="25214791"/>
    <m/>
    <m/>
    <n v="17438092"/>
    <m/>
  </r>
  <r>
    <n v="3"/>
    <x v="38"/>
    <n v="2019"/>
    <s v="Marzo"/>
    <s v="MARIOCOC"/>
    <n v="39448823"/>
    <x v="21"/>
    <n v="51694961"/>
    <n v="1594200"/>
    <n v="8644477"/>
    <n v="41456284"/>
    <n v="40000000"/>
    <n v="1.0364070999999999"/>
    <x v="1"/>
    <n v="25"/>
    <x v="7"/>
    <s v="Antioquia"/>
    <s v="Siempre Cumple"/>
    <n v="83"/>
    <n v="9358081"/>
    <n v="215"/>
    <n v="26977392"/>
    <m/>
    <m/>
    <n v="15359488"/>
    <m/>
  </r>
  <r>
    <n v="3"/>
    <x v="38"/>
    <n v="2019"/>
    <s v="Marzo"/>
    <s v="ALEXLOGR"/>
    <n v="43253531"/>
    <x v="2"/>
    <n v="49259549"/>
    <n v="689100"/>
    <n v="7586433"/>
    <n v="40984016"/>
    <n v="39040000"/>
    <n v="1.0497954918032786"/>
    <x v="1"/>
    <n v="25"/>
    <x v="2"/>
    <s v="Antioquia"/>
    <s v="Cumple"/>
    <n v="92"/>
    <n v="10700671"/>
    <n v="210"/>
    <n v="23976658"/>
    <m/>
    <m/>
    <n v="14582220"/>
    <m/>
  </r>
  <r>
    <n v="3"/>
    <x v="38"/>
    <n v="2019"/>
    <s v="Marzo"/>
    <s v="ANGEGAAR"/>
    <n v="39442617"/>
    <x v="4"/>
    <n v="19254094"/>
    <n v="0"/>
    <n v="3132911"/>
    <n v="16121183"/>
    <n v="15600000"/>
    <n v="1.0334091666666667"/>
    <x v="1"/>
    <n v="25"/>
    <x v="4"/>
    <s v="Antioquia"/>
    <s v="Cumple"/>
    <n v="28"/>
    <n v="3899379"/>
    <n v="77"/>
    <n v="9849913"/>
    <m/>
    <m/>
    <n v="5504802"/>
    <m/>
  </r>
  <r>
    <n v="3"/>
    <x v="38"/>
    <n v="2019"/>
    <s v="Marzo"/>
    <s v="ERIKSAVA"/>
    <n v="1017200970"/>
    <x v="44"/>
    <n v="49866141"/>
    <n v="1519200"/>
    <n v="7618734"/>
    <n v="40728207"/>
    <n v="40000000"/>
    <n v="1.0182051750000001"/>
    <x v="1"/>
    <n v="25"/>
    <x v="4"/>
    <s v="Antioquia"/>
    <s v="Cumple"/>
    <n v="80"/>
    <n v="9747699"/>
    <n v="180"/>
    <n v="24627838"/>
    <m/>
    <m/>
    <n v="15490604"/>
    <m/>
  </r>
  <r>
    <n v="3"/>
    <x v="38"/>
    <n v="2019"/>
    <s v="Marzo"/>
    <s v="MARIMASA"/>
    <n v="43113640"/>
    <x v="34"/>
    <n v="16196739"/>
    <n v="0"/>
    <n v="4585496"/>
    <n v="11611243"/>
    <n v="40000000"/>
    <n v="0.290281075"/>
    <x v="1"/>
    <n v="25"/>
    <x v="4"/>
    <s v="Antioquia"/>
    <s v="Cumple"/>
    <n v="30"/>
    <n v="2700990"/>
    <n v="64"/>
    <n v="7233774"/>
    <m/>
    <m/>
    <n v="6261975"/>
    <m/>
  </r>
  <r>
    <n v="3"/>
    <x v="38"/>
    <n v="2019"/>
    <s v="Marzo"/>
    <s v="NOREARMA"/>
    <n v="39275090"/>
    <x v="66"/>
    <n v="61166697"/>
    <n v="0"/>
    <n v="9222221"/>
    <n v="51944476"/>
    <n v="40000000"/>
    <n v="1.2986119"/>
    <x v="1"/>
    <n v="25"/>
    <x v="4"/>
    <s v="Antioquia"/>
    <s v="Siempre Cumple"/>
    <n v="91"/>
    <n v="12222641"/>
    <n v="218"/>
    <n v="36314919"/>
    <m/>
    <m/>
    <n v="12629137"/>
    <m/>
  </r>
  <r>
    <n v="3"/>
    <x v="38"/>
    <n v="2019"/>
    <s v="Marzo"/>
    <s v="ALCIPANA"/>
    <n v="1126257967"/>
    <x v="88"/>
    <n v="36115002"/>
    <n v="292500"/>
    <n v="5677250"/>
    <n v="30145252"/>
    <n v="33500000"/>
    <n v="0.89985826865671636"/>
    <x v="1"/>
    <n v="25"/>
    <x v="9"/>
    <s v="Centro"/>
    <s v="No Cumple"/>
    <n v="68"/>
    <n v="7033643"/>
    <n v="160"/>
    <n v="22136041"/>
    <m/>
    <m/>
    <n v="6945318"/>
    <m/>
  </r>
  <r>
    <n v="3"/>
    <x v="38"/>
    <n v="2019"/>
    <s v="Marzo"/>
    <s v="ANDRSAZA"/>
    <n v="1020736461"/>
    <x v="45"/>
    <n v="54885725"/>
    <n v="2204400"/>
    <n v="7039153"/>
    <n v="45642172"/>
    <n v="33500000"/>
    <n v="1.362452895522388"/>
    <x v="1"/>
    <n v="25"/>
    <x v="9"/>
    <s v="Centro"/>
    <s v="Siempre Cumple"/>
    <n v="77"/>
    <n v="9255937"/>
    <n v="223"/>
    <n v="31711316"/>
    <m/>
    <m/>
    <n v="13918472"/>
    <m/>
  </r>
  <r>
    <n v="3"/>
    <x v="38"/>
    <n v="2019"/>
    <s v="Marzo"/>
    <s v="CHRIVERO"/>
    <n v="1020769180"/>
    <x v="83"/>
    <n v="34253232"/>
    <n v="2138700"/>
    <n v="5371106"/>
    <n v="26743426"/>
    <n v="33500000"/>
    <n v="0.79831122388059705"/>
    <x v="1"/>
    <n v="25"/>
    <x v="9"/>
    <s v="Centro"/>
    <s v="No Cumple"/>
    <n v="58"/>
    <n v="5415790"/>
    <n v="178"/>
    <n v="19792530"/>
    <m/>
    <m/>
    <n v="9044912"/>
    <m/>
  </r>
  <r>
    <n v="3"/>
    <x v="38"/>
    <n v="2019"/>
    <s v="Marzo"/>
    <s v="CAMIPUHE"/>
    <n v="79850984"/>
    <x v="53"/>
    <n v="23133899"/>
    <n v="925980"/>
    <n v="2026611"/>
    <n v="20181308"/>
    <n v="19200000"/>
    <n v="1.0511097916666667"/>
    <x v="1"/>
    <n v="25"/>
    <x v="15"/>
    <s v="Centro"/>
    <s v="Fluctúa"/>
    <n v="31"/>
    <n v="4598196"/>
    <n v="106"/>
    <n v="14386509"/>
    <m/>
    <m/>
    <n v="4149194"/>
    <m/>
  </r>
  <r>
    <n v="3"/>
    <x v="38"/>
    <n v="2019"/>
    <s v="Marzo"/>
    <s v="ISABMOGO"/>
    <n v="52260671"/>
    <x v="15"/>
    <n v="21535914"/>
    <n v="1044000"/>
    <n v="819900"/>
    <n v="19672014"/>
    <n v="10800000"/>
    <n v="1.8214827777777778"/>
    <x v="1"/>
    <n v="25"/>
    <x v="9"/>
    <s v="Centro"/>
    <s v="Siempre Cumple"/>
    <n v="28"/>
    <n v="3831356"/>
    <n v="108"/>
    <n v="14620532"/>
    <m/>
    <m/>
    <n v="3084026"/>
    <m/>
  </r>
  <r>
    <n v="3"/>
    <x v="38"/>
    <n v="2019"/>
    <s v="Marzo"/>
    <s v="ANAMLOBE"/>
    <n v="43821410"/>
    <x v="3"/>
    <n v="79040029"/>
    <n v="2082600"/>
    <n v="10869895"/>
    <n v="66087534"/>
    <n v="45000000"/>
    <n v="1.4686118666666668"/>
    <x v="1"/>
    <n v="25"/>
    <x v="3"/>
    <s v="Antioquia"/>
    <s v="Siempre Cumple"/>
    <n v="109"/>
    <n v="14469695"/>
    <n v="253"/>
    <n v="43912025"/>
    <m/>
    <m/>
    <n v="20658309"/>
    <m/>
  </r>
  <r>
    <n v="3"/>
    <x v="38"/>
    <n v="2019"/>
    <s v="Marzo"/>
    <s v="ELIZVESU"/>
    <n v="1035417626"/>
    <x v="13"/>
    <n v="72010092"/>
    <n v="792000"/>
    <n v="12507203"/>
    <n v="58710889"/>
    <n v="45000000"/>
    <n v="1.3046864222222223"/>
    <x v="1"/>
    <n v="25"/>
    <x v="3"/>
    <s v="Antioquia"/>
    <s v="Cumple"/>
    <n v="101"/>
    <n v="11464835"/>
    <n v="248"/>
    <n v="41080557"/>
    <m/>
    <m/>
    <n v="19464700"/>
    <m/>
  </r>
  <r>
    <n v="3"/>
    <x v="38"/>
    <n v="2019"/>
    <s v="Marzo"/>
    <s v="VIVIVAZA"/>
    <n v="43745952"/>
    <x v="30"/>
    <n v="78368893"/>
    <n v="1179000"/>
    <n v="12635376"/>
    <n v="64554517"/>
    <n v="45000000"/>
    <n v="1.4345448222222221"/>
    <x v="1"/>
    <n v="25"/>
    <x v="3"/>
    <s v="Antioquia"/>
    <s v="Siempre Cumple"/>
    <n v="126"/>
    <n v="14502898"/>
    <n v="275"/>
    <n v="39739569"/>
    <m/>
    <m/>
    <n v="24126426"/>
    <m/>
  </r>
  <r>
    <n v="3"/>
    <x v="38"/>
    <n v="2019"/>
    <s v="Marzo"/>
    <s v="VIVIRUAL"/>
    <n v="32352312"/>
    <x v="82"/>
    <n v="22945904"/>
    <n v="489600"/>
    <n v="5264844"/>
    <n v="17191460"/>
    <n v="25160000"/>
    <n v="0.68328537360890307"/>
    <x v="1"/>
    <n v="25"/>
    <x v="4"/>
    <s v="Antioquia"/>
    <s v="No Cumple"/>
    <n v="39"/>
    <n v="4627498"/>
    <n v="80"/>
    <n v="9773034"/>
    <m/>
    <m/>
    <n v="8545372"/>
    <m/>
  </r>
  <r>
    <n v="3"/>
    <x v="38"/>
    <n v="2019"/>
    <s v="Marzo"/>
    <s v="YULIRIRE"/>
    <n v="21982241"/>
    <x v="57"/>
    <n v="26400842"/>
    <n v="324000"/>
    <n v="5298186"/>
    <n v="20778656"/>
    <n v="25160000"/>
    <n v="0.82586073131955484"/>
    <x v="1"/>
    <n v="25"/>
    <x v="2"/>
    <s v="Antioquia"/>
    <s v="Fluctúa"/>
    <n v="44"/>
    <n v="4953433"/>
    <n v="122"/>
    <n v="13612235"/>
    <m/>
    <m/>
    <n v="7835174"/>
    <m/>
  </r>
  <r>
    <n v="3"/>
    <x v="38"/>
    <n v="2019"/>
    <s v="Marzo"/>
    <s v="LEIDCAOR"/>
    <n v="1020399898"/>
    <x v="71"/>
    <n v="40513847"/>
    <n v="702000"/>
    <n v="6131509"/>
    <n v="33680338"/>
    <n v="28500000"/>
    <n v="1.181766245614035"/>
    <x v="1"/>
    <n v="25"/>
    <x v="10"/>
    <s v="Antioquia"/>
    <s v="Fluctúa"/>
    <n v="70"/>
    <n v="8160973"/>
    <n v="168"/>
    <n v="21330659"/>
    <m/>
    <m/>
    <n v="11022215"/>
    <m/>
  </r>
  <r>
    <n v="3"/>
    <x v="38"/>
    <n v="2019"/>
    <s v="Marzo"/>
    <s v="LIZEGASA"/>
    <n v="1128442101"/>
    <x v="81"/>
    <n v="34488367"/>
    <n v="657800"/>
    <n v="4741973"/>
    <n v="29088594"/>
    <n v="28500000"/>
    <n v="1.0206524210526315"/>
    <x v="1"/>
    <n v="25"/>
    <x v="10"/>
    <s v="Antioquia"/>
    <s v="Fluctúa"/>
    <n v="56"/>
    <n v="6474816"/>
    <n v="132"/>
    <n v="18322661"/>
    <m/>
    <m/>
    <n v="9690890"/>
    <m/>
  </r>
  <r>
    <n v="3"/>
    <x v="38"/>
    <n v="2019"/>
    <s v="Marzo"/>
    <s v="LUZNHEGO"/>
    <n v="43745192"/>
    <x v="19"/>
    <n v="26036242"/>
    <n v="468000"/>
    <n v="4256074"/>
    <n v="21312168"/>
    <n v="28500000"/>
    <n v="0.74779536842105265"/>
    <x v="1"/>
    <n v="25"/>
    <x v="10"/>
    <s v="Antioquia"/>
    <s v="Cumple"/>
    <n v="48"/>
    <n v="5088138"/>
    <n v="120"/>
    <n v="13702767"/>
    <m/>
    <m/>
    <n v="7245337"/>
    <m/>
  </r>
  <r>
    <n v="3"/>
    <x v="38"/>
    <n v="2019"/>
    <s v="Marzo"/>
    <s v="MAKEBEVA"/>
    <n v="1232400088"/>
    <x v="85"/>
    <n v="25273077"/>
    <n v="636000"/>
    <n v="5849507"/>
    <n v="18787570"/>
    <n v="28500000"/>
    <n v="0.65921298245614035"/>
    <x v="1"/>
    <n v="25"/>
    <x v="10"/>
    <s v="Antioquia"/>
    <s v="Fluctúa"/>
    <n v="45"/>
    <n v="4335940"/>
    <n v="92"/>
    <n v="12177544"/>
    <m/>
    <m/>
    <n v="8759593"/>
    <m/>
  </r>
  <r>
    <n v="3"/>
    <x v="38"/>
    <n v="2019"/>
    <s v="Marzo"/>
    <s v="MILEQUOL"/>
    <n v="1035224144"/>
    <x v="78"/>
    <n v="34417572"/>
    <n v="0"/>
    <n v="5822833"/>
    <n v="28594739"/>
    <n v="28500000"/>
    <n v="1.0033241754385964"/>
    <x v="1"/>
    <n v="25"/>
    <x v="10"/>
    <s v="Antioquia"/>
    <s v="Cumple"/>
    <n v="74"/>
    <n v="7917885"/>
    <n v="151"/>
    <n v="17339625"/>
    <m/>
    <m/>
    <n v="9160062"/>
    <m/>
  </r>
  <r>
    <n v="3"/>
    <x v="38"/>
    <n v="2019"/>
    <s v="Marzo"/>
    <s v="ROCIFASA"/>
    <n v="34542470"/>
    <x v="28"/>
    <n v="57026205"/>
    <n v="2715480"/>
    <n v="6521431"/>
    <n v="47789294"/>
    <n v="37000000"/>
    <n v="1.2916025405405405"/>
    <x v="1"/>
    <n v="25"/>
    <x v="12"/>
    <s v="Occidente"/>
    <s v="Siempre Cumple"/>
    <n v="78"/>
    <n v="13898668"/>
    <n v="241"/>
    <n v="28076114"/>
    <m/>
    <m/>
    <n v="15051423"/>
    <m/>
  </r>
  <r>
    <n v="3"/>
    <x v="38"/>
    <n v="2019"/>
    <s v="Marzo"/>
    <s v="DANYLESE"/>
    <n v="16379021"/>
    <x v="79"/>
    <n v="45048700"/>
    <n v="421200"/>
    <n v="9754876"/>
    <n v="34872624"/>
    <n v="31000000"/>
    <n v="1.1249233548387096"/>
    <x v="1"/>
    <n v="25"/>
    <x v="16"/>
    <s v="Occidente"/>
    <s v="Fluctúa"/>
    <n v="83"/>
    <n v="8899450"/>
    <n v="226"/>
    <n v="22831731"/>
    <m/>
    <m/>
    <n v="13317519"/>
    <m/>
  </r>
  <r>
    <n v="3"/>
    <x v="38"/>
    <n v="2019"/>
    <s v="Marzo"/>
    <s v="JOSEVAPR"/>
    <n v="6228363"/>
    <x v="87"/>
    <n v="40205611"/>
    <n v="0"/>
    <n v="2583122"/>
    <n v="37622489"/>
    <n v="2480000"/>
    <n v="15.170358467741936"/>
    <x v="1"/>
    <n v="25"/>
    <x v="16"/>
    <s v="Occidente"/>
    <s v="Siempre Cumple"/>
    <n v="63"/>
    <n v="9204994"/>
    <n v="178"/>
    <n v="25157085"/>
    <m/>
    <m/>
    <n v="5843532"/>
    <m/>
  </r>
  <r>
    <n v="3"/>
    <x v="38"/>
    <n v="2019"/>
    <s v="Marzo"/>
    <s v="TATIRITR"/>
    <n v="1130597373"/>
    <x v="60"/>
    <n v="32952707"/>
    <n v="1674180"/>
    <n v="8492048"/>
    <n v="22786479"/>
    <n v="31000000"/>
    <n v="0.73504770967741939"/>
    <x v="1"/>
    <n v="25"/>
    <x v="16"/>
    <s v="Occidente"/>
    <s v="Fluctúa"/>
    <n v="40"/>
    <n v="5071520"/>
    <n v="116"/>
    <n v="16057283"/>
    <m/>
    <m/>
    <n v="11823904"/>
    <m/>
  </r>
  <r>
    <n v="3"/>
    <x v="38"/>
    <n v="2019"/>
    <s v="Marzo"/>
    <s v="ANGISEBR"/>
    <n v="1144061613"/>
    <x v="70"/>
    <n v="47340047"/>
    <n v="234000"/>
    <n v="10492818"/>
    <n v="36613229"/>
    <n v="28700000"/>
    <n v="1.2757222648083624"/>
    <x v="1"/>
    <n v="25"/>
    <x v="14"/>
    <s v="Occidente"/>
    <s v="Fluctúa"/>
    <n v="69"/>
    <n v="7519840"/>
    <n v="216"/>
    <n v="24460910"/>
    <m/>
    <m/>
    <n v="15359297"/>
    <m/>
  </r>
  <r>
    <n v="3"/>
    <x v="38"/>
    <n v="2019"/>
    <s v="Marzo"/>
    <s v="AURACAMO"/>
    <n v="66910365"/>
    <x v="84"/>
    <n v="40306966"/>
    <n v="641190"/>
    <n v="9057805"/>
    <n v="30607971"/>
    <n v="28900000"/>
    <n v="1.0590993425605537"/>
    <x v="1"/>
    <n v="25"/>
    <x v="14"/>
    <s v="Occidente"/>
    <s v="Fluctúa"/>
    <n v="62"/>
    <n v="7371960"/>
    <n v="178"/>
    <n v="19717214"/>
    <m/>
    <m/>
    <n v="13217792"/>
    <m/>
  </r>
  <r>
    <n v="3"/>
    <x v="38"/>
    <n v="2019"/>
    <s v="Marzo"/>
    <s v="PAOLPACA"/>
    <n v="31445278"/>
    <x v="47"/>
    <n v="47024184"/>
    <n v="689100"/>
    <n v="8392650"/>
    <n v="37942434"/>
    <n v="28800000"/>
    <n v="1.317445625"/>
    <x v="1"/>
    <n v="25"/>
    <x v="14"/>
    <s v="Occidente"/>
    <s v="Cumple"/>
    <n v="82"/>
    <n v="8578805"/>
    <n v="220"/>
    <n v="26148416"/>
    <m/>
    <m/>
    <n v="12296963"/>
    <m/>
  </r>
  <r>
    <n v="3"/>
    <x v="38"/>
    <n v="2019"/>
    <s v="Marzo"/>
    <s v="JENIRURE"/>
    <m/>
    <x v="7"/>
    <n v="255775"/>
    <n v="0"/>
    <n v="0"/>
    <n v="255775"/>
    <m/>
    <m/>
    <x v="0"/>
    <n v="25"/>
    <x v="0"/>
    <s v=""/>
    <s v="No Aplica"/>
    <n v="1"/>
    <n v="87857"/>
    <n v="2"/>
    <n v="167917"/>
    <m/>
    <m/>
    <n v="1"/>
    <m/>
  </r>
  <r>
    <n v="3"/>
    <x v="38"/>
    <n v="2019"/>
    <s v="Marzo"/>
    <s v="DIANQUME"/>
    <m/>
    <x v="7"/>
    <n v="658342"/>
    <n v="0"/>
    <n v="0"/>
    <n v="658342"/>
    <m/>
    <m/>
    <x v="0"/>
    <n v="25"/>
    <x v="0"/>
    <s v=""/>
    <s v="No Aplica"/>
    <n v="1"/>
    <n v="158572"/>
    <n v="4"/>
    <n v="499770"/>
    <m/>
    <m/>
    <n v="0"/>
    <m/>
  </r>
  <r>
    <n v="3"/>
    <x v="38"/>
    <n v="2019"/>
    <s v="Marzo"/>
    <s v="ALEJIRRA"/>
    <m/>
    <x v="7"/>
    <n v="72600"/>
    <n v="0"/>
    <n v="72600"/>
    <n v="0"/>
    <m/>
    <m/>
    <x v="0"/>
    <n v="25"/>
    <x v="0"/>
    <s v=""/>
    <s v="No Aplica"/>
    <n v="0"/>
    <n v="0"/>
    <n v="0"/>
    <n v="0"/>
    <m/>
    <m/>
    <n v="72600"/>
    <m/>
  </r>
  <r>
    <n v="3"/>
    <x v="38"/>
    <n v="2019"/>
    <s v="Marzo"/>
    <s v="ALEJVAVA"/>
    <m/>
    <x v="7"/>
    <n v="98000"/>
    <n v="0"/>
    <n v="98000"/>
    <n v="0"/>
    <m/>
    <m/>
    <x v="0"/>
    <n v="25"/>
    <x v="0"/>
    <s v=""/>
    <s v="No Aplica"/>
    <n v="0"/>
    <n v="0"/>
    <n v="0"/>
    <n v="0"/>
    <m/>
    <m/>
    <n v="98000"/>
    <m/>
  </r>
  <r>
    <n v="3"/>
    <x v="38"/>
    <n v="2019"/>
    <s v="Marzo"/>
    <s v="ALEXDERI"/>
    <m/>
    <x v="7"/>
    <n v="367001"/>
    <n v="0"/>
    <n v="0"/>
    <n v="367001"/>
    <m/>
    <m/>
    <x v="0"/>
    <n v="25"/>
    <x v="0"/>
    <s v=""/>
    <s v="No Aplica"/>
    <n v="1"/>
    <n v="77000"/>
    <n v="0"/>
    <n v="0"/>
    <m/>
    <m/>
    <n v="290001"/>
    <m/>
  </r>
  <r>
    <n v="3"/>
    <x v="38"/>
    <n v="2019"/>
    <s v="Marzo"/>
    <s v="DARWHERI"/>
    <m/>
    <x v="7"/>
    <n v="742355"/>
    <n v="0"/>
    <n v="742355"/>
    <n v="0"/>
    <m/>
    <m/>
    <x v="0"/>
    <n v="25"/>
    <x v="0"/>
    <s v=""/>
    <s v="No Aplica"/>
    <n v="0"/>
    <n v="0"/>
    <n v="0"/>
    <n v="0"/>
    <m/>
    <m/>
    <n v="742355"/>
    <m/>
  </r>
  <r>
    <n v="3"/>
    <x v="38"/>
    <n v="2019"/>
    <s v="Marzo"/>
    <s v="JENNGABE"/>
    <m/>
    <x v="7"/>
    <n v="125638"/>
    <n v="0"/>
    <n v="125638"/>
    <n v="0"/>
    <m/>
    <m/>
    <x v="0"/>
    <n v="25"/>
    <x v="0"/>
    <s v=""/>
    <s v="No Aplica"/>
    <n v="0"/>
    <n v="0"/>
    <n v="0"/>
    <n v="0"/>
    <m/>
    <m/>
    <n v="125638"/>
    <m/>
  </r>
  <r>
    <n v="3"/>
    <x v="38"/>
    <n v="2019"/>
    <s v="Marzo"/>
    <s v="PAULESVE"/>
    <m/>
    <x v="7"/>
    <n v="296942"/>
    <n v="0"/>
    <n v="296942"/>
    <n v="0"/>
    <m/>
    <m/>
    <x v="0"/>
    <n v="25"/>
    <x v="0"/>
    <s v=""/>
    <s v="No Aplica"/>
    <n v="0"/>
    <n v="0"/>
    <n v="0"/>
    <n v="0"/>
    <m/>
    <m/>
    <n v="296942"/>
    <m/>
  </r>
  <r>
    <n v="3"/>
    <x v="38"/>
    <n v="2019"/>
    <s v="Marzo"/>
    <s v="RAULMOGA"/>
    <m/>
    <x v="7"/>
    <n v="15103"/>
    <n v="0"/>
    <n v="-113335"/>
    <n v="128438"/>
    <m/>
    <m/>
    <x v="0"/>
    <n v="25"/>
    <x v="0"/>
    <s v=""/>
    <s v="No Aplica"/>
    <n v="1"/>
    <n v="76429"/>
    <n v="-4"/>
    <n v="-61326"/>
    <m/>
    <m/>
    <n v="0"/>
    <m/>
  </r>
  <r>
    <n v="3"/>
    <x v="38"/>
    <n v="2019"/>
    <s v="Marzo"/>
    <s v="(en blanco)"/>
    <m/>
    <x v="7"/>
    <n v="-3054660"/>
    <n v="0"/>
    <n v="102188"/>
    <n v="-3156848"/>
    <m/>
    <m/>
    <x v="0"/>
    <n v="25"/>
    <x v="0"/>
    <s v=""/>
    <s v="No Aplica"/>
    <n v="16"/>
    <n v="249243"/>
    <n v="30"/>
    <n v="2097600"/>
    <m/>
    <m/>
    <n v="-540150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1" cacheId="0" applyNumberFormats="0" applyBorderFormats="0" applyFontFormats="0" applyPatternFormats="0" applyAlignmentFormats="0" applyWidthHeightFormats="1" dataCaption="Valores" updatedVersion="6" minRefreshableVersion="3" useAutoFormatting="1" rowGrandTotals="0" colGrandTotals="0" itemPrintTitles="1" createdVersion="6" indent="0" outline="1" outlineData="1" multipleFieldFilters="0">
  <location ref="B2:F86" firstHeaderRow="1" firstDataRow="2" firstDataCol="1"/>
  <pivotFields count="27">
    <pivotField showAll="0" defaultSubtotal="0"/>
    <pivotField showAll="0"/>
    <pivotField axis="axisCol" showAll="0" sortType="ascending">
      <items count="5">
        <item x="0"/>
        <item x="1"/>
        <item x="2"/>
        <item x="3"/>
        <item t="default"/>
      </items>
    </pivotField>
    <pivotField showAll="0"/>
    <pivotField showAll="0"/>
    <pivotField showAll="0"/>
    <pivotField axis="axisRow" showAll="0">
      <items count="93">
        <item x="1"/>
        <item x="88"/>
        <item x="89"/>
        <item x="2"/>
        <item x="37"/>
        <item x="65"/>
        <item x="3"/>
        <item x="45"/>
        <item x="46"/>
        <item x="4"/>
        <item x="70"/>
        <item x="5"/>
        <item x="80"/>
        <item x="84"/>
        <item x="6"/>
        <item x="53"/>
        <item x="61"/>
        <item x="32"/>
        <item x="59"/>
        <item x="83"/>
        <item x="55"/>
        <item x="8"/>
        <item x="9"/>
        <item x="79"/>
        <item x="50"/>
        <item x="10"/>
        <item x="12"/>
        <item x="11"/>
        <item x="33"/>
        <item x="13"/>
        <item x="44"/>
        <item x="14"/>
        <item x="48"/>
        <item x="73"/>
        <item x="52"/>
        <item x="49"/>
        <item x="15"/>
        <item x="16"/>
        <item x="87"/>
        <item x="86"/>
        <item x="43"/>
        <item x="38"/>
        <item x="39"/>
        <item x="72"/>
        <item x="71"/>
        <item x="17"/>
        <item x="54"/>
        <item x="40"/>
        <item x="81"/>
        <item x="68"/>
        <item x="19"/>
        <item x="85"/>
        <item x="20"/>
        <item x="34"/>
        <item x="41"/>
        <item x="77"/>
        <item x="21"/>
        <item x="76"/>
        <item x="22"/>
        <item x="78"/>
        <item x="67"/>
        <item x="24"/>
        <item x="69"/>
        <item x="63"/>
        <item x="25"/>
        <item x="66"/>
        <item x="26"/>
        <item x="47"/>
        <item x="36"/>
        <item x="27"/>
        <item x="28"/>
        <item m="1" x="90"/>
        <item x="75"/>
        <item x="58"/>
        <item x="60"/>
        <item x="74"/>
        <item x="82"/>
        <item x="30"/>
        <item x="62"/>
        <item x="64"/>
        <item x="51"/>
        <item x="57"/>
        <item x="56"/>
        <item x="31"/>
        <item h="1" x="7"/>
        <item h="1" x="0"/>
        <item h="1" m="1" x="91"/>
        <item h="1" x="18"/>
        <item h="1" x="23"/>
        <item h="1" x="29"/>
        <item h="1" x="35"/>
        <item h="1" x="42"/>
        <item t="default"/>
      </items>
    </pivotField>
    <pivotField numFmtId="164" showAll="0"/>
    <pivotField numFmtId="164" showAll="0"/>
    <pivotField numFmtId="164" showAll="0"/>
    <pivotField numFmtId="164" showAll="0"/>
    <pivotField dataField="1" showAll="0"/>
    <pivotField showAll="0"/>
    <pivotField showAll="0"/>
    <pivotField showAll="0"/>
    <pivotField showAll="0"/>
    <pivotField showAll="0"/>
    <pivotField showAll="0"/>
    <pivotField showAll="0"/>
    <pivotField numFmtId="164" showAll="0"/>
    <pivotField showAll="0"/>
    <pivotField numFmtId="164" showAll="0"/>
    <pivotField showAll="0"/>
    <pivotField showAll="0"/>
    <pivotField showAll="0"/>
    <pivotField showAll="0"/>
    <pivotField dragToRow="0" dragToCol="0" dragToPage="0" showAll="0" defaultSubtotal="0"/>
  </pivotFields>
  <rowFields count="1">
    <field x="6"/>
  </rowFields>
  <rowItems count="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2"/>
    </i>
    <i>
      <x v="73"/>
    </i>
    <i>
      <x v="74"/>
    </i>
    <i>
      <x v="75"/>
    </i>
    <i>
      <x v="76"/>
    </i>
    <i>
      <x v="77"/>
    </i>
    <i>
      <x v="78"/>
    </i>
    <i>
      <x v="79"/>
    </i>
    <i>
      <x v="80"/>
    </i>
    <i>
      <x v="81"/>
    </i>
    <i>
      <x v="82"/>
    </i>
    <i>
      <x v="83"/>
    </i>
  </rowItems>
  <colFields count="1">
    <field x="2"/>
  </colFields>
  <colItems count="4">
    <i>
      <x/>
    </i>
    <i>
      <x v="1"/>
    </i>
    <i>
      <x v="2"/>
    </i>
    <i>
      <x v="3"/>
    </i>
  </colItems>
  <dataFields count="1">
    <dataField name="Suma de PRESUPUESTO ASESOR" fld="11" baseField="5" baseItem="5" numFmtId="3"/>
  </dataFields>
  <formats count="27">
    <format dxfId="199">
      <pivotArea type="all" dataOnly="0" outline="0" fieldPosition="0"/>
    </format>
    <format dxfId="198">
      <pivotArea outline="0" collapsedLevelsAreSubtotals="1" fieldPosition="0"/>
    </format>
    <format dxfId="197">
      <pivotArea type="origin" dataOnly="0" labelOnly="1" outline="0" fieldPosition="0"/>
    </format>
    <format dxfId="196">
      <pivotArea field="2" type="button" dataOnly="0" labelOnly="1" outline="0" axis="axisCol" fieldPosition="0"/>
    </format>
    <format dxfId="195">
      <pivotArea type="topRight" dataOnly="0" labelOnly="1" outline="0" fieldPosition="0"/>
    </format>
    <format dxfId="194">
      <pivotArea field="6" type="button" dataOnly="0" labelOnly="1" outline="0" axis="axisRow" fieldPosition="0"/>
    </format>
    <format dxfId="193">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2"/>
            <x v="43"/>
            <x v="44"/>
            <x v="45"/>
            <x v="46"/>
            <x v="48"/>
            <x v="49"/>
            <x v="50"/>
            <x v="51"/>
            <x v="52"/>
          </reference>
        </references>
      </pivotArea>
    </format>
    <format dxfId="192">
      <pivotArea dataOnly="0" labelOnly="1" fieldPosition="0">
        <references count="1">
          <reference field="6" count="31">
            <x v="53"/>
            <x v="55"/>
            <x v="56"/>
            <x v="57"/>
            <x v="58"/>
            <x v="59"/>
            <x v="60"/>
            <x v="61"/>
            <x v="62"/>
            <x v="63"/>
            <x v="64"/>
            <x v="65"/>
            <x v="66"/>
            <x v="67"/>
            <x v="68"/>
            <x v="69"/>
            <x v="70"/>
            <x v="71"/>
            <x v="72"/>
            <x v="73"/>
            <x v="74"/>
            <x v="75"/>
            <x v="76"/>
            <x v="77"/>
            <x v="78"/>
            <x v="79"/>
            <x v="80"/>
            <x v="81"/>
            <x v="82"/>
            <x v="83"/>
            <x v="84"/>
          </reference>
        </references>
      </pivotArea>
    </format>
    <format dxfId="191">
      <pivotArea dataOnly="0" labelOnly="1" fieldPosition="0">
        <references count="1">
          <reference field="2" count="0"/>
        </references>
      </pivotArea>
    </format>
    <format dxfId="190">
      <pivotArea type="all" dataOnly="0" outline="0" fieldPosition="0"/>
    </format>
    <format dxfId="189">
      <pivotArea outline="0" collapsedLevelsAreSubtotals="1" fieldPosition="0"/>
    </format>
    <format dxfId="188">
      <pivotArea type="origin" dataOnly="0" labelOnly="1" outline="0" fieldPosition="0"/>
    </format>
    <format dxfId="187">
      <pivotArea field="2" type="button" dataOnly="0" labelOnly="1" outline="0" axis="axisCol" fieldPosition="0"/>
    </format>
    <format dxfId="186">
      <pivotArea type="topRight" dataOnly="0" labelOnly="1" outline="0" fieldPosition="0"/>
    </format>
    <format dxfId="185">
      <pivotArea field="6" type="button" dataOnly="0" labelOnly="1" outline="0" axis="axisRow" fieldPosition="0"/>
    </format>
    <format dxfId="184">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83">
      <pivotArea dataOnly="0" labelOnly="1" fieldPosition="0">
        <references count="1">
          <reference field="6" count="33">
            <x v="50"/>
            <x v="51"/>
            <x v="52"/>
            <x v="53"/>
            <x v="54"/>
            <x v="55"/>
            <x v="56"/>
            <x v="57"/>
            <x v="58"/>
            <x v="59"/>
            <x v="60"/>
            <x v="61"/>
            <x v="62"/>
            <x v="63"/>
            <x v="64"/>
            <x v="65"/>
            <x v="66"/>
            <x v="67"/>
            <x v="68"/>
            <x v="69"/>
            <x v="70"/>
            <x v="72"/>
            <x v="73"/>
            <x v="74"/>
            <x v="75"/>
            <x v="76"/>
            <x v="77"/>
            <x v="78"/>
            <x v="79"/>
            <x v="80"/>
            <x v="81"/>
            <x v="82"/>
            <x v="83"/>
          </reference>
        </references>
      </pivotArea>
    </format>
    <format dxfId="182">
      <pivotArea dataOnly="0" labelOnly="1" fieldPosition="0">
        <references count="1">
          <reference field="2" count="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2" type="button" dataOnly="0" labelOnly="1" outline="0" axis="axisCol" fieldPosition="0"/>
    </format>
    <format dxfId="177">
      <pivotArea type="topRight" dataOnly="0" labelOnly="1" outline="0" fieldPosition="0"/>
    </format>
    <format dxfId="176">
      <pivotArea field="6" type="button" dataOnly="0" labelOnly="1" outline="0" axis="axisRow" fieldPosition="0"/>
    </format>
    <format dxfId="175">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74">
      <pivotArea dataOnly="0" labelOnly="1" fieldPosition="0">
        <references count="1">
          <reference field="6" count="33">
            <x v="50"/>
            <x v="51"/>
            <x v="52"/>
            <x v="53"/>
            <x v="54"/>
            <x v="55"/>
            <x v="56"/>
            <x v="57"/>
            <x v="58"/>
            <x v="59"/>
            <x v="60"/>
            <x v="61"/>
            <x v="62"/>
            <x v="63"/>
            <x v="64"/>
            <x v="65"/>
            <x v="66"/>
            <x v="67"/>
            <x v="68"/>
            <x v="69"/>
            <x v="70"/>
            <x v="72"/>
            <x v="73"/>
            <x v="74"/>
            <x v="75"/>
            <x v="76"/>
            <x v="77"/>
            <x v="78"/>
            <x v="79"/>
            <x v="80"/>
            <x v="81"/>
            <x v="82"/>
            <x v="83"/>
          </reference>
        </references>
      </pivotArea>
    </format>
    <format dxfId="173">
      <pivotArea dataOnly="0" labelOnly="1" fieldPosition="0">
        <references count="1">
          <reference field="2"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6" minRefreshableVersion="3" useAutoFormatting="1" rowGrandTotals="0" colGrandTotals="0" itemPrintTitles="1" createdVersion="5" indent="0" compact="0" compactData="0" multipleFieldFilters="0" chartFormat="27">
  <location ref="A4:N71" firstHeaderRow="1" firstDataRow="2" firstDataCol="2" rowPageCount="1" colPageCount="1"/>
  <pivotFields count="27">
    <pivotField compact="0" outline="0" showAll="0" defaultSubtotal="0"/>
    <pivotField axis="axisCol" compact="0" outline="0" showAll="0" defaultSubtotal="0">
      <items count="39">
        <item h="1" x="12"/>
        <item h="1" x="13"/>
        <item h="1" x="14"/>
        <item h="1" x="15"/>
        <item h="1" x="16"/>
        <item h="1" x="17"/>
        <item h="1" x="18"/>
        <item h="1" x="19"/>
        <item h="1" x="20"/>
        <item h="1" x="21"/>
        <item h="1" x="22"/>
        <item h="1" x="23"/>
        <item h="1" x="24"/>
        <item h="1" x="25"/>
        <item h="1" x="26"/>
        <item x="27"/>
        <item x="28"/>
        <item x="29"/>
        <item x="30"/>
        <item x="31"/>
        <item x="32"/>
        <item x="33"/>
        <item x="34"/>
        <item x="35"/>
        <item x="36"/>
        <item x="37"/>
        <item x="38"/>
        <item h="1" x="0"/>
        <item h="1" x="1"/>
        <item h="1" x="2"/>
        <item h="1" x="3"/>
        <item h="1" x="4"/>
        <item h="1" x="5"/>
        <item h="1" x="6"/>
        <item h="1" x="7"/>
        <item h="1" x="8"/>
        <item h="1" x="9"/>
        <item h="1" x="10"/>
        <item h="1" x="11"/>
      </items>
    </pivotField>
    <pivotField compact="0" outline="0" showAll="0" defaultSubtotal="0"/>
    <pivotField compact="0" outline="0" showAll="0" defaultSubtotal="0"/>
    <pivotField compact="0" outline="0" showAll="0" defaultSubtotal="0"/>
    <pivotField axis="axisRow" compact="0" outline="0" showAll="0" defaultSubtotal="0">
      <items count="90">
        <item x="36"/>
        <item x="41"/>
        <item x="52"/>
        <item x="57"/>
        <item x="10"/>
        <item x="13"/>
        <item x="59"/>
        <item x="47"/>
        <item x="35"/>
        <item x="31"/>
        <item x="4"/>
        <item x="24"/>
        <item x="14"/>
        <item x="27"/>
        <item x="25"/>
        <item x="23"/>
        <item x="49"/>
        <item x="1"/>
        <item x="2"/>
        <item x="34"/>
        <item x="9"/>
        <item x="42"/>
        <item x="21"/>
        <item x="33"/>
        <item x="40"/>
        <item x="46"/>
        <item x="3"/>
        <item x="22"/>
        <item x="16"/>
        <item x="28"/>
        <item x="6"/>
        <item x="17"/>
        <item x="11"/>
        <item x="30"/>
        <item x="53"/>
        <item x="29"/>
        <item x="5"/>
        <item x="19"/>
        <item x="50"/>
        <item x="44"/>
        <item x="38"/>
        <item x="58"/>
        <item x="51"/>
        <item x="56"/>
        <item x="55"/>
        <item x="61"/>
        <item x="45"/>
        <item x="43"/>
        <item x="8"/>
        <item x="15"/>
        <item x="39"/>
        <item x="18"/>
        <item x="12"/>
        <item x="60"/>
        <item x="48"/>
        <item x="54"/>
        <item x="37"/>
        <item x="62"/>
        <item x="63"/>
        <item x="64"/>
        <item x="65"/>
        <item x="66"/>
        <item x="67"/>
        <item x="68"/>
        <item x="69"/>
        <item x="70"/>
        <item x="71"/>
        <item x="72"/>
        <item x="73"/>
        <item x="74"/>
        <item x="75"/>
        <item x="76"/>
        <item x="77"/>
        <item x="78"/>
        <item x="79"/>
        <item x="80"/>
        <item x="81"/>
        <item x="82"/>
        <item x="83"/>
        <item x="84"/>
        <item x="85"/>
        <item x="86"/>
        <item x="87"/>
        <item x="88"/>
        <item x="89"/>
        <item x="0"/>
        <item x="7"/>
        <item x="20"/>
        <item x="26"/>
        <item x="32"/>
      </items>
    </pivotField>
    <pivotField axis="axisRow" compact="0" outline="0" showAll="0" sortType="ascending" defaultSubtotal="0">
      <items count="92">
        <item x="35"/>
        <item x="0"/>
        <item x="1"/>
        <item x="88"/>
        <item x="89"/>
        <item x="2"/>
        <item x="37"/>
        <item x="65"/>
        <item x="3"/>
        <item x="45"/>
        <item x="46"/>
        <item x="4"/>
        <item x="70"/>
        <item x="5"/>
        <item x="80"/>
        <item x="84"/>
        <item x="6"/>
        <item x="53"/>
        <item x="61"/>
        <item x="32"/>
        <item m="1" x="91"/>
        <item x="59"/>
        <item x="83"/>
        <item x="55"/>
        <item x="8"/>
        <item x="9"/>
        <item x="79"/>
        <item x="50"/>
        <item x="10"/>
        <item x="12"/>
        <item x="11"/>
        <item x="33"/>
        <item x="13"/>
        <item x="44"/>
        <item x="14"/>
        <item x="48"/>
        <item x="73"/>
        <item x="52"/>
        <item x="49"/>
        <item x="15"/>
        <item x="16"/>
        <item x="87"/>
        <item x="86"/>
        <item x="43"/>
        <item x="38"/>
        <item x="39"/>
        <item x="72"/>
        <item x="71"/>
        <item x="17"/>
        <item x="54"/>
        <item x="40"/>
        <item x="81"/>
        <item x="68"/>
        <item x="18"/>
        <item x="19"/>
        <item x="85"/>
        <item x="20"/>
        <item x="34"/>
        <item x="23"/>
        <item x="41"/>
        <item x="77"/>
        <item x="21"/>
        <item x="76"/>
        <item x="22"/>
        <item x="78"/>
        <item x="67"/>
        <item x="24"/>
        <item x="69"/>
        <item x="63"/>
        <item x="25"/>
        <item x="66"/>
        <item x="26"/>
        <item x="47"/>
        <item x="36"/>
        <item x="27"/>
        <item x="28"/>
        <item x="29"/>
        <item m="1" x="90"/>
        <item x="42"/>
        <item x="75"/>
        <item x="58"/>
        <item x="60"/>
        <item x="74"/>
        <item x="82"/>
        <item x="30"/>
        <item x="62"/>
        <item x="64"/>
        <item x="51"/>
        <item x="57"/>
        <item x="56"/>
        <item x="31"/>
        <item x="7"/>
      </items>
    </pivotField>
    <pivotField compact="0" outline="0" showAll="0" defaultSubtotal="0"/>
    <pivotField compact="0" outline="0" showAll="0" defaultSubtotal="0"/>
    <pivotField compact="0" numFmtId="164" outline="0" showAll="0" defaultSubtotal="0"/>
    <pivotField compact="0" outline="0" showAll="0" defaultSubtotal="0"/>
    <pivotField compact="0" outline="0" showAll="0" defaultSubtotal="0"/>
    <pivotField dataField="1" compact="0" outline="0" showAll="0" defaultSubtotal="0"/>
    <pivotField axis="axisPage"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outline="0" showAll="0" defaultSubtotal="0"/>
    <pivotField compact="0" outline="0" showAll="0" defaultSubtotal="0"/>
    <pivotField compact="0" outline="0" dragToRow="0" dragToCol="0" dragToPage="0" showAll="0" defaultSubtotal="0"/>
  </pivotFields>
  <rowFields count="2">
    <field x="6"/>
    <field x="5"/>
  </rowFields>
  <rowItems count="66">
    <i>
      <x v="2"/>
      <x v="17"/>
    </i>
    <i>
      <x v="3"/>
      <x v="83"/>
    </i>
    <i>
      <x v="4"/>
      <x v="84"/>
    </i>
    <i>
      <x v="5"/>
      <x v="18"/>
    </i>
    <i>
      <x v="6"/>
      <x/>
    </i>
    <i>
      <x v="8"/>
      <x v="26"/>
    </i>
    <i>
      <x v="9"/>
      <x v="46"/>
    </i>
    <i>
      <x v="11"/>
      <x v="10"/>
    </i>
    <i>
      <x v="12"/>
      <x v="65"/>
    </i>
    <i>
      <x v="14"/>
      <x v="75"/>
    </i>
    <i>
      <x v="15"/>
      <x v="79"/>
    </i>
    <i>
      <x v="16"/>
      <x v="30"/>
    </i>
    <i>
      <x v="17"/>
      <x v="34"/>
    </i>
    <i>
      <x v="18"/>
      <x v="45"/>
    </i>
    <i>
      <x v="22"/>
      <x v="78"/>
    </i>
    <i>
      <x v="23"/>
      <x v="44"/>
    </i>
    <i>
      <x v="24"/>
      <x v="20"/>
    </i>
    <i>
      <x v="26"/>
      <x v="74"/>
    </i>
    <i>
      <x v="27"/>
      <x v="38"/>
    </i>
    <i>
      <x v="28"/>
      <x v="32"/>
    </i>
    <i>
      <x v="29"/>
      <x v="12"/>
    </i>
    <i>
      <x v="30"/>
      <x v="52"/>
    </i>
    <i>
      <x v="32"/>
      <x v="49"/>
    </i>
    <i>
      <x v="33"/>
      <x v="39"/>
    </i>
    <i>
      <x v="34"/>
      <x v="28"/>
    </i>
    <i>
      <x v="36"/>
      <x v="68"/>
    </i>
    <i>
      <x v="37"/>
      <x v="2"/>
    </i>
    <i>
      <x v="39"/>
      <x v="31"/>
    </i>
    <i>
      <x v="41"/>
      <x v="82"/>
    </i>
    <i>
      <x v="42"/>
      <x v="81"/>
    </i>
    <i>
      <x v="45"/>
      <x v="50"/>
    </i>
    <i>
      <x v="46"/>
      <x v="67"/>
    </i>
    <i>
      <x v="47"/>
      <x v="66"/>
    </i>
    <i>
      <x v="48"/>
      <x v="37"/>
    </i>
    <i>
      <x v="51"/>
      <x v="76"/>
    </i>
    <i>
      <x v="52"/>
      <x v="63"/>
    </i>
    <i>
      <x v="54"/>
      <x v="22"/>
    </i>
    <i>
      <x v="55"/>
      <x v="80"/>
    </i>
    <i>
      <x v="56"/>
      <x v="27"/>
    </i>
    <i>
      <x v="57"/>
      <x v="15"/>
    </i>
    <i>
      <x v="60"/>
      <x v="72"/>
    </i>
    <i>
      <x v="61"/>
      <x v="11"/>
    </i>
    <i>
      <x v="62"/>
      <x v="71"/>
    </i>
    <i>
      <x v="64"/>
      <x v="73"/>
    </i>
    <i>
      <x v="68"/>
      <x v="58"/>
    </i>
    <i>
      <x v="69"/>
      <x v="29"/>
    </i>
    <i>
      <x v="70"/>
      <x v="61"/>
    </i>
    <i>
      <x v="72"/>
      <x v="7"/>
    </i>
    <i>
      <x v="73"/>
      <x v="8"/>
    </i>
    <i>
      <x v="75"/>
      <x v="9"/>
    </i>
    <i>
      <x v="79"/>
      <x v="70"/>
    </i>
    <i>
      <x v="80"/>
      <x v="41"/>
    </i>
    <i>
      <x v="81"/>
      <x v="53"/>
    </i>
    <i>
      <x v="82"/>
      <x v="69"/>
    </i>
    <i>
      <x v="83"/>
      <x v="77"/>
    </i>
    <i>
      <x v="84"/>
      <x v="23"/>
    </i>
    <i>
      <x v="86"/>
      <x v="59"/>
    </i>
    <i>
      <x v="87"/>
      <x v="42"/>
    </i>
    <i>
      <x v="88"/>
      <x v="3"/>
    </i>
    <i>
      <x v="89"/>
      <x v="43"/>
    </i>
    <i>
      <x v="90"/>
      <x v="19"/>
    </i>
    <i>
      <x v="91"/>
      <x v="8"/>
    </i>
    <i r="1">
      <x v="10"/>
    </i>
    <i r="1">
      <x v="12"/>
    </i>
    <i r="1">
      <x v="38"/>
    </i>
    <i r="1">
      <x v="69"/>
    </i>
  </rowItems>
  <colFields count="1">
    <field x="1"/>
  </colFields>
  <colItems count="12">
    <i>
      <x v="15"/>
    </i>
    <i>
      <x v="16"/>
    </i>
    <i>
      <x v="17"/>
    </i>
    <i>
      <x v="18"/>
    </i>
    <i>
      <x v="19"/>
    </i>
    <i>
      <x v="20"/>
    </i>
    <i>
      <x v="21"/>
    </i>
    <i>
      <x v="22"/>
    </i>
    <i>
      <x v="23"/>
    </i>
    <i>
      <x v="24"/>
    </i>
    <i>
      <x v="25"/>
    </i>
    <i>
      <x v="26"/>
    </i>
  </colItems>
  <pageFields count="1">
    <pageField fld="13" item="1" hier="-1"/>
  </pageFields>
  <dataFields count="1">
    <dataField name="Suma de CUMPLIMIENTO  ASESOR" fld="12" baseField="4" baseItem="45"/>
  </dataFields>
  <formats count="64">
    <format dxfId="119">
      <pivotArea outline="0" collapsedLevelsAreSubtotals="1" fieldPosition="0"/>
    </format>
    <format dxfId="118">
      <pivotArea dataOnly="0" labelOnly="1" grandCol="1" outline="0" fieldPosition="0"/>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1" type="button" dataOnly="0" labelOnly="1" outline="0" axis="axisCol" fieldPosition="0"/>
    </format>
    <format dxfId="113">
      <pivotArea type="topRight" dataOnly="0" labelOnly="1" outline="0" fieldPosition="0"/>
    </format>
    <format dxfId="112">
      <pivotArea field="5" type="button" dataOnly="0" labelOnly="1" outline="0" axis="axisRow" fieldPosition="1"/>
    </format>
    <format dxfId="111">
      <pivotArea field="6" type="button" dataOnly="0" labelOnly="1" outline="0" axis="axisRow" fieldPosition="0"/>
    </format>
    <format dxfId="110">
      <pivotArea dataOnly="0" labelOnly="1" outline="0" fieldPosition="0">
        <references count="1">
          <reference field="5" count="50">
            <x v="0"/>
            <x v="2"/>
            <x v="3"/>
            <x v="7"/>
            <x v="8"/>
            <x v="9"/>
            <x v="10"/>
            <x v="11"/>
            <x v="12"/>
            <x v="15"/>
            <x v="16"/>
            <x v="17"/>
            <x v="18"/>
            <x v="19"/>
            <x v="20"/>
            <x v="22"/>
            <x v="23"/>
            <x v="26"/>
            <x v="27"/>
            <x v="28"/>
            <x v="29"/>
            <x v="30"/>
            <x v="31"/>
            <x v="32"/>
            <x v="33"/>
            <x v="34"/>
            <x v="37"/>
            <x v="38"/>
            <x v="39"/>
            <x v="41"/>
            <x v="42"/>
            <x v="43"/>
            <x v="44"/>
            <x v="45"/>
            <x v="46"/>
            <x v="49"/>
            <x v="50"/>
            <x v="51"/>
            <x v="52"/>
            <x v="53"/>
            <x v="58"/>
            <x v="59"/>
            <x v="61"/>
            <x v="62"/>
            <x v="63"/>
            <x v="64"/>
            <x v="65"/>
            <x v="66"/>
            <x v="67"/>
            <x v="68"/>
          </reference>
        </references>
      </pivotArea>
    </format>
    <format dxfId="109">
      <pivotArea dataOnly="0" labelOnly="1" outline="0" fieldPosition="0">
        <references count="1">
          <reference field="5" count="3">
            <x v="69"/>
            <x v="70"/>
            <x v="71"/>
          </reference>
        </references>
      </pivotArea>
    </format>
    <format dxfId="108">
      <pivotArea dataOnly="0" labelOnly="1" outline="0" fieldPosition="0">
        <references count="2">
          <reference field="5" count="1" selected="0">
            <x v="0"/>
          </reference>
          <reference field="6" count="1">
            <x v="6"/>
          </reference>
        </references>
      </pivotArea>
    </format>
    <format dxfId="107">
      <pivotArea dataOnly="0" labelOnly="1" outline="0" fieldPosition="0">
        <references count="2">
          <reference field="5" count="1" selected="0">
            <x v="2"/>
          </reference>
          <reference field="6" count="1">
            <x v="37"/>
          </reference>
        </references>
      </pivotArea>
    </format>
    <format dxfId="106">
      <pivotArea dataOnly="0" labelOnly="1" outline="0" fieldPosition="0">
        <references count="2">
          <reference field="5" count="1" selected="0">
            <x v="3"/>
          </reference>
          <reference field="6" count="1">
            <x v="88"/>
          </reference>
        </references>
      </pivotArea>
    </format>
    <format dxfId="105">
      <pivotArea dataOnly="0" labelOnly="1" outline="0" fieldPosition="0">
        <references count="2">
          <reference field="5" count="1" selected="0">
            <x v="7"/>
          </reference>
          <reference field="6" count="1">
            <x v="72"/>
          </reference>
        </references>
      </pivotArea>
    </format>
    <format dxfId="104">
      <pivotArea dataOnly="0" labelOnly="1" outline="0" fieldPosition="0">
        <references count="2">
          <reference field="5" count="1" selected="0">
            <x v="8"/>
          </reference>
          <reference field="6" count="1">
            <x v="73"/>
          </reference>
        </references>
      </pivotArea>
    </format>
    <format dxfId="103">
      <pivotArea dataOnly="0" labelOnly="1" outline="0" fieldPosition="0">
        <references count="2">
          <reference field="5" count="1" selected="0">
            <x v="9"/>
          </reference>
          <reference field="6" count="1">
            <x v="75"/>
          </reference>
        </references>
      </pivotArea>
    </format>
    <format dxfId="102">
      <pivotArea dataOnly="0" labelOnly="1" outline="0" fieldPosition="0">
        <references count="2">
          <reference field="5" count="1" selected="0">
            <x v="10"/>
          </reference>
          <reference field="6" count="1">
            <x v="11"/>
          </reference>
        </references>
      </pivotArea>
    </format>
    <format dxfId="101">
      <pivotArea dataOnly="0" labelOnly="1" outline="0" fieldPosition="0">
        <references count="2">
          <reference field="5" count="1" selected="0">
            <x v="11"/>
          </reference>
          <reference field="6" count="1">
            <x v="61"/>
          </reference>
        </references>
      </pivotArea>
    </format>
    <format dxfId="100">
      <pivotArea dataOnly="0" labelOnly="1" outline="0" fieldPosition="0">
        <references count="2">
          <reference field="5" count="1" selected="0">
            <x v="12"/>
          </reference>
          <reference field="6" count="1">
            <x v="29"/>
          </reference>
        </references>
      </pivotArea>
    </format>
    <format dxfId="99">
      <pivotArea dataOnly="0" labelOnly="1" outline="0" fieldPosition="0">
        <references count="2">
          <reference field="5" count="1" selected="0">
            <x v="15"/>
          </reference>
          <reference field="6" count="1">
            <x v="57"/>
          </reference>
        </references>
      </pivotArea>
    </format>
    <format dxfId="98">
      <pivotArea dataOnly="0" labelOnly="1" outline="0" fieldPosition="0">
        <references count="2">
          <reference field="5" count="1" selected="0">
            <x v="16"/>
          </reference>
          <reference field="6" count="1">
            <x v="38"/>
          </reference>
        </references>
      </pivotArea>
    </format>
    <format dxfId="97">
      <pivotArea dataOnly="0" labelOnly="1" outline="0" fieldPosition="0">
        <references count="2">
          <reference field="5" count="1" selected="0">
            <x v="17"/>
          </reference>
          <reference field="6" count="1">
            <x v="2"/>
          </reference>
        </references>
      </pivotArea>
    </format>
    <format dxfId="96">
      <pivotArea dataOnly="0" labelOnly="1" outline="0" fieldPosition="0">
        <references count="2">
          <reference field="5" count="1" selected="0">
            <x v="18"/>
          </reference>
          <reference field="6" count="1">
            <x v="5"/>
          </reference>
        </references>
      </pivotArea>
    </format>
    <format dxfId="95">
      <pivotArea dataOnly="0" labelOnly="1" outline="0" fieldPosition="0">
        <references count="2">
          <reference field="5" count="1" selected="0">
            <x v="19"/>
          </reference>
          <reference field="6" count="1">
            <x v="90"/>
          </reference>
        </references>
      </pivotArea>
    </format>
    <format dxfId="94">
      <pivotArea dataOnly="0" labelOnly="1" outline="0" fieldPosition="0">
        <references count="2">
          <reference field="5" count="1" selected="0">
            <x v="20"/>
          </reference>
          <reference field="6" count="1">
            <x v="24"/>
          </reference>
        </references>
      </pivotArea>
    </format>
    <format dxfId="93">
      <pivotArea dataOnly="0" labelOnly="1" outline="0" fieldPosition="0">
        <references count="2">
          <reference field="5" count="1" selected="0">
            <x v="22"/>
          </reference>
          <reference field="6" count="1">
            <x v="54"/>
          </reference>
        </references>
      </pivotArea>
    </format>
    <format dxfId="92">
      <pivotArea dataOnly="0" labelOnly="1" outline="0" fieldPosition="0">
        <references count="2">
          <reference field="5" count="1" selected="0">
            <x v="23"/>
          </reference>
          <reference field="6" count="1">
            <x v="84"/>
          </reference>
        </references>
      </pivotArea>
    </format>
    <format dxfId="91">
      <pivotArea dataOnly="0" labelOnly="1" outline="0" fieldPosition="0">
        <references count="2">
          <reference field="5" count="1" selected="0">
            <x v="26"/>
          </reference>
          <reference field="6" count="1">
            <x v="8"/>
          </reference>
        </references>
      </pivotArea>
    </format>
    <format dxfId="90">
      <pivotArea dataOnly="0" labelOnly="1" outline="0" fieldPosition="0">
        <references count="2">
          <reference field="5" count="1" selected="0">
            <x v="27"/>
          </reference>
          <reference field="6" count="1">
            <x v="56"/>
          </reference>
        </references>
      </pivotArea>
    </format>
    <format dxfId="89">
      <pivotArea dataOnly="0" labelOnly="1" outline="0" fieldPosition="0">
        <references count="2">
          <reference field="5" count="1" selected="0">
            <x v="28"/>
          </reference>
          <reference field="6" count="1">
            <x v="34"/>
          </reference>
        </references>
      </pivotArea>
    </format>
    <format dxfId="88">
      <pivotArea dataOnly="0" labelOnly="1" outline="0" fieldPosition="0">
        <references count="2">
          <reference field="5" count="1" selected="0">
            <x v="29"/>
          </reference>
          <reference field="6" count="1">
            <x v="69"/>
          </reference>
        </references>
      </pivotArea>
    </format>
    <format dxfId="87">
      <pivotArea dataOnly="0" labelOnly="1" outline="0" fieldPosition="0">
        <references count="2">
          <reference field="5" count="1" selected="0">
            <x v="30"/>
          </reference>
          <reference field="6" count="1">
            <x v="16"/>
          </reference>
        </references>
      </pivotArea>
    </format>
    <format dxfId="86">
      <pivotArea dataOnly="0" labelOnly="1" outline="0" fieldPosition="0">
        <references count="2">
          <reference field="5" count="1" selected="0">
            <x v="31"/>
          </reference>
          <reference field="6" count="1">
            <x v="39"/>
          </reference>
        </references>
      </pivotArea>
    </format>
    <format dxfId="85">
      <pivotArea dataOnly="0" labelOnly="1" outline="0" fieldPosition="0">
        <references count="2">
          <reference field="5" count="1" selected="0">
            <x v="32"/>
          </reference>
          <reference field="6" count="1">
            <x v="28"/>
          </reference>
        </references>
      </pivotArea>
    </format>
    <format dxfId="84">
      <pivotArea dataOnly="0" labelOnly="1" outline="0" fieldPosition="0">
        <references count="2">
          <reference field="5" count="1" selected="0">
            <x v="33"/>
          </reference>
          <reference field="6" count="1">
            <x v="74"/>
          </reference>
        </references>
      </pivotArea>
    </format>
    <format dxfId="83">
      <pivotArea dataOnly="0" labelOnly="1" outline="0" fieldPosition="0">
        <references count="2">
          <reference field="5" count="1" selected="0">
            <x v="34"/>
          </reference>
          <reference field="6" count="1">
            <x v="17"/>
          </reference>
        </references>
      </pivotArea>
    </format>
    <format dxfId="82">
      <pivotArea dataOnly="0" labelOnly="1" outline="0" fieldPosition="0">
        <references count="2">
          <reference field="5" count="1" selected="0">
            <x v="37"/>
          </reference>
          <reference field="6" count="1">
            <x v="48"/>
          </reference>
        </references>
      </pivotArea>
    </format>
    <format dxfId="81">
      <pivotArea dataOnly="0" labelOnly="1" outline="0" fieldPosition="0">
        <references count="2">
          <reference field="5" count="1" selected="0">
            <x v="38"/>
          </reference>
          <reference field="6" count="1">
            <x v="27"/>
          </reference>
        </references>
      </pivotArea>
    </format>
    <format dxfId="80">
      <pivotArea dataOnly="0" labelOnly="1" outline="0" fieldPosition="0">
        <references count="2">
          <reference field="5" count="1" selected="0">
            <x v="39"/>
          </reference>
          <reference field="6" count="1">
            <x v="33"/>
          </reference>
        </references>
      </pivotArea>
    </format>
    <format dxfId="79">
      <pivotArea dataOnly="0" labelOnly="1" outline="0" fieldPosition="0">
        <references count="2">
          <reference field="5" count="1" selected="0">
            <x v="41"/>
          </reference>
          <reference field="6" count="1">
            <x v="80"/>
          </reference>
        </references>
      </pivotArea>
    </format>
    <format dxfId="78">
      <pivotArea dataOnly="0" labelOnly="1" outline="0" fieldPosition="0">
        <references count="2">
          <reference field="5" count="1" selected="0">
            <x v="42"/>
          </reference>
          <reference field="6" count="1">
            <x v="87"/>
          </reference>
        </references>
      </pivotArea>
    </format>
    <format dxfId="77">
      <pivotArea dataOnly="0" labelOnly="1" outline="0" fieldPosition="0">
        <references count="2">
          <reference field="5" count="1" selected="0">
            <x v="43"/>
          </reference>
          <reference field="6" count="1">
            <x v="89"/>
          </reference>
        </references>
      </pivotArea>
    </format>
    <format dxfId="76">
      <pivotArea dataOnly="0" labelOnly="1" outline="0" fieldPosition="0">
        <references count="2">
          <reference field="5" count="1" selected="0">
            <x v="44"/>
          </reference>
          <reference field="6" count="1">
            <x v="23"/>
          </reference>
        </references>
      </pivotArea>
    </format>
    <format dxfId="75">
      <pivotArea dataOnly="0" labelOnly="1" outline="0" fieldPosition="0">
        <references count="2">
          <reference field="5" count="1" selected="0">
            <x v="45"/>
          </reference>
          <reference field="6" count="1">
            <x v="18"/>
          </reference>
        </references>
      </pivotArea>
    </format>
    <format dxfId="74">
      <pivotArea dataOnly="0" labelOnly="1" outline="0" fieldPosition="0">
        <references count="2">
          <reference field="5" count="1" selected="0">
            <x v="46"/>
          </reference>
          <reference field="6" count="1">
            <x v="9"/>
          </reference>
        </references>
      </pivotArea>
    </format>
    <format dxfId="73">
      <pivotArea dataOnly="0" labelOnly="1" outline="0" fieldPosition="0">
        <references count="2">
          <reference field="5" count="1" selected="0">
            <x v="49"/>
          </reference>
          <reference field="6" count="1">
            <x v="32"/>
          </reference>
        </references>
      </pivotArea>
    </format>
    <format dxfId="72">
      <pivotArea dataOnly="0" labelOnly="1" outline="0" fieldPosition="0">
        <references count="2">
          <reference field="5" count="1" selected="0">
            <x v="50"/>
          </reference>
          <reference field="6" count="1">
            <x v="45"/>
          </reference>
        </references>
      </pivotArea>
    </format>
    <format dxfId="71">
      <pivotArea dataOnly="0" labelOnly="1" outline="0" fieldPosition="0">
        <references count="2">
          <reference field="5" count="1" selected="0">
            <x v="51"/>
          </reference>
          <reference field="6" count="1">
            <x v="40"/>
          </reference>
        </references>
      </pivotArea>
    </format>
    <format dxfId="70">
      <pivotArea dataOnly="0" labelOnly="1" outline="0" fieldPosition="0">
        <references count="2">
          <reference field="5" count="1" selected="0">
            <x v="52"/>
          </reference>
          <reference field="6" count="1">
            <x v="30"/>
          </reference>
        </references>
      </pivotArea>
    </format>
    <format dxfId="69">
      <pivotArea dataOnly="0" labelOnly="1" outline="0" fieldPosition="0">
        <references count="2">
          <reference field="5" count="1" selected="0">
            <x v="53"/>
          </reference>
          <reference field="6" count="1">
            <x v="81"/>
          </reference>
        </references>
      </pivotArea>
    </format>
    <format dxfId="68">
      <pivotArea dataOnly="0" labelOnly="1" outline="0" fieldPosition="0">
        <references count="2">
          <reference field="5" count="1" selected="0">
            <x v="58"/>
          </reference>
          <reference field="6" count="1">
            <x v="68"/>
          </reference>
        </references>
      </pivotArea>
    </format>
    <format dxfId="67">
      <pivotArea dataOnly="0" labelOnly="1" outline="0" fieldPosition="0">
        <references count="2">
          <reference field="5" count="1" selected="0">
            <x v="59"/>
          </reference>
          <reference field="6" count="1">
            <x v="86"/>
          </reference>
        </references>
      </pivotArea>
    </format>
    <format dxfId="66">
      <pivotArea dataOnly="0" labelOnly="1" outline="0" fieldPosition="0">
        <references count="2">
          <reference field="5" count="1" selected="0">
            <x v="61"/>
          </reference>
          <reference field="6" count="1">
            <x v="70"/>
          </reference>
        </references>
      </pivotArea>
    </format>
    <format dxfId="65">
      <pivotArea dataOnly="0" labelOnly="1" outline="0" fieldPosition="0">
        <references count="2">
          <reference field="5" count="1" selected="0">
            <x v="62"/>
          </reference>
          <reference field="6" count="1">
            <x v="65"/>
          </reference>
        </references>
      </pivotArea>
    </format>
    <format dxfId="64">
      <pivotArea dataOnly="0" labelOnly="1" outline="0" fieldPosition="0">
        <references count="2">
          <reference field="5" count="1" selected="0">
            <x v="63"/>
          </reference>
          <reference field="6" count="1">
            <x v="52"/>
          </reference>
        </references>
      </pivotArea>
    </format>
    <format dxfId="63">
      <pivotArea dataOnly="0" labelOnly="1" outline="0" fieldPosition="0">
        <references count="2">
          <reference field="5" count="1" selected="0">
            <x v="64"/>
          </reference>
          <reference field="6" count="1">
            <x v="67"/>
          </reference>
        </references>
      </pivotArea>
    </format>
    <format dxfId="62">
      <pivotArea dataOnly="0" labelOnly="1" outline="0" fieldPosition="0">
        <references count="2">
          <reference field="5" count="1" selected="0">
            <x v="65"/>
          </reference>
          <reference field="6" count="1">
            <x v="12"/>
          </reference>
        </references>
      </pivotArea>
    </format>
    <format dxfId="61">
      <pivotArea dataOnly="0" labelOnly="1" outline="0" fieldPosition="0">
        <references count="2">
          <reference field="5" count="1" selected="0">
            <x v="66"/>
          </reference>
          <reference field="6" count="1">
            <x v="47"/>
          </reference>
        </references>
      </pivotArea>
    </format>
    <format dxfId="60">
      <pivotArea dataOnly="0" labelOnly="1" outline="0" fieldPosition="0">
        <references count="2">
          <reference field="5" count="1" selected="0">
            <x v="67"/>
          </reference>
          <reference field="6" count="1">
            <x v="46"/>
          </reference>
        </references>
      </pivotArea>
    </format>
    <format dxfId="59">
      <pivotArea dataOnly="0" labelOnly="1" outline="0" fieldPosition="0">
        <references count="2">
          <reference field="5" count="1" selected="0">
            <x v="68"/>
          </reference>
          <reference field="6" count="1">
            <x v="36"/>
          </reference>
        </references>
      </pivotArea>
    </format>
    <format dxfId="58">
      <pivotArea dataOnly="0" labelOnly="1" outline="0" fieldPosition="0">
        <references count="2">
          <reference field="5" count="1" selected="0">
            <x v="69"/>
          </reference>
          <reference field="6" count="1">
            <x v="82"/>
          </reference>
        </references>
      </pivotArea>
    </format>
    <format dxfId="57">
      <pivotArea dataOnly="0" labelOnly="1" outline="0" fieldPosition="0">
        <references count="2">
          <reference field="5" count="1" selected="0">
            <x v="70"/>
          </reference>
          <reference field="6" count="1">
            <x v="79"/>
          </reference>
        </references>
      </pivotArea>
    </format>
    <format dxfId="56">
      <pivotArea dataOnly="0" labelOnly="1" outline="0" fieldPosition="0">
        <references count="1">
          <reference field="1" count="0"/>
        </references>
      </pivotArea>
    </format>
  </formats>
  <conditionalFormats count="3">
    <conditionalFormat priority="2">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s>
  <chartFormats count="2">
    <chartFormat chart="10" format="10" series="1">
      <pivotArea type="data" outline="0" fieldPosition="0">
        <references count="1">
          <reference field="4294967294" count="1" selected="0">
            <x v="0"/>
          </reference>
        </references>
      </pivotArea>
    </chartFormat>
    <chartFormat chart="26" format="11"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Dinámica1" cacheId="1"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location ref="B7:J19" firstHeaderRow="0" firstDataRow="1" firstDataCol="1" rowPageCount="3" colPageCount="1"/>
  <pivotFields count="26">
    <pivotField compact="0" outline="0" showAll="0" defaultSubtotal="0"/>
    <pivotField axis="axisRow" compact="0" outline="0" multipleItemSelectionAllowed="1" showAll="0" defaultSubtotal="0">
      <items count="39">
        <item h="1" x="12"/>
        <item h="1" x="13"/>
        <item h="1" x="14"/>
        <item h="1" x="15"/>
        <item h="1" x="16"/>
        <item h="1" x="17"/>
        <item h="1" x="18"/>
        <item h="1" x="19"/>
        <item h="1" x="20"/>
        <item h="1" x="21"/>
        <item h="1" x="22"/>
        <item h="1" x="23"/>
        <item h="1" x="24"/>
        <item h="1" x="25"/>
        <item h="1" x="26"/>
        <item x="27"/>
        <item x="28"/>
        <item x="29"/>
        <item x="30"/>
        <item x="31"/>
        <item x="32"/>
        <item x="33"/>
        <item x="34"/>
        <item x="35"/>
        <item x="36"/>
        <item x="37"/>
        <item x="38"/>
        <item h="1" x="0"/>
        <item h="1" x="1"/>
        <item h="1" x="2"/>
        <item h="1" x="3"/>
        <item h="1" x="4"/>
        <item h="1" x="5"/>
        <item h="1" x="6"/>
        <item h="1" x="7"/>
        <item h="1" x="8"/>
        <item h="1" x="9"/>
        <item h="1" x="10"/>
        <item h="1" x="11"/>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94">
        <item x="1"/>
        <item x="88"/>
        <item x="2"/>
        <item x="37"/>
        <item x="65"/>
        <item x="3"/>
        <item x="45"/>
        <item x="46"/>
        <item x="4"/>
        <item x="70"/>
        <item x="5"/>
        <item x="80"/>
        <item x="84"/>
        <item x="6"/>
        <item x="53"/>
        <item x="61"/>
        <item x="32"/>
        <item m="1" x="93"/>
        <item x="59"/>
        <item x="83"/>
        <item x="55"/>
        <item x="8"/>
        <item x="9"/>
        <item x="79"/>
        <item x="50"/>
        <item x="10"/>
        <item x="12"/>
        <item x="11"/>
        <item x="33"/>
        <item x="13"/>
        <item x="44"/>
        <item x="14"/>
        <item x="48"/>
        <item x="73"/>
        <item x="52"/>
        <item x="49"/>
        <item x="15"/>
        <item x="16"/>
        <item x="87"/>
        <item x="86"/>
        <item x="43"/>
        <item x="38"/>
        <item x="39"/>
        <item x="72"/>
        <item x="71"/>
        <item x="17"/>
        <item x="54"/>
        <item x="40"/>
        <item x="81"/>
        <item x="68"/>
        <item x="19"/>
        <item x="85"/>
        <item x="20"/>
        <item x="34"/>
        <item m="1" x="90"/>
        <item x="41"/>
        <item x="77"/>
        <item x="21"/>
        <item m="1" x="91"/>
        <item x="76"/>
        <item x="22"/>
        <item x="78"/>
        <item x="67"/>
        <item x="24"/>
        <item x="69"/>
        <item x="63"/>
        <item x="25"/>
        <item x="66"/>
        <item x="26"/>
        <item x="47"/>
        <item x="36"/>
        <item x="27"/>
        <item x="28"/>
        <item m="1" x="92"/>
        <item x="75"/>
        <item x="58"/>
        <item x="60"/>
        <item x="74"/>
        <item x="82"/>
        <item x="30"/>
        <item x="62"/>
        <item x="64"/>
        <item x="51"/>
        <item x="57"/>
        <item x="56"/>
        <item x="31"/>
        <item x="7"/>
        <item x="89"/>
        <item x="0"/>
        <item x="18"/>
        <item x="23"/>
        <item x="29"/>
        <item x="35"/>
        <item x="42"/>
      </items>
    </pivotField>
    <pivotField compact="0" numFmtId="164" outline="0" showAll="0" defaultSubtotal="0"/>
    <pivotField compact="0" numFmtId="164" outline="0" showAll="0" defaultSubtotal="0"/>
    <pivotField compact="0" numFmtId="164" outline="0" showAll="0" defaultSubtotal="0"/>
    <pivotField dataField="1" compact="0" numFmtId="164" outline="0" showAll="0" defaultSubtotal="0"/>
    <pivotField dataField="1" compact="0" outline="0" showAll="0" defaultSubtotal="0"/>
    <pivotField compact="0" outline="0" showAll="0" defaultSubtotal="0"/>
    <pivotField axis="axisPage" compact="0" outline="0" showAll="0" defaultSubtotal="0">
      <items count="2">
        <item x="0"/>
        <item x="1"/>
      </items>
    </pivotField>
    <pivotField compact="0" outline="0" showAll="0" defaultSubtotal="0"/>
    <pivotField axis="axisPage" compact="0" outline="0" showAll="0" defaultSubtotal="0">
      <items count="18">
        <item x="0"/>
        <item x="17"/>
        <item x="13"/>
        <item x="5"/>
        <item x="11"/>
        <item x="1"/>
        <item x="6"/>
        <item x="8"/>
        <item x="7"/>
        <item x="4"/>
        <item x="9"/>
        <item x="15"/>
        <item x="3"/>
        <item x="2"/>
        <item x="10"/>
        <item x="12"/>
        <item x="16"/>
        <item x="14"/>
      </items>
    </pivotField>
    <pivotField compact="0" outline="0" showAll="0" defaultSubtotal="0"/>
    <pivotField compact="0" outline="0" showAll="0" defaultSubtotal="0"/>
    <pivotField dataField="1" compact="0" outline="0" showAll="0" defaultSubtotal="0"/>
    <pivotField dataField="1" compact="0" numFmtId="164" outline="0" showAll="0" defaultSubtotal="0"/>
    <pivotField dataField="1" compact="0" outline="0" showAll="0" defaultSubtotal="0"/>
    <pivotField dataField="1" compact="0" numFmtId="164" outline="0" showAll="0" defaultSubtotal="0"/>
    <pivotField dataField="1" compact="0" outline="0" showAll="0" defaultSubtotal="0"/>
    <pivotField dataField="1" compact="0" outline="0" showAll="0" defaultSubtotal="0"/>
    <pivotField compact="0" numFmtId="164" outline="0" showAll="0" defaultSubtotal="0"/>
    <pivotField compact="0" outline="0" showAll="0" defaultSubtotal="0"/>
  </pivotFields>
  <rowFields count="1">
    <field x="1"/>
  </rowFields>
  <rowItems count="12">
    <i>
      <x v="15"/>
    </i>
    <i>
      <x v="16"/>
    </i>
    <i>
      <x v="17"/>
    </i>
    <i>
      <x v="18"/>
    </i>
    <i>
      <x v="19"/>
    </i>
    <i>
      <x v="20"/>
    </i>
    <i>
      <x v="21"/>
    </i>
    <i>
      <x v="22"/>
    </i>
    <i>
      <x v="23"/>
    </i>
    <i>
      <x v="24"/>
    </i>
    <i>
      <x v="25"/>
    </i>
    <i>
      <x v="26"/>
    </i>
  </rowItems>
  <colFields count="1">
    <field x="-2"/>
  </colFields>
  <colItems count="8">
    <i>
      <x/>
    </i>
    <i i="1">
      <x v="1"/>
    </i>
    <i i="2">
      <x v="2"/>
    </i>
    <i i="3">
      <x v="3"/>
    </i>
    <i i="4">
      <x v="4"/>
    </i>
    <i i="5">
      <x v="5"/>
    </i>
    <i i="6">
      <x v="6"/>
    </i>
    <i i="7">
      <x v="7"/>
    </i>
  </colItems>
  <pageFields count="3">
    <pageField fld="15" item="3" hier="-1"/>
    <pageField fld="13" item="1" hier="-1"/>
    <pageField fld="6" item="21" hier="-1"/>
  </pageFields>
  <dataFields count="8">
    <dataField name="Suma de INGRESOS ASESOR" fld="10" baseField="0" baseItem="0"/>
    <dataField name="Suma de PRESUPUESTO ASESOR" fld="11" baseField="0" baseItem="0"/>
    <dataField name="Suma de N° Monturas" fld="18" baseField="0" baseItem="0"/>
    <dataField name="Suma de $ Monturas" fld="19" baseField="0" baseItem="0"/>
    <dataField name="Suma de N° Lent. Oft. Esp." fld="20" baseField="0" baseItem="0"/>
    <dataField name="Suma de $ Lent. Oft. Esp." fld="21" baseField="0" baseItem="0"/>
    <dataField name="Suma de N° Aux.Lent.Pos" fld="22" baseField="0" baseItem="0"/>
    <dataField name="Suma de $ Aux.Lent.Pos" fld="23" baseField="0" baseItem="0"/>
  </dataFields>
  <formats count="6">
    <format dxfId="30">
      <pivotArea dataOnly="0" labelOnly="1" grandRow="1" outline="0" fieldPosition="0"/>
    </format>
    <format dxfId="29">
      <pivotArea outline="0" collapsedLevelsAreSubtotals="1" fieldPosition="0"/>
    </format>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datosNacional" cacheId="1" applyNumberFormats="0" applyBorderFormats="0" applyFontFormats="0" applyPatternFormats="0" applyAlignmentFormats="0" applyWidthHeightFormats="1" dataCaption="Valores" updatedVersion="6" minRefreshableVersion="3" useAutoFormatting="1" itemPrintTitles="1" createdVersion="6" indent="0" compact="0" compactData="0" multipleFieldFilters="0">
  <location ref="B24:F37" firstHeaderRow="0" firstDataRow="1" firstDataCol="1"/>
  <pivotFields count="26">
    <pivotField compact="0" outline="0" showAll="0" defaultSubtotal="0"/>
    <pivotField axis="axisRow" compact="0" outline="0" multipleItemSelectionAllowed="1" showAll="0" defaultSubtotal="0">
      <items count="39">
        <item h="1" x="12"/>
        <item h="1" x="13"/>
        <item h="1" x="14"/>
        <item h="1" x="15"/>
        <item h="1" x="16"/>
        <item h="1" x="17"/>
        <item h="1" x="18"/>
        <item h="1" x="19"/>
        <item h="1" x="20"/>
        <item h="1" x="21"/>
        <item h="1" x="22"/>
        <item h="1" x="23"/>
        <item h="1" x="24"/>
        <item h="1" x="25"/>
        <item h="1" x="26"/>
        <item x="27"/>
        <item x="28"/>
        <item x="29"/>
        <item x="30"/>
        <item x="31"/>
        <item x="32"/>
        <item x="33"/>
        <item x="34"/>
        <item x="35"/>
        <item x="36"/>
        <item x="37"/>
        <item x="38"/>
        <item h="1" x="0"/>
        <item h="1" x="1"/>
        <item h="1" x="2"/>
        <item h="1" x="3"/>
        <item h="1" x="4"/>
        <item h="1" x="5"/>
        <item h="1" x="6"/>
        <item h="1" x="7"/>
        <item h="1" x="8"/>
        <item h="1" x="9"/>
        <item h="1" x="10"/>
        <item h="1" x="11"/>
      </items>
    </pivotField>
    <pivotField compact="0" outline="0" showAll="0" defaultSubtotal="0"/>
    <pivotField compact="0" outline="0" showAll="0" defaultSubtotal="0"/>
    <pivotField compact="0" outline="0" showAll="0" defaultSubtotal="0"/>
    <pivotField compact="0" outline="0" showAll="0" defaultSubtotal="0"/>
    <pivotField compact="0" outline="0" multipleItemSelectionAllowed="1"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numFmtId="164" outline="0" showAll="0" defaultSubtotal="0"/>
    <pivotField dataField="1" compact="0" outline="0" showAll="0" defaultSubtotal="0"/>
    <pivotField dataField="1" compact="0" numFmtId="164" outline="0" showAll="0" defaultSubtotal="0"/>
    <pivotField compact="0" outline="0" showAll="0" defaultSubtotal="0"/>
    <pivotField compact="0" outline="0" showAll="0" defaultSubtotal="0"/>
    <pivotField compact="0" numFmtId="164" outline="0" showAll="0" defaultSubtotal="0"/>
    <pivotField compact="0" outline="0" showAll="0" defaultSubtotal="0"/>
  </pivotFields>
  <rowFields count="1">
    <field x="1"/>
  </rowFields>
  <rowItems count="13">
    <i>
      <x v="15"/>
    </i>
    <i>
      <x v="16"/>
    </i>
    <i>
      <x v="17"/>
    </i>
    <i>
      <x v="18"/>
    </i>
    <i>
      <x v="19"/>
    </i>
    <i>
      <x v="20"/>
    </i>
    <i>
      <x v="21"/>
    </i>
    <i>
      <x v="22"/>
    </i>
    <i>
      <x v="23"/>
    </i>
    <i>
      <x v="24"/>
    </i>
    <i>
      <x v="25"/>
    </i>
    <i>
      <x v="26"/>
    </i>
    <i t="grand">
      <x/>
    </i>
  </rowItems>
  <colFields count="1">
    <field x="-2"/>
  </colFields>
  <colItems count="4">
    <i>
      <x/>
    </i>
    <i i="1">
      <x v="1"/>
    </i>
    <i i="2">
      <x v="2"/>
    </i>
    <i i="3">
      <x v="3"/>
    </i>
  </colItems>
  <dataFields count="4">
    <dataField name="Suma de N° Monturas" fld="18" baseField="0" baseItem="0"/>
    <dataField name="Suma de $ Monturas" fld="19" baseField="0" baseItem="0"/>
    <dataField name="Suma de N° Lent. Oft. Esp." fld="20" baseField="0" baseItem="0"/>
    <dataField name="Suma de $ Lent. Oft. Esp." fld="21" baseField="0" baseItem="0"/>
  </dataFields>
  <formats count="6">
    <format dxfId="36">
      <pivotArea dataOnly="0" labelOnly="1" grandRow="1" outline="0"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collapsedLevelsAreSubtotals="1" fieldPosition="0"/>
    </format>
    <format dxfId="31">
      <pivotArea outline="0" collapsedLevelsAreSubtotals="1"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ciónDeDatos_Punto_de_Vista" sourceName="Punto de Vista">
  <pivotTables>
    <pivotTable tabId="29" name="TablaDinámica1"/>
  </pivotTables>
  <data>
    <tabular pivotCacheId="2">
      <items count="18">
        <i x="5" s="1"/>
        <i x="0" nd="1"/>
        <i x="17" nd="1"/>
        <i x="13" nd="1"/>
        <i x="11" nd="1"/>
        <i x="1" nd="1"/>
        <i x="6" nd="1"/>
        <i x="8" nd="1"/>
        <i x="7" nd="1"/>
        <i x="4" nd="1"/>
        <i x="9" nd="1"/>
        <i x="15" nd="1"/>
        <i x="3" nd="1"/>
        <i x="2" nd="1"/>
        <i x="10" nd="1"/>
        <i x="12" nd="1"/>
        <i x="16" nd="1"/>
        <i x="1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ciónDeDatos_NOMBRE" sourceName="NOMBRE">
  <pivotTables>
    <pivotTable tabId="29" name="TablaDinámica1"/>
  </pivotTables>
  <data>
    <tabular pivotCacheId="2">
      <items count="94">
        <i x="6"/>
        <i x="8" s="1"/>
        <i x="52"/>
        <i x="20"/>
        <i x="76"/>
        <i x="75"/>
        <i x="64"/>
        <i x="35" nd="1"/>
        <i x="0" nd="1"/>
        <i x="1" nd="1"/>
        <i x="88" nd="1"/>
        <i x="89" nd="1"/>
        <i x="2" nd="1"/>
        <i x="37" nd="1"/>
        <i x="65" nd="1"/>
        <i x="3" nd="1"/>
        <i x="45" nd="1"/>
        <i x="46" nd="1"/>
        <i x="4" nd="1"/>
        <i x="70" nd="1"/>
        <i x="5" nd="1"/>
        <i x="80" nd="1"/>
        <i x="84" nd="1"/>
        <i x="53" nd="1"/>
        <i x="61" nd="1"/>
        <i x="32" nd="1"/>
        <i x="93" nd="1"/>
        <i x="59" nd="1"/>
        <i x="83" nd="1"/>
        <i x="55" nd="1"/>
        <i x="9" nd="1"/>
        <i x="79" nd="1"/>
        <i x="50" nd="1"/>
        <i x="10" nd="1"/>
        <i x="12" nd="1"/>
        <i x="11" nd="1"/>
        <i x="33" nd="1"/>
        <i x="13" nd="1"/>
        <i x="44" nd="1"/>
        <i x="14" nd="1"/>
        <i x="48" nd="1"/>
        <i x="73" nd="1"/>
        <i x="49" nd="1"/>
        <i x="15" nd="1"/>
        <i x="16" nd="1"/>
        <i x="87" nd="1"/>
        <i x="86" nd="1"/>
        <i x="43" nd="1"/>
        <i x="38" nd="1"/>
        <i x="39" nd="1"/>
        <i x="72" nd="1"/>
        <i x="71" nd="1"/>
        <i x="17" nd="1"/>
        <i x="54" nd="1"/>
        <i x="40" nd="1"/>
        <i x="81" nd="1"/>
        <i x="68" nd="1"/>
        <i x="18" nd="1"/>
        <i x="19" nd="1"/>
        <i x="85" nd="1"/>
        <i x="34" nd="1"/>
        <i x="90" nd="1"/>
        <i x="23" nd="1"/>
        <i x="41" nd="1"/>
        <i x="77" nd="1"/>
        <i x="21" nd="1"/>
        <i x="91" nd="1"/>
        <i x="22" nd="1"/>
        <i x="78" nd="1"/>
        <i x="67" nd="1"/>
        <i x="24" nd="1"/>
        <i x="69" nd="1"/>
        <i x="63" nd="1"/>
        <i x="25" nd="1"/>
        <i x="66" nd="1"/>
        <i x="26" nd="1"/>
        <i x="47" nd="1"/>
        <i x="36" nd="1"/>
        <i x="27" nd="1"/>
        <i x="28" nd="1"/>
        <i x="29" nd="1"/>
        <i x="92" nd="1"/>
        <i x="42" nd="1"/>
        <i x="58" nd="1"/>
        <i x="60" nd="1"/>
        <i x="74" nd="1"/>
        <i x="82" nd="1"/>
        <i x="30" nd="1"/>
        <i x="62" nd="1"/>
        <i x="51" nd="1"/>
        <i x="57" nd="1"/>
        <i x="56" nd="1"/>
        <i x="31" nd="1"/>
        <i x="7"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OMBRE 1" cache="SegmentaciónDeDatos_NOMBRE" caption="NOMBR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unto de Vista" cache="SegmentaciónDeDatos_Punto_de_Vista" caption="Punto de Vista" startItem="4" rowHeight="241300"/>
  <slicer name="NOMBRE" cache="SegmentaciónDeDatos_NOMBRE" caption="NOMBRE" columnCount="4" rowHeight="241300"/>
</slicer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openxmlformats.org/officeDocument/2006/relationships/comments" Target="../comments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S90"/>
  <sheetViews>
    <sheetView showGridLines="0" zoomScale="85" zoomScaleNormal="85" workbookViewId="0"/>
  </sheetViews>
  <sheetFormatPr baseColWidth="10" defaultRowHeight="15" x14ac:dyDescent="0.25"/>
  <cols>
    <col min="1" max="1" width="2.28515625" style="2" customWidth="1"/>
    <col min="2" max="2" width="37.85546875" style="2" customWidth="1"/>
    <col min="3" max="3" width="22.42578125" style="2" customWidth="1"/>
    <col min="4" max="6" width="11.28515625" style="2" customWidth="1"/>
    <col min="7" max="7" width="3.85546875" style="2" customWidth="1"/>
    <col min="8" max="8" width="3.140625" style="3" bestFit="1" customWidth="1"/>
    <col min="9" max="9" width="37.85546875" style="2" bestFit="1" customWidth="1"/>
    <col min="10" max="10" width="8.140625" style="3" bestFit="1" customWidth="1"/>
    <col min="11" max="13" width="9" style="3" bestFit="1" customWidth="1"/>
    <col min="14" max="14" width="3.140625" style="2" customWidth="1"/>
    <col min="15" max="15" width="14.7109375" style="3" customWidth="1"/>
    <col min="16" max="19" width="5.140625" style="3" bestFit="1" customWidth="1"/>
    <col min="20" max="16384" width="11.42578125" style="2"/>
  </cols>
  <sheetData>
    <row r="1" spans="2:19" x14ac:dyDescent="0.25">
      <c r="B1" s="286" t="s">
        <v>484</v>
      </c>
    </row>
    <row r="2" spans="2:19" x14ac:dyDescent="0.25">
      <c r="B2" s="6" t="s">
        <v>345</v>
      </c>
      <c r="C2" s="6" t="s">
        <v>464</v>
      </c>
    </row>
    <row r="3" spans="2:19" x14ac:dyDescent="0.25">
      <c r="B3" s="6" t="s">
        <v>463</v>
      </c>
      <c r="C3" s="2">
        <v>2016</v>
      </c>
      <c r="D3" s="2">
        <v>2017</v>
      </c>
      <c r="E3" s="2">
        <v>2018</v>
      </c>
      <c r="F3" s="2">
        <v>2019</v>
      </c>
      <c r="H3" s="292" t="s">
        <v>347</v>
      </c>
      <c r="I3" s="291" t="s">
        <v>462</v>
      </c>
      <c r="J3" s="288">
        <v>2016</v>
      </c>
      <c r="K3" s="288">
        <v>2017</v>
      </c>
      <c r="L3" s="288">
        <v>2018</v>
      </c>
      <c r="M3" s="287">
        <v>2019</v>
      </c>
      <c r="O3" s="277" t="s">
        <v>469</v>
      </c>
      <c r="P3" s="277">
        <v>2016</v>
      </c>
      <c r="Q3" s="277">
        <v>2017</v>
      </c>
      <c r="R3" s="277">
        <v>2018</v>
      </c>
      <c r="S3" s="277">
        <v>2019</v>
      </c>
    </row>
    <row r="4" spans="2:19" x14ac:dyDescent="0.25">
      <c r="B4" s="8" t="s">
        <v>155</v>
      </c>
      <c r="C4" s="48">
        <v>302880833.33333337</v>
      </c>
      <c r="D4" s="48">
        <v>423092638.79598665</v>
      </c>
      <c r="E4" s="48">
        <v>455729189</v>
      </c>
      <c r="F4" s="48">
        <v>129525000</v>
      </c>
      <c r="H4" s="293">
        <v>1</v>
      </c>
      <c r="I4" s="289" t="str">
        <f t="shared" ref="I4:I35" si="0">+B4</f>
        <v>Adriana Lucia Mosquera Lujan</v>
      </c>
      <c r="J4" s="296" t="str">
        <f>+IF(C4&lt;&gt;"","Antiguo","")</f>
        <v>Antiguo</v>
      </c>
      <c r="K4" s="296" t="str">
        <f>IF(AND(C4&lt;&gt;"",D4=""),"Retirado",IF(AND(C4="",D4&lt;&gt;""),"Nuevo",IF(AND(C4="",D4=""),"",J4)))</f>
        <v>Antiguo</v>
      </c>
      <c r="L4" s="296" t="str">
        <f>+IF(AND(D4="",E4&lt;&gt;""),"Nuevo",IF(AND(D4&lt;&gt;"",E4&lt;&gt;""),"Antiguo",IF(AND(D4&lt;&gt;"",E4=""),"Retirado",IF(K4="Retirado","",IF(AND(D4="",E4=""),"","Revisar")))))</f>
        <v>Antiguo</v>
      </c>
      <c r="M4" s="297" t="str">
        <f>+IF(AND(L4="",F4&lt;&gt;""),"Nuevo",IF(AND(E4&lt;&gt;"",F4&lt;&gt;""),"Antiguo",IF(AND(E4&lt;&gt;"",F4=""),"Retirado",IF(L4="Retirado","",IF(L4="","","Revisar")))))</f>
        <v>Antiguo</v>
      </c>
      <c r="O4" s="278" t="s">
        <v>468</v>
      </c>
      <c r="P4" s="278">
        <f t="shared" ref="P4:S6" si="1">+COUNTIF(J:J,$O4)</f>
        <v>40</v>
      </c>
      <c r="Q4" s="278">
        <f t="shared" si="1"/>
        <v>36</v>
      </c>
      <c r="R4" s="278">
        <f t="shared" si="1"/>
        <v>44</v>
      </c>
      <c r="S4" s="278">
        <f t="shared" si="1"/>
        <v>59</v>
      </c>
    </row>
    <row r="5" spans="2:19" x14ac:dyDescent="0.25">
      <c r="B5" s="8" t="s">
        <v>327</v>
      </c>
      <c r="C5" s="48"/>
      <c r="D5" s="48"/>
      <c r="E5" s="48"/>
      <c r="F5" s="48">
        <v>60020833.333333328</v>
      </c>
      <c r="H5" s="294">
        <v>2</v>
      </c>
      <c r="I5" s="289" t="str">
        <f t="shared" si="0"/>
        <v>Alcibiades Manuel Padilla Navarro</v>
      </c>
      <c r="J5" s="296" t="str">
        <f t="shared" ref="J5:J68" si="2">+IF(C5&lt;&gt;"","Antiguo","")</f>
        <v/>
      </c>
      <c r="K5" s="296" t="str">
        <f t="shared" ref="K5:K68" si="3">IF(AND(C5&lt;&gt;"",D5=""),"Retirado",IF(AND(C5="",D5&lt;&gt;""),"Nuevo",IF(AND(C5="",D5=""),"",J5)))</f>
        <v/>
      </c>
      <c r="L5" s="296" t="str">
        <f t="shared" ref="L5:L68" si="4">+IF(AND(D5="",E5&lt;&gt;""),"Nuevo",IF(AND(D5&lt;&gt;"",E5&lt;&gt;""),"Antiguo",IF(AND(D5&lt;&gt;"",E5=""),"Retirado",IF(K5="Retirado","",IF(AND(D5="",E5=""),"","Revisar")))))</f>
        <v/>
      </c>
      <c r="M5" s="297" t="str">
        <f t="shared" ref="M5:M68" si="5">+IF(AND(L5="",F5&lt;&gt;""),"Nuevo",IF(AND(E5&lt;&gt;"",F5&lt;&gt;""),"Antiguo",IF(AND(E5&lt;&gt;"",F5=""),"Retirado",IF(L5="Retirado","",IF(L5="","","Revisar")))))</f>
        <v>Nuevo</v>
      </c>
      <c r="O5" s="278" t="s">
        <v>465</v>
      </c>
      <c r="P5" s="278">
        <f t="shared" si="1"/>
        <v>0</v>
      </c>
      <c r="Q5" s="278">
        <f t="shared" si="1"/>
        <v>18</v>
      </c>
      <c r="R5" s="278">
        <f t="shared" si="1"/>
        <v>23</v>
      </c>
      <c r="S5" s="278">
        <f t="shared" si="1"/>
        <v>2</v>
      </c>
    </row>
    <row r="6" spans="2:19" x14ac:dyDescent="0.25">
      <c r="B6" s="8" t="s">
        <v>443</v>
      </c>
      <c r="C6" s="48"/>
      <c r="D6" s="48"/>
      <c r="E6" s="48"/>
      <c r="F6" s="48">
        <v>28000000</v>
      </c>
      <c r="H6" s="294">
        <v>3</v>
      </c>
      <c r="I6" s="289" t="str">
        <f t="shared" si="0"/>
        <v>Alex Giovanni Rodriguez Barrantes</v>
      </c>
      <c r="J6" s="296" t="str">
        <f t="shared" si="2"/>
        <v/>
      </c>
      <c r="K6" s="296" t="str">
        <f t="shared" si="3"/>
        <v/>
      </c>
      <c r="L6" s="296" t="str">
        <f t="shared" si="4"/>
        <v/>
      </c>
      <c r="M6" s="297" t="str">
        <f t="shared" si="5"/>
        <v>Nuevo</v>
      </c>
      <c r="O6" s="278" t="s">
        <v>466</v>
      </c>
      <c r="P6" s="278">
        <f t="shared" si="1"/>
        <v>0</v>
      </c>
      <c r="Q6" s="278">
        <f t="shared" si="1"/>
        <v>4</v>
      </c>
      <c r="R6" s="278">
        <f t="shared" si="1"/>
        <v>10</v>
      </c>
      <c r="S6" s="278">
        <f t="shared" si="1"/>
        <v>8</v>
      </c>
    </row>
    <row r="7" spans="2:19" x14ac:dyDescent="0.25">
      <c r="B7" s="8" t="s">
        <v>39</v>
      </c>
      <c r="C7" s="48">
        <v>415910769.23076928</v>
      </c>
      <c r="D7" s="48">
        <v>321513333.33333331</v>
      </c>
      <c r="E7" s="48">
        <v>383424957</v>
      </c>
      <c r="F7" s="48">
        <v>110080000</v>
      </c>
      <c r="H7" s="293">
        <v>4</v>
      </c>
      <c r="I7" s="289" t="str">
        <f t="shared" si="0"/>
        <v>Alexandra Maria Loaiza Grisales</v>
      </c>
      <c r="J7" s="296" t="str">
        <f t="shared" si="2"/>
        <v>Antiguo</v>
      </c>
      <c r="K7" s="296" t="str">
        <f t="shared" si="3"/>
        <v>Antiguo</v>
      </c>
      <c r="L7" s="296" t="str">
        <f t="shared" si="4"/>
        <v>Antiguo</v>
      </c>
      <c r="M7" s="297" t="str">
        <f t="shared" si="5"/>
        <v>Antiguo</v>
      </c>
      <c r="O7" s="275" t="s">
        <v>467</v>
      </c>
      <c r="P7" s="275">
        <f>+P5+P4</f>
        <v>40</v>
      </c>
      <c r="Q7" s="275">
        <f t="shared" ref="Q7:S7" si="6">+Q5+Q4</f>
        <v>54</v>
      </c>
      <c r="R7" s="275">
        <f t="shared" si="6"/>
        <v>67</v>
      </c>
      <c r="S7" s="275">
        <f t="shared" si="6"/>
        <v>61</v>
      </c>
    </row>
    <row r="8" spans="2:19" x14ac:dyDescent="0.25">
      <c r="B8" s="8" t="s">
        <v>71</v>
      </c>
      <c r="C8" s="48">
        <v>231770000</v>
      </c>
      <c r="D8" s="48">
        <v>412800000</v>
      </c>
      <c r="E8" s="48">
        <v>478333303</v>
      </c>
      <c r="F8" s="48">
        <v>134320000</v>
      </c>
      <c r="H8" s="294">
        <v>5</v>
      </c>
      <c r="I8" s="289" t="str">
        <f t="shared" si="0"/>
        <v>Alvaro Ignacio Ospina</v>
      </c>
      <c r="J8" s="296" t="str">
        <f t="shared" si="2"/>
        <v>Antiguo</v>
      </c>
      <c r="K8" s="296" t="str">
        <f t="shared" si="3"/>
        <v>Antiguo</v>
      </c>
      <c r="L8" s="296" t="str">
        <f t="shared" si="4"/>
        <v>Antiguo</v>
      </c>
      <c r="M8" s="297" t="str">
        <f t="shared" si="5"/>
        <v>Antiguo</v>
      </c>
    </row>
    <row r="9" spans="2:19" x14ac:dyDescent="0.25">
      <c r="B9" s="8" t="s">
        <v>188</v>
      </c>
      <c r="C9" s="48"/>
      <c r="D9" s="48"/>
      <c r="E9" s="48">
        <v>198240000</v>
      </c>
      <c r="F9" s="48"/>
      <c r="H9" s="294">
        <v>6</v>
      </c>
      <c r="I9" s="289" t="str">
        <f t="shared" si="0"/>
        <v>Ana Karina Bernal</v>
      </c>
      <c r="J9" s="296" t="str">
        <f t="shared" si="2"/>
        <v/>
      </c>
      <c r="K9" s="296" t="str">
        <f t="shared" si="3"/>
        <v/>
      </c>
      <c r="L9" s="296" t="str">
        <f t="shared" si="4"/>
        <v>Nuevo</v>
      </c>
      <c r="M9" s="297" t="str">
        <f t="shared" si="5"/>
        <v>Retirado</v>
      </c>
    </row>
    <row r="10" spans="2:19" x14ac:dyDescent="0.25">
      <c r="B10" s="8" t="s">
        <v>40</v>
      </c>
      <c r="C10" s="48">
        <v>445912500</v>
      </c>
      <c r="D10" s="48">
        <v>480993589.74358976</v>
      </c>
      <c r="E10" s="48">
        <v>490819961</v>
      </c>
      <c r="F10" s="48">
        <v>131400000</v>
      </c>
      <c r="H10" s="293">
        <v>7</v>
      </c>
      <c r="I10" s="289" t="str">
        <f t="shared" si="0"/>
        <v>Ana Maria Lopez Bedoya</v>
      </c>
      <c r="J10" s="296" t="str">
        <f t="shared" si="2"/>
        <v>Antiguo</v>
      </c>
      <c r="K10" s="296" t="str">
        <f t="shared" si="3"/>
        <v>Antiguo</v>
      </c>
      <c r="L10" s="296" t="str">
        <f t="shared" si="4"/>
        <v>Antiguo</v>
      </c>
      <c r="M10" s="297" t="str">
        <f t="shared" si="5"/>
        <v>Antiguo</v>
      </c>
    </row>
    <row r="11" spans="2:19" x14ac:dyDescent="0.25">
      <c r="B11" s="8" t="s">
        <v>156</v>
      </c>
      <c r="C11" s="48">
        <v>37266666.666666664</v>
      </c>
      <c r="D11" s="48">
        <v>261323333.33333334</v>
      </c>
      <c r="E11" s="48">
        <v>312713373</v>
      </c>
      <c r="F11" s="48">
        <v>83805833.333333328</v>
      </c>
      <c r="H11" s="294">
        <v>8</v>
      </c>
      <c r="I11" s="289" t="str">
        <f t="shared" si="0"/>
        <v>Andrea Del Pilar Sanchez Zarabanda</v>
      </c>
      <c r="J11" s="296" t="str">
        <f t="shared" si="2"/>
        <v>Antiguo</v>
      </c>
      <c r="K11" s="296" t="str">
        <f t="shared" si="3"/>
        <v>Antiguo</v>
      </c>
      <c r="L11" s="296" t="str">
        <f t="shared" si="4"/>
        <v>Antiguo</v>
      </c>
      <c r="M11" s="297" t="str">
        <f t="shared" si="5"/>
        <v>Antiguo</v>
      </c>
    </row>
    <row r="12" spans="2:19" x14ac:dyDescent="0.25">
      <c r="B12" s="8" t="s">
        <v>85</v>
      </c>
      <c r="C12" s="48">
        <v>32000000</v>
      </c>
      <c r="D12" s="48">
        <v>422835523.96878487</v>
      </c>
      <c r="E12" s="48"/>
      <c r="F12" s="48"/>
      <c r="H12" s="294">
        <v>9</v>
      </c>
      <c r="I12" s="289" t="str">
        <f t="shared" si="0"/>
        <v>Angela Maria Rodriguez Pineda</v>
      </c>
      <c r="J12" s="296" t="str">
        <f t="shared" si="2"/>
        <v>Antiguo</v>
      </c>
      <c r="K12" s="296" t="str">
        <f t="shared" si="3"/>
        <v>Antiguo</v>
      </c>
      <c r="L12" s="296" t="str">
        <f t="shared" si="4"/>
        <v>Retirado</v>
      </c>
      <c r="M12" s="297" t="str">
        <f t="shared" si="5"/>
        <v/>
      </c>
    </row>
    <row r="13" spans="2:19" x14ac:dyDescent="0.25">
      <c r="B13" s="8" t="s">
        <v>41</v>
      </c>
      <c r="C13" s="48">
        <v>444620833.33333331</v>
      </c>
      <c r="D13" s="48">
        <v>287006666.66666669</v>
      </c>
      <c r="E13" s="48">
        <v>174970123</v>
      </c>
      <c r="F13" s="48">
        <v>33966666.666666664</v>
      </c>
      <c r="H13" s="293">
        <v>10</v>
      </c>
      <c r="I13" s="289" t="str">
        <f t="shared" si="0"/>
        <v>Angela Rocio Garcia Arango</v>
      </c>
      <c r="J13" s="296" t="str">
        <f t="shared" si="2"/>
        <v>Antiguo</v>
      </c>
      <c r="K13" s="296" t="str">
        <f t="shared" si="3"/>
        <v>Antiguo</v>
      </c>
      <c r="L13" s="296" t="str">
        <f t="shared" si="4"/>
        <v>Antiguo</v>
      </c>
      <c r="M13" s="297" t="str">
        <f t="shared" si="5"/>
        <v>Antiguo</v>
      </c>
    </row>
    <row r="14" spans="2:19" x14ac:dyDescent="0.25">
      <c r="B14" s="8" t="s">
        <v>256</v>
      </c>
      <c r="C14" s="48"/>
      <c r="D14" s="48"/>
      <c r="E14" s="48">
        <v>211666655</v>
      </c>
      <c r="F14" s="48">
        <v>85700000</v>
      </c>
      <c r="H14" s="294">
        <v>11</v>
      </c>
      <c r="I14" s="289" t="str">
        <f t="shared" si="0"/>
        <v>Angie Serna Brand</v>
      </c>
      <c r="J14" s="296" t="str">
        <f t="shared" si="2"/>
        <v/>
      </c>
      <c r="K14" s="296" t="str">
        <f t="shared" si="3"/>
        <v/>
      </c>
      <c r="L14" s="296" t="str">
        <f t="shared" si="4"/>
        <v>Nuevo</v>
      </c>
      <c r="M14" s="297" t="str">
        <f t="shared" si="5"/>
        <v>Antiguo</v>
      </c>
    </row>
    <row r="15" spans="2:19" x14ac:dyDescent="0.25">
      <c r="B15" s="8" t="s">
        <v>55</v>
      </c>
      <c r="C15" s="48">
        <v>154857051.28205127</v>
      </c>
      <c r="D15" s="48">
        <v>6000000</v>
      </c>
      <c r="E15" s="48"/>
      <c r="F15" s="48"/>
      <c r="H15" s="294">
        <v>12</v>
      </c>
      <c r="I15" s="289" t="str">
        <f t="shared" si="0"/>
        <v>Anlly Yulieth Lineros Zorro</v>
      </c>
      <c r="J15" s="296" t="str">
        <f t="shared" si="2"/>
        <v>Antiguo</v>
      </c>
      <c r="K15" s="296" t="str">
        <f t="shared" si="3"/>
        <v>Antiguo</v>
      </c>
      <c r="L15" s="296" t="str">
        <f t="shared" si="4"/>
        <v>Retirado</v>
      </c>
      <c r="M15" s="297" t="str">
        <f t="shared" si="5"/>
        <v/>
      </c>
    </row>
    <row r="16" spans="2:19" x14ac:dyDescent="0.25">
      <c r="B16" s="8" t="s">
        <v>289</v>
      </c>
      <c r="C16" s="48"/>
      <c r="D16" s="48"/>
      <c r="E16" s="48">
        <v>92371783</v>
      </c>
      <c r="F16" s="48">
        <v>115125000</v>
      </c>
      <c r="H16" s="293">
        <v>13</v>
      </c>
      <c r="I16" s="289" t="str">
        <f t="shared" si="0"/>
        <v>Astrid Del Carmen Taborda</v>
      </c>
      <c r="J16" s="296" t="str">
        <f t="shared" si="2"/>
        <v/>
      </c>
      <c r="K16" s="296" t="str">
        <f t="shared" si="3"/>
        <v/>
      </c>
      <c r="L16" s="296" t="str">
        <f t="shared" si="4"/>
        <v>Nuevo</v>
      </c>
      <c r="M16" s="297" t="str">
        <f t="shared" si="5"/>
        <v>Antiguo</v>
      </c>
    </row>
    <row r="17" spans="2:13" x14ac:dyDescent="0.25">
      <c r="B17" s="8" t="s">
        <v>303</v>
      </c>
      <c r="C17" s="48"/>
      <c r="D17" s="48"/>
      <c r="E17" s="48">
        <v>54916659</v>
      </c>
      <c r="F17" s="48">
        <v>85900000</v>
      </c>
      <c r="H17" s="294">
        <v>14</v>
      </c>
      <c r="I17" s="289" t="str">
        <f t="shared" si="0"/>
        <v>Aura Maria Castro Motato</v>
      </c>
      <c r="J17" s="296" t="str">
        <f t="shared" si="2"/>
        <v/>
      </c>
      <c r="K17" s="296" t="str">
        <f t="shared" si="3"/>
        <v/>
      </c>
      <c r="L17" s="296" t="str">
        <f t="shared" si="4"/>
        <v>Nuevo</v>
      </c>
      <c r="M17" s="297" t="str">
        <f t="shared" si="5"/>
        <v>Antiguo</v>
      </c>
    </row>
    <row r="18" spans="2:13" x14ac:dyDescent="0.25">
      <c r="B18" s="8" t="s">
        <v>142</v>
      </c>
      <c r="C18" s="48">
        <v>449558974.3589744</v>
      </c>
      <c r="D18" s="48">
        <v>487625000</v>
      </c>
      <c r="E18" s="48">
        <v>436153855</v>
      </c>
      <c r="F18" s="48">
        <v>128480000</v>
      </c>
      <c r="H18" s="294">
        <v>15</v>
      </c>
      <c r="I18" s="289" t="str">
        <f t="shared" si="0"/>
        <v>Bibiana Bedoya Castellar</v>
      </c>
      <c r="J18" s="296" t="str">
        <f t="shared" si="2"/>
        <v>Antiguo</v>
      </c>
      <c r="K18" s="296" t="str">
        <f t="shared" si="3"/>
        <v>Antiguo</v>
      </c>
      <c r="L18" s="296" t="str">
        <f t="shared" si="4"/>
        <v>Antiguo</v>
      </c>
      <c r="M18" s="297" t="str">
        <f t="shared" si="5"/>
        <v>Antiguo</v>
      </c>
    </row>
    <row r="19" spans="2:13" x14ac:dyDescent="0.25">
      <c r="B19" s="8" t="s">
        <v>106</v>
      </c>
      <c r="C19" s="48"/>
      <c r="D19" s="48">
        <v>226233333.33333334</v>
      </c>
      <c r="E19" s="48">
        <v>318170027</v>
      </c>
      <c r="F19" s="48">
        <v>62950000</v>
      </c>
      <c r="H19" s="293">
        <v>16</v>
      </c>
      <c r="I19" s="289" t="str">
        <f t="shared" si="0"/>
        <v>Camilo Puentes Hernandez</v>
      </c>
      <c r="J19" s="296" t="str">
        <f t="shared" si="2"/>
        <v/>
      </c>
      <c r="K19" s="296" t="str">
        <f t="shared" si="3"/>
        <v>Nuevo</v>
      </c>
      <c r="L19" s="296" t="str">
        <f t="shared" si="4"/>
        <v>Antiguo</v>
      </c>
      <c r="M19" s="297" t="str">
        <f t="shared" si="5"/>
        <v>Antiguo</v>
      </c>
    </row>
    <row r="20" spans="2:13" x14ac:dyDescent="0.25">
      <c r="B20" s="8" t="s">
        <v>167</v>
      </c>
      <c r="C20" s="48"/>
      <c r="D20" s="48">
        <v>168416666.66666669</v>
      </c>
      <c r="E20" s="48">
        <v>507833297</v>
      </c>
      <c r="F20" s="48">
        <v>115920000</v>
      </c>
      <c r="H20" s="294">
        <v>17</v>
      </c>
      <c r="I20" s="289" t="str">
        <f t="shared" si="0"/>
        <v>Carol Cristina Ramirez Monsalve</v>
      </c>
      <c r="J20" s="296" t="str">
        <f t="shared" si="2"/>
        <v/>
      </c>
      <c r="K20" s="296" t="str">
        <f t="shared" si="3"/>
        <v>Nuevo</v>
      </c>
      <c r="L20" s="296" t="str">
        <f t="shared" si="4"/>
        <v>Antiguo</v>
      </c>
      <c r="M20" s="297" t="str">
        <f t="shared" si="5"/>
        <v>Antiguo</v>
      </c>
    </row>
    <row r="21" spans="2:13" x14ac:dyDescent="0.25">
      <c r="B21" s="8" t="s">
        <v>58</v>
      </c>
      <c r="C21" s="48">
        <v>432000000</v>
      </c>
      <c r="D21" s="48">
        <v>376695384.61538458</v>
      </c>
      <c r="E21" s="48"/>
      <c r="F21" s="48"/>
      <c r="H21" s="294">
        <v>18</v>
      </c>
      <c r="I21" s="289" t="str">
        <f t="shared" si="0"/>
        <v>Carolayn Vanegas Beltran</v>
      </c>
      <c r="J21" s="296" t="str">
        <f t="shared" si="2"/>
        <v>Antiguo</v>
      </c>
      <c r="K21" s="296" t="str">
        <f t="shared" si="3"/>
        <v>Antiguo</v>
      </c>
      <c r="L21" s="296" t="str">
        <f t="shared" si="4"/>
        <v>Retirado</v>
      </c>
      <c r="M21" s="297" t="str">
        <f t="shared" si="5"/>
        <v/>
      </c>
    </row>
    <row r="22" spans="2:13" x14ac:dyDescent="0.25">
      <c r="B22" s="8" t="s">
        <v>148</v>
      </c>
      <c r="C22" s="48"/>
      <c r="D22" s="48">
        <v>175900000</v>
      </c>
      <c r="E22" s="48">
        <v>36250000</v>
      </c>
      <c r="F22" s="48"/>
      <c r="H22" s="293">
        <v>19</v>
      </c>
      <c r="I22" s="289" t="str">
        <f t="shared" si="0"/>
        <v>Carolina Rivera Carvajal</v>
      </c>
      <c r="J22" s="296" t="str">
        <f t="shared" si="2"/>
        <v/>
      </c>
      <c r="K22" s="296" t="str">
        <f t="shared" si="3"/>
        <v>Nuevo</v>
      </c>
      <c r="L22" s="296" t="str">
        <f t="shared" si="4"/>
        <v>Antiguo</v>
      </c>
      <c r="M22" s="297" t="str">
        <f t="shared" si="5"/>
        <v>Retirado</v>
      </c>
    </row>
    <row r="23" spans="2:13" x14ac:dyDescent="0.25">
      <c r="B23" s="8" t="s">
        <v>302</v>
      </c>
      <c r="C23" s="48"/>
      <c r="D23" s="48"/>
      <c r="E23" s="48">
        <v>54833349</v>
      </c>
      <c r="F23" s="48">
        <v>99104166.666666657</v>
      </c>
      <c r="H23" s="294">
        <v>20</v>
      </c>
      <c r="I23" s="289" t="str">
        <f t="shared" si="0"/>
        <v>Christian Alberto Vergara Romero</v>
      </c>
      <c r="J23" s="296" t="str">
        <f t="shared" si="2"/>
        <v/>
      </c>
      <c r="K23" s="296" t="str">
        <f t="shared" si="3"/>
        <v/>
      </c>
      <c r="L23" s="296" t="str">
        <f t="shared" si="4"/>
        <v>Nuevo</v>
      </c>
      <c r="M23" s="297" t="str">
        <f t="shared" si="5"/>
        <v>Antiguo</v>
      </c>
    </row>
    <row r="24" spans="2:13" x14ac:dyDescent="0.25">
      <c r="B24" s="8" t="s">
        <v>109</v>
      </c>
      <c r="C24" s="48"/>
      <c r="D24" s="48">
        <v>317081884.057971</v>
      </c>
      <c r="E24" s="48">
        <v>465029605</v>
      </c>
      <c r="F24" s="48">
        <v>104880000</v>
      </c>
      <c r="H24" s="294">
        <v>21</v>
      </c>
      <c r="I24" s="289" t="str">
        <f t="shared" si="0"/>
        <v>Cindy Vanesa Garcia Cuartas</v>
      </c>
      <c r="J24" s="296" t="str">
        <f t="shared" si="2"/>
        <v/>
      </c>
      <c r="K24" s="296" t="str">
        <f t="shared" si="3"/>
        <v>Nuevo</v>
      </c>
      <c r="L24" s="296" t="str">
        <f t="shared" si="4"/>
        <v>Antiguo</v>
      </c>
      <c r="M24" s="297" t="str">
        <f t="shared" si="5"/>
        <v>Antiguo</v>
      </c>
    </row>
    <row r="25" spans="2:13" x14ac:dyDescent="0.25">
      <c r="B25" s="8" t="s">
        <v>35</v>
      </c>
      <c r="C25" s="48">
        <v>453846153.84615386</v>
      </c>
      <c r="D25" s="48">
        <v>470475000</v>
      </c>
      <c r="E25" s="48">
        <v>468510010</v>
      </c>
      <c r="F25" s="48">
        <v>121440000</v>
      </c>
      <c r="H25" s="293">
        <v>22</v>
      </c>
      <c r="I25" s="289" t="str">
        <f t="shared" si="0"/>
        <v>Claudia Maria Blandon Arenas</v>
      </c>
      <c r="J25" s="296" t="str">
        <f t="shared" si="2"/>
        <v>Antiguo</v>
      </c>
      <c r="K25" s="296" t="str">
        <f t="shared" si="3"/>
        <v>Antiguo</v>
      </c>
      <c r="L25" s="296" t="str">
        <f t="shared" si="4"/>
        <v>Antiguo</v>
      </c>
      <c r="M25" s="297" t="str">
        <f t="shared" si="5"/>
        <v>Antiguo</v>
      </c>
    </row>
    <row r="26" spans="2:13" x14ac:dyDescent="0.25">
      <c r="B26" s="8" t="s">
        <v>116</v>
      </c>
      <c r="C26" s="48">
        <v>278833333.33333331</v>
      </c>
      <c r="D26" s="48">
        <v>8800000</v>
      </c>
      <c r="E26" s="48"/>
      <c r="F26" s="48"/>
      <c r="H26" s="294">
        <v>23</v>
      </c>
      <c r="I26" s="289" t="str">
        <f t="shared" si="0"/>
        <v>Claudia Yaneth Palacios Corredor</v>
      </c>
      <c r="J26" s="296" t="str">
        <f t="shared" si="2"/>
        <v>Antiguo</v>
      </c>
      <c r="K26" s="296" t="str">
        <f t="shared" si="3"/>
        <v>Antiguo</v>
      </c>
      <c r="L26" s="296" t="str">
        <f t="shared" si="4"/>
        <v>Retirado</v>
      </c>
      <c r="M26" s="297" t="str">
        <f t="shared" si="5"/>
        <v/>
      </c>
    </row>
    <row r="27" spans="2:13" x14ac:dyDescent="0.25">
      <c r="B27" s="8" t="s">
        <v>287</v>
      </c>
      <c r="C27" s="48"/>
      <c r="D27" s="48"/>
      <c r="E27" s="48">
        <v>118749996</v>
      </c>
      <c r="F27" s="48">
        <v>93000000</v>
      </c>
      <c r="H27" s="294">
        <v>24</v>
      </c>
      <c r="I27" s="289" t="str">
        <f t="shared" si="0"/>
        <v>Dany David Leon Serrato</v>
      </c>
      <c r="J27" s="296" t="str">
        <f t="shared" si="2"/>
        <v/>
      </c>
      <c r="K27" s="296" t="str">
        <f t="shared" si="3"/>
        <v/>
      </c>
      <c r="L27" s="296" t="str">
        <f t="shared" si="4"/>
        <v>Nuevo</v>
      </c>
      <c r="M27" s="297" t="str">
        <f t="shared" si="5"/>
        <v>Antiguo</v>
      </c>
    </row>
    <row r="28" spans="2:13" x14ac:dyDescent="0.25">
      <c r="B28" s="8" t="s">
        <v>96</v>
      </c>
      <c r="C28" s="48"/>
      <c r="D28" s="48">
        <v>496005000</v>
      </c>
      <c r="E28" s="48">
        <v>317679972</v>
      </c>
      <c r="F28" s="48">
        <v>46000000</v>
      </c>
      <c r="H28" s="293">
        <v>25</v>
      </c>
      <c r="I28" s="289" t="str">
        <f t="shared" si="0"/>
        <v>Deisy Carolina Carmona Cardona</v>
      </c>
      <c r="J28" s="296" t="str">
        <f t="shared" si="2"/>
        <v/>
      </c>
      <c r="K28" s="296" t="str">
        <f t="shared" si="3"/>
        <v>Nuevo</v>
      </c>
      <c r="L28" s="296" t="str">
        <f t="shared" si="4"/>
        <v>Antiguo</v>
      </c>
      <c r="M28" s="297" t="str">
        <f t="shared" si="5"/>
        <v>Antiguo</v>
      </c>
    </row>
    <row r="29" spans="2:13" x14ac:dyDescent="0.25">
      <c r="B29" s="8" t="s">
        <v>42</v>
      </c>
      <c r="C29" s="48">
        <v>230256666.66666666</v>
      </c>
      <c r="D29" s="48">
        <v>223333333.33333334</v>
      </c>
      <c r="E29" s="48">
        <v>298958369</v>
      </c>
      <c r="F29" s="48">
        <v>80593333.333333343</v>
      </c>
      <c r="H29" s="294">
        <v>26</v>
      </c>
      <c r="I29" s="289" t="str">
        <f t="shared" si="0"/>
        <v>Derly Yennifer Arteaga Moreno</v>
      </c>
      <c r="J29" s="296" t="str">
        <f t="shared" si="2"/>
        <v>Antiguo</v>
      </c>
      <c r="K29" s="296" t="str">
        <f t="shared" si="3"/>
        <v>Antiguo</v>
      </c>
      <c r="L29" s="296" t="str">
        <f t="shared" si="4"/>
        <v>Antiguo</v>
      </c>
      <c r="M29" s="297" t="str">
        <f t="shared" si="5"/>
        <v>Antiguo</v>
      </c>
    </row>
    <row r="30" spans="2:13" x14ac:dyDescent="0.25">
      <c r="B30" s="8" t="s">
        <v>105</v>
      </c>
      <c r="C30" s="48">
        <v>403853333.33333337</v>
      </c>
      <c r="D30" s="48">
        <v>490916666.66666669</v>
      </c>
      <c r="E30" s="48">
        <v>232833315</v>
      </c>
      <c r="F30" s="48"/>
      <c r="H30" s="294">
        <v>27</v>
      </c>
      <c r="I30" s="289" t="str">
        <f t="shared" si="0"/>
        <v>Diana Catalina Quintero Medina</v>
      </c>
      <c r="J30" s="296" t="str">
        <f t="shared" si="2"/>
        <v>Antiguo</v>
      </c>
      <c r="K30" s="296" t="str">
        <f t="shared" si="3"/>
        <v>Antiguo</v>
      </c>
      <c r="L30" s="296" t="str">
        <f t="shared" si="4"/>
        <v>Antiguo</v>
      </c>
      <c r="M30" s="297" t="str">
        <f t="shared" si="5"/>
        <v>Retirado</v>
      </c>
    </row>
    <row r="31" spans="2:13" x14ac:dyDescent="0.25">
      <c r="B31" s="8" t="s">
        <v>43</v>
      </c>
      <c r="C31" s="48">
        <v>337846153.84615386</v>
      </c>
      <c r="D31" s="48">
        <v>366388846.15384614</v>
      </c>
      <c r="E31" s="48">
        <v>389374963</v>
      </c>
      <c r="F31" s="48">
        <v>85166666.666666672</v>
      </c>
      <c r="H31" s="293">
        <v>28</v>
      </c>
      <c r="I31" s="289" t="str">
        <f t="shared" si="0"/>
        <v>Diana Maria Palacio Alzate</v>
      </c>
      <c r="J31" s="296" t="str">
        <f t="shared" si="2"/>
        <v>Antiguo</v>
      </c>
      <c r="K31" s="296" t="str">
        <f t="shared" si="3"/>
        <v>Antiguo</v>
      </c>
      <c r="L31" s="296" t="str">
        <f t="shared" si="4"/>
        <v>Antiguo</v>
      </c>
      <c r="M31" s="297" t="str">
        <f t="shared" si="5"/>
        <v>Antiguo</v>
      </c>
    </row>
    <row r="32" spans="2:13" x14ac:dyDescent="0.25">
      <c r="B32" s="8" t="s">
        <v>36</v>
      </c>
      <c r="C32" s="48">
        <v>314892308</v>
      </c>
      <c r="D32" s="48">
        <v>373423800</v>
      </c>
      <c r="E32" s="48"/>
      <c r="F32" s="48"/>
      <c r="H32" s="294">
        <v>29</v>
      </c>
      <c r="I32" s="289" t="str">
        <f t="shared" si="0"/>
        <v>Diana Patricia Pobre Pama</v>
      </c>
      <c r="J32" s="296" t="str">
        <f t="shared" si="2"/>
        <v>Antiguo</v>
      </c>
      <c r="K32" s="296" t="str">
        <f t="shared" si="3"/>
        <v>Antiguo</v>
      </c>
      <c r="L32" s="296" t="str">
        <f t="shared" si="4"/>
        <v>Retirado</v>
      </c>
      <c r="M32" s="297" t="str">
        <f t="shared" si="5"/>
        <v/>
      </c>
    </row>
    <row r="33" spans="2:13" x14ac:dyDescent="0.25">
      <c r="B33" s="8" t="s">
        <v>80</v>
      </c>
      <c r="C33" s="48">
        <v>403246153.84615386</v>
      </c>
      <c r="D33" s="48">
        <v>460523768.11594206</v>
      </c>
      <c r="E33" s="48">
        <v>494999966</v>
      </c>
      <c r="F33" s="48">
        <v>120150000</v>
      </c>
      <c r="H33" s="294">
        <v>30</v>
      </c>
      <c r="I33" s="289" t="str">
        <f t="shared" si="0"/>
        <v>Elizabeth Velez Suaza</v>
      </c>
      <c r="J33" s="296" t="str">
        <f t="shared" si="2"/>
        <v>Antiguo</v>
      </c>
      <c r="K33" s="296" t="str">
        <f t="shared" si="3"/>
        <v>Antiguo</v>
      </c>
      <c r="L33" s="296" t="str">
        <f t="shared" si="4"/>
        <v>Antiguo</v>
      </c>
      <c r="M33" s="297" t="str">
        <f t="shared" si="5"/>
        <v>Antiguo</v>
      </c>
    </row>
    <row r="34" spans="2:13" x14ac:dyDescent="0.25">
      <c r="B34" s="8" t="s">
        <v>82</v>
      </c>
      <c r="C34" s="48">
        <v>144272000</v>
      </c>
      <c r="D34" s="48">
        <v>410291666.66666669</v>
      </c>
      <c r="E34" s="48">
        <v>382499990</v>
      </c>
      <c r="F34" s="48">
        <v>87666666.666666672</v>
      </c>
      <c r="H34" s="293">
        <v>31</v>
      </c>
      <c r="I34" s="289" t="str">
        <f t="shared" si="0"/>
        <v>Erika Vanessa Sanchez Valle</v>
      </c>
      <c r="J34" s="296" t="str">
        <f t="shared" si="2"/>
        <v>Antiguo</v>
      </c>
      <c r="K34" s="296" t="str">
        <f t="shared" si="3"/>
        <v>Antiguo</v>
      </c>
      <c r="L34" s="296" t="str">
        <f t="shared" si="4"/>
        <v>Antiguo</v>
      </c>
      <c r="M34" s="297" t="str">
        <f t="shared" si="5"/>
        <v>Antiguo</v>
      </c>
    </row>
    <row r="35" spans="2:13" x14ac:dyDescent="0.25">
      <c r="B35" s="8" t="s">
        <v>60</v>
      </c>
      <c r="C35" s="48">
        <v>450032307.69230771</v>
      </c>
      <c r="D35" s="48">
        <v>480260144.92753625</v>
      </c>
      <c r="E35" s="48">
        <v>487666634</v>
      </c>
      <c r="F35" s="48">
        <v>99820000</v>
      </c>
      <c r="H35" s="294">
        <v>32</v>
      </c>
      <c r="I35" s="289" t="str">
        <f t="shared" si="0"/>
        <v>Genny Natalia Henao Posada</v>
      </c>
      <c r="J35" s="296" t="str">
        <f t="shared" si="2"/>
        <v>Antiguo</v>
      </c>
      <c r="K35" s="296" t="str">
        <f t="shared" si="3"/>
        <v>Antiguo</v>
      </c>
      <c r="L35" s="296" t="str">
        <f t="shared" si="4"/>
        <v>Antiguo</v>
      </c>
      <c r="M35" s="297" t="str">
        <f t="shared" si="5"/>
        <v>Antiguo</v>
      </c>
    </row>
    <row r="36" spans="2:13" x14ac:dyDescent="0.25">
      <c r="B36" s="8" t="s">
        <v>94</v>
      </c>
      <c r="C36" s="48"/>
      <c r="D36" s="48">
        <v>141000000</v>
      </c>
      <c r="E36" s="48"/>
      <c r="F36" s="48"/>
      <c r="H36" s="294">
        <v>33</v>
      </c>
      <c r="I36" s="289" t="str">
        <f t="shared" ref="I36:I67" si="7">+B36</f>
        <v xml:space="preserve">Gisell Alejandra Camacho        </v>
      </c>
      <c r="J36" s="296" t="str">
        <f t="shared" si="2"/>
        <v/>
      </c>
      <c r="K36" s="296" t="str">
        <f t="shared" si="3"/>
        <v>Nuevo</v>
      </c>
      <c r="L36" s="296" t="str">
        <f t="shared" si="4"/>
        <v>Retirado</v>
      </c>
      <c r="M36" s="297" t="str">
        <f t="shared" si="5"/>
        <v/>
      </c>
    </row>
    <row r="37" spans="2:13" x14ac:dyDescent="0.25">
      <c r="B37" s="8" t="s">
        <v>262</v>
      </c>
      <c r="C37" s="48"/>
      <c r="D37" s="48"/>
      <c r="E37" s="48">
        <v>232869662</v>
      </c>
      <c r="F37" s="48">
        <v>77653333.333333328</v>
      </c>
      <c r="H37" s="293">
        <v>34</v>
      </c>
      <c r="I37" s="289" t="str">
        <f t="shared" si="7"/>
        <v>Heidy Johanna Valencia Villamarin</v>
      </c>
      <c r="J37" s="296" t="str">
        <f t="shared" si="2"/>
        <v/>
      </c>
      <c r="K37" s="296" t="str">
        <f t="shared" si="3"/>
        <v/>
      </c>
      <c r="L37" s="296" t="str">
        <f t="shared" si="4"/>
        <v>Nuevo</v>
      </c>
      <c r="M37" s="297" t="str">
        <f t="shared" si="5"/>
        <v>Antiguo</v>
      </c>
    </row>
    <row r="38" spans="2:13" x14ac:dyDescent="0.25">
      <c r="B38" s="8" t="s">
        <v>154</v>
      </c>
      <c r="C38" s="48"/>
      <c r="D38" s="48">
        <v>434375000</v>
      </c>
      <c r="E38" s="48">
        <v>483140010</v>
      </c>
      <c r="F38" s="48">
        <v>128480000</v>
      </c>
      <c r="H38" s="294">
        <v>35</v>
      </c>
      <c r="I38" s="289" t="str">
        <f t="shared" si="7"/>
        <v>Herica Maria Roman</v>
      </c>
      <c r="J38" s="296" t="str">
        <f t="shared" si="2"/>
        <v/>
      </c>
      <c r="K38" s="296" t="str">
        <f t="shared" si="3"/>
        <v>Nuevo</v>
      </c>
      <c r="L38" s="296" t="str">
        <f t="shared" si="4"/>
        <v>Antiguo</v>
      </c>
      <c r="M38" s="297" t="str">
        <f t="shared" si="5"/>
        <v>Antiguo</v>
      </c>
    </row>
    <row r="39" spans="2:13" x14ac:dyDescent="0.25">
      <c r="B39" s="8" t="s">
        <v>95</v>
      </c>
      <c r="C39" s="48"/>
      <c r="D39" s="48">
        <v>296008066.66666663</v>
      </c>
      <c r="E39" s="48">
        <v>218580000</v>
      </c>
      <c r="F39" s="48"/>
      <c r="H39" s="294">
        <v>36</v>
      </c>
      <c r="I39" s="289" t="str">
        <f t="shared" si="7"/>
        <v>Hisnara Emely Osorio Pino</v>
      </c>
      <c r="J39" s="296" t="str">
        <f t="shared" si="2"/>
        <v/>
      </c>
      <c r="K39" s="296" t="str">
        <f t="shared" si="3"/>
        <v>Nuevo</v>
      </c>
      <c r="L39" s="296" t="str">
        <f t="shared" si="4"/>
        <v>Antiguo</v>
      </c>
      <c r="M39" s="297" t="str">
        <f t="shared" si="5"/>
        <v>Retirado</v>
      </c>
    </row>
    <row r="40" spans="2:13" x14ac:dyDescent="0.25">
      <c r="B40" s="8" t="s">
        <v>26</v>
      </c>
      <c r="C40" s="48">
        <v>290073333.33333331</v>
      </c>
      <c r="D40" s="48">
        <v>247866666.66666669</v>
      </c>
      <c r="E40" s="48">
        <v>313833373</v>
      </c>
      <c r="F40" s="48">
        <v>74654166.666666657</v>
      </c>
      <c r="H40" s="293">
        <v>37</v>
      </c>
      <c r="I40" s="289" t="str">
        <f t="shared" si="7"/>
        <v>Isabel Cristina Mora Gomez</v>
      </c>
      <c r="J40" s="296" t="str">
        <f t="shared" si="2"/>
        <v>Antiguo</v>
      </c>
      <c r="K40" s="296" t="str">
        <f t="shared" si="3"/>
        <v>Antiguo</v>
      </c>
      <c r="L40" s="296" t="str">
        <f t="shared" si="4"/>
        <v>Antiguo</v>
      </c>
      <c r="M40" s="297" t="str">
        <f t="shared" si="5"/>
        <v>Antiguo</v>
      </c>
    </row>
    <row r="41" spans="2:13" x14ac:dyDescent="0.25">
      <c r="B41" s="8" t="s">
        <v>52</v>
      </c>
      <c r="C41" s="48">
        <v>338810897.43589747</v>
      </c>
      <c r="D41" s="48">
        <v>369693076.92307693</v>
      </c>
      <c r="E41" s="48">
        <v>232749974</v>
      </c>
      <c r="F41" s="48"/>
      <c r="H41" s="294">
        <v>38</v>
      </c>
      <c r="I41" s="289" t="str">
        <f t="shared" si="7"/>
        <v>Jaqueline Vera Guzman</v>
      </c>
      <c r="J41" s="296" t="str">
        <f t="shared" si="2"/>
        <v>Antiguo</v>
      </c>
      <c r="K41" s="296" t="str">
        <f t="shared" si="3"/>
        <v>Antiguo</v>
      </c>
      <c r="L41" s="296" t="str">
        <f t="shared" si="4"/>
        <v>Antiguo</v>
      </c>
      <c r="M41" s="297" t="str">
        <f t="shared" si="5"/>
        <v>Retirado</v>
      </c>
    </row>
    <row r="42" spans="2:13" x14ac:dyDescent="0.25">
      <c r="B42" s="8" t="s">
        <v>310</v>
      </c>
      <c r="C42" s="48"/>
      <c r="D42" s="48"/>
      <c r="E42" s="48">
        <v>28958333</v>
      </c>
      <c r="F42" s="48">
        <v>64480000</v>
      </c>
      <c r="H42" s="294">
        <v>39</v>
      </c>
      <c r="I42" s="289" t="str">
        <f t="shared" si="7"/>
        <v>Jose Miguel Valderruten Perez</v>
      </c>
      <c r="J42" s="296" t="str">
        <f t="shared" si="2"/>
        <v/>
      </c>
      <c r="K42" s="296" t="str">
        <f t="shared" si="3"/>
        <v/>
      </c>
      <c r="L42" s="296" t="str">
        <f t="shared" si="4"/>
        <v>Nuevo</v>
      </c>
      <c r="M42" s="297" t="str">
        <f t="shared" si="5"/>
        <v>Antiguo</v>
      </c>
    </row>
    <row r="43" spans="2:13" x14ac:dyDescent="0.25">
      <c r="B43" s="8" t="s">
        <v>309</v>
      </c>
      <c r="C43" s="48"/>
      <c r="D43" s="48"/>
      <c r="E43" s="48">
        <v>18333330</v>
      </c>
      <c r="F43" s="48">
        <v>126925000</v>
      </c>
      <c r="H43" s="293">
        <v>40</v>
      </c>
      <c r="I43" s="289" t="str">
        <f t="shared" si="7"/>
        <v>Juan Esteban Vasquez Londoño</v>
      </c>
      <c r="J43" s="296" t="str">
        <f t="shared" si="2"/>
        <v/>
      </c>
      <c r="K43" s="296" t="str">
        <f t="shared" si="3"/>
        <v/>
      </c>
      <c r="L43" s="296" t="str">
        <f t="shared" si="4"/>
        <v>Nuevo</v>
      </c>
      <c r="M43" s="297" t="str">
        <f t="shared" si="5"/>
        <v>Antiguo</v>
      </c>
    </row>
    <row r="44" spans="2:13" x14ac:dyDescent="0.25">
      <c r="B44" s="8" t="s">
        <v>73</v>
      </c>
      <c r="C44" s="48">
        <v>41600000</v>
      </c>
      <c r="D44" s="48"/>
      <c r="E44" s="48"/>
      <c r="F44" s="48"/>
      <c r="H44" s="294">
        <v>41</v>
      </c>
      <c r="I44" s="289" t="str">
        <f t="shared" si="7"/>
        <v>Katherine Vanegas Beltran</v>
      </c>
      <c r="J44" s="296" t="str">
        <f t="shared" si="2"/>
        <v>Antiguo</v>
      </c>
      <c r="K44" s="296" t="str">
        <f t="shared" si="3"/>
        <v>Retirado</v>
      </c>
      <c r="L44" s="296" t="str">
        <f t="shared" si="4"/>
        <v/>
      </c>
      <c r="M44" s="297" t="str">
        <f t="shared" si="5"/>
        <v/>
      </c>
    </row>
    <row r="45" spans="2:13" x14ac:dyDescent="0.25">
      <c r="B45" s="8" t="s">
        <v>70</v>
      </c>
      <c r="C45" s="48">
        <v>57836666.666666672</v>
      </c>
      <c r="D45" s="48"/>
      <c r="E45" s="48"/>
      <c r="F45" s="48"/>
      <c r="H45" s="294">
        <v>42</v>
      </c>
      <c r="I45" s="289" t="str">
        <f t="shared" si="7"/>
        <v>Laura Echavarria Fernandez</v>
      </c>
      <c r="J45" s="296" t="str">
        <f t="shared" si="2"/>
        <v>Antiguo</v>
      </c>
      <c r="K45" s="296" t="str">
        <f t="shared" si="3"/>
        <v>Retirado</v>
      </c>
      <c r="L45" s="296" t="str">
        <f t="shared" si="4"/>
        <v/>
      </c>
      <c r="M45" s="297" t="str">
        <f t="shared" si="5"/>
        <v/>
      </c>
    </row>
    <row r="46" spans="2:13" x14ac:dyDescent="0.25">
      <c r="B46" s="8" t="s">
        <v>146</v>
      </c>
      <c r="C46" s="48">
        <v>258230128.20512819</v>
      </c>
      <c r="D46" s="48">
        <v>410048000.00000006</v>
      </c>
      <c r="E46" s="48">
        <v>490819961</v>
      </c>
      <c r="F46" s="48">
        <v>134320000</v>
      </c>
      <c r="H46" s="293">
        <v>43</v>
      </c>
      <c r="I46" s="289" t="str">
        <f t="shared" si="7"/>
        <v>Leidy Johana Gomez Vinasco</v>
      </c>
      <c r="J46" s="296" t="str">
        <f t="shared" si="2"/>
        <v>Antiguo</v>
      </c>
      <c r="K46" s="296" t="str">
        <f t="shared" si="3"/>
        <v>Antiguo</v>
      </c>
      <c r="L46" s="296" t="str">
        <f t="shared" si="4"/>
        <v>Antiguo</v>
      </c>
      <c r="M46" s="297" t="str">
        <f t="shared" si="5"/>
        <v>Antiguo</v>
      </c>
    </row>
    <row r="47" spans="2:13" x14ac:dyDescent="0.25">
      <c r="B47" s="8" t="s">
        <v>271</v>
      </c>
      <c r="C47" s="48"/>
      <c r="D47" s="48"/>
      <c r="E47" s="48">
        <v>284291653</v>
      </c>
      <c r="F47" s="48">
        <v>128320000</v>
      </c>
      <c r="H47" s="294">
        <v>44</v>
      </c>
      <c r="I47" s="289" t="str">
        <f t="shared" si="7"/>
        <v>Leidy Parra Madrid</v>
      </c>
      <c r="J47" s="296" t="str">
        <f t="shared" si="2"/>
        <v/>
      </c>
      <c r="K47" s="296" t="str">
        <f t="shared" si="3"/>
        <v/>
      </c>
      <c r="L47" s="296" t="str">
        <f t="shared" si="4"/>
        <v>Nuevo</v>
      </c>
      <c r="M47" s="297" t="str">
        <f t="shared" si="5"/>
        <v>Antiguo</v>
      </c>
    </row>
    <row r="48" spans="2:13" x14ac:dyDescent="0.25">
      <c r="B48" s="8" t="s">
        <v>260</v>
      </c>
      <c r="C48" s="48"/>
      <c r="D48" s="48"/>
      <c r="E48" s="48">
        <v>211640885</v>
      </c>
      <c r="F48" s="48">
        <v>83220000</v>
      </c>
      <c r="H48" s="294">
        <v>45</v>
      </c>
      <c r="I48" s="289" t="str">
        <f t="shared" si="7"/>
        <v>Leidy Yasmin Carmona Orrego</v>
      </c>
      <c r="J48" s="296" t="str">
        <f t="shared" si="2"/>
        <v/>
      </c>
      <c r="K48" s="296" t="str">
        <f t="shared" si="3"/>
        <v/>
      </c>
      <c r="L48" s="296" t="str">
        <f t="shared" si="4"/>
        <v>Nuevo</v>
      </c>
      <c r="M48" s="297" t="str">
        <f t="shared" si="5"/>
        <v>Antiguo</v>
      </c>
    </row>
    <row r="49" spans="2:13" x14ac:dyDescent="0.25">
      <c r="B49" s="8" t="s">
        <v>44</v>
      </c>
      <c r="C49" s="48">
        <v>415720000</v>
      </c>
      <c r="D49" s="48">
        <v>478590000</v>
      </c>
      <c r="E49" s="48">
        <v>489257396</v>
      </c>
      <c r="F49" s="48">
        <v>129525000</v>
      </c>
      <c r="H49" s="293">
        <v>46</v>
      </c>
      <c r="I49" s="289" t="str">
        <f t="shared" si="7"/>
        <v>Lila Daniza Cardona Ramirez</v>
      </c>
      <c r="J49" s="296" t="str">
        <f t="shared" si="2"/>
        <v>Antiguo</v>
      </c>
      <c r="K49" s="296" t="str">
        <f t="shared" si="3"/>
        <v>Antiguo</v>
      </c>
      <c r="L49" s="296" t="str">
        <f t="shared" si="4"/>
        <v>Antiguo</v>
      </c>
      <c r="M49" s="297" t="str">
        <f t="shared" si="5"/>
        <v>Antiguo</v>
      </c>
    </row>
    <row r="50" spans="2:13" x14ac:dyDescent="0.25">
      <c r="B50" s="8" t="s">
        <v>107</v>
      </c>
      <c r="C50" s="48"/>
      <c r="D50" s="48">
        <v>99190900</v>
      </c>
      <c r="E50" s="48"/>
      <c r="F50" s="48"/>
      <c r="H50" s="294">
        <v>47</v>
      </c>
      <c r="I50" s="289" t="str">
        <f t="shared" si="7"/>
        <v>Lilibeth Foronda Victoria</v>
      </c>
      <c r="J50" s="296" t="str">
        <f t="shared" si="2"/>
        <v/>
      </c>
      <c r="K50" s="296" t="str">
        <f t="shared" si="3"/>
        <v>Nuevo</v>
      </c>
      <c r="L50" s="296" t="str">
        <f t="shared" si="4"/>
        <v>Retirado</v>
      </c>
      <c r="M50" s="297" t="str">
        <f t="shared" si="5"/>
        <v/>
      </c>
    </row>
    <row r="51" spans="2:13" x14ac:dyDescent="0.25">
      <c r="B51" s="8" t="s">
        <v>69</v>
      </c>
      <c r="C51" s="48">
        <v>141470000</v>
      </c>
      <c r="D51" s="48"/>
      <c r="E51" s="48"/>
      <c r="F51" s="48"/>
      <c r="H51" s="294">
        <v>48</v>
      </c>
      <c r="I51" s="289" t="str">
        <f t="shared" si="7"/>
        <v>Lina Maria Guzman Diaz</v>
      </c>
      <c r="J51" s="296" t="str">
        <f t="shared" si="2"/>
        <v>Antiguo</v>
      </c>
      <c r="K51" s="296" t="str">
        <f t="shared" si="3"/>
        <v>Retirado</v>
      </c>
      <c r="L51" s="296" t="str">
        <f t="shared" si="4"/>
        <v/>
      </c>
      <c r="M51" s="297" t="str">
        <f t="shared" si="5"/>
        <v/>
      </c>
    </row>
    <row r="52" spans="2:13" x14ac:dyDescent="0.25">
      <c r="B52" s="8" t="s">
        <v>291</v>
      </c>
      <c r="C52" s="48"/>
      <c r="D52" s="48"/>
      <c r="E52" s="48">
        <v>119730761</v>
      </c>
      <c r="F52" s="48">
        <v>88500000</v>
      </c>
      <c r="H52" s="293">
        <v>49</v>
      </c>
      <c r="I52" s="289" t="str">
        <f t="shared" si="7"/>
        <v>Lizeth Milena Garcia Sanmartin</v>
      </c>
      <c r="J52" s="296" t="str">
        <f t="shared" si="2"/>
        <v/>
      </c>
      <c r="K52" s="296" t="str">
        <f t="shared" si="3"/>
        <v/>
      </c>
      <c r="L52" s="296" t="str">
        <f t="shared" si="4"/>
        <v>Nuevo</v>
      </c>
      <c r="M52" s="297" t="str">
        <f t="shared" si="5"/>
        <v>Antiguo</v>
      </c>
    </row>
    <row r="53" spans="2:13" x14ac:dyDescent="0.25">
      <c r="B53" s="8" t="s">
        <v>253</v>
      </c>
      <c r="C53" s="48"/>
      <c r="D53" s="48"/>
      <c r="E53" s="48">
        <v>198958353</v>
      </c>
      <c r="F53" s="48">
        <v>74993333.333333343</v>
      </c>
      <c r="H53" s="294">
        <v>50</v>
      </c>
      <c r="I53" s="289" t="str">
        <f t="shared" si="7"/>
        <v>Lorena Bernal Cruz</v>
      </c>
      <c r="J53" s="296" t="str">
        <f t="shared" si="2"/>
        <v/>
      </c>
      <c r="K53" s="296" t="str">
        <f t="shared" si="3"/>
        <v/>
      </c>
      <c r="L53" s="296" t="str">
        <f t="shared" si="4"/>
        <v>Nuevo</v>
      </c>
      <c r="M53" s="297" t="str">
        <f t="shared" si="5"/>
        <v>Antiguo</v>
      </c>
    </row>
    <row r="54" spans="2:13" x14ac:dyDescent="0.25">
      <c r="B54" s="8" t="s">
        <v>45</v>
      </c>
      <c r="C54" s="48">
        <v>242307692.30769232</v>
      </c>
      <c r="D54" s="48">
        <v>290875000</v>
      </c>
      <c r="E54" s="48">
        <v>303849996</v>
      </c>
      <c r="F54" s="48">
        <v>83220000</v>
      </c>
      <c r="H54" s="294">
        <v>51</v>
      </c>
      <c r="I54" s="289" t="str">
        <f t="shared" si="7"/>
        <v>Luz Nidia Hernandez Gonzalez</v>
      </c>
      <c r="J54" s="296" t="str">
        <f t="shared" si="2"/>
        <v>Antiguo</v>
      </c>
      <c r="K54" s="296" t="str">
        <f t="shared" si="3"/>
        <v>Antiguo</v>
      </c>
      <c r="L54" s="296" t="str">
        <f t="shared" si="4"/>
        <v>Antiguo</v>
      </c>
      <c r="M54" s="297" t="str">
        <f t="shared" si="5"/>
        <v>Antiguo</v>
      </c>
    </row>
    <row r="55" spans="2:13" x14ac:dyDescent="0.25">
      <c r="B55" s="8" t="s">
        <v>304</v>
      </c>
      <c r="C55" s="48"/>
      <c r="D55" s="48"/>
      <c r="E55" s="48">
        <v>39725000</v>
      </c>
      <c r="F55" s="48">
        <v>83220000</v>
      </c>
      <c r="H55" s="293">
        <v>52</v>
      </c>
      <c r="I55" s="289" t="str">
        <f t="shared" si="7"/>
        <v>Makerlyn Alexa Bermudez Valderrama</v>
      </c>
      <c r="J55" s="296" t="str">
        <f t="shared" si="2"/>
        <v/>
      </c>
      <c r="K55" s="296" t="str">
        <f t="shared" si="3"/>
        <v/>
      </c>
      <c r="L55" s="296" t="str">
        <f t="shared" si="4"/>
        <v>Nuevo</v>
      </c>
      <c r="M55" s="297" t="str">
        <f t="shared" si="5"/>
        <v>Antiguo</v>
      </c>
    </row>
    <row r="56" spans="2:13" x14ac:dyDescent="0.25">
      <c r="B56" s="8" t="s">
        <v>46</v>
      </c>
      <c r="C56" s="48">
        <v>452307692.30769229</v>
      </c>
      <c r="D56" s="48">
        <v>469717391.30434781</v>
      </c>
      <c r="E56" s="48">
        <v>485083335</v>
      </c>
      <c r="F56" s="48">
        <v>111980000</v>
      </c>
      <c r="H56" s="294">
        <v>53</v>
      </c>
      <c r="I56" s="289" t="str">
        <f t="shared" si="7"/>
        <v>Margarita Maria Garcia Palacio</v>
      </c>
      <c r="J56" s="296" t="str">
        <f t="shared" si="2"/>
        <v>Antiguo</v>
      </c>
      <c r="K56" s="296" t="str">
        <f t="shared" si="3"/>
        <v>Antiguo</v>
      </c>
      <c r="L56" s="296" t="str">
        <f t="shared" si="4"/>
        <v>Antiguo</v>
      </c>
      <c r="M56" s="297" t="str">
        <f t="shared" si="5"/>
        <v>Antiguo</v>
      </c>
    </row>
    <row r="57" spans="2:13" x14ac:dyDescent="0.25">
      <c r="B57" s="8" t="s">
        <v>47</v>
      </c>
      <c r="C57" s="48">
        <v>337090000</v>
      </c>
      <c r="D57" s="48">
        <v>329595000.00000006</v>
      </c>
      <c r="E57" s="48">
        <v>400499990</v>
      </c>
      <c r="F57" s="48">
        <v>86800000</v>
      </c>
      <c r="H57" s="294">
        <v>54</v>
      </c>
      <c r="I57" s="289" t="str">
        <f t="shared" si="7"/>
        <v>Maria Eugenia Marin Sanchez</v>
      </c>
      <c r="J57" s="296" t="str">
        <f t="shared" si="2"/>
        <v>Antiguo</v>
      </c>
      <c r="K57" s="296" t="str">
        <f t="shared" si="3"/>
        <v>Antiguo</v>
      </c>
      <c r="L57" s="296" t="str">
        <f t="shared" si="4"/>
        <v>Antiguo</v>
      </c>
      <c r="M57" s="297" t="str">
        <f t="shared" si="5"/>
        <v>Antiguo</v>
      </c>
    </row>
    <row r="58" spans="2:13" x14ac:dyDescent="0.25">
      <c r="B58" s="8" t="s">
        <v>65</v>
      </c>
      <c r="C58" s="48">
        <v>20800000</v>
      </c>
      <c r="D58" s="48"/>
      <c r="E58" s="48"/>
      <c r="F58" s="48"/>
      <c r="H58" s="293">
        <v>55</v>
      </c>
      <c r="I58" s="289" t="str">
        <f t="shared" si="7"/>
        <v>Maria Gladys Saldaña Acero</v>
      </c>
      <c r="J58" s="296" t="str">
        <f t="shared" si="2"/>
        <v>Antiguo</v>
      </c>
      <c r="K58" s="296" t="str">
        <f t="shared" si="3"/>
        <v>Retirado</v>
      </c>
      <c r="L58" s="296" t="str">
        <f t="shared" si="4"/>
        <v/>
      </c>
      <c r="M58" s="297" t="str">
        <f t="shared" si="5"/>
        <v/>
      </c>
    </row>
    <row r="59" spans="2:13" x14ac:dyDescent="0.25">
      <c r="B59" s="8" t="s">
        <v>285</v>
      </c>
      <c r="C59" s="48"/>
      <c r="D59" s="48"/>
      <c r="E59" s="48">
        <v>120224989</v>
      </c>
      <c r="F59" s="48">
        <v>115966666.66666667</v>
      </c>
      <c r="H59" s="294">
        <v>56</v>
      </c>
      <c r="I59" s="289" t="str">
        <f t="shared" si="7"/>
        <v>Maria Isabel Gomez Ortega</v>
      </c>
      <c r="J59" s="296" t="str">
        <f t="shared" si="2"/>
        <v/>
      </c>
      <c r="K59" s="296" t="str">
        <f t="shared" si="3"/>
        <v/>
      </c>
      <c r="L59" s="296" t="str">
        <f t="shared" si="4"/>
        <v>Nuevo</v>
      </c>
      <c r="M59" s="297" t="str">
        <f t="shared" si="5"/>
        <v>Antiguo</v>
      </c>
    </row>
    <row r="60" spans="2:13" x14ac:dyDescent="0.25">
      <c r="B60" s="8" t="s">
        <v>48</v>
      </c>
      <c r="C60" s="48">
        <v>320644871.79487181</v>
      </c>
      <c r="D60" s="48">
        <v>393250000</v>
      </c>
      <c r="E60" s="48">
        <v>373974963</v>
      </c>
      <c r="F60" s="48">
        <v>101566666.66666667</v>
      </c>
      <c r="H60" s="294">
        <v>57</v>
      </c>
      <c r="I60" s="289" t="str">
        <f t="shared" si="7"/>
        <v>Maria Mercedes Ocampo Ocampo</v>
      </c>
      <c r="J60" s="296" t="str">
        <f t="shared" si="2"/>
        <v>Antiguo</v>
      </c>
      <c r="K60" s="296" t="str">
        <f t="shared" si="3"/>
        <v>Antiguo</v>
      </c>
      <c r="L60" s="296" t="str">
        <f t="shared" si="4"/>
        <v>Antiguo</v>
      </c>
      <c r="M60" s="297" t="str">
        <f t="shared" si="5"/>
        <v>Antiguo</v>
      </c>
    </row>
    <row r="61" spans="2:13" x14ac:dyDescent="0.25">
      <c r="B61" s="8" t="s">
        <v>331</v>
      </c>
      <c r="C61" s="48"/>
      <c r="D61" s="48"/>
      <c r="E61" s="48">
        <v>226710010</v>
      </c>
      <c r="F61" s="48">
        <v>128480000</v>
      </c>
      <c r="H61" s="293">
        <v>58</v>
      </c>
      <c r="I61" s="289" t="str">
        <f t="shared" si="7"/>
        <v>Mariana Higuita Rojas</v>
      </c>
      <c r="J61" s="296" t="str">
        <f t="shared" si="2"/>
        <v/>
      </c>
      <c r="K61" s="296" t="str">
        <f t="shared" si="3"/>
        <v/>
      </c>
      <c r="L61" s="296" t="str">
        <f t="shared" si="4"/>
        <v>Nuevo</v>
      </c>
      <c r="M61" s="297" t="str">
        <f t="shared" si="5"/>
        <v>Antiguo</v>
      </c>
    </row>
    <row r="62" spans="2:13" x14ac:dyDescent="0.25">
      <c r="B62" s="8" t="s">
        <v>53</v>
      </c>
      <c r="C62" s="48">
        <v>448900000</v>
      </c>
      <c r="D62" s="48">
        <v>106599492.75362319</v>
      </c>
      <c r="E62" s="48"/>
      <c r="F62" s="48"/>
      <c r="H62" s="294">
        <v>59</v>
      </c>
      <c r="I62" s="289" t="str">
        <f t="shared" si="7"/>
        <v>Maricela Serna Areiza</v>
      </c>
      <c r="J62" s="296" t="str">
        <f t="shared" si="2"/>
        <v>Antiguo</v>
      </c>
      <c r="K62" s="296" t="str">
        <f t="shared" si="3"/>
        <v>Antiguo</v>
      </c>
      <c r="L62" s="296" t="str">
        <f t="shared" si="4"/>
        <v>Retirado</v>
      </c>
      <c r="M62" s="297" t="str">
        <f t="shared" si="5"/>
        <v/>
      </c>
    </row>
    <row r="63" spans="2:13" x14ac:dyDescent="0.25">
      <c r="B63" s="8" t="s">
        <v>286</v>
      </c>
      <c r="C63" s="48"/>
      <c r="D63" s="48"/>
      <c r="E63" s="48">
        <v>102186540</v>
      </c>
      <c r="F63" s="48">
        <v>83220000</v>
      </c>
      <c r="H63" s="294">
        <v>60</v>
      </c>
      <c r="I63" s="289" t="str">
        <f t="shared" si="7"/>
        <v>Milena Caterine Quintero Olarte</v>
      </c>
      <c r="J63" s="296" t="str">
        <f t="shared" si="2"/>
        <v/>
      </c>
      <c r="K63" s="296" t="str">
        <f t="shared" si="3"/>
        <v/>
      </c>
      <c r="L63" s="296" t="str">
        <f t="shared" si="4"/>
        <v>Nuevo</v>
      </c>
      <c r="M63" s="297" t="str">
        <f t="shared" si="5"/>
        <v>Antiguo</v>
      </c>
    </row>
    <row r="64" spans="2:13" x14ac:dyDescent="0.25">
      <c r="B64" s="8" t="s">
        <v>238</v>
      </c>
      <c r="C64" s="48"/>
      <c r="D64" s="48"/>
      <c r="E64" s="48">
        <v>245965384</v>
      </c>
      <c r="F64" s="48"/>
      <c r="H64" s="293">
        <v>61</v>
      </c>
      <c r="I64" s="289" t="str">
        <f t="shared" si="7"/>
        <v>Monica Arango Giraldo</v>
      </c>
      <c r="J64" s="296" t="str">
        <f t="shared" si="2"/>
        <v/>
      </c>
      <c r="K64" s="296" t="str">
        <f t="shared" si="3"/>
        <v/>
      </c>
      <c r="L64" s="296" t="str">
        <f t="shared" si="4"/>
        <v>Nuevo</v>
      </c>
      <c r="M64" s="297" t="str">
        <f t="shared" si="5"/>
        <v>Retirado</v>
      </c>
    </row>
    <row r="65" spans="2:13" x14ac:dyDescent="0.25">
      <c r="B65" s="8" t="s">
        <v>29</v>
      </c>
      <c r="C65" s="48">
        <v>450066666.66666669</v>
      </c>
      <c r="D65" s="48">
        <v>94732307.692307681</v>
      </c>
      <c r="E65" s="48"/>
      <c r="F65" s="48"/>
      <c r="H65" s="294">
        <v>62</v>
      </c>
      <c r="I65" s="289" t="str">
        <f t="shared" si="7"/>
        <v>Monica Janeth Mejia</v>
      </c>
      <c r="J65" s="296" t="str">
        <f t="shared" si="2"/>
        <v>Antiguo</v>
      </c>
      <c r="K65" s="296" t="str">
        <f t="shared" si="3"/>
        <v>Antiguo</v>
      </c>
      <c r="L65" s="296" t="str">
        <f t="shared" si="4"/>
        <v>Retirado</v>
      </c>
      <c r="M65" s="297" t="str">
        <f t="shared" si="5"/>
        <v/>
      </c>
    </row>
    <row r="66" spans="2:13" x14ac:dyDescent="0.25">
      <c r="B66" s="8" t="s">
        <v>255</v>
      </c>
      <c r="C66" s="48"/>
      <c r="D66" s="48"/>
      <c r="E66" s="48">
        <v>80458912</v>
      </c>
      <c r="F66" s="48"/>
      <c r="H66" s="294">
        <v>63</v>
      </c>
      <c r="I66" s="289" t="str">
        <f t="shared" si="7"/>
        <v>Monica Lopez Salamanca</v>
      </c>
      <c r="J66" s="296" t="str">
        <f t="shared" si="2"/>
        <v/>
      </c>
      <c r="K66" s="296" t="str">
        <f t="shared" si="3"/>
        <v/>
      </c>
      <c r="L66" s="296" t="str">
        <f t="shared" si="4"/>
        <v>Nuevo</v>
      </c>
      <c r="M66" s="297" t="str">
        <f t="shared" si="5"/>
        <v>Retirado</v>
      </c>
    </row>
    <row r="67" spans="2:13" x14ac:dyDescent="0.25">
      <c r="B67" s="8" t="s">
        <v>182</v>
      </c>
      <c r="C67" s="48"/>
      <c r="D67" s="48">
        <v>21500000</v>
      </c>
      <c r="E67" s="48">
        <v>467862539</v>
      </c>
      <c r="F67" s="48">
        <v>106708333.33333334</v>
      </c>
      <c r="H67" s="293">
        <v>64</v>
      </c>
      <c r="I67" s="289" t="str">
        <f t="shared" si="7"/>
        <v>Natalia Andrea Vanegas Morales</v>
      </c>
      <c r="J67" s="296" t="str">
        <f t="shared" si="2"/>
        <v/>
      </c>
      <c r="K67" s="296" t="str">
        <f t="shared" si="3"/>
        <v>Nuevo</v>
      </c>
      <c r="L67" s="296" t="str">
        <f t="shared" si="4"/>
        <v>Antiguo</v>
      </c>
      <c r="M67" s="297" t="str">
        <f t="shared" si="5"/>
        <v>Antiguo</v>
      </c>
    </row>
    <row r="68" spans="2:13" x14ac:dyDescent="0.25">
      <c r="B68" s="8" t="s">
        <v>144</v>
      </c>
      <c r="C68" s="48">
        <v>377150769.23076922</v>
      </c>
      <c r="D68" s="48">
        <v>421560000</v>
      </c>
      <c r="E68" s="48">
        <v>421189794</v>
      </c>
      <c r="F68" s="48">
        <v>116800000</v>
      </c>
      <c r="H68" s="294">
        <v>65</v>
      </c>
      <c r="I68" s="289" t="str">
        <f t="shared" ref="I68:I83" si="8">+B68</f>
        <v>Natalia Pizarro Duque</v>
      </c>
      <c r="J68" s="296" t="str">
        <f t="shared" si="2"/>
        <v>Antiguo</v>
      </c>
      <c r="K68" s="296" t="str">
        <f t="shared" si="3"/>
        <v>Antiguo</v>
      </c>
      <c r="L68" s="296" t="str">
        <f t="shared" si="4"/>
        <v>Antiguo</v>
      </c>
      <c r="M68" s="297" t="str">
        <f t="shared" si="5"/>
        <v>Antiguo</v>
      </c>
    </row>
    <row r="69" spans="2:13" x14ac:dyDescent="0.25">
      <c r="B69" s="8" t="s">
        <v>236</v>
      </c>
      <c r="C69" s="48"/>
      <c r="D69" s="48"/>
      <c r="E69" s="48">
        <v>415679974</v>
      </c>
      <c r="F69" s="48">
        <v>94400000</v>
      </c>
      <c r="H69" s="294">
        <v>66</v>
      </c>
      <c r="I69" s="289" t="str">
        <f t="shared" si="8"/>
        <v>Norely Del Socorro Aristizabal Martinez</v>
      </c>
      <c r="J69" s="296" t="str">
        <f t="shared" ref="J69:J81" si="9">+IF(C69&lt;&gt;"","Antiguo","")</f>
        <v/>
      </c>
      <c r="K69" s="296" t="str">
        <f t="shared" ref="K69:K81" si="10">IF(AND(C69&lt;&gt;"",D69=""),"Retirado",IF(AND(C69="",D69&lt;&gt;""),"Nuevo",IF(AND(C69="",D69=""),"",J69)))</f>
        <v/>
      </c>
      <c r="L69" s="296" t="str">
        <f t="shared" ref="L69:L86" si="11">+IF(AND(D69="",E69&lt;&gt;""),"Nuevo",IF(AND(D69&lt;&gt;"",E69&lt;&gt;""),"Antiguo",IF(AND(D69&lt;&gt;"",E69=""),"Retirado",IF(K69="Retirado","",IF(AND(D69="",E69=""),"","Revisar")))))</f>
        <v>Nuevo</v>
      </c>
      <c r="M69" s="297" t="str">
        <f t="shared" ref="M69:M86" si="12">+IF(AND(L69="",F69&lt;&gt;""),"Nuevo",IF(AND(E69&lt;&gt;"",F69&lt;&gt;""),"Antiguo",IF(AND(E69&lt;&gt;"",F69=""),"Retirado",IF(L69="Retirado","",IF(L69="","","Revisar")))))</f>
        <v>Antiguo</v>
      </c>
    </row>
    <row r="70" spans="2:13" x14ac:dyDescent="0.25">
      <c r="B70" s="8" t="s">
        <v>49</v>
      </c>
      <c r="C70" s="48">
        <v>285480000</v>
      </c>
      <c r="D70" s="48">
        <v>51958333.333333328</v>
      </c>
      <c r="E70" s="48"/>
      <c r="F70" s="48"/>
      <c r="H70" s="293">
        <v>67</v>
      </c>
      <c r="I70" s="289" t="str">
        <f t="shared" si="8"/>
        <v>Oscar Alonso De La Pava Suarez</v>
      </c>
      <c r="J70" s="296" t="str">
        <f t="shared" si="9"/>
        <v>Antiguo</v>
      </c>
      <c r="K70" s="296" t="str">
        <f t="shared" si="10"/>
        <v>Antiguo</v>
      </c>
      <c r="L70" s="296" t="str">
        <f t="shared" si="11"/>
        <v>Retirado</v>
      </c>
      <c r="M70" s="297" t="str">
        <f t="shared" si="12"/>
        <v/>
      </c>
    </row>
    <row r="71" spans="2:13" x14ac:dyDescent="0.25">
      <c r="B71" s="8" t="s">
        <v>93</v>
      </c>
      <c r="C71" s="48"/>
      <c r="D71" s="48">
        <v>342250000</v>
      </c>
      <c r="E71" s="48">
        <v>304733327</v>
      </c>
      <c r="F71" s="48">
        <v>85800000</v>
      </c>
      <c r="H71" s="294">
        <v>68</v>
      </c>
      <c r="I71" s="289" t="str">
        <f t="shared" si="8"/>
        <v>Paola Andrea Pantoja Cabezas        </v>
      </c>
      <c r="J71" s="296" t="str">
        <f t="shared" si="9"/>
        <v/>
      </c>
      <c r="K71" s="296" t="str">
        <f t="shared" si="10"/>
        <v>Nuevo</v>
      </c>
      <c r="L71" s="296" t="str">
        <f t="shared" si="11"/>
        <v>Antiguo</v>
      </c>
      <c r="M71" s="297" t="str">
        <f t="shared" si="12"/>
        <v>Antiguo</v>
      </c>
    </row>
    <row r="72" spans="2:13" x14ac:dyDescent="0.25">
      <c r="B72" s="8" t="s">
        <v>61</v>
      </c>
      <c r="C72" s="48">
        <v>328183076.92307693</v>
      </c>
      <c r="D72" s="48">
        <v>415545289.8550725</v>
      </c>
      <c r="E72" s="48">
        <v>406111764</v>
      </c>
      <c r="F72" s="48">
        <v>74253333.333333328</v>
      </c>
      <c r="H72" s="294">
        <v>69</v>
      </c>
      <c r="I72" s="289" t="str">
        <f t="shared" si="8"/>
        <v>Paula Zoraida Gomez Baena</v>
      </c>
      <c r="J72" s="296" t="str">
        <f t="shared" si="9"/>
        <v>Antiguo</v>
      </c>
      <c r="K72" s="296" t="str">
        <f t="shared" si="10"/>
        <v>Antiguo</v>
      </c>
      <c r="L72" s="296" t="str">
        <f t="shared" si="11"/>
        <v>Antiguo</v>
      </c>
      <c r="M72" s="297" t="str">
        <f t="shared" si="12"/>
        <v>Antiguo</v>
      </c>
    </row>
    <row r="73" spans="2:13" x14ac:dyDescent="0.25">
      <c r="B73" s="8" t="s">
        <v>27</v>
      </c>
      <c r="C73" s="48">
        <v>243411923.07692307</v>
      </c>
      <c r="D73" s="48">
        <v>235000000</v>
      </c>
      <c r="E73" s="48">
        <v>286266065</v>
      </c>
      <c r="F73" s="48">
        <v>6720000</v>
      </c>
      <c r="H73" s="293">
        <v>70</v>
      </c>
      <c r="I73" s="289" t="str">
        <f t="shared" si="8"/>
        <v>Raul Fernando Moreno Garzon</v>
      </c>
      <c r="J73" s="296" t="str">
        <f t="shared" si="9"/>
        <v>Antiguo</v>
      </c>
      <c r="K73" s="296" t="str">
        <f t="shared" si="10"/>
        <v>Antiguo</v>
      </c>
      <c r="L73" s="296" t="str">
        <f t="shared" si="11"/>
        <v>Antiguo</v>
      </c>
      <c r="M73" s="297" t="str">
        <f t="shared" si="12"/>
        <v>Antiguo</v>
      </c>
    </row>
    <row r="74" spans="2:13" x14ac:dyDescent="0.25">
      <c r="B74" s="8" t="s">
        <v>28</v>
      </c>
      <c r="C74" s="48">
        <v>248640000</v>
      </c>
      <c r="D74" s="48">
        <v>280208333.33333331</v>
      </c>
      <c r="E74" s="48">
        <v>425611766</v>
      </c>
      <c r="F74" s="48">
        <v>84236666.666666672</v>
      </c>
      <c r="H74" s="294">
        <v>71</v>
      </c>
      <c r="I74" s="289" t="str">
        <f t="shared" si="8"/>
        <v>Rocio Elena Fajardo Sanchez</v>
      </c>
      <c r="J74" s="296" t="str">
        <f t="shared" si="9"/>
        <v>Antiguo</v>
      </c>
      <c r="K74" s="296" t="str">
        <f t="shared" si="10"/>
        <v>Antiguo</v>
      </c>
      <c r="L74" s="296" t="str">
        <f t="shared" si="11"/>
        <v>Antiguo</v>
      </c>
      <c r="M74" s="297" t="str">
        <f t="shared" si="12"/>
        <v>Antiguo</v>
      </c>
    </row>
    <row r="75" spans="2:13" x14ac:dyDescent="0.25">
      <c r="B75" s="8" t="s">
        <v>268</v>
      </c>
      <c r="C75" s="48"/>
      <c r="D75" s="48"/>
      <c r="E75" s="48">
        <v>246830010</v>
      </c>
      <c r="F75" s="48">
        <v>128480000</v>
      </c>
      <c r="H75" s="294">
        <v>72</v>
      </c>
      <c r="I75" s="289" t="str">
        <f t="shared" si="8"/>
        <v>Sandra Patricia Castrillon Acevedo</v>
      </c>
      <c r="J75" s="296" t="str">
        <f t="shared" si="9"/>
        <v/>
      </c>
      <c r="K75" s="296" t="str">
        <f t="shared" si="10"/>
        <v/>
      </c>
      <c r="L75" s="296" t="str">
        <f t="shared" si="11"/>
        <v>Nuevo</v>
      </c>
      <c r="M75" s="297" t="str">
        <f t="shared" si="12"/>
        <v>Antiguo</v>
      </c>
    </row>
    <row r="76" spans="2:13" x14ac:dyDescent="0.25">
      <c r="B76" s="8" t="s">
        <v>145</v>
      </c>
      <c r="C76" s="48"/>
      <c r="D76" s="48">
        <v>269825000</v>
      </c>
      <c r="E76" s="48">
        <v>490013298</v>
      </c>
      <c r="F76" s="48">
        <v>129525000</v>
      </c>
      <c r="H76" s="293">
        <v>73</v>
      </c>
      <c r="I76" s="289" t="str">
        <f t="shared" si="8"/>
        <v>Suanny Mileidy Hernandez Cordoba</v>
      </c>
      <c r="J76" s="296" t="str">
        <f t="shared" si="9"/>
        <v/>
      </c>
      <c r="K76" s="296" t="str">
        <f t="shared" si="10"/>
        <v>Nuevo</v>
      </c>
      <c r="L76" s="296" t="str">
        <f t="shared" si="11"/>
        <v>Antiguo</v>
      </c>
      <c r="M76" s="297" t="str">
        <f t="shared" si="12"/>
        <v>Antiguo</v>
      </c>
    </row>
    <row r="77" spans="2:13" x14ac:dyDescent="0.25">
      <c r="B77" s="8" t="s">
        <v>150</v>
      </c>
      <c r="C77" s="48"/>
      <c r="D77" s="48">
        <v>200458333.33333334</v>
      </c>
      <c r="E77" s="48">
        <v>345958329</v>
      </c>
      <c r="F77" s="48">
        <v>69750000</v>
      </c>
      <c r="H77" s="294">
        <v>74</v>
      </c>
      <c r="I77" s="289" t="str">
        <f t="shared" si="8"/>
        <v>Tatiana Rivera Trejos</v>
      </c>
      <c r="J77" s="296" t="str">
        <f t="shared" si="9"/>
        <v/>
      </c>
      <c r="K77" s="296" t="str">
        <f t="shared" si="10"/>
        <v>Nuevo</v>
      </c>
      <c r="L77" s="296" t="str">
        <f t="shared" si="11"/>
        <v>Antiguo</v>
      </c>
      <c r="M77" s="297" t="str">
        <f t="shared" si="12"/>
        <v>Antiguo</v>
      </c>
    </row>
    <row r="78" spans="2:13" x14ac:dyDescent="0.25">
      <c r="B78" s="8" t="s">
        <v>267</v>
      </c>
      <c r="C78" s="48"/>
      <c r="D78" s="48"/>
      <c r="E78" s="48">
        <v>83918459</v>
      </c>
      <c r="F78" s="48">
        <v>59520000</v>
      </c>
      <c r="H78" s="294">
        <v>75</v>
      </c>
      <c r="I78" s="289" t="str">
        <f t="shared" si="8"/>
        <v>Vanesa Lopez Bermudez</v>
      </c>
      <c r="J78" s="296" t="str">
        <f t="shared" si="9"/>
        <v/>
      </c>
      <c r="K78" s="296" t="str">
        <f t="shared" si="10"/>
        <v/>
      </c>
      <c r="L78" s="296" t="str">
        <f t="shared" si="11"/>
        <v>Nuevo</v>
      </c>
      <c r="M78" s="297" t="str">
        <f t="shared" si="12"/>
        <v>Antiguo</v>
      </c>
    </row>
    <row r="79" spans="2:13" x14ac:dyDescent="0.25">
      <c r="B79" s="8" t="s">
        <v>293</v>
      </c>
      <c r="C79" s="48"/>
      <c r="D79" s="48"/>
      <c r="E79" s="48">
        <v>103499990</v>
      </c>
      <c r="F79" s="48">
        <v>101960000</v>
      </c>
      <c r="H79" s="293">
        <v>76</v>
      </c>
      <c r="I79" s="289" t="str">
        <f t="shared" si="8"/>
        <v>Viviana Marcela Ruiz</v>
      </c>
      <c r="J79" s="296" t="str">
        <f t="shared" si="9"/>
        <v/>
      </c>
      <c r="K79" s="296" t="str">
        <f t="shared" si="10"/>
        <v/>
      </c>
      <c r="L79" s="296" t="str">
        <f t="shared" si="11"/>
        <v>Nuevo</v>
      </c>
      <c r="M79" s="297" t="str">
        <f t="shared" si="12"/>
        <v>Antiguo</v>
      </c>
    </row>
    <row r="80" spans="2:13" x14ac:dyDescent="0.25">
      <c r="B80" s="8" t="s">
        <v>50</v>
      </c>
      <c r="C80" s="48">
        <v>439871794.87179488</v>
      </c>
      <c r="D80" s="48">
        <v>480067435.8974359</v>
      </c>
      <c r="E80" s="48">
        <v>487666634</v>
      </c>
      <c r="F80" s="48">
        <v>131400000</v>
      </c>
      <c r="H80" s="294">
        <v>77</v>
      </c>
      <c r="I80" s="289" t="str">
        <f t="shared" si="8"/>
        <v>Viviana Maria Vasquez Zapata</v>
      </c>
      <c r="J80" s="296" t="str">
        <f t="shared" si="9"/>
        <v>Antiguo</v>
      </c>
      <c r="K80" s="296" t="str">
        <f t="shared" si="10"/>
        <v>Antiguo</v>
      </c>
      <c r="L80" s="296" t="str">
        <f t="shared" si="11"/>
        <v>Antiguo</v>
      </c>
      <c r="M80" s="297" t="str">
        <f t="shared" si="12"/>
        <v>Antiguo</v>
      </c>
    </row>
    <row r="81" spans="2:13" x14ac:dyDescent="0.25">
      <c r="B81" s="8" t="s">
        <v>170</v>
      </c>
      <c r="C81" s="48"/>
      <c r="D81" s="48">
        <v>68400000</v>
      </c>
      <c r="E81" s="48">
        <v>2400000</v>
      </c>
      <c r="F81" s="48"/>
      <c r="H81" s="294">
        <v>78</v>
      </c>
      <c r="I81" s="289" t="str">
        <f t="shared" si="8"/>
        <v>Yaneth Armero Navia</v>
      </c>
      <c r="J81" s="296" t="str">
        <f t="shared" si="9"/>
        <v/>
      </c>
      <c r="K81" s="296" t="str">
        <f t="shared" si="10"/>
        <v>Nuevo</v>
      </c>
      <c r="L81" s="296" t="str">
        <f t="shared" si="11"/>
        <v>Antiguo</v>
      </c>
      <c r="M81" s="297" t="str">
        <f t="shared" si="12"/>
        <v>Retirado</v>
      </c>
    </row>
    <row r="82" spans="2:13" x14ac:dyDescent="0.25">
      <c r="B82" s="8" t="s">
        <v>183</v>
      </c>
      <c r="C82" s="48"/>
      <c r="D82" s="48">
        <v>39291666.666666664</v>
      </c>
      <c r="E82" s="48">
        <v>498750010</v>
      </c>
      <c r="F82" s="48">
        <v>95846666.666666657</v>
      </c>
      <c r="H82" s="293">
        <v>79</v>
      </c>
      <c r="I82" s="289" t="str">
        <f t="shared" si="8"/>
        <v>Yenifer Paola Sinisterra Giraldo</v>
      </c>
      <c r="J82" s="296" t="str">
        <f t="shared" ref="J82:J86" si="13">+IF(C82&lt;&gt;"","Antiguo","")</f>
        <v/>
      </c>
      <c r="K82" s="296" t="str">
        <f t="shared" ref="K82:K86" si="14">IF(AND(C82&lt;&gt;"",D82=""),"Retirado",IF(AND(C82="",D82&lt;&gt;""),"Nuevo",IF(AND(C82="",D82=""),"",J82)))</f>
        <v>Nuevo</v>
      </c>
      <c r="L82" s="296" t="str">
        <f t="shared" si="11"/>
        <v>Antiguo</v>
      </c>
      <c r="M82" s="297" t="str">
        <f t="shared" si="12"/>
        <v>Antiguo</v>
      </c>
    </row>
    <row r="83" spans="2:13" x14ac:dyDescent="0.25">
      <c r="B83" s="8" t="s">
        <v>97</v>
      </c>
      <c r="C83" s="48"/>
      <c r="D83" s="48">
        <v>499516666.66666669</v>
      </c>
      <c r="E83" s="48">
        <v>490819961</v>
      </c>
      <c r="F83" s="48">
        <v>95680000</v>
      </c>
      <c r="H83" s="294">
        <v>80</v>
      </c>
      <c r="I83" s="289" t="str">
        <f t="shared" si="8"/>
        <v>Yeny Johana Suarez Perez</v>
      </c>
      <c r="J83" s="296" t="str">
        <f t="shared" si="13"/>
        <v/>
      </c>
      <c r="K83" s="296" t="str">
        <f t="shared" si="14"/>
        <v>Nuevo</v>
      </c>
      <c r="L83" s="296" t="str">
        <f t="shared" si="11"/>
        <v>Antiguo</v>
      </c>
      <c r="M83" s="297" t="str">
        <f t="shared" si="12"/>
        <v>Antiguo</v>
      </c>
    </row>
    <row r="84" spans="2:13" x14ac:dyDescent="0.25">
      <c r="B84" s="8" t="s">
        <v>143</v>
      </c>
      <c r="C84" s="48"/>
      <c r="D84" s="48">
        <v>220703333.33333334</v>
      </c>
      <c r="E84" s="48">
        <v>376249966</v>
      </c>
      <c r="F84" s="48">
        <v>95429166.666666672</v>
      </c>
      <c r="H84" s="294">
        <v>81</v>
      </c>
      <c r="I84" s="289" t="str">
        <f t="shared" ref="I84:I86" si="15">+B84</f>
        <v>Yuliana Maria Rios Restrepo</v>
      </c>
      <c r="J84" s="296" t="str">
        <f t="shared" si="13"/>
        <v/>
      </c>
      <c r="K84" s="296" t="str">
        <f t="shared" si="14"/>
        <v>Nuevo</v>
      </c>
      <c r="L84" s="296" t="str">
        <f t="shared" si="11"/>
        <v>Antiguo</v>
      </c>
      <c r="M84" s="297" t="str">
        <f t="shared" si="12"/>
        <v>Antiguo</v>
      </c>
    </row>
    <row r="85" spans="2:13" x14ac:dyDescent="0.25">
      <c r="B85" s="8" t="s">
        <v>118</v>
      </c>
      <c r="C85" s="48"/>
      <c r="D85" s="48">
        <v>327516666.66666669</v>
      </c>
      <c r="E85" s="48">
        <v>484178941</v>
      </c>
      <c r="F85" s="48">
        <v>134080000</v>
      </c>
      <c r="H85" s="293">
        <v>82</v>
      </c>
      <c r="I85" s="289" t="str">
        <f t="shared" si="15"/>
        <v>Yurani Usuga Vergara</v>
      </c>
      <c r="J85" s="296" t="str">
        <f t="shared" si="13"/>
        <v/>
      </c>
      <c r="K85" s="296" t="str">
        <f t="shared" si="14"/>
        <v>Nuevo</v>
      </c>
      <c r="L85" s="296" t="str">
        <f t="shared" si="11"/>
        <v>Antiguo</v>
      </c>
      <c r="M85" s="297" t="str">
        <f t="shared" si="12"/>
        <v>Antiguo</v>
      </c>
    </row>
    <row r="86" spans="2:13" x14ac:dyDescent="0.25">
      <c r="B86" s="8" t="s">
        <v>51</v>
      </c>
      <c r="C86" s="48">
        <v>430976923.07692307</v>
      </c>
      <c r="D86" s="48">
        <v>503458333.33333337</v>
      </c>
      <c r="E86" s="48">
        <v>437038427</v>
      </c>
      <c r="F86" s="48">
        <v>118350000</v>
      </c>
      <c r="H86" s="295">
        <v>83</v>
      </c>
      <c r="I86" s="290" t="str">
        <f t="shared" si="15"/>
        <v>Zuly Johanna Aristizabal Gaviria</v>
      </c>
      <c r="J86" s="298" t="str">
        <f t="shared" si="13"/>
        <v>Antiguo</v>
      </c>
      <c r="K86" s="298" t="str">
        <f t="shared" si="14"/>
        <v>Antiguo</v>
      </c>
      <c r="L86" s="298" t="str">
        <f t="shared" si="11"/>
        <v>Antiguo</v>
      </c>
      <c r="M86" s="299" t="str">
        <f t="shared" si="12"/>
        <v>Antiguo</v>
      </c>
    </row>
    <row r="89" spans="2:13" x14ac:dyDescent="0.25">
      <c r="J89" s="3" t="str">
        <f>+IF(C89&lt;&gt;"","Activo","")</f>
        <v/>
      </c>
      <c r="K89" s="3" t="str">
        <f>IF(AND(C89&lt;&gt;"",D89=""),"Retiro",IF(AND(C89="",D89&lt;&gt;""),"Nuevo",IF(AND(C89="",D89=""),"",J89)))</f>
        <v/>
      </c>
      <c r="L89" s="3" t="str">
        <f>+IF(AND(K89&lt;&gt;"",E89=""),"Retiro",IF(AND(K89="",E89&lt;&gt;""),"Nuevo",""))</f>
        <v/>
      </c>
    </row>
    <row r="90" spans="2:13" x14ac:dyDescent="0.25">
      <c r="J90" s="3" t="str">
        <f>+IF(C90&lt;&gt;"","Activo","")</f>
        <v/>
      </c>
      <c r="K90" s="3" t="str">
        <f>IF(AND(C90&lt;&gt;"",D90=""),"Retiro",IF(AND(C90="",D90&lt;&gt;""),"Nuevo",IF(AND(C90="",D90=""),"",J90)))</f>
        <v/>
      </c>
      <c r="L90" s="3" t="str">
        <f>+IF(AND(K90&lt;&gt;"",E90=""),"Retiro",IF(AND(K90="",E90&lt;&gt;""),"Nuevo",""))</f>
        <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T19"/>
  <sheetViews>
    <sheetView topLeftCell="G1" zoomScale="85" zoomScaleNormal="85" workbookViewId="0">
      <selection activeCell="R19" sqref="R19"/>
    </sheetView>
  </sheetViews>
  <sheetFormatPr baseColWidth="10" defaultRowHeight="15" x14ac:dyDescent="0.25"/>
  <cols>
    <col min="1" max="1" width="5" bestFit="1" customWidth="1"/>
    <col min="2" max="2" width="28.7109375" bestFit="1" customWidth="1"/>
    <col min="3" max="3" width="18" bestFit="1" customWidth="1"/>
    <col min="4" max="4" width="15" bestFit="1" customWidth="1"/>
    <col min="5" max="5" width="13.28515625" bestFit="1" customWidth="1"/>
    <col min="6" max="6" width="22.85546875" bestFit="1" customWidth="1"/>
    <col min="7" max="7" width="14.85546875" bestFit="1" customWidth="1"/>
    <col min="8" max="8" width="14.85546875" customWidth="1"/>
    <col min="9" max="9" width="9" customWidth="1"/>
    <col min="10" max="10" width="5" bestFit="1" customWidth="1"/>
    <col min="11" max="11" width="28.7109375" bestFit="1" customWidth="1"/>
    <col min="12" max="12" width="18.85546875" bestFit="1" customWidth="1"/>
    <col min="13" max="13" width="15" bestFit="1" customWidth="1"/>
    <col min="14" max="14" width="13.28515625" bestFit="1" customWidth="1"/>
    <col min="15" max="15" width="22.42578125" bestFit="1" customWidth="1"/>
    <col min="16" max="16" width="22.85546875" bestFit="1" customWidth="1"/>
    <col min="17" max="17" width="14.85546875" bestFit="1" customWidth="1"/>
    <col min="18" max="18" width="16.42578125" bestFit="1" customWidth="1"/>
    <col min="19" max="19" width="11.85546875" bestFit="1" customWidth="1"/>
  </cols>
  <sheetData>
    <row r="1" spans="1:20" x14ac:dyDescent="0.25">
      <c r="A1" s="316" t="s">
        <v>348</v>
      </c>
      <c r="B1" s="316" t="s">
        <v>349</v>
      </c>
      <c r="C1" s="316" t="s">
        <v>350</v>
      </c>
      <c r="D1" s="316" t="s">
        <v>351</v>
      </c>
      <c r="E1" s="316" t="s">
        <v>352</v>
      </c>
      <c r="F1" s="316" t="s">
        <v>353</v>
      </c>
      <c r="G1" s="316" t="s">
        <v>354</v>
      </c>
      <c r="H1" s="316" t="s">
        <v>355</v>
      </c>
      <c r="J1" s="315" t="s">
        <v>348</v>
      </c>
      <c r="K1" s="315" t="s">
        <v>349</v>
      </c>
      <c r="L1" s="315" t="s">
        <v>350</v>
      </c>
      <c r="M1" s="315" t="s">
        <v>351</v>
      </c>
      <c r="N1" s="315" t="s">
        <v>352</v>
      </c>
      <c r="O1" s="315" t="s">
        <v>356</v>
      </c>
      <c r="P1" s="315" t="s">
        <v>353</v>
      </c>
      <c r="Q1" s="315" t="s">
        <v>354</v>
      </c>
      <c r="R1" s="315" t="s">
        <v>355</v>
      </c>
      <c r="S1" s="336" t="s">
        <v>490</v>
      </c>
      <c r="T1" s="336"/>
    </row>
    <row r="2" spans="1:20" x14ac:dyDescent="0.25">
      <c r="A2">
        <v>2018</v>
      </c>
      <c r="B2" t="s">
        <v>132</v>
      </c>
      <c r="C2">
        <v>3</v>
      </c>
      <c r="D2" s="69">
        <v>1458333.3333333333</v>
      </c>
      <c r="E2" s="69">
        <v>35000000</v>
      </c>
      <c r="F2" s="69">
        <v>1256811911.6676786</v>
      </c>
      <c r="G2" s="69">
        <v>1619591630.0900152</v>
      </c>
      <c r="H2" s="185">
        <v>0.32565229086344483</v>
      </c>
      <c r="I2" s="185"/>
      <c r="J2">
        <v>2019</v>
      </c>
      <c r="K2" s="70" t="s">
        <v>132</v>
      </c>
      <c r="L2" s="70">
        <v>3</v>
      </c>
      <c r="M2" s="71">
        <v>1666666.6666666667</v>
      </c>
      <c r="N2" s="71">
        <v>40000000</v>
      </c>
      <c r="O2" s="71">
        <v>120000000</v>
      </c>
      <c r="P2" s="71">
        <v>1440000000</v>
      </c>
      <c r="Q2" s="71">
        <v>1890076495.1992667</v>
      </c>
      <c r="R2" s="63">
        <v>0.24822923374114617</v>
      </c>
      <c r="S2" s="336"/>
      <c r="T2" s="336"/>
    </row>
    <row r="3" spans="1:20" x14ac:dyDescent="0.25">
      <c r="A3">
        <v>2018</v>
      </c>
      <c r="B3" t="s">
        <v>125</v>
      </c>
      <c r="C3">
        <v>7</v>
      </c>
      <c r="D3" s="69">
        <v>1750000</v>
      </c>
      <c r="E3" s="69">
        <v>42000000</v>
      </c>
      <c r="F3" s="69">
        <v>3528000000</v>
      </c>
      <c r="G3" s="69">
        <v>4596172782.99086</v>
      </c>
      <c r="H3" s="185">
        <v>0.2518183065733498</v>
      </c>
      <c r="I3" s="185"/>
      <c r="J3">
        <v>2019</v>
      </c>
      <c r="K3" s="70" t="s">
        <v>125</v>
      </c>
      <c r="L3" s="70">
        <v>7</v>
      </c>
      <c r="M3" s="71">
        <v>1833333.3333333333</v>
      </c>
      <c r="N3" s="71">
        <v>44000000</v>
      </c>
      <c r="O3" s="71">
        <v>308000000</v>
      </c>
      <c r="P3" s="71">
        <v>3696000000</v>
      </c>
      <c r="Q3" s="71">
        <v>4900549327.4413834</v>
      </c>
      <c r="R3" s="63">
        <v>0.19146084625694046</v>
      </c>
    </row>
    <row r="4" spans="1:20" x14ac:dyDescent="0.25">
      <c r="A4">
        <v>2018</v>
      </c>
      <c r="B4" t="s">
        <v>135</v>
      </c>
      <c r="C4">
        <v>2</v>
      </c>
      <c r="D4" s="69">
        <v>1458333.3333333333</v>
      </c>
      <c r="E4" s="69">
        <v>35000000</v>
      </c>
      <c r="F4" s="69">
        <v>840000000</v>
      </c>
      <c r="G4" s="69">
        <v>1160056739.6621459</v>
      </c>
      <c r="H4" s="185">
        <v>0.257026291931097</v>
      </c>
      <c r="I4" s="185"/>
      <c r="J4">
        <v>2019</v>
      </c>
      <c r="K4" s="70" t="s">
        <v>135</v>
      </c>
      <c r="L4" s="70">
        <v>2</v>
      </c>
      <c r="M4" s="71">
        <v>1541666.6666666667</v>
      </c>
      <c r="N4" s="71">
        <v>37000000</v>
      </c>
      <c r="O4" s="71">
        <v>78000000</v>
      </c>
      <c r="P4" s="71">
        <v>936000000</v>
      </c>
      <c r="Q4" s="71">
        <v>1220729574.6761</v>
      </c>
      <c r="R4" s="63">
        <v>0.18334369173399628</v>
      </c>
    </row>
    <row r="5" spans="1:20" x14ac:dyDescent="0.25">
      <c r="A5">
        <v>2018</v>
      </c>
      <c r="B5" t="s">
        <v>134</v>
      </c>
      <c r="C5">
        <v>3</v>
      </c>
      <c r="D5" s="69">
        <v>1833333.3333333333</v>
      </c>
      <c r="E5" s="69">
        <v>44000000</v>
      </c>
      <c r="F5" s="69">
        <v>1584000000</v>
      </c>
      <c r="G5" s="69">
        <v>2631815237.756671</v>
      </c>
      <c r="H5" s="185">
        <v>0.31692000285449223</v>
      </c>
      <c r="I5" s="185"/>
      <c r="J5">
        <v>2019</v>
      </c>
      <c r="K5" s="70" t="s">
        <v>134</v>
      </c>
      <c r="L5" s="70">
        <v>3</v>
      </c>
      <c r="M5" s="71">
        <v>1875000</v>
      </c>
      <c r="N5" s="71">
        <v>45000000</v>
      </c>
      <c r="O5" s="71">
        <v>183000000</v>
      </c>
      <c r="P5" s="71">
        <v>2196000000</v>
      </c>
      <c r="Q5" s="71">
        <v>2755447427.1848335</v>
      </c>
      <c r="R5" s="63">
        <v>0.26872914771003942</v>
      </c>
    </row>
    <row r="6" spans="1:20" x14ac:dyDescent="0.25">
      <c r="A6">
        <v>2018</v>
      </c>
      <c r="B6" t="s">
        <v>129</v>
      </c>
      <c r="C6">
        <v>5</v>
      </c>
      <c r="D6" s="69">
        <v>1833333.3333333333</v>
      </c>
      <c r="E6" s="69">
        <v>44000000</v>
      </c>
      <c r="F6" s="69">
        <v>2112000000</v>
      </c>
      <c r="G6" s="69">
        <v>3445448130.956532</v>
      </c>
      <c r="H6" s="185">
        <v>0.28880142581315904</v>
      </c>
      <c r="I6" s="185"/>
      <c r="J6">
        <v>2019</v>
      </c>
      <c r="K6" s="70" t="s">
        <v>129</v>
      </c>
      <c r="L6" s="70">
        <v>6</v>
      </c>
      <c r="M6" s="71">
        <v>1875000</v>
      </c>
      <c r="N6" s="71">
        <v>45000000</v>
      </c>
      <c r="O6" s="71">
        <v>270000000</v>
      </c>
      <c r="P6" s="71">
        <v>3240000000</v>
      </c>
      <c r="Q6" s="71">
        <v>4729967392.5066338</v>
      </c>
      <c r="R6" s="63">
        <v>0.24159869494290376</v>
      </c>
    </row>
    <row r="7" spans="1:20" x14ac:dyDescent="0.25">
      <c r="A7">
        <v>2018</v>
      </c>
      <c r="B7" t="s">
        <v>131</v>
      </c>
      <c r="C7">
        <v>7</v>
      </c>
      <c r="D7" s="69">
        <v>1833333.3333333333</v>
      </c>
      <c r="E7" s="69">
        <v>44000000</v>
      </c>
      <c r="F7" s="69">
        <v>3168000000</v>
      </c>
      <c r="G7" s="69">
        <v>4586234447.4990845</v>
      </c>
      <c r="H7" s="185">
        <v>0.26217281975082868</v>
      </c>
      <c r="I7" s="185"/>
      <c r="J7">
        <v>2019</v>
      </c>
      <c r="K7" s="70" t="s">
        <v>131</v>
      </c>
      <c r="L7" s="70">
        <v>7.5</v>
      </c>
      <c r="M7" s="71">
        <v>1916666.6666666667</v>
      </c>
      <c r="N7" s="71">
        <v>46000000</v>
      </c>
      <c r="O7" s="71">
        <v>345000000</v>
      </c>
      <c r="P7" s="71">
        <v>4140000000</v>
      </c>
      <c r="Q7" s="71">
        <v>5210126198.8146667</v>
      </c>
      <c r="R7" s="63">
        <v>0.23355953115360889</v>
      </c>
    </row>
    <row r="8" spans="1:20" x14ac:dyDescent="0.25">
      <c r="A8">
        <v>2018</v>
      </c>
      <c r="B8" t="s">
        <v>127</v>
      </c>
      <c r="C8">
        <v>4.5</v>
      </c>
      <c r="D8" s="69">
        <v>1500000</v>
      </c>
      <c r="E8" s="69">
        <v>36000000</v>
      </c>
      <c r="F8" s="69">
        <v>1566000000</v>
      </c>
      <c r="G8" s="69">
        <v>1945816438.7524705</v>
      </c>
      <c r="H8" s="185">
        <v>0.23549941014549744</v>
      </c>
      <c r="I8" s="185"/>
      <c r="J8">
        <v>2019</v>
      </c>
      <c r="K8" s="70" t="s">
        <v>127</v>
      </c>
      <c r="L8" s="70">
        <v>4.5</v>
      </c>
      <c r="M8" s="71">
        <v>1666666.6666666667</v>
      </c>
      <c r="N8" s="71">
        <v>40000000</v>
      </c>
      <c r="O8" s="71">
        <v>180000000</v>
      </c>
      <c r="P8" s="71">
        <v>2160000000</v>
      </c>
      <c r="Q8" s="71">
        <v>2585322212.6815333</v>
      </c>
      <c r="R8" s="63">
        <v>0.20417257443791775</v>
      </c>
    </row>
    <row r="9" spans="1:20" x14ac:dyDescent="0.25">
      <c r="A9">
        <v>2018</v>
      </c>
      <c r="B9" t="s">
        <v>126</v>
      </c>
      <c r="C9">
        <v>3</v>
      </c>
      <c r="D9" s="69">
        <v>1166666.6666666667</v>
      </c>
      <c r="E9" s="69">
        <v>28000000</v>
      </c>
      <c r="F9" s="69">
        <v>1008000000</v>
      </c>
      <c r="G9" s="69">
        <v>1269089161.0422337</v>
      </c>
      <c r="H9" s="185">
        <v>0.27231429292504417</v>
      </c>
      <c r="I9" s="185"/>
      <c r="J9">
        <v>2019</v>
      </c>
      <c r="K9" s="70" t="s">
        <v>126</v>
      </c>
      <c r="L9" s="70">
        <v>3</v>
      </c>
      <c r="M9" s="71">
        <v>1395833.3333333333</v>
      </c>
      <c r="N9" s="71">
        <v>33500000</v>
      </c>
      <c r="O9" s="71">
        <v>100500000</v>
      </c>
      <c r="P9" s="71">
        <v>1206000000</v>
      </c>
      <c r="Q9" s="71">
        <v>1501188788.1490166</v>
      </c>
      <c r="R9" s="63">
        <v>0.21968101113451699</v>
      </c>
    </row>
    <row r="10" spans="1:20" x14ac:dyDescent="0.25">
      <c r="A10">
        <v>2018</v>
      </c>
      <c r="B10" t="s">
        <v>130</v>
      </c>
      <c r="C10">
        <v>3</v>
      </c>
      <c r="D10" s="69">
        <v>1041666.6666666666</v>
      </c>
      <c r="E10" s="69">
        <v>25000000</v>
      </c>
      <c r="F10" s="69">
        <v>725000000</v>
      </c>
      <c r="G10" s="69">
        <v>919483880.84655201</v>
      </c>
      <c r="H10" s="185">
        <v>0.26903225806451614</v>
      </c>
      <c r="I10" s="185"/>
      <c r="J10">
        <v>2019</v>
      </c>
      <c r="K10" s="70" t="s">
        <v>130</v>
      </c>
      <c r="L10" s="70">
        <v>3</v>
      </c>
      <c r="M10" s="71">
        <v>1166666.6666666667</v>
      </c>
      <c r="N10" s="71">
        <v>28000000</v>
      </c>
      <c r="O10" s="71">
        <v>84000000</v>
      </c>
      <c r="P10" s="71">
        <v>1008000000</v>
      </c>
      <c r="Q10" s="71">
        <v>1224353613.9946334</v>
      </c>
      <c r="R10" s="63">
        <v>0.19170632222977566</v>
      </c>
    </row>
    <row r="11" spans="1:20" x14ac:dyDescent="0.25">
      <c r="A11">
        <v>2018</v>
      </c>
      <c r="B11" t="s">
        <v>133</v>
      </c>
      <c r="C11">
        <v>1</v>
      </c>
      <c r="D11" s="69">
        <v>1250000</v>
      </c>
      <c r="E11" s="69">
        <v>30000000</v>
      </c>
      <c r="F11" s="69">
        <v>346896724.75752485</v>
      </c>
      <c r="G11" s="69">
        <v>360000000</v>
      </c>
      <c r="H11" s="185"/>
      <c r="I11" s="185"/>
      <c r="J11">
        <v>2019</v>
      </c>
      <c r="K11" s="70" t="s">
        <v>133</v>
      </c>
      <c r="L11" s="70">
        <v>1</v>
      </c>
      <c r="M11" s="71">
        <v>1250000</v>
      </c>
      <c r="N11" s="71">
        <v>30000000</v>
      </c>
      <c r="O11" s="71">
        <v>30000000</v>
      </c>
      <c r="P11" s="71">
        <v>360000000</v>
      </c>
      <c r="Q11" s="71">
        <v>415057740.90036696</v>
      </c>
      <c r="R11" s="63"/>
    </row>
    <row r="12" spans="1:20" x14ac:dyDescent="0.25">
      <c r="A12">
        <v>2018</v>
      </c>
      <c r="B12" t="s">
        <v>137</v>
      </c>
      <c r="C12">
        <v>1</v>
      </c>
      <c r="D12" s="69">
        <v>1458333.3333333333</v>
      </c>
      <c r="E12" s="69">
        <v>35000000</v>
      </c>
      <c r="F12" s="69">
        <v>403126334.85370564</v>
      </c>
      <c r="G12" s="69">
        <v>420000000.00000006</v>
      </c>
      <c r="H12" s="185"/>
      <c r="I12" s="185"/>
      <c r="J12">
        <v>2019</v>
      </c>
      <c r="K12" s="72" t="s">
        <v>137</v>
      </c>
      <c r="L12" s="72">
        <v>1</v>
      </c>
      <c r="M12" s="73">
        <v>1541666.6666666667</v>
      </c>
      <c r="N12" s="73">
        <v>37000000</v>
      </c>
      <c r="O12" s="73">
        <v>37000000</v>
      </c>
      <c r="P12" s="73">
        <v>444000000</v>
      </c>
      <c r="Q12" s="73">
        <v>547144747.07284999</v>
      </c>
      <c r="R12" s="63"/>
    </row>
    <row r="13" spans="1:20" x14ac:dyDescent="0.25">
      <c r="A13">
        <v>2018</v>
      </c>
      <c r="B13" t="s">
        <v>128</v>
      </c>
      <c r="C13">
        <v>1.5</v>
      </c>
      <c r="D13" s="69">
        <v>1666666.6666666667</v>
      </c>
      <c r="E13" s="69">
        <v>40000000</v>
      </c>
      <c r="F13" s="69">
        <v>480000000</v>
      </c>
      <c r="G13" s="69">
        <v>791999999.99999976</v>
      </c>
      <c r="H13" s="185"/>
      <c r="I13" s="185"/>
      <c r="J13">
        <v>2019</v>
      </c>
      <c r="K13" s="72" t="s">
        <v>128</v>
      </c>
      <c r="L13" s="72">
        <v>1</v>
      </c>
      <c r="M13" s="73">
        <v>1666666.6666666667</v>
      </c>
      <c r="N13" s="73">
        <v>40000000</v>
      </c>
      <c r="O13" s="73">
        <v>40000000</v>
      </c>
      <c r="P13" s="73">
        <v>480000000</v>
      </c>
      <c r="Q13" s="73">
        <v>897239888.25685</v>
      </c>
      <c r="R13" s="63"/>
    </row>
    <row r="14" spans="1:20" x14ac:dyDescent="0.25">
      <c r="A14">
        <v>2018</v>
      </c>
      <c r="B14" t="s">
        <v>124</v>
      </c>
      <c r="C14">
        <v>1</v>
      </c>
      <c r="D14" s="69">
        <v>1833333.3333333333</v>
      </c>
      <c r="E14" s="69">
        <v>44000000</v>
      </c>
      <c r="F14" s="69">
        <v>359878157.12739396</v>
      </c>
      <c r="G14" s="69">
        <v>570000000.00000012</v>
      </c>
      <c r="H14" s="185"/>
      <c r="I14" s="185"/>
      <c r="J14">
        <v>2019</v>
      </c>
      <c r="K14" s="72" t="s">
        <v>124</v>
      </c>
      <c r="L14" s="72">
        <v>1</v>
      </c>
      <c r="M14" s="73">
        <v>1833333.3333333333</v>
      </c>
      <c r="N14" s="73">
        <v>44000000</v>
      </c>
      <c r="O14" s="73">
        <v>44000000</v>
      </c>
      <c r="P14" s="73">
        <v>396000000</v>
      </c>
      <c r="Q14" s="73">
        <v>513000000</v>
      </c>
      <c r="R14" s="63"/>
    </row>
    <row r="15" spans="1:20" x14ac:dyDescent="0.25">
      <c r="A15">
        <v>2018</v>
      </c>
      <c r="B15" t="s">
        <v>123</v>
      </c>
      <c r="C15">
        <v>1</v>
      </c>
      <c r="D15" s="69">
        <v>1064855</v>
      </c>
      <c r="E15" s="69">
        <v>25556520</v>
      </c>
      <c r="F15" s="69">
        <v>229427558.7153846</v>
      </c>
      <c r="G15" s="69">
        <v>229427558.7153846</v>
      </c>
      <c r="H15" s="185"/>
      <c r="I15" s="185"/>
      <c r="J15">
        <v>2019</v>
      </c>
      <c r="K15" s="70" t="s">
        <v>123</v>
      </c>
      <c r="L15" s="70">
        <v>1</v>
      </c>
      <c r="M15" s="71">
        <v>1083333.3333333333</v>
      </c>
      <c r="N15" s="71">
        <v>26000000</v>
      </c>
      <c r="O15" s="71">
        <v>26000000</v>
      </c>
      <c r="P15" s="71">
        <v>234000000</v>
      </c>
      <c r="Q15" s="71">
        <v>234000000</v>
      </c>
      <c r="R15" s="63"/>
    </row>
    <row r="16" spans="1:20" x14ac:dyDescent="0.25">
      <c r="A16">
        <v>2018</v>
      </c>
      <c r="B16" t="s">
        <v>252</v>
      </c>
      <c r="C16">
        <v>5</v>
      </c>
      <c r="D16" s="69">
        <v>1250000</v>
      </c>
      <c r="E16" s="69">
        <v>30000000</v>
      </c>
      <c r="F16" s="69">
        <v>1380000000</v>
      </c>
      <c r="G16" s="69">
        <v>1686997307.0306993</v>
      </c>
      <c r="H16" s="185">
        <v>0.21855615679028639</v>
      </c>
      <c r="I16" s="185"/>
      <c r="J16">
        <v>2019</v>
      </c>
      <c r="K16" s="70" t="s">
        <v>252</v>
      </c>
      <c r="L16" s="70">
        <v>3</v>
      </c>
      <c r="M16" s="71">
        <v>1291666.6666666667</v>
      </c>
      <c r="N16" s="71">
        <v>31000000</v>
      </c>
      <c r="O16" s="71">
        <v>93000000</v>
      </c>
      <c r="P16" s="71">
        <v>1116000000</v>
      </c>
      <c r="Q16" s="71">
        <v>1466441091.9318836</v>
      </c>
      <c r="R16" s="63"/>
    </row>
    <row r="17" spans="1:18" x14ac:dyDescent="0.25">
      <c r="A17">
        <v>2018</v>
      </c>
      <c r="B17" t="s">
        <v>300</v>
      </c>
      <c r="C17">
        <v>4</v>
      </c>
      <c r="D17" s="69">
        <f>+E17/24</f>
        <v>1075000</v>
      </c>
      <c r="E17" s="69">
        <v>25800000</v>
      </c>
      <c r="F17" s="71">
        <v>174200000</v>
      </c>
      <c r="G17" s="71">
        <v>198200000</v>
      </c>
      <c r="H17" s="314">
        <v>0.23316062176165803</v>
      </c>
      <c r="I17" s="185"/>
      <c r="J17">
        <v>2019</v>
      </c>
      <c r="K17" s="70" t="s">
        <v>300</v>
      </c>
      <c r="L17" s="70">
        <v>5</v>
      </c>
      <c r="M17" s="71">
        <v>1187500</v>
      </c>
      <c r="N17" s="71">
        <v>28500000</v>
      </c>
      <c r="O17" s="71">
        <v>142500000</v>
      </c>
      <c r="P17" s="71">
        <v>1710000000</v>
      </c>
      <c r="Q17" s="71">
        <v>2340000000</v>
      </c>
      <c r="R17" s="63"/>
    </row>
    <row r="18" spans="1:18" x14ac:dyDescent="0.25">
      <c r="A18">
        <v>2018</v>
      </c>
      <c r="B18" t="s">
        <v>301</v>
      </c>
      <c r="C18">
        <v>3</v>
      </c>
      <c r="D18" s="69">
        <v>1083333.3333333333</v>
      </c>
      <c r="E18" s="69">
        <v>26000000</v>
      </c>
      <c r="F18" s="71">
        <v>93000000</v>
      </c>
      <c r="G18" s="71">
        <v>119175000</v>
      </c>
      <c r="H18" s="314"/>
      <c r="I18" s="185"/>
      <c r="J18">
        <v>2019</v>
      </c>
      <c r="K18" s="70" t="s">
        <v>301</v>
      </c>
      <c r="L18" s="70">
        <v>3</v>
      </c>
      <c r="M18" s="70">
        <v>1187500</v>
      </c>
      <c r="N18" s="70">
        <v>28500000</v>
      </c>
      <c r="O18" s="71">
        <v>85500000</v>
      </c>
      <c r="P18" s="71">
        <v>1026000000</v>
      </c>
      <c r="Q18" s="71">
        <v>1294200000</v>
      </c>
      <c r="R18" s="63"/>
    </row>
    <row r="19" spans="1:18" x14ac:dyDescent="0.25">
      <c r="A19">
        <v>2018</v>
      </c>
      <c r="B19" t="s">
        <v>357</v>
      </c>
      <c r="F19" s="74">
        <f>SUM(F2:F18)</f>
        <v>19254340687.121689</v>
      </c>
      <c r="G19" s="74">
        <f>SUM(G2:G18)</f>
        <v>26549508315.342651</v>
      </c>
      <c r="H19" s="185">
        <v>0.26538484872997897</v>
      </c>
      <c r="I19" s="185"/>
      <c r="J19">
        <v>2019</v>
      </c>
      <c r="K19" s="70" t="s">
        <v>357</v>
      </c>
      <c r="L19" s="70"/>
      <c r="M19" s="70"/>
      <c r="N19" s="70"/>
      <c r="O19" s="71">
        <f>SUM(O2:O18)</f>
        <v>2166500000</v>
      </c>
      <c r="P19" s="71">
        <f>SUM(P2:P18)</f>
        <v>25788000000</v>
      </c>
      <c r="Q19" s="71">
        <f>SUM(Q2:Q18)</f>
        <v>33724844498.81002</v>
      </c>
      <c r="R19" s="63">
        <v>0.21934161066180657</v>
      </c>
    </row>
  </sheetData>
  <mergeCells count="1">
    <mergeCell ref="S1:T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B1:T446"/>
  <sheetViews>
    <sheetView showGridLines="0" zoomScaleNormal="100" workbookViewId="0">
      <pane ySplit="1" topLeftCell="A427" activePane="bottomLeft" state="frozen"/>
      <selection activeCell="M9" sqref="M9"/>
      <selection pane="bottomLeft" activeCell="B446" sqref="B446"/>
    </sheetView>
  </sheetViews>
  <sheetFormatPr baseColWidth="10" defaultRowHeight="15" x14ac:dyDescent="0.25"/>
  <cols>
    <col min="1" max="1" width="6" customWidth="1"/>
    <col min="2" max="2" width="4.42578125" bestFit="1" customWidth="1"/>
    <col min="3" max="3" width="9.140625" bestFit="1" customWidth="1"/>
    <col min="4" max="4" width="23.140625" bestFit="1" customWidth="1"/>
    <col min="5" max="6" width="11.7109375" bestFit="1" customWidth="1"/>
    <col min="7" max="7" width="12.28515625" style="187" bestFit="1" customWidth="1"/>
    <col min="8" max="8" width="0.85546875" customWidth="1"/>
    <col min="9" max="9" width="13.85546875" bestFit="1" customWidth="1"/>
    <col min="10" max="10" width="18.140625" bestFit="1" customWidth="1"/>
    <col min="11" max="11" width="11" bestFit="1" customWidth="1"/>
    <col min="12" max="12" width="4.42578125" bestFit="1" customWidth="1"/>
    <col min="13" max="13" width="9.140625" bestFit="1" customWidth="1"/>
    <col min="14" max="14" width="13.140625" bestFit="1" customWidth="1"/>
    <col min="15" max="16" width="11.7109375" bestFit="1" customWidth="1"/>
    <col min="17" max="17" width="12.28515625" bestFit="1" customWidth="1"/>
    <col min="18" max="18" width="1.7109375" customWidth="1"/>
    <col min="19" max="19" width="13.85546875" bestFit="1" customWidth="1"/>
    <col min="20" max="20" width="11.140625" bestFit="1" customWidth="1"/>
  </cols>
  <sheetData>
    <row r="1" spans="2:20" ht="29.25" customHeight="1" x14ac:dyDescent="0.25">
      <c r="B1" s="5" t="s">
        <v>114</v>
      </c>
      <c r="C1" s="5" t="s">
        <v>0</v>
      </c>
      <c r="D1" s="5" t="s">
        <v>446</v>
      </c>
      <c r="E1" s="200" t="s">
        <v>447</v>
      </c>
      <c r="F1" s="200" t="s">
        <v>448</v>
      </c>
      <c r="G1" s="201" t="s">
        <v>449</v>
      </c>
      <c r="I1" s="200" t="s">
        <v>450</v>
      </c>
      <c r="J1" s="200" t="s">
        <v>451</v>
      </c>
      <c r="L1" s="5" t="s">
        <v>114</v>
      </c>
      <c r="M1" s="5" t="s">
        <v>0</v>
      </c>
      <c r="N1" s="5" t="s">
        <v>446</v>
      </c>
      <c r="O1" s="200" t="s">
        <v>447</v>
      </c>
      <c r="P1" s="200" t="s">
        <v>448</v>
      </c>
      <c r="Q1" s="201" t="s">
        <v>449</v>
      </c>
      <c r="S1" s="200" t="s">
        <v>450</v>
      </c>
      <c r="T1" s="200" t="s">
        <v>451</v>
      </c>
    </row>
    <row r="2" spans="2:20" x14ac:dyDescent="0.25">
      <c r="B2" s="4">
        <v>2017</v>
      </c>
      <c r="C2" s="4" t="s">
        <v>122</v>
      </c>
      <c r="D2" s="1" t="s">
        <v>123</v>
      </c>
      <c r="E2" s="202">
        <v>0</v>
      </c>
      <c r="F2" s="203">
        <v>0</v>
      </c>
      <c r="G2" s="204">
        <v>0</v>
      </c>
      <c r="I2" s="203">
        <v>0</v>
      </c>
      <c r="J2" s="202">
        <v>0</v>
      </c>
      <c r="L2" s="5">
        <v>2017</v>
      </c>
      <c r="M2" s="5" t="s">
        <v>122</v>
      </c>
      <c r="N2" s="5" t="s">
        <v>430</v>
      </c>
      <c r="O2" s="205">
        <v>1564330235</v>
      </c>
      <c r="P2" s="205">
        <v>1695745814.5444274</v>
      </c>
      <c r="Q2" s="206">
        <v>0.92250278407455011</v>
      </c>
      <c r="S2" s="205">
        <v>1695745814.5444274</v>
      </c>
      <c r="T2" s="205">
        <v>-131415579.54442732</v>
      </c>
    </row>
    <row r="3" spans="2:20" x14ac:dyDescent="0.25">
      <c r="B3" s="4">
        <v>2017</v>
      </c>
      <c r="C3" s="4" t="s">
        <v>122</v>
      </c>
      <c r="D3" s="1" t="s">
        <v>124</v>
      </c>
      <c r="E3" s="202">
        <v>-158312</v>
      </c>
      <c r="F3" s="203">
        <v>0</v>
      </c>
      <c r="G3" s="204">
        <v>0</v>
      </c>
      <c r="I3" s="203">
        <v>0</v>
      </c>
      <c r="J3" s="202">
        <v>-158312</v>
      </c>
      <c r="L3" s="5">
        <v>2017</v>
      </c>
      <c r="M3" s="5" t="s">
        <v>138</v>
      </c>
      <c r="N3" s="5" t="s">
        <v>430</v>
      </c>
      <c r="O3" s="205">
        <v>1643777617</v>
      </c>
      <c r="P3" s="205">
        <v>1769466529.9915817</v>
      </c>
      <c r="Q3" s="206">
        <v>0.92896790594158363</v>
      </c>
      <c r="S3" s="205">
        <v>1769466529.9915817</v>
      </c>
      <c r="T3" s="205">
        <v>-125688912.99158178</v>
      </c>
    </row>
    <row r="4" spans="2:20" x14ac:dyDescent="0.25">
      <c r="B4" s="4">
        <v>2017</v>
      </c>
      <c r="C4" s="4" t="s">
        <v>122</v>
      </c>
      <c r="D4" s="1" t="s">
        <v>125</v>
      </c>
      <c r="E4" s="202">
        <v>329693590</v>
      </c>
      <c r="F4" s="203">
        <v>330535441.5850994</v>
      </c>
      <c r="G4" s="204">
        <v>0.9974530671172136</v>
      </c>
      <c r="I4" s="203">
        <v>330535441.5850994</v>
      </c>
      <c r="J4" s="202">
        <v>-841851.58509939909</v>
      </c>
      <c r="L4" s="5">
        <v>2017</v>
      </c>
      <c r="M4" s="5" t="s">
        <v>139</v>
      </c>
      <c r="N4" s="5" t="s">
        <v>430</v>
      </c>
      <c r="O4" s="205">
        <v>1821771372</v>
      </c>
      <c r="P4" s="205">
        <v>1769466529.9915817</v>
      </c>
      <c r="Q4" s="206">
        <v>1.0295596673471226</v>
      </c>
      <c r="S4" s="205">
        <v>1769466529.9915817</v>
      </c>
      <c r="T4" s="205">
        <v>52304842.008418217</v>
      </c>
    </row>
    <row r="5" spans="2:20" x14ac:dyDescent="0.25">
      <c r="B5" s="4">
        <v>2017</v>
      </c>
      <c r="C5" s="4" t="s">
        <v>122</v>
      </c>
      <c r="D5" s="1" t="s">
        <v>126</v>
      </c>
      <c r="E5" s="202">
        <v>82360643</v>
      </c>
      <c r="F5" s="203">
        <v>79437687.138563663</v>
      </c>
      <c r="G5" s="204">
        <v>1.0367955811243321</v>
      </c>
      <c r="I5" s="203">
        <v>79437687.138563663</v>
      </c>
      <c r="J5" s="202">
        <v>2922955.8614363372</v>
      </c>
      <c r="L5" s="5">
        <v>2017</v>
      </c>
      <c r="M5" s="5" t="s">
        <v>140</v>
      </c>
      <c r="N5" s="5" t="s">
        <v>430</v>
      </c>
      <c r="O5" s="205">
        <v>1703183189</v>
      </c>
      <c r="P5" s="205">
        <v>1769466529.9915817</v>
      </c>
      <c r="Q5" s="206">
        <v>0.96254049462472901</v>
      </c>
      <c r="S5" s="205">
        <v>1757179744.0837226</v>
      </c>
      <c r="T5" s="205">
        <v>-66283340.991581783</v>
      </c>
    </row>
    <row r="6" spans="2:20" x14ac:dyDescent="0.25">
      <c r="B6" s="4">
        <v>2017</v>
      </c>
      <c r="C6" s="4" t="s">
        <v>122</v>
      </c>
      <c r="D6" s="1" t="s">
        <v>127</v>
      </c>
      <c r="E6" s="202">
        <v>133420305</v>
      </c>
      <c r="F6" s="203">
        <v>98040755.197133005</v>
      </c>
      <c r="G6" s="204">
        <v>1.3608657413106258</v>
      </c>
      <c r="I6" s="203">
        <v>98040755.197133005</v>
      </c>
      <c r="J6" s="202">
        <v>35379549.802866995</v>
      </c>
      <c r="L6" s="5">
        <v>2017</v>
      </c>
      <c r="M6" s="5" t="s">
        <v>141</v>
      </c>
      <c r="N6" s="5" t="s">
        <v>430</v>
      </c>
      <c r="O6" s="205">
        <v>1913388943</v>
      </c>
      <c r="P6" s="205">
        <v>1769466529.9915817</v>
      </c>
      <c r="Q6" s="206">
        <v>1.0813366122325598</v>
      </c>
      <c r="S6" s="205">
        <v>1757179744.0837226</v>
      </c>
      <c r="T6" s="205">
        <v>143922413.00841817</v>
      </c>
    </row>
    <row r="7" spans="2:20" x14ac:dyDescent="0.25">
      <c r="B7" s="4">
        <v>2017</v>
      </c>
      <c r="C7" s="4" t="s">
        <v>122</v>
      </c>
      <c r="D7" s="1" t="s">
        <v>128</v>
      </c>
      <c r="E7" s="202">
        <v>38891515</v>
      </c>
      <c r="F7" s="203">
        <v>52124054.829347007</v>
      </c>
      <c r="G7" s="204">
        <v>0.74613372131792033</v>
      </c>
      <c r="I7" s="203">
        <v>52124054.829347007</v>
      </c>
      <c r="J7" s="202">
        <v>-13232539.829347007</v>
      </c>
      <c r="L7" s="5">
        <v>2017</v>
      </c>
      <c r="M7" s="5" t="s">
        <v>153</v>
      </c>
      <c r="N7" s="5" t="s">
        <v>430</v>
      </c>
      <c r="O7" s="205">
        <v>1978436302</v>
      </c>
      <c r="P7" s="205">
        <v>1769466529.9915817</v>
      </c>
      <c r="Q7" s="206">
        <v>1.1180976121709476</v>
      </c>
      <c r="S7" s="205">
        <v>1769466529.9915817</v>
      </c>
      <c r="T7" s="205">
        <v>208969772.00841817</v>
      </c>
    </row>
    <row r="8" spans="2:20" x14ac:dyDescent="0.25">
      <c r="B8" s="4">
        <v>2017</v>
      </c>
      <c r="C8" s="4" t="s">
        <v>122</v>
      </c>
      <c r="D8" s="1" t="s">
        <v>129</v>
      </c>
      <c r="E8" s="202">
        <v>160114249</v>
      </c>
      <c r="F8" s="203">
        <v>175480906.16871634</v>
      </c>
      <c r="G8" s="204">
        <v>0.91243117268871377</v>
      </c>
      <c r="I8" s="203">
        <v>175480906.16871634</v>
      </c>
      <c r="J8" s="202">
        <v>-15366657.168716341</v>
      </c>
      <c r="L8" s="5">
        <v>2017</v>
      </c>
      <c r="M8" s="5" t="s">
        <v>157</v>
      </c>
      <c r="N8" s="5" t="s">
        <v>430</v>
      </c>
      <c r="O8" s="205">
        <v>2051097389</v>
      </c>
      <c r="P8" s="205">
        <v>1769466529.9915817</v>
      </c>
      <c r="Q8" s="206">
        <v>1.159161450208249</v>
      </c>
      <c r="S8" s="205">
        <v>1769466529.9915817</v>
      </c>
      <c r="T8" s="205">
        <v>281630859.0084182</v>
      </c>
    </row>
    <row r="9" spans="2:20" x14ac:dyDescent="0.25">
      <c r="B9" s="4">
        <v>2017</v>
      </c>
      <c r="C9" s="4" t="s">
        <v>122</v>
      </c>
      <c r="D9" s="1" t="s">
        <v>130</v>
      </c>
      <c r="E9" s="202">
        <v>52343222</v>
      </c>
      <c r="F9" s="203">
        <v>48652850.645672902</v>
      </c>
      <c r="G9" s="204">
        <v>1.0758510818040898</v>
      </c>
      <c r="I9" s="203">
        <v>48652850.645672902</v>
      </c>
      <c r="J9" s="202">
        <v>3690371.3543270975</v>
      </c>
      <c r="L9" s="5">
        <v>2017</v>
      </c>
      <c r="M9" s="5" t="s">
        <v>158</v>
      </c>
      <c r="N9" s="5" t="s">
        <v>430</v>
      </c>
      <c r="O9" s="205">
        <v>2103354990</v>
      </c>
      <c r="P9" s="205">
        <v>1769466529.9915817</v>
      </c>
      <c r="Q9" s="206">
        <v>1.1886944196734859</v>
      </c>
      <c r="S9" s="205">
        <v>1769466529.9915817</v>
      </c>
      <c r="T9" s="205">
        <v>333888460.0084182</v>
      </c>
    </row>
    <row r="10" spans="2:20" x14ac:dyDescent="0.25">
      <c r="B10" s="4">
        <v>2017</v>
      </c>
      <c r="C10" s="4" t="s">
        <v>122</v>
      </c>
      <c r="D10" s="1" t="s">
        <v>131</v>
      </c>
      <c r="E10" s="202">
        <v>263800497</v>
      </c>
      <c r="F10" s="203">
        <v>353361603.25929201</v>
      </c>
      <c r="G10" s="204">
        <v>0.74654544966626368</v>
      </c>
      <c r="I10" s="203">
        <v>353361603.25929201</v>
      </c>
      <c r="J10" s="202">
        <v>-89561106.259292006</v>
      </c>
      <c r="L10" s="5">
        <v>2017</v>
      </c>
      <c r="M10" s="5" t="s">
        <v>165</v>
      </c>
      <c r="N10" s="5" t="s">
        <v>430</v>
      </c>
      <c r="O10" s="205">
        <v>2009040004</v>
      </c>
      <c r="P10" s="205">
        <v>1769466529.9915817</v>
      </c>
      <c r="Q10" s="206">
        <v>1.1353930520570841</v>
      </c>
      <c r="S10" s="205">
        <v>1769466529.9915817</v>
      </c>
      <c r="T10" s="205">
        <v>239573474.00841817</v>
      </c>
    </row>
    <row r="11" spans="2:20" x14ac:dyDescent="0.25">
      <c r="B11" s="4">
        <v>2017</v>
      </c>
      <c r="C11" s="4" t="s">
        <v>122</v>
      </c>
      <c r="D11" s="1" t="s">
        <v>132</v>
      </c>
      <c r="E11" s="202">
        <v>97022763</v>
      </c>
      <c r="F11" s="203">
        <v>130726381.59669819</v>
      </c>
      <c r="G11" s="204">
        <v>0.74218196675345405</v>
      </c>
      <c r="I11" s="203">
        <v>130726381.59669819</v>
      </c>
      <c r="J11" s="202">
        <v>-33703618.596698195</v>
      </c>
      <c r="L11" s="5">
        <v>2017</v>
      </c>
      <c r="M11" s="5" t="s">
        <v>173</v>
      </c>
      <c r="N11" s="5" t="s">
        <v>430</v>
      </c>
      <c r="O11" s="205">
        <v>2026444064</v>
      </c>
      <c r="P11" s="205">
        <v>1769466529.9915817</v>
      </c>
      <c r="Q11" s="206">
        <v>1.1452288187726507</v>
      </c>
      <c r="S11" s="205">
        <v>1769466529.9915817</v>
      </c>
      <c r="T11" s="205">
        <v>256977534.00841817</v>
      </c>
    </row>
    <row r="12" spans="2:20" x14ac:dyDescent="0.25">
      <c r="B12" s="4">
        <v>2017</v>
      </c>
      <c r="C12" s="4" t="s">
        <v>122</v>
      </c>
      <c r="D12" s="1" t="s">
        <v>133</v>
      </c>
      <c r="E12" s="202">
        <v>17487128</v>
      </c>
      <c r="F12" s="203">
        <v>26896826.683119051</v>
      </c>
      <c r="G12" s="204">
        <v>0.65015580484724045</v>
      </c>
      <c r="I12" s="203">
        <v>26896826.683119051</v>
      </c>
      <c r="J12" s="202">
        <v>-9409698.6831190512</v>
      </c>
      <c r="L12" s="5">
        <v>2017</v>
      </c>
      <c r="M12" s="5" t="s">
        <v>175</v>
      </c>
      <c r="N12" s="5" t="s">
        <v>430</v>
      </c>
      <c r="O12" s="205">
        <v>2034199026</v>
      </c>
      <c r="P12" s="205">
        <v>1769466529.9915817</v>
      </c>
      <c r="Q12" s="206">
        <v>1.14961147414847</v>
      </c>
      <c r="S12" s="205">
        <v>1769466529.9915817</v>
      </c>
      <c r="T12" s="205">
        <v>264732496.00841817</v>
      </c>
    </row>
    <row r="13" spans="2:20" x14ac:dyDescent="0.25">
      <c r="B13" s="4">
        <v>2017</v>
      </c>
      <c r="C13" s="4" t="s">
        <v>122</v>
      </c>
      <c r="D13" s="1" t="s">
        <v>134</v>
      </c>
      <c r="E13" s="202">
        <v>211960708</v>
      </c>
      <c r="F13" s="203">
        <v>201692629.97980615</v>
      </c>
      <c r="G13" s="204">
        <v>1.0509095350743451</v>
      </c>
      <c r="I13" s="203">
        <v>201692629.97980615</v>
      </c>
      <c r="J13" s="202">
        <v>10268078.020193845</v>
      </c>
      <c r="L13" s="5">
        <v>2017</v>
      </c>
      <c r="M13" s="5" t="s">
        <v>187</v>
      </c>
      <c r="N13" s="5" t="s">
        <v>430</v>
      </c>
      <c r="O13" s="205">
        <v>2122785419</v>
      </c>
      <c r="P13" s="205">
        <v>1695745814.5444274</v>
      </c>
      <c r="Q13" s="206">
        <v>1.2518299622460218</v>
      </c>
      <c r="S13" s="205">
        <v>1695745814.5444274</v>
      </c>
      <c r="T13" s="205">
        <v>427039604.45557261</v>
      </c>
    </row>
    <row r="14" spans="2:20" x14ac:dyDescent="0.25">
      <c r="B14" s="4">
        <v>2017</v>
      </c>
      <c r="C14" s="4" t="s">
        <v>122</v>
      </c>
      <c r="D14" s="1" t="s">
        <v>135</v>
      </c>
      <c r="E14" s="202">
        <v>101802302</v>
      </c>
      <c r="F14" s="203">
        <v>78197598.43320182</v>
      </c>
      <c r="G14" s="204">
        <v>1.3018596995272413</v>
      </c>
      <c r="I14" s="203">
        <v>78197598.43320182</v>
      </c>
      <c r="J14" s="202">
        <v>23604703.56679818</v>
      </c>
      <c r="L14" s="5">
        <v>2018</v>
      </c>
      <c r="M14" s="5" t="s">
        <v>122</v>
      </c>
      <c r="N14" s="5" t="s">
        <v>430</v>
      </c>
      <c r="O14" s="205">
        <v>2302235954</v>
      </c>
      <c r="P14" s="205">
        <v>1791059767.6720028</v>
      </c>
      <c r="Q14" s="206">
        <v>1.2854043151180921</v>
      </c>
      <c r="S14" s="205">
        <v>1791059767.6720028</v>
      </c>
      <c r="T14" s="205">
        <v>511176186.32799697</v>
      </c>
    </row>
    <row r="15" spans="2:20" x14ac:dyDescent="0.25">
      <c r="B15" s="4">
        <v>2017</v>
      </c>
      <c r="C15" s="4" t="s">
        <v>122</v>
      </c>
      <c r="D15" s="1" t="s">
        <v>136</v>
      </c>
      <c r="E15" s="202">
        <v>58198044</v>
      </c>
      <c r="F15" s="203">
        <v>95681500</v>
      </c>
      <c r="G15" s="204">
        <v>0.60824761317496068</v>
      </c>
      <c r="I15" s="203">
        <v>95681500</v>
      </c>
      <c r="J15" s="202">
        <v>-37483456</v>
      </c>
      <c r="L15" s="5">
        <v>2018</v>
      </c>
      <c r="M15" s="5" t="s">
        <v>138</v>
      </c>
      <c r="N15" s="5" t="s">
        <v>430</v>
      </c>
      <c r="O15" s="205">
        <v>2224867597</v>
      </c>
      <c r="P15" s="205">
        <v>1888901382.009762</v>
      </c>
      <c r="Q15" s="206">
        <v>1.1778632903708159</v>
      </c>
      <c r="S15" s="205">
        <v>1888901382.009762</v>
      </c>
      <c r="T15" s="205">
        <v>335966214.99023795</v>
      </c>
    </row>
    <row r="16" spans="2:20" x14ac:dyDescent="0.25">
      <c r="B16" s="4">
        <v>2017</v>
      </c>
      <c r="C16" s="4" t="s">
        <v>122</v>
      </c>
      <c r="D16" s="1" t="s">
        <v>137</v>
      </c>
      <c r="E16" s="202">
        <v>17393581</v>
      </c>
      <c r="F16" s="203">
        <v>24917579.02777778</v>
      </c>
      <c r="G16" s="204">
        <v>0.6980445805192339</v>
      </c>
      <c r="I16" s="203">
        <v>24917579.02777778</v>
      </c>
      <c r="J16" s="202">
        <v>-7523998.0277777798</v>
      </c>
      <c r="L16" s="5">
        <v>2018</v>
      </c>
      <c r="M16" s="5" t="s">
        <v>139</v>
      </c>
      <c r="N16" s="5" t="s">
        <v>430</v>
      </c>
      <c r="O16" s="205">
        <v>2060131085</v>
      </c>
      <c r="P16" s="205">
        <v>2038518365.5347061</v>
      </c>
      <c r="Q16" s="206">
        <v>1.0106021705914947</v>
      </c>
      <c r="S16" s="205">
        <v>2038518365.5347061</v>
      </c>
      <c r="T16" s="205">
        <v>21612719.465293758</v>
      </c>
    </row>
    <row r="17" spans="2:20" x14ac:dyDescent="0.25">
      <c r="B17" s="5">
        <v>2017</v>
      </c>
      <c r="C17" s="5" t="s">
        <v>122</v>
      </c>
      <c r="D17" s="5" t="s">
        <v>430</v>
      </c>
      <c r="E17" s="205">
        <v>1564330235</v>
      </c>
      <c r="F17" s="205">
        <v>1695745814.5444274</v>
      </c>
      <c r="G17" s="206">
        <v>0.92250278407455011</v>
      </c>
      <c r="I17" s="205">
        <v>1695745814.5444274</v>
      </c>
      <c r="J17" s="205">
        <v>-131415579.54442732</v>
      </c>
      <c r="L17" s="5">
        <v>2018</v>
      </c>
      <c r="M17" s="5" t="s">
        <v>140</v>
      </c>
      <c r="N17" s="5" t="s">
        <v>430</v>
      </c>
      <c r="O17" s="205">
        <v>2235004485</v>
      </c>
      <c r="P17" s="205">
        <v>2203084929.1619501</v>
      </c>
      <c r="Q17" s="206">
        <v>1.0144885725536654</v>
      </c>
      <c r="S17" s="205">
        <v>2203084929.1619501</v>
      </c>
      <c r="T17" s="205">
        <v>31919555.838050097</v>
      </c>
    </row>
    <row r="18" spans="2:20" x14ac:dyDescent="0.25">
      <c r="B18" s="4">
        <v>2017</v>
      </c>
      <c r="C18" s="4" t="s">
        <v>138</v>
      </c>
      <c r="D18" s="1" t="s">
        <v>123</v>
      </c>
      <c r="E18" s="202">
        <v>845056</v>
      </c>
      <c r="F18" s="203">
        <v>31720715.447154462</v>
      </c>
      <c r="G18" s="204">
        <v>2.6640508831140081E-2</v>
      </c>
      <c r="I18" s="203">
        <v>31720715.447154462</v>
      </c>
      <c r="J18" s="202">
        <v>-30875659.447154462</v>
      </c>
      <c r="L18" s="5">
        <v>2018</v>
      </c>
      <c r="M18" s="5" t="s">
        <v>141</v>
      </c>
      <c r="N18" s="5" t="s">
        <v>430</v>
      </c>
      <c r="O18" s="205">
        <v>2168561924</v>
      </c>
      <c r="P18" s="205">
        <v>2250428769.6348753</v>
      </c>
      <c r="Q18" s="206">
        <v>0.9636216676841729</v>
      </c>
      <c r="S18" s="205">
        <v>2250428769.6348753</v>
      </c>
      <c r="T18" s="205">
        <v>-81866845.634875461</v>
      </c>
    </row>
    <row r="19" spans="2:20" x14ac:dyDescent="0.25">
      <c r="B19" s="4">
        <v>2017</v>
      </c>
      <c r="C19" s="4" t="s">
        <v>138</v>
      </c>
      <c r="D19" s="1" t="s">
        <v>124</v>
      </c>
      <c r="E19" s="202">
        <v>0</v>
      </c>
      <c r="F19" s="203">
        <v>42000000</v>
      </c>
      <c r="G19" s="204">
        <v>0</v>
      </c>
      <c r="I19" s="203">
        <v>42000000</v>
      </c>
      <c r="J19" s="202">
        <v>-42000000</v>
      </c>
      <c r="L19" s="5">
        <v>2018</v>
      </c>
      <c r="M19" s="5" t="s">
        <v>153</v>
      </c>
      <c r="N19" s="5" t="s">
        <v>430</v>
      </c>
      <c r="O19" s="205">
        <v>2405135824</v>
      </c>
      <c r="P19" s="205">
        <v>2230855804.215838</v>
      </c>
      <c r="Q19" s="206">
        <v>1.0781224942709475</v>
      </c>
      <c r="S19" s="205">
        <v>2230855804.215838</v>
      </c>
      <c r="T19" s="205">
        <v>174280019.78416196</v>
      </c>
    </row>
    <row r="20" spans="2:20" x14ac:dyDescent="0.25">
      <c r="B20" s="4">
        <v>2017</v>
      </c>
      <c r="C20" s="4" t="s">
        <v>138</v>
      </c>
      <c r="D20" s="1" t="s">
        <v>125</v>
      </c>
      <c r="E20" s="202">
        <v>301549115</v>
      </c>
      <c r="F20" s="203">
        <v>330535441.5850994</v>
      </c>
      <c r="G20" s="204">
        <v>0.9123049363599437</v>
      </c>
      <c r="I20" s="203">
        <v>330535441.5850994</v>
      </c>
      <c r="J20" s="202">
        <v>-28986326.585099399</v>
      </c>
      <c r="L20" s="5">
        <v>2018</v>
      </c>
      <c r="M20" s="5" t="s">
        <v>157</v>
      </c>
      <c r="N20" s="5" t="s">
        <v>430</v>
      </c>
      <c r="O20" s="205">
        <v>2475397166</v>
      </c>
      <c r="P20" s="205">
        <v>2181633356.5340323</v>
      </c>
      <c r="Q20" s="206">
        <v>1.1346531526877051</v>
      </c>
      <c r="S20" s="205">
        <v>2181633356.5340323</v>
      </c>
      <c r="T20" s="205">
        <v>293763809.46596789</v>
      </c>
    </row>
    <row r="21" spans="2:20" x14ac:dyDescent="0.25">
      <c r="B21" s="4">
        <v>2017</v>
      </c>
      <c r="C21" s="4" t="s">
        <v>138</v>
      </c>
      <c r="D21" s="1" t="s">
        <v>126</v>
      </c>
      <c r="E21" s="202">
        <v>84552749</v>
      </c>
      <c r="F21" s="203">
        <v>79437687.138563663</v>
      </c>
      <c r="G21" s="204">
        <v>1.0643908709541618</v>
      </c>
      <c r="I21" s="203">
        <v>79437687.138563663</v>
      </c>
      <c r="J21" s="202">
        <v>5115061.8614363372</v>
      </c>
      <c r="L21" s="5">
        <v>2018</v>
      </c>
      <c r="M21" s="5" t="s">
        <v>158</v>
      </c>
      <c r="N21" s="5" t="s">
        <v>430</v>
      </c>
      <c r="O21" s="205">
        <v>2376263924</v>
      </c>
      <c r="P21" s="205">
        <v>2348120177.5093293</v>
      </c>
      <c r="Q21" s="206">
        <v>1.0119856499510698</v>
      </c>
      <c r="S21" s="205">
        <v>2348120177.5093293</v>
      </c>
      <c r="T21" s="205">
        <v>28143746.490671199</v>
      </c>
    </row>
    <row r="22" spans="2:20" x14ac:dyDescent="0.25">
      <c r="B22" s="4">
        <v>2017</v>
      </c>
      <c r="C22" s="4" t="s">
        <v>138</v>
      </c>
      <c r="D22" s="1" t="s">
        <v>127</v>
      </c>
      <c r="E22" s="202">
        <v>125547400</v>
      </c>
      <c r="F22" s="203">
        <v>98040755.197133005</v>
      </c>
      <c r="G22" s="204">
        <v>1.2805633712996058</v>
      </c>
      <c r="I22" s="203">
        <v>98040755.197133005</v>
      </c>
      <c r="J22" s="202">
        <v>27506644.802866995</v>
      </c>
      <c r="L22" s="5">
        <v>2018</v>
      </c>
      <c r="M22" s="5" t="s">
        <v>165</v>
      </c>
      <c r="N22" s="5" t="s">
        <v>430</v>
      </c>
      <c r="O22" s="205">
        <v>2421872379</v>
      </c>
      <c r="P22" s="205">
        <v>2358082604.6247134</v>
      </c>
      <c r="Q22" s="206">
        <v>1.0270515435931638</v>
      </c>
      <c r="S22" s="205">
        <v>2358082604.6247134</v>
      </c>
      <c r="T22" s="205">
        <v>63789774.375286594</v>
      </c>
    </row>
    <row r="23" spans="2:20" x14ac:dyDescent="0.25">
      <c r="B23" s="4">
        <v>2017</v>
      </c>
      <c r="C23" s="4" t="s">
        <v>138</v>
      </c>
      <c r="D23" s="1" t="s">
        <v>128</v>
      </c>
      <c r="E23" s="202">
        <v>61576215</v>
      </c>
      <c r="F23" s="203">
        <v>52124054.829347007</v>
      </c>
      <c r="G23" s="204">
        <v>1.1813396943426437</v>
      </c>
      <c r="I23" s="203">
        <v>52124054.829347007</v>
      </c>
      <c r="J23" s="202">
        <v>9452160.1706529856</v>
      </c>
      <c r="L23" s="5">
        <v>2018</v>
      </c>
      <c r="M23" s="5" t="s">
        <v>173</v>
      </c>
      <c r="N23" s="5" t="s">
        <v>430</v>
      </c>
      <c r="O23" s="205">
        <v>2487230968</v>
      </c>
      <c r="P23" s="205">
        <v>2485440623.9928112</v>
      </c>
      <c r="Q23" s="206">
        <v>1.0007203326403802</v>
      </c>
      <c r="S23" s="205">
        <v>2485440623.9928112</v>
      </c>
      <c r="T23" s="205">
        <v>1790344.007188905</v>
      </c>
    </row>
    <row r="24" spans="2:20" x14ac:dyDescent="0.25">
      <c r="B24" s="4">
        <v>2017</v>
      </c>
      <c r="C24" s="4" t="s">
        <v>138</v>
      </c>
      <c r="D24" s="1" t="s">
        <v>129</v>
      </c>
      <c r="E24" s="202">
        <v>151740764</v>
      </c>
      <c r="F24" s="203">
        <v>175480906.16871634</v>
      </c>
      <c r="G24" s="204">
        <v>0.86471381595276609</v>
      </c>
      <c r="I24" s="203">
        <v>175480906.16871634</v>
      </c>
      <c r="J24" s="202">
        <v>-23740142.168716341</v>
      </c>
      <c r="L24" s="5">
        <v>2018</v>
      </c>
      <c r="M24" s="5" t="s">
        <v>175</v>
      </c>
      <c r="N24" s="5" t="s">
        <v>430</v>
      </c>
      <c r="O24" s="205">
        <v>2312475421</v>
      </c>
      <c r="P24" s="205">
        <v>2357955232.6258469</v>
      </c>
      <c r="Q24" s="206">
        <v>0.98071218189532805</v>
      </c>
      <c r="S24" s="205">
        <v>2357955232.6258469</v>
      </c>
      <c r="T24" s="205">
        <v>-45479811.625846751</v>
      </c>
    </row>
    <row r="25" spans="2:20" x14ac:dyDescent="0.25">
      <c r="B25" s="4">
        <v>2017</v>
      </c>
      <c r="C25" s="4" t="s">
        <v>138</v>
      </c>
      <c r="D25" s="1" t="s">
        <v>130</v>
      </c>
      <c r="E25" s="202">
        <v>65639525</v>
      </c>
      <c r="F25" s="203">
        <v>48652850.645672902</v>
      </c>
      <c r="G25" s="204">
        <v>1.3491403716102268</v>
      </c>
      <c r="I25" s="203">
        <v>48652850.645672902</v>
      </c>
      <c r="J25" s="202">
        <v>16986674.354327098</v>
      </c>
      <c r="L25" s="5">
        <v>2018</v>
      </c>
      <c r="M25" s="5" t="s">
        <v>187</v>
      </c>
      <c r="N25" s="5" t="s">
        <v>430</v>
      </c>
      <c r="O25" s="205">
        <v>2492144858</v>
      </c>
      <c r="P25" s="205">
        <v>2346345440.8522005</v>
      </c>
      <c r="Q25" s="206">
        <v>1.0621389393945526</v>
      </c>
      <c r="S25" s="205">
        <v>2346345440.8522005</v>
      </c>
      <c r="T25" s="205">
        <v>145799417.14779964</v>
      </c>
    </row>
    <row r="26" spans="2:20" x14ac:dyDescent="0.25">
      <c r="B26" s="4">
        <v>2017</v>
      </c>
      <c r="C26" s="4" t="s">
        <v>138</v>
      </c>
      <c r="D26" s="1" t="s">
        <v>131</v>
      </c>
      <c r="E26" s="202">
        <v>292857155</v>
      </c>
      <c r="F26" s="203">
        <v>353361603.25929201</v>
      </c>
      <c r="G26" s="204">
        <v>0.82877469509641477</v>
      </c>
      <c r="I26" s="203">
        <v>353361603.25929201</v>
      </c>
      <c r="J26" s="202">
        <v>-60504448.259292006</v>
      </c>
      <c r="L26" s="5">
        <v>2019</v>
      </c>
      <c r="M26" s="5" t="s">
        <v>122</v>
      </c>
      <c r="N26" s="5" t="s">
        <v>430</v>
      </c>
      <c r="O26" s="205">
        <v>2528075888</v>
      </c>
      <c r="P26" s="205">
        <v>2805153708.2341681</v>
      </c>
      <c r="Q26" s="206">
        <v>0.90122544107980906</v>
      </c>
      <c r="S26" s="205">
        <v>2805153708.2341681</v>
      </c>
      <c r="T26" s="205">
        <v>-277077820.23416817</v>
      </c>
    </row>
    <row r="27" spans="2:20" x14ac:dyDescent="0.25">
      <c r="B27" s="4">
        <v>2017</v>
      </c>
      <c r="C27" s="4" t="s">
        <v>138</v>
      </c>
      <c r="D27" s="1" t="s">
        <v>132</v>
      </c>
      <c r="E27" s="202">
        <v>117622071</v>
      </c>
      <c r="F27" s="203">
        <v>130726381.59669819</v>
      </c>
      <c r="G27" s="204">
        <v>0.89975771962291373</v>
      </c>
      <c r="I27" s="203">
        <v>130726381.59669819</v>
      </c>
      <c r="J27" s="202">
        <v>-13104310.596698195</v>
      </c>
      <c r="L27" s="5">
        <v>2019</v>
      </c>
      <c r="M27" s="5" t="s">
        <v>138</v>
      </c>
      <c r="N27" s="5" t="s">
        <v>430</v>
      </c>
      <c r="O27" s="205">
        <v>2459849741</v>
      </c>
      <c r="P27" s="205">
        <v>2748153708.2341681</v>
      </c>
      <c r="Q27" s="206">
        <v>0.89509176056261486</v>
      </c>
      <c r="S27" s="205">
        <v>2748153708.2341681</v>
      </c>
      <c r="T27" s="205">
        <v>-288303967.23416817</v>
      </c>
    </row>
    <row r="28" spans="2:20" x14ac:dyDescent="0.25">
      <c r="B28" s="4">
        <v>2017</v>
      </c>
      <c r="C28" s="4" t="s">
        <v>138</v>
      </c>
      <c r="D28" s="1" t="s">
        <v>133</v>
      </c>
      <c r="E28" s="202">
        <v>25543621</v>
      </c>
      <c r="F28" s="203">
        <v>26896826.683119051</v>
      </c>
      <c r="G28" s="204">
        <v>0.94968902097404861</v>
      </c>
      <c r="I28" s="203">
        <v>26896826.683119051</v>
      </c>
      <c r="J28" s="202">
        <v>-1353205.6831190512</v>
      </c>
      <c r="L28" s="5">
        <v>2019</v>
      </c>
      <c r="M28" s="5" t="s">
        <v>139</v>
      </c>
      <c r="N28" s="5" t="s">
        <v>430</v>
      </c>
      <c r="O28" s="205">
        <v>2637078394</v>
      </c>
      <c r="P28" s="205">
        <v>2831153708.2341681</v>
      </c>
      <c r="Q28" s="206">
        <v>0.93145009623825203</v>
      </c>
      <c r="S28" s="205">
        <v>2831153708.2341681</v>
      </c>
      <c r="T28" s="205">
        <v>-194075314.23416811</v>
      </c>
    </row>
    <row r="29" spans="2:20" x14ac:dyDescent="0.25">
      <c r="B29" s="4">
        <v>2017</v>
      </c>
      <c r="C29" s="4" t="s">
        <v>138</v>
      </c>
      <c r="D29" s="1" t="s">
        <v>134</v>
      </c>
      <c r="E29" s="202">
        <v>207921640</v>
      </c>
      <c r="F29" s="203">
        <v>201692629.97980615</v>
      </c>
      <c r="G29" s="204">
        <v>1.0308836769138143</v>
      </c>
      <c r="I29" s="203">
        <v>201692629.97980615</v>
      </c>
      <c r="J29" s="202">
        <v>6229010.020193845</v>
      </c>
      <c r="L29" s="207"/>
    </row>
    <row r="30" spans="2:20" x14ac:dyDescent="0.25">
      <c r="B30" s="4">
        <v>2017</v>
      </c>
      <c r="C30" s="4" t="s">
        <v>138</v>
      </c>
      <c r="D30" s="1" t="s">
        <v>135</v>
      </c>
      <c r="E30" s="202">
        <v>91751408</v>
      </c>
      <c r="F30" s="203">
        <v>78197598.43320182</v>
      </c>
      <c r="G30" s="204">
        <v>1.1733276959697958</v>
      </c>
      <c r="I30" s="203">
        <v>78197598.43320182</v>
      </c>
      <c r="J30" s="202">
        <v>13553809.56679818</v>
      </c>
      <c r="L30" s="207"/>
    </row>
    <row r="31" spans="2:20" x14ac:dyDescent="0.25">
      <c r="B31" s="4">
        <v>2017</v>
      </c>
      <c r="C31" s="4" t="s">
        <v>138</v>
      </c>
      <c r="D31" s="1" t="s">
        <v>136</v>
      </c>
      <c r="E31" s="202">
        <v>83842266</v>
      </c>
      <c r="F31" s="203">
        <v>95681500</v>
      </c>
      <c r="G31" s="204">
        <v>0.87626412629400663</v>
      </c>
      <c r="I31" s="203">
        <v>95681500</v>
      </c>
      <c r="J31" s="202">
        <v>-11839234</v>
      </c>
      <c r="L31" s="207"/>
    </row>
    <row r="32" spans="2:20" x14ac:dyDescent="0.25">
      <c r="B32" s="4">
        <v>2017</v>
      </c>
      <c r="C32" s="4" t="s">
        <v>138</v>
      </c>
      <c r="D32" s="1" t="s">
        <v>137</v>
      </c>
      <c r="E32" s="202">
        <v>32788632</v>
      </c>
      <c r="F32" s="203">
        <v>24917579.02777778</v>
      </c>
      <c r="G32" s="204">
        <v>1.315883536014782</v>
      </c>
      <c r="I32" s="203">
        <v>24917579.02777778</v>
      </c>
      <c r="J32" s="202">
        <v>7871052.9722222202</v>
      </c>
      <c r="L32" s="207"/>
    </row>
    <row r="33" spans="2:10" x14ac:dyDescent="0.25">
      <c r="B33" s="5">
        <v>2017</v>
      </c>
      <c r="C33" s="5" t="s">
        <v>138</v>
      </c>
      <c r="D33" s="5" t="s">
        <v>430</v>
      </c>
      <c r="E33" s="205">
        <v>1643777617</v>
      </c>
      <c r="F33" s="205">
        <v>1769466529.9915817</v>
      </c>
      <c r="G33" s="206">
        <v>0.92896790594158363</v>
      </c>
      <c r="I33" s="205">
        <v>1769466529.9915817</v>
      </c>
      <c r="J33" s="205">
        <v>-125688912.99158178</v>
      </c>
    </row>
    <row r="34" spans="2:10" x14ac:dyDescent="0.25">
      <c r="B34" s="4">
        <v>2017</v>
      </c>
      <c r="C34" s="4" t="s">
        <v>139</v>
      </c>
      <c r="D34" s="1" t="s">
        <v>123</v>
      </c>
      <c r="E34" s="202">
        <v>12161637</v>
      </c>
      <c r="F34" s="203">
        <v>31720715.447154462</v>
      </c>
      <c r="G34" s="204">
        <v>0.38339731082865508</v>
      </c>
      <c r="I34" s="203">
        <v>31720715.447154462</v>
      </c>
      <c r="J34" s="202">
        <v>-19559078.447154462</v>
      </c>
    </row>
    <row r="35" spans="2:10" x14ac:dyDescent="0.25">
      <c r="B35" s="4">
        <v>2017</v>
      </c>
      <c r="C35" s="4" t="s">
        <v>139</v>
      </c>
      <c r="D35" s="1" t="s">
        <v>124</v>
      </c>
      <c r="E35" s="202">
        <v>23151682</v>
      </c>
      <c r="F35" s="203">
        <v>42000000</v>
      </c>
      <c r="G35" s="204">
        <v>0.55123052380952386</v>
      </c>
      <c r="I35" s="203">
        <v>42000000</v>
      </c>
      <c r="J35" s="202">
        <v>-18848318</v>
      </c>
    </row>
    <row r="36" spans="2:10" x14ac:dyDescent="0.25">
      <c r="B36" s="4">
        <v>2017</v>
      </c>
      <c r="C36" s="4" t="s">
        <v>139</v>
      </c>
      <c r="D36" s="1" t="s">
        <v>125</v>
      </c>
      <c r="E36" s="202">
        <v>323100095</v>
      </c>
      <c r="F36" s="203">
        <v>330535441.5850994</v>
      </c>
      <c r="G36" s="204">
        <v>0.97750514574339498</v>
      </c>
      <c r="I36" s="203">
        <v>330535441.5850994</v>
      </c>
      <c r="J36" s="202">
        <v>-7435346.5850993991</v>
      </c>
    </row>
    <row r="37" spans="2:10" x14ac:dyDescent="0.25">
      <c r="B37" s="4">
        <v>2017</v>
      </c>
      <c r="C37" s="4" t="s">
        <v>139</v>
      </c>
      <c r="D37" s="1" t="s">
        <v>126</v>
      </c>
      <c r="E37" s="202">
        <v>106337191</v>
      </c>
      <c r="F37" s="203">
        <v>79437687.138563663</v>
      </c>
      <c r="G37" s="204">
        <v>1.3386239558374271</v>
      </c>
      <c r="I37" s="203">
        <v>79437687.138563663</v>
      </c>
      <c r="J37" s="202">
        <v>26899503.861436337</v>
      </c>
    </row>
    <row r="38" spans="2:10" x14ac:dyDescent="0.25">
      <c r="B38" s="4">
        <v>2017</v>
      </c>
      <c r="C38" s="4" t="s">
        <v>139</v>
      </c>
      <c r="D38" s="1" t="s">
        <v>127</v>
      </c>
      <c r="E38" s="202">
        <v>137255070</v>
      </c>
      <c r="F38" s="203">
        <v>98040755.197133005</v>
      </c>
      <c r="G38" s="204">
        <v>1.3999797301032391</v>
      </c>
      <c r="I38" s="203">
        <v>98040755.197133005</v>
      </c>
      <c r="J38" s="202">
        <v>39214314.802866995</v>
      </c>
    </row>
    <row r="39" spans="2:10" x14ac:dyDescent="0.25">
      <c r="B39" s="4">
        <v>2017</v>
      </c>
      <c r="C39" s="4" t="s">
        <v>139</v>
      </c>
      <c r="D39" s="1" t="s">
        <v>128</v>
      </c>
      <c r="E39" s="202">
        <v>64114592</v>
      </c>
      <c r="F39" s="203">
        <v>52124054.829347007</v>
      </c>
      <c r="G39" s="204">
        <v>1.230038457482054</v>
      </c>
      <c r="I39" s="203">
        <v>52124054.829347007</v>
      </c>
      <c r="J39" s="202">
        <v>11990537.170652993</v>
      </c>
    </row>
    <row r="40" spans="2:10" x14ac:dyDescent="0.25">
      <c r="B40" s="4">
        <v>2017</v>
      </c>
      <c r="C40" s="4" t="s">
        <v>139</v>
      </c>
      <c r="D40" s="1" t="s">
        <v>129</v>
      </c>
      <c r="E40" s="202">
        <v>176189481</v>
      </c>
      <c r="F40" s="203">
        <v>175480906.16871634</v>
      </c>
      <c r="G40" s="204">
        <v>1.0040379027368505</v>
      </c>
      <c r="I40" s="203">
        <v>175480906.16871634</v>
      </c>
      <c r="J40" s="202">
        <v>708574.83128365874</v>
      </c>
    </row>
    <row r="41" spans="2:10" x14ac:dyDescent="0.25">
      <c r="B41" s="4">
        <v>2017</v>
      </c>
      <c r="C41" s="4" t="s">
        <v>139</v>
      </c>
      <c r="D41" s="1" t="s">
        <v>130</v>
      </c>
      <c r="E41" s="202">
        <v>71430791</v>
      </c>
      <c r="F41" s="203">
        <v>48652850.645672902</v>
      </c>
      <c r="G41" s="204">
        <v>1.4681727802593398</v>
      </c>
      <c r="I41" s="203">
        <v>48652850.645672902</v>
      </c>
      <c r="J41" s="202">
        <v>22777940.354327098</v>
      </c>
    </row>
    <row r="42" spans="2:10" x14ac:dyDescent="0.25">
      <c r="B42" s="4">
        <v>2017</v>
      </c>
      <c r="C42" s="4" t="s">
        <v>139</v>
      </c>
      <c r="D42" s="1" t="s">
        <v>131</v>
      </c>
      <c r="E42" s="202">
        <v>340230839</v>
      </c>
      <c r="F42" s="203">
        <v>353361603.25929201</v>
      </c>
      <c r="G42" s="204">
        <v>0.9628404327516682</v>
      </c>
      <c r="I42" s="203">
        <v>353361603.25929201</v>
      </c>
      <c r="J42" s="202">
        <v>-13130764.259292006</v>
      </c>
    </row>
    <row r="43" spans="2:10" x14ac:dyDescent="0.25">
      <c r="B43" s="4">
        <v>2017</v>
      </c>
      <c r="C43" s="4" t="s">
        <v>139</v>
      </c>
      <c r="D43" s="1" t="s">
        <v>132</v>
      </c>
      <c r="E43" s="202">
        <v>118267986</v>
      </c>
      <c r="F43" s="203">
        <v>130726381.59669819</v>
      </c>
      <c r="G43" s="204">
        <v>0.90469868863093461</v>
      </c>
      <c r="I43" s="203">
        <v>130726381.59669819</v>
      </c>
      <c r="J43" s="202">
        <v>-12458395.596698195</v>
      </c>
    </row>
    <row r="44" spans="2:10" x14ac:dyDescent="0.25">
      <c r="B44" s="4">
        <v>2017</v>
      </c>
      <c r="C44" s="4" t="s">
        <v>139</v>
      </c>
      <c r="D44" s="1" t="s">
        <v>133</v>
      </c>
      <c r="E44" s="202">
        <v>33280191</v>
      </c>
      <c r="F44" s="203">
        <v>26896826.683119051</v>
      </c>
      <c r="G44" s="204">
        <v>1.2373277856189357</v>
      </c>
      <c r="I44" s="203">
        <v>26896826.683119051</v>
      </c>
      <c r="J44" s="202">
        <v>6383364.3168809488</v>
      </c>
    </row>
    <row r="45" spans="2:10" x14ac:dyDescent="0.25">
      <c r="B45" s="4">
        <v>2017</v>
      </c>
      <c r="C45" s="4" t="s">
        <v>139</v>
      </c>
      <c r="D45" s="1" t="s">
        <v>134</v>
      </c>
      <c r="E45" s="202">
        <v>211977883</v>
      </c>
      <c r="F45" s="203">
        <v>201692629.97980615</v>
      </c>
      <c r="G45" s="204">
        <v>1.0509946894005182</v>
      </c>
      <c r="I45" s="203">
        <v>201692629.97980615</v>
      </c>
      <c r="J45" s="202">
        <v>10285253.020193845</v>
      </c>
    </row>
    <row r="46" spans="2:10" x14ac:dyDescent="0.25">
      <c r="B46" s="4">
        <v>2017</v>
      </c>
      <c r="C46" s="4" t="s">
        <v>139</v>
      </c>
      <c r="D46" s="1" t="s">
        <v>135</v>
      </c>
      <c r="E46" s="202">
        <v>94744262</v>
      </c>
      <c r="F46" s="203">
        <v>78197598.43320182</v>
      </c>
      <c r="G46" s="204">
        <v>1.2116006616358266</v>
      </c>
      <c r="I46" s="203">
        <v>78197598.43320182</v>
      </c>
      <c r="J46" s="202">
        <v>16546663.56679818</v>
      </c>
    </row>
    <row r="47" spans="2:10" x14ac:dyDescent="0.25">
      <c r="B47" s="4">
        <v>2017</v>
      </c>
      <c r="C47" s="4" t="s">
        <v>139</v>
      </c>
      <c r="D47" s="1" t="s">
        <v>136</v>
      </c>
      <c r="E47" s="202">
        <v>74607742</v>
      </c>
      <c r="F47" s="203">
        <v>95681500</v>
      </c>
      <c r="G47" s="204">
        <v>0.77975096544264044</v>
      </c>
      <c r="I47" s="203">
        <v>95681500</v>
      </c>
      <c r="J47" s="202">
        <v>-21073758</v>
      </c>
    </row>
    <row r="48" spans="2:10" x14ac:dyDescent="0.25">
      <c r="B48" s="4">
        <v>2017</v>
      </c>
      <c r="C48" s="4" t="s">
        <v>139</v>
      </c>
      <c r="D48" s="1" t="s">
        <v>137</v>
      </c>
      <c r="E48" s="202">
        <v>34921930</v>
      </c>
      <c r="F48" s="203">
        <v>24917579.02777778</v>
      </c>
      <c r="G48" s="204">
        <v>1.4014977121601382</v>
      </c>
      <c r="I48" s="203">
        <v>24917579.02777778</v>
      </c>
      <c r="J48" s="202">
        <v>10004350.97222222</v>
      </c>
    </row>
    <row r="49" spans="2:10" x14ac:dyDescent="0.25">
      <c r="B49" s="5">
        <v>2017</v>
      </c>
      <c r="C49" s="5" t="s">
        <v>139</v>
      </c>
      <c r="D49" s="5" t="s">
        <v>430</v>
      </c>
      <c r="E49" s="205">
        <v>1821771372</v>
      </c>
      <c r="F49" s="205">
        <v>1769466529.9915817</v>
      </c>
      <c r="G49" s="206">
        <v>1.0295596673471226</v>
      </c>
      <c r="I49" s="205">
        <v>1769466529.9915817</v>
      </c>
      <c r="J49" s="205">
        <v>52304842.008418217</v>
      </c>
    </row>
    <row r="50" spans="2:10" x14ac:dyDescent="0.25">
      <c r="B50" s="4">
        <v>2017</v>
      </c>
      <c r="C50" s="4" t="s">
        <v>140</v>
      </c>
      <c r="D50" s="1" t="s">
        <v>123</v>
      </c>
      <c r="E50" s="202">
        <v>14245590</v>
      </c>
      <c r="F50" s="203">
        <v>31720715.447154462</v>
      </c>
      <c r="G50" s="204">
        <v>0.44909422121113962</v>
      </c>
      <c r="I50" s="203">
        <v>26433929.539295401</v>
      </c>
      <c r="J50" s="202">
        <v>-17475125.447154462</v>
      </c>
    </row>
    <row r="51" spans="2:10" x14ac:dyDescent="0.25">
      <c r="B51" s="4">
        <v>2017</v>
      </c>
      <c r="C51" s="4" t="s">
        <v>140</v>
      </c>
      <c r="D51" s="1" t="s">
        <v>124</v>
      </c>
      <c r="E51" s="202">
        <v>52306212</v>
      </c>
      <c r="F51" s="203">
        <v>42000000</v>
      </c>
      <c r="G51" s="204">
        <v>1.2453860000000001</v>
      </c>
      <c r="I51" s="203">
        <v>35000000</v>
      </c>
      <c r="J51" s="202">
        <v>10306212</v>
      </c>
    </row>
    <row r="52" spans="2:10" x14ac:dyDescent="0.25">
      <c r="B52" s="4">
        <v>2017</v>
      </c>
      <c r="C52" s="4" t="s">
        <v>140</v>
      </c>
      <c r="D52" s="1" t="s">
        <v>125</v>
      </c>
      <c r="E52" s="202">
        <v>331509693</v>
      </c>
      <c r="F52" s="203">
        <v>330535441.5850994</v>
      </c>
      <c r="G52" s="204">
        <v>1.0029474945567971</v>
      </c>
      <c r="I52" s="203">
        <v>330535441.5850994</v>
      </c>
      <c r="J52" s="202">
        <v>974251.41490060091</v>
      </c>
    </row>
    <row r="53" spans="2:10" x14ac:dyDescent="0.25">
      <c r="B53" s="4">
        <v>2017</v>
      </c>
      <c r="C53" s="4" t="s">
        <v>140</v>
      </c>
      <c r="D53" s="1" t="s">
        <v>126</v>
      </c>
      <c r="E53" s="202">
        <v>104446556</v>
      </c>
      <c r="F53" s="203">
        <v>79437687.138563663</v>
      </c>
      <c r="G53" s="204">
        <v>1.3148237286643707</v>
      </c>
      <c r="I53" s="203">
        <v>79437687.138563663</v>
      </c>
      <c r="J53" s="202">
        <v>25008868.861436337</v>
      </c>
    </row>
    <row r="54" spans="2:10" x14ac:dyDescent="0.25">
      <c r="B54" s="4">
        <v>2017</v>
      </c>
      <c r="C54" s="4" t="s">
        <v>140</v>
      </c>
      <c r="D54" s="1" t="s">
        <v>127</v>
      </c>
      <c r="E54" s="202">
        <v>124231260</v>
      </c>
      <c r="F54" s="203">
        <v>98040755.197133005</v>
      </c>
      <c r="G54" s="204">
        <v>1.2671389541033735</v>
      </c>
      <c r="I54" s="203">
        <v>98040755.197133005</v>
      </c>
      <c r="J54" s="202">
        <v>26190504.802866995</v>
      </c>
    </row>
    <row r="55" spans="2:10" x14ac:dyDescent="0.25">
      <c r="B55" s="4">
        <v>2017</v>
      </c>
      <c r="C55" s="4" t="s">
        <v>140</v>
      </c>
      <c r="D55" s="1" t="s">
        <v>128</v>
      </c>
      <c r="E55" s="202">
        <v>60171842</v>
      </c>
      <c r="F55" s="203">
        <v>52124054.829347007</v>
      </c>
      <c r="G55" s="204">
        <v>1.1543967981194339</v>
      </c>
      <c r="I55" s="203">
        <v>52124054.829347007</v>
      </c>
      <c r="J55" s="202">
        <v>8047787.170652993</v>
      </c>
    </row>
    <row r="56" spans="2:10" x14ac:dyDescent="0.25">
      <c r="B56" s="4">
        <v>2017</v>
      </c>
      <c r="C56" s="4" t="s">
        <v>140</v>
      </c>
      <c r="D56" s="1" t="s">
        <v>129</v>
      </c>
      <c r="E56" s="202">
        <v>142324733</v>
      </c>
      <c r="F56" s="203">
        <v>175480906.16871634</v>
      </c>
      <c r="G56" s="204">
        <v>0.81105537979819697</v>
      </c>
      <c r="I56" s="203">
        <v>175480906.16871634</v>
      </c>
      <c r="J56" s="202">
        <v>-33156173.168716341</v>
      </c>
    </row>
    <row r="57" spans="2:10" x14ac:dyDescent="0.25">
      <c r="B57" s="4">
        <v>2017</v>
      </c>
      <c r="C57" s="4" t="s">
        <v>140</v>
      </c>
      <c r="D57" s="1" t="s">
        <v>130</v>
      </c>
      <c r="E57" s="202">
        <v>58351639</v>
      </c>
      <c r="F57" s="203">
        <v>48652850.645672902</v>
      </c>
      <c r="G57" s="204">
        <v>1.1993467643851139</v>
      </c>
      <c r="I57" s="203">
        <v>48652850.645672902</v>
      </c>
      <c r="J57" s="202">
        <v>9698788.3543270975</v>
      </c>
    </row>
    <row r="58" spans="2:10" x14ac:dyDescent="0.25">
      <c r="B58" s="4">
        <v>2017</v>
      </c>
      <c r="C58" s="4" t="s">
        <v>140</v>
      </c>
      <c r="D58" s="1" t="s">
        <v>131</v>
      </c>
      <c r="E58" s="202">
        <v>269226349</v>
      </c>
      <c r="F58" s="203">
        <v>353361603.25929201</v>
      </c>
      <c r="G58" s="204">
        <v>0.76190040603377418</v>
      </c>
      <c r="I58" s="203">
        <v>353361603.25929201</v>
      </c>
      <c r="J58" s="202">
        <v>-84135254.259292006</v>
      </c>
    </row>
    <row r="59" spans="2:10" x14ac:dyDescent="0.25">
      <c r="B59" s="4">
        <v>2017</v>
      </c>
      <c r="C59" s="4" t="s">
        <v>140</v>
      </c>
      <c r="D59" s="1" t="s">
        <v>132</v>
      </c>
      <c r="E59" s="202">
        <v>109849996</v>
      </c>
      <c r="F59" s="203">
        <v>130726381.59669819</v>
      </c>
      <c r="G59" s="204">
        <v>0.84030472394544209</v>
      </c>
      <c r="I59" s="203">
        <v>130726381.59669819</v>
      </c>
      <c r="J59" s="202">
        <v>-20876385.59669818</v>
      </c>
    </row>
    <row r="60" spans="2:10" x14ac:dyDescent="0.25">
      <c r="B60" s="4">
        <v>2017</v>
      </c>
      <c r="C60" s="4" t="s">
        <v>140</v>
      </c>
      <c r="D60" s="1" t="s">
        <v>133</v>
      </c>
      <c r="E60" s="202">
        <v>31632703</v>
      </c>
      <c r="F60" s="203">
        <v>26896826.683119051</v>
      </c>
      <c r="G60" s="204">
        <v>1.1760756528149572</v>
      </c>
      <c r="I60" s="203">
        <v>26896826.683119051</v>
      </c>
      <c r="J60" s="202">
        <v>4735876.3168809488</v>
      </c>
    </row>
    <row r="61" spans="2:10" x14ac:dyDescent="0.25">
      <c r="B61" s="4">
        <v>2017</v>
      </c>
      <c r="C61" s="4" t="s">
        <v>140</v>
      </c>
      <c r="D61" s="1" t="s">
        <v>134</v>
      </c>
      <c r="E61" s="202">
        <v>212630389</v>
      </c>
      <c r="F61" s="203">
        <v>201692629.97980615</v>
      </c>
      <c r="G61" s="204">
        <v>1.0542298398374246</v>
      </c>
      <c r="I61" s="203">
        <v>201692629.97980615</v>
      </c>
      <c r="J61" s="202">
        <v>10937759.020193845</v>
      </c>
    </row>
    <row r="62" spans="2:10" x14ac:dyDescent="0.25">
      <c r="B62" s="4">
        <v>2017</v>
      </c>
      <c r="C62" s="4" t="s">
        <v>140</v>
      </c>
      <c r="D62" s="1" t="s">
        <v>135</v>
      </c>
      <c r="E62" s="202">
        <v>86466185</v>
      </c>
      <c r="F62" s="203">
        <v>78197598.43320182</v>
      </c>
      <c r="G62" s="204">
        <v>1.1057396484351294</v>
      </c>
      <c r="I62" s="203">
        <v>78197598.43320182</v>
      </c>
      <c r="J62" s="202">
        <v>8268586.5667981803</v>
      </c>
    </row>
    <row r="63" spans="2:10" x14ac:dyDescent="0.25">
      <c r="B63" s="4">
        <v>2017</v>
      </c>
      <c r="C63" s="4" t="s">
        <v>140</v>
      </c>
      <c r="D63" s="1" t="s">
        <v>136</v>
      </c>
      <c r="E63" s="202">
        <v>71793741</v>
      </c>
      <c r="F63" s="203">
        <v>95681500</v>
      </c>
      <c r="G63" s="204">
        <v>0.75034088094354712</v>
      </c>
      <c r="I63" s="203">
        <v>95681500</v>
      </c>
      <c r="J63" s="202">
        <v>-23887759</v>
      </c>
    </row>
    <row r="64" spans="2:10" x14ac:dyDescent="0.25">
      <c r="B64" s="4">
        <v>2017</v>
      </c>
      <c r="C64" s="4" t="s">
        <v>140</v>
      </c>
      <c r="D64" s="1" t="s">
        <v>137</v>
      </c>
      <c r="E64" s="202">
        <v>33996301</v>
      </c>
      <c r="F64" s="203">
        <v>24917579.02777778</v>
      </c>
      <c r="G64" s="204">
        <v>1.3643500824097472</v>
      </c>
      <c r="I64" s="203">
        <v>24917579.02777778</v>
      </c>
      <c r="J64" s="202">
        <v>9078721.9722222202</v>
      </c>
    </row>
    <row r="65" spans="2:10" x14ac:dyDescent="0.25">
      <c r="B65" s="5">
        <v>2017</v>
      </c>
      <c r="C65" s="5" t="s">
        <v>140</v>
      </c>
      <c r="D65" s="5" t="s">
        <v>430</v>
      </c>
      <c r="E65" s="205">
        <v>1703183189</v>
      </c>
      <c r="F65" s="205">
        <v>1769466529.9915817</v>
      </c>
      <c r="G65" s="206">
        <v>0.96254049462472901</v>
      </c>
      <c r="I65" s="205">
        <v>1757179744.0837226</v>
      </c>
      <c r="J65" s="205">
        <v>-66283340.991581783</v>
      </c>
    </row>
    <row r="66" spans="2:10" x14ac:dyDescent="0.25">
      <c r="B66" s="4">
        <v>2017</v>
      </c>
      <c r="C66" s="4" t="s">
        <v>141</v>
      </c>
      <c r="D66" s="1" t="s">
        <v>123</v>
      </c>
      <c r="E66" s="202">
        <v>20277396</v>
      </c>
      <c r="F66" s="203">
        <v>31720715.447154462</v>
      </c>
      <c r="G66" s="204">
        <v>0.63924775069406592</v>
      </c>
      <c r="I66" s="203">
        <v>26433929.539295401</v>
      </c>
      <c r="J66" s="202">
        <v>-11443319.447154462</v>
      </c>
    </row>
    <row r="67" spans="2:10" x14ac:dyDescent="0.25">
      <c r="B67" s="4">
        <v>2017</v>
      </c>
      <c r="C67" s="4" t="s">
        <v>141</v>
      </c>
      <c r="D67" s="1" t="s">
        <v>124</v>
      </c>
      <c r="E67" s="202">
        <v>75492876</v>
      </c>
      <c r="F67" s="203">
        <v>42000000</v>
      </c>
      <c r="G67" s="204">
        <v>1.7974494285714286</v>
      </c>
      <c r="I67" s="203">
        <v>35000000</v>
      </c>
      <c r="J67" s="202">
        <v>33492876</v>
      </c>
    </row>
    <row r="68" spans="2:10" x14ac:dyDescent="0.25">
      <c r="B68" s="4">
        <v>2017</v>
      </c>
      <c r="C68" s="4" t="s">
        <v>141</v>
      </c>
      <c r="D68" s="1" t="s">
        <v>125</v>
      </c>
      <c r="E68" s="202">
        <v>334363142</v>
      </c>
      <c r="F68" s="203">
        <v>330535441.5850994</v>
      </c>
      <c r="G68" s="204">
        <v>1.0115803025434873</v>
      </c>
      <c r="I68" s="203">
        <v>330535441.5850994</v>
      </c>
      <c r="J68" s="202">
        <v>3827700.4149006009</v>
      </c>
    </row>
    <row r="69" spans="2:10" x14ac:dyDescent="0.25">
      <c r="B69" s="4">
        <v>2017</v>
      </c>
      <c r="C69" s="4" t="s">
        <v>141</v>
      </c>
      <c r="D69" s="1" t="s">
        <v>126</v>
      </c>
      <c r="E69" s="202">
        <v>117763034</v>
      </c>
      <c r="F69" s="203">
        <v>79437687.138563663</v>
      </c>
      <c r="G69" s="204">
        <v>1.4824579899284478</v>
      </c>
      <c r="I69" s="203">
        <v>79437687.138563663</v>
      </c>
      <c r="J69" s="202">
        <v>38325346.861436337</v>
      </c>
    </row>
    <row r="70" spans="2:10" x14ac:dyDescent="0.25">
      <c r="B70" s="4">
        <v>2017</v>
      </c>
      <c r="C70" s="4" t="s">
        <v>141</v>
      </c>
      <c r="D70" s="1" t="s">
        <v>127</v>
      </c>
      <c r="E70" s="202">
        <v>136632555</v>
      </c>
      <c r="F70" s="203">
        <v>98040755.197133005</v>
      </c>
      <c r="G70" s="204">
        <v>1.3936301768103427</v>
      </c>
      <c r="I70" s="203">
        <v>98040755.197133005</v>
      </c>
      <c r="J70" s="202">
        <v>38591799.802866995</v>
      </c>
    </row>
    <row r="71" spans="2:10" x14ac:dyDescent="0.25">
      <c r="B71" s="4">
        <v>2017</v>
      </c>
      <c r="C71" s="4" t="s">
        <v>141</v>
      </c>
      <c r="D71" s="1" t="s">
        <v>128</v>
      </c>
      <c r="E71" s="202">
        <v>61266251</v>
      </c>
      <c r="F71" s="203">
        <v>52124054.829347007</v>
      </c>
      <c r="G71" s="204">
        <v>1.1753930349544819</v>
      </c>
      <c r="I71" s="203">
        <v>52124054.829347007</v>
      </c>
      <c r="J71" s="202">
        <v>9142196.170652993</v>
      </c>
    </row>
    <row r="72" spans="2:10" x14ac:dyDescent="0.25">
      <c r="B72" s="4">
        <v>2017</v>
      </c>
      <c r="C72" s="4" t="s">
        <v>141</v>
      </c>
      <c r="D72" s="1" t="s">
        <v>129</v>
      </c>
      <c r="E72" s="202">
        <v>200569985</v>
      </c>
      <c r="F72" s="203">
        <v>175480906.16871634</v>
      </c>
      <c r="G72" s="204">
        <v>1.1429732691667418</v>
      </c>
      <c r="I72" s="203">
        <v>175480906.16871634</v>
      </c>
      <c r="J72" s="202">
        <v>25089078.831283659</v>
      </c>
    </row>
    <row r="73" spans="2:10" x14ac:dyDescent="0.25">
      <c r="B73" s="4">
        <v>2017</v>
      </c>
      <c r="C73" s="4" t="s">
        <v>141</v>
      </c>
      <c r="D73" s="1" t="s">
        <v>130</v>
      </c>
      <c r="E73" s="202">
        <v>59290120</v>
      </c>
      <c r="F73" s="203">
        <v>48652850.645672902</v>
      </c>
      <c r="G73" s="204">
        <v>1.2186360966142722</v>
      </c>
      <c r="I73" s="203">
        <v>48652850.645672902</v>
      </c>
      <c r="J73" s="202">
        <v>10637269.354327098</v>
      </c>
    </row>
    <row r="74" spans="2:10" x14ac:dyDescent="0.25">
      <c r="B74" s="4">
        <v>2017</v>
      </c>
      <c r="C74" s="4" t="s">
        <v>141</v>
      </c>
      <c r="D74" s="1" t="s">
        <v>131</v>
      </c>
      <c r="E74" s="202">
        <v>344706582</v>
      </c>
      <c r="F74" s="203">
        <v>353361603.25929201</v>
      </c>
      <c r="G74" s="204">
        <v>0.97550661650994075</v>
      </c>
      <c r="I74" s="203">
        <v>353361603.25929201</v>
      </c>
      <c r="J74" s="202">
        <v>-8655021.2592920065</v>
      </c>
    </row>
    <row r="75" spans="2:10" x14ac:dyDescent="0.25">
      <c r="B75" s="4">
        <v>2017</v>
      </c>
      <c r="C75" s="4" t="s">
        <v>141</v>
      </c>
      <c r="D75" s="1" t="s">
        <v>132</v>
      </c>
      <c r="E75" s="202">
        <v>130926596</v>
      </c>
      <c r="F75" s="203">
        <v>130726381.59669819</v>
      </c>
      <c r="G75" s="204">
        <v>1.0015315531636106</v>
      </c>
      <c r="I75" s="203">
        <v>130726381.59669819</v>
      </c>
      <c r="J75" s="202">
        <v>200214.40330180526</v>
      </c>
    </row>
    <row r="76" spans="2:10" x14ac:dyDescent="0.25">
      <c r="B76" s="4">
        <v>2017</v>
      </c>
      <c r="C76" s="4" t="s">
        <v>141</v>
      </c>
      <c r="D76" s="1" t="s">
        <v>133</v>
      </c>
      <c r="E76" s="202">
        <v>18332971</v>
      </c>
      <c r="F76" s="203">
        <v>26896826.683119051</v>
      </c>
      <c r="G76" s="204">
        <v>0.68160349233711326</v>
      </c>
      <c r="I76" s="203">
        <v>26896826.683119051</v>
      </c>
      <c r="J76" s="202">
        <v>-8563855.6831190512</v>
      </c>
    </row>
    <row r="77" spans="2:10" x14ac:dyDescent="0.25">
      <c r="B77" s="4">
        <v>2017</v>
      </c>
      <c r="C77" s="4" t="s">
        <v>141</v>
      </c>
      <c r="D77" s="1" t="s">
        <v>134</v>
      </c>
      <c r="E77" s="202">
        <v>212109474</v>
      </c>
      <c r="F77" s="203">
        <v>201692629.97980615</v>
      </c>
      <c r="G77" s="204">
        <v>1.0516471227592044</v>
      </c>
      <c r="I77" s="203">
        <v>201692629.97980615</v>
      </c>
      <c r="J77" s="202">
        <v>10416844.020193845</v>
      </c>
    </row>
    <row r="78" spans="2:10" x14ac:dyDescent="0.25">
      <c r="B78" s="4">
        <v>2017</v>
      </c>
      <c r="C78" s="4" t="s">
        <v>141</v>
      </c>
      <c r="D78" s="1" t="s">
        <v>135</v>
      </c>
      <c r="E78" s="202">
        <v>92007549</v>
      </c>
      <c r="F78" s="203">
        <v>78197598.43320182</v>
      </c>
      <c r="G78" s="204">
        <v>1.1766032569222054</v>
      </c>
      <c r="I78" s="203">
        <v>78197598.43320182</v>
      </c>
      <c r="J78" s="202">
        <v>13809950.56679818</v>
      </c>
    </row>
    <row r="79" spans="2:10" x14ac:dyDescent="0.25">
      <c r="B79" s="4">
        <v>2017</v>
      </c>
      <c r="C79" s="4" t="s">
        <v>141</v>
      </c>
      <c r="D79" s="1" t="s">
        <v>136</v>
      </c>
      <c r="E79" s="202">
        <v>72454958</v>
      </c>
      <c r="F79" s="203">
        <v>95681500</v>
      </c>
      <c r="G79" s="204">
        <v>0.7572514853968636</v>
      </c>
      <c r="I79" s="203">
        <v>95681500</v>
      </c>
      <c r="J79" s="202">
        <v>-23226542</v>
      </c>
    </row>
    <row r="80" spans="2:10" x14ac:dyDescent="0.25">
      <c r="B80" s="4">
        <v>2017</v>
      </c>
      <c r="C80" s="4" t="s">
        <v>141</v>
      </c>
      <c r="D80" s="1" t="s">
        <v>137</v>
      </c>
      <c r="E80" s="202">
        <v>37195454</v>
      </c>
      <c r="F80" s="203">
        <v>24917579.02777778</v>
      </c>
      <c r="G80" s="204">
        <v>1.4927394815738324</v>
      </c>
      <c r="I80" s="203">
        <v>24917579.02777778</v>
      </c>
      <c r="J80" s="202">
        <v>12277874.97222222</v>
      </c>
    </row>
    <row r="81" spans="2:10" x14ac:dyDescent="0.25">
      <c r="B81" s="5">
        <v>2017</v>
      </c>
      <c r="C81" s="5" t="s">
        <v>141</v>
      </c>
      <c r="D81" s="5" t="s">
        <v>430</v>
      </c>
      <c r="E81" s="205">
        <v>1913388943</v>
      </c>
      <c r="F81" s="205">
        <v>1769466529.9915817</v>
      </c>
      <c r="G81" s="206">
        <v>1.0813366122325598</v>
      </c>
      <c r="I81" s="205">
        <v>1757179744.0837226</v>
      </c>
      <c r="J81" s="205">
        <v>143922413.00841817</v>
      </c>
    </row>
    <row r="82" spans="2:10" x14ac:dyDescent="0.25">
      <c r="B82" s="4">
        <v>2017</v>
      </c>
      <c r="C82" s="4" t="s">
        <v>153</v>
      </c>
      <c r="D82" s="1" t="s">
        <v>123</v>
      </c>
      <c r="E82" s="202">
        <v>25170758</v>
      </c>
      <c r="F82" s="203">
        <v>31720715.447154462</v>
      </c>
      <c r="G82" s="204">
        <v>0.79351167352872454</v>
      </c>
      <c r="I82" s="203">
        <v>31720715.447154462</v>
      </c>
      <c r="J82" s="202">
        <v>-6549957.4471544623</v>
      </c>
    </row>
    <row r="83" spans="2:10" x14ac:dyDescent="0.25">
      <c r="B83" s="4">
        <v>2017</v>
      </c>
      <c r="C83" s="4" t="s">
        <v>153</v>
      </c>
      <c r="D83" s="1" t="s">
        <v>124</v>
      </c>
      <c r="E83" s="202">
        <v>127914543</v>
      </c>
      <c r="F83" s="203">
        <v>42000000</v>
      </c>
      <c r="G83" s="204">
        <v>3.0455843571428574</v>
      </c>
      <c r="I83" s="203">
        <v>42000000</v>
      </c>
      <c r="J83" s="202">
        <v>85914543</v>
      </c>
    </row>
    <row r="84" spans="2:10" x14ac:dyDescent="0.25">
      <c r="B84" s="4">
        <v>2017</v>
      </c>
      <c r="C84" s="4" t="s">
        <v>153</v>
      </c>
      <c r="D84" s="1" t="s">
        <v>125</v>
      </c>
      <c r="E84" s="202">
        <v>295478086</v>
      </c>
      <c r="F84" s="203">
        <v>330535441.5850994</v>
      </c>
      <c r="G84" s="204">
        <v>0.89393768057978873</v>
      </c>
      <c r="I84" s="203">
        <v>330535441.5850994</v>
      </c>
      <c r="J84" s="202">
        <v>-35057355.585099399</v>
      </c>
    </row>
    <row r="85" spans="2:10" x14ac:dyDescent="0.25">
      <c r="B85" s="4">
        <v>2017</v>
      </c>
      <c r="C85" s="4" t="s">
        <v>153</v>
      </c>
      <c r="D85" s="1" t="s">
        <v>126</v>
      </c>
      <c r="E85" s="202">
        <v>115696666</v>
      </c>
      <c r="F85" s="203">
        <v>79437687.138563663</v>
      </c>
      <c r="G85" s="204">
        <v>1.4564455508150631</v>
      </c>
      <c r="I85" s="203">
        <v>79437687.138563663</v>
      </c>
      <c r="J85" s="202">
        <v>36258978.861436337</v>
      </c>
    </row>
    <row r="86" spans="2:10" x14ac:dyDescent="0.25">
      <c r="B86" s="4">
        <v>2017</v>
      </c>
      <c r="C86" s="4" t="s">
        <v>153</v>
      </c>
      <c r="D86" s="1" t="s">
        <v>127</v>
      </c>
      <c r="E86" s="202">
        <v>138234598</v>
      </c>
      <c r="F86" s="203">
        <v>98040755.197133005</v>
      </c>
      <c r="G86" s="204">
        <v>1.4099707588140078</v>
      </c>
      <c r="I86" s="203">
        <v>98040755.197133005</v>
      </c>
      <c r="J86" s="202">
        <v>40193842.802866995</v>
      </c>
    </row>
    <row r="87" spans="2:10" x14ac:dyDescent="0.25">
      <c r="B87" s="4">
        <v>2017</v>
      </c>
      <c r="C87" s="4" t="s">
        <v>153</v>
      </c>
      <c r="D87" s="1" t="s">
        <v>128</v>
      </c>
      <c r="E87" s="202">
        <v>67802824</v>
      </c>
      <c r="F87" s="203">
        <v>52124054.829347007</v>
      </c>
      <c r="G87" s="204">
        <v>1.3007971889751273</v>
      </c>
      <c r="I87" s="203">
        <v>52124054.829347007</v>
      </c>
      <c r="J87" s="202">
        <v>15678769.170652986</v>
      </c>
    </row>
    <row r="88" spans="2:10" x14ac:dyDescent="0.25">
      <c r="B88" s="4">
        <v>2017</v>
      </c>
      <c r="C88" s="4" t="s">
        <v>153</v>
      </c>
      <c r="D88" s="1" t="s">
        <v>129</v>
      </c>
      <c r="E88" s="202">
        <v>274840034</v>
      </c>
      <c r="F88" s="203">
        <v>175480906.16871634</v>
      </c>
      <c r="G88" s="204">
        <v>1.5662104783967477</v>
      </c>
      <c r="I88" s="203">
        <v>175480906.16871634</v>
      </c>
      <c r="J88" s="202">
        <v>99359127.831283659</v>
      </c>
    </row>
    <row r="89" spans="2:10" x14ac:dyDescent="0.25">
      <c r="B89" s="4">
        <v>2017</v>
      </c>
      <c r="C89" s="4" t="s">
        <v>153</v>
      </c>
      <c r="D89" s="1" t="s">
        <v>130</v>
      </c>
      <c r="E89" s="202">
        <v>66630584</v>
      </c>
      <c r="F89" s="203">
        <v>48652850.645672902</v>
      </c>
      <c r="G89" s="204">
        <v>1.3695103804966051</v>
      </c>
      <c r="I89" s="203">
        <v>48652850.645672902</v>
      </c>
      <c r="J89" s="202">
        <v>17977733.354327098</v>
      </c>
    </row>
    <row r="90" spans="2:10" x14ac:dyDescent="0.25">
      <c r="B90" s="4">
        <v>2017</v>
      </c>
      <c r="C90" s="4" t="s">
        <v>153</v>
      </c>
      <c r="D90" s="1" t="s">
        <v>131</v>
      </c>
      <c r="E90" s="202">
        <v>336824947</v>
      </c>
      <c r="F90" s="203">
        <v>353361603.25929201</v>
      </c>
      <c r="G90" s="204">
        <v>0.9532018869431107</v>
      </c>
      <c r="I90" s="203">
        <v>353361603.25929201</v>
      </c>
      <c r="J90" s="202">
        <v>-16536656.259292006</v>
      </c>
    </row>
    <row r="91" spans="2:10" x14ac:dyDescent="0.25">
      <c r="B91" s="4">
        <v>2017</v>
      </c>
      <c r="C91" s="4" t="s">
        <v>153</v>
      </c>
      <c r="D91" s="1" t="s">
        <v>132</v>
      </c>
      <c r="E91" s="202">
        <v>119243227</v>
      </c>
      <c r="F91" s="203">
        <v>130726381.59669819</v>
      </c>
      <c r="G91" s="204">
        <v>0.91215885839994648</v>
      </c>
      <c r="I91" s="203">
        <v>130726381.59669819</v>
      </c>
      <c r="J91" s="202">
        <v>-11483154.596698195</v>
      </c>
    </row>
    <row r="92" spans="2:10" x14ac:dyDescent="0.25">
      <c r="B92" s="4">
        <v>2017</v>
      </c>
      <c r="C92" s="4" t="s">
        <v>153</v>
      </c>
      <c r="D92" s="1" t="s">
        <v>133</v>
      </c>
      <c r="E92" s="202">
        <v>30697130</v>
      </c>
      <c r="F92" s="203">
        <v>26896826.683119051</v>
      </c>
      <c r="G92" s="204">
        <v>1.141291884044674</v>
      </c>
      <c r="I92" s="203">
        <v>26896826.683119051</v>
      </c>
      <c r="J92" s="202">
        <v>3800303.3168809488</v>
      </c>
    </row>
    <row r="93" spans="2:10" x14ac:dyDescent="0.25">
      <c r="B93" s="4">
        <v>2017</v>
      </c>
      <c r="C93" s="4" t="s">
        <v>153</v>
      </c>
      <c r="D93" s="1" t="s">
        <v>134</v>
      </c>
      <c r="E93" s="202">
        <v>185424082</v>
      </c>
      <c r="F93" s="203">
        <v>201692629.97980615</v>
      </c>
      <c r="G93" s="204">
        <v>0.91933989862973675</v>
      </c>
      <c r="I93" s="203">
        <v>201692629.97980615</v>
      </c>
      <c r="J93" s="202">
        <v>-16268547.979806155</v>
      </c>
    </row>
    <row r="94" spans="2:10" x14ac:dyDescent="0.25">
      <c r="B94" s="4">
        <v>2017</v>
      </c>
      <c r="C94" s="4" t="s">
        <v>153</v>
      </c>
      <c r="D94" s="1" t="s">
        <v>135</v>
      </c>
      <c r="E94" s="202">
        <v>88412878</v>
      </c>
      <c r="F94" s="203">
        <v>78197598.43320182</v>
      </c>
      <c r="G94" s="204">
        <v>1.1306341853391355</v>
      </c>
      <c r="I94" s="203">
        <v>78197598.43320182</v>
      </c>
      <c r="J94" s="202">
        <v>10215279.56679818</v>
      </c>
    </row>
    <row r="95" spans="2:10" x14ac:dyDescent="0.25">
      <c r="B95" s="4">
        <v>2017</v>
      </c>
      <c r="C95" s="4" t="s">
        <v>153</v>
      </c>
      <c r="D95" s="1" t="s">
        <v>136</v>
      </c>
      <c r="E95" s="202">
        <v>74619777</v>
      </c>
      <c r="F95" s="203">
        <v>95681500</v>
      </c>
      <c r="G95" s="204">
        <v>0.77987674733360157</v>
      </c>
      <c r="I95" s="203">
        <v>95681500</v>
      </c>
      <c r="J95" s="202">
        <v>-21061723</v>
      </c>
    </row>
    <row r="96" spans="2:10" x14ac:dyDescent="0.25">
      <c r="B96" s="4">
        <v>2017</v>
      </c>
      <c r="C96" s="4" t="s">
        <v>153</v>
      </c>
      <c r="D96" s="1" t="s">
        <v>137</v>
      </c>
      <c r="E96" s="202">
        <v>31446168</v>
      </c>
      <c r="F96" s="203">
        <v>24917579.02777778</v>
      </c>
      <c r="G96" s="204">
        <v>1.2620073549257831</v>
      </c>
      <c r="I96" s="203">
        <v>24917579.02777778</v>
      </c>
      <c r="J96" s="202">
        <v>6528588.9722222202</v>
      </c>
    </row>
    <row r="97" spans="2:10" x14ac:dyDescent="0.25">
      <c r="B97" s="5">
        <v>2017</v>
      </c>
      <c r="C97" s="5" t="s">
        <v>153</v>
      </c>
      <c r="D97" s="5" t="s">
        <v>430</v>
      </c>
      <c r="E97" s="205">
        <v>1978436302</v>
      </c>
      <c r="F97" s="205">
        <v>1769466529.9915817</v>
      </c>
      <c r="G97" s="206">
        <v>1.1180976121709476</v>
      </c>
      <c r="I97" s="205">
        <v>1769466529.9915817</v>
      </c>
      <c r="J97" s="205">
        <v>208969772.00841817</v>
      </c>
    </row>
    <row r="98" spans="2:10" x14ac:dyDescent="0.25">
      <c r="B98" s="4">
        <v>2017</v>
      </c>
      <c r="C98" s="4" t="s">
        <v>157</v>
      </c>
      <c r="D98" s="1" t="s">
        <v>123</v>
      </c>
      <c r="E98" s="202">
        <v>22727844</v>
      </c>
      <c r="F98" s="203">
        <v>31720715.447154462</v>
      </c>
      <c r="G98" s="204">
        <v>0.71649846731432487</v>
      </c>
      <c r="I98" s="203">
        <v>31720715.447154462</v>
      </c>
      <c r="J98" s="202">
        <v>-8992871.4471544623</v>
      </c>
    </row>
    <row r="99" spans="2:10" x14ac:dyDescent="0.25">
      <c r="B99" s="4">
        <v>2017</v>
      </c>
      <c r="C99" s="4" t="s">
        <v>157</v>
      </c>
      <c r="D99" s="1" t="s">
        <v>124</v>
      </c>
      <c r="E99" s="202">
        <v>86564253</v>
      </c>
      <c r="F99" s="203">
        <v>42000000</v>
      </c>
      <c r="G99" s="204">
        <v>2.0610536428571429</v>
      </c>
      <c r="I99" s="203">
        <v>42000000</v>
      </c>
      <c r="J99" s="202">
        <v>44564253</v>
      </c>
    </row>
    <row r="100" spans="2:10" x14ac:dyDescent="0.25">
      <c r="B100" s="4">
        <v>2017</v>
      </c>
      <c r="C100" s="4" t="s">
        <v>157</v>
      </c>
      <c r="D100" s="1" t="s">
        <v>125</v>
      </c>
      <c r="E100" s="202">
        <v>393615846</v>
      </c>
      <c r="F100" s="203">
        <v>330535441.5850994</v>
      </c>
      <c r="G100" s="204">
        <v>1.1908430881493233</v>
      </c>
      <c r="I100" s="203">
        <v>330535441.5850994</v>
      </c>
      <c r="J100" s="202">
        <v>63080404.414900601</v>
      </c>
    </row>
    <row r="101" spans="2:10" x14ac:dyDescent="0.25">
      <c r="B101" s="4">
        <v>2017</v>
      </c>
      <c r="C101" s="4" t="s">
        <v>157</v>
      </c>
      <c r="D101" s="1" t="s">
        <v>126</v>
      </c>
      <c r="E101" s="202">
        <v>102868122</v>
      </c>
      <c r="F101" s="203">
        <v>79437687.138563663</v>
      </c>
      <c r="G101" s="204">
        <v>1.2949536385741756</v>
      </c>
      <c r="I101" s="203">
        <v>79437687.138563663</v>
      </c>
      <c r="J101" s="202">
        <v>23430434.861436337</v>
      </c>
    </row>
    <row r="102" spans="2:10" x14ac:dyDescent="0.25">
      <c r="B102" s="4">
        <v>2017</v>
      </c>
      <c r="C102" s="4" t="s">
        <v>157</v>
      </c>
      <c r="D102" s="1" t="s">
        <v>127</v>
      </c>
      <c r="E102" s="202">
        <v>132670340</v>
      </c>
      <c r="F102" s="203">
        <v>98040755.197133005</v>
      </c>
      <c r="G102" s="204">
        <v>1.3532162184311658</v>
      </c>
      <c r="I102" s="203">
        <v>98040755.197133005</v>
      </c>
      <c r="J102" s="202">
        <v>34629584.802866995</v>
      </c>
    </row>
    <row r="103" spans="2:10" x14ac:dyDescent="0.25">
      <c r="B103" s="4">
        <v>2017</v>
      </c>
      <c r="C103" s="4" t="s">
        <v>157</v>
      </c>
      <c r="D103" s="1" t="s">
        <v>128</v>
      </c>
      <c r="E103" s="202">
        <v>59252031</v>
      </c>
      <c r="F103" s="203">
        <v>52124054.829347007</v>
      </c>
      <c r="G103" s="204">
        <v>1.1367502239415146</v>
      </c>
      <c r="I103" s="203">
        <v>52124054.829347014</v>
      </c>
      <c r="J103" s="202">
        <v>7127976.1706529856</v>
      </c>
    </row>
    <row r="104" spans="2:10" x14ac:dyDescent="0.25">
      <c r="B104" s="4">
        <v>2017</v>
      </c>
      <c r="C104" s="4" t="s">
        <v>157</v>
      </c>
      <c r="D104" s="1" t="s">
        <v>129</v>
      </c>
      <c r="E104" s="202">
        <v>300310754</v>
      </c>
      <c r="F104" s="203">
        <v>175480906.16871634</v>
      </c>
      <c r="G104" s="204">
        <v>1.7113585777319034</v>
      </c>
      <c r="I104" s="203">
        <v>175480906.16871634</v>
      </c>
      <c r="J104" s="202">
        <v>124829847.83128366</v>
      </c>
    </row>
    <row r="105" spans="2:10" x14ac:dyDescent="0.25">
      <c r="B105" s="4">
        <v>2017</v>
      </c>
      <c r="C105" s="4" t="s">
        <v>157</v>
      </c>
      <c r="D105" s="1" t="s">
        <v>130</v>
      </c>
      <c r="E105" s="202">
        <v>69436954</v>
      </c>
      <c r="F105" s="203">
        <v>48652850.645672902</v>
      </c>
      <c r="G105" s="204">
        <v>1.4271918927360034</v>
      </c>
      <c r="I105" s="203">
        <v>48652850.645672902</v>
      </c>
      <c r="J105" s="202">
        <v>20784103.354327098</v>
      </c>
    </row>
    <row r="106" spans="2:10" x14ac:dyDescent="0.25">
      <c r="B106" s="4">
        <v>2017</v>
      </c>
      <c r="C106" s="4" t="s">
        <v>157</v>
      </c>
      <c r="D106" s="1" t="s">
        <v>131</v>
      </c>
      <c r="E106" s="202">
        <v>324335667</v>
      </c>
      <c r="F106" s="203">
        <v>353361603.25929201</v>
      </c>
      <c r="G106" s="204">
        <v>0.91785769593649602</v>
      </c>
      <c r="I106" s="203">
        <v>353361603.25929201</v>
      </c>
      <c r="J106" s="202">
        <v>-29025936.259292006</v>
      </c>
    </row>
    <row r="107" spans="2:10" x14ac:dyDescent="0.25">
      <c r="B107" s="4">
        <v>2017</v>
      </c>
      <c r="C107" s="4" t="s">
        <v>157</v>
      </c>
      <c r="D107" s="1" t="s">
        <v>132</v>
      </c>
      <c r="E107" s="202">
        <v>141590343</v>
      </c>
      <c r="F107" s="203">
        <v>130726381.59669819</v>
      </c>
      <c r="G107" s="204">
        <v>1.0831045827981227</v>
      </c>
      <c r="I107" s="203">
        <v>130726381.59669819</v>
      </c>
      <c r="J107" s="202">
        <v>10863961.403301805</v>
      </c>
    </row>
    <row r="108" spans="2:10" x14ac:dyDescent="0.25">
      <c r="B108" s="4">
        <v>2017</v>
      </c>
      <c r="C108" s="4" t="s">
        <v>157</v>
      </c>
      <c r="D108" s="1" t="s">
        <v>133</v>
      </c>
      <c r="E108" s="202">
        <v>33688961</v>
      </c>
      <c r="F108" s="203">
        <v>26896826.683119051</v>
      </c>
      <c r="G108" s="204">
        <v>1.2525254892296949</v>
      </c>
      <c r="I108" s="203">
        <v>26896826.683119051</v>
      </c>
      <c r="J108" s="202">
        <v>6792134.3168809488</v>
      </c>
    </row>
    <row r="109" spans="2:10" x14ac:dyDescent="0.25">
      <c r="B109" s="4">
        <v>2017</v>
      </c>
      <c r="C109" s="4" t="s">
        <v>157</v>
      </c>
      <c r="D109" s="1" t="s">
        <v>134</v>
      </c>
      <c r="E109" s="202">
        <v>180896917</v>
      </c>
      <c r="F109" s="203">
        <v>201692629.97980615</v>
      </c>
      <c r="G109" s="204">
        <v>0.8968940363270177</v>
      </c>
      <c r="I109" s="203">
        <v>201692629.97980615</v>
      </c>
      <c r="J109" s="202">
        <v>-20795712.979806155</v>
      </c>
    </row>
    <row r="110" spans="2:10" x14ac:dyDescent="0.25">
      <c r="B110" s="4">
        <v>2017</v>
      </c>
      <c r="C110" s="4" t="s">
        <v>157</v>
      </c>
      <c r="D110" s="1" t="s">
        <v>135</v>
      </c>
      <c r="E110" s="202">
        <v>99526173</v>
      </c>
      <c r="F110" s="203">
        <v>78197598.43320182</v>
      </c>
      <c r="G110" s="204">
        <v>1.2727522966708182</v>
      </c>
      <c r="I110" s="203">
        <v>78197598.43320182</v>
      </c>
      <c r="J110" s="202">
        <v>21328574.56679818</v>
      </c>
    </row>
    <row r="111" spans="2:10" x14ac:dyDescent="0.25">
      <c r="B111" s="4">
        <v>2017</v>
      </c>
      <c r="C111" s="4" t="s">
        <v>157</v>
      </c>
      <c r="D111" s="1" t="s">
        <v>136</v>
      </c>
      <c r="E111" s="202">
        <v>61478602</v>
      </c>
      <c r="F111" s="203">
        <v>95681500</v>
      </c>
      <c r="G111" s="204">
        <v>0.64253384405553837</v>
      </c>
      <c r="I111" s="203">
        <v>95681500</v>
      </c>
      <c r="J111" s="202">
        <v>-34202898</v>
      </c>
    </row>
    <row r="112" spans="2:10" x14ac:dyDescent="0.25">
      <c r="B112" s="4">
        <v>2017</v>
      </c>
      <c r="C112" s="4" t="s">
        <v>157</v>
      </c>
      <c r="D112" s="1" t="s">
        <v>137</v>
      </c>
      <c r="E112" s="202">
        <v>42134582</v>
      </c>
      <c r="F112" s="203">
        <v>24917579.02777778</v>
      </c>
      <c r="G112" s="204">
        <v>1.6909580964117317</v>
      </c>
      <c r="I112" s="203">
        <v>24917579.02777778</v>
      </c>
      <c r="J112" s="202">
        <v>17217002.97222222</v>
      </c>
    </row>
    <row r="113" spans="2:10" x14ac:dyDescent="0.25">
      <c r="B113" s="5">
        <v>2017</v>
      </c>
      <c r="C113" s="5" t="s">
        <v>157</v>
      </c>
      <c r="D113" s="5" t="s">
        <v>430</v>
      </c>
      <c r="E113" s="205">
        <v>2051097389</v>
      </c>
      <c r="F113" s="205">
        <v>1769466529.9915817</v>
      </c>
      <c r="G113" s="206">
        <v>1.159161450208249</v>
      </c>
      <c r="I113" s="205">
        <v>1769466529.9915817</v>
      </c>
      <c r="J113" s="205">
        <v>281630859.0084182</v>
      </c>
    </row>
    <row r="114" spans="2:10" x14ac:dyDescent="0.25">
      <c r="B114" s="4">
        <v>2017</v>
      </c>
      <c r="C114" s="4" t="s">
        <v>158</v>
      </c>
      <c r="D114" s="1" t="s">
        <v>123</v>
      </c>
      <c r="E114" s="202">
        <v>24456041</v>
      </c>
      <c r="F114" s="203">
        <v>31720715.447154462</v>
      </c>
      <c r="G114" s="204">
        <v>0.7709801199390619</v>
      </c>
      <c r="I114" s="203">
        <v>31720715.447154462</v>
      </c>
      <c r="J114" s="202">
        <v>-7264674.4471544623</v>
      </c>
    </row>
    <row r="115" spans="2:10" x14ac:dyDescent="0.25">
      <c r="B115" s="4">
        <v>2017</v>
      </c>
      <c r="C115" s="4" t="s">
        <v>158</v>
      </c>
      <c r="D115" s="1" t="s">
        <v>124</v>
      </c>
      <c r="E115" s="202">
        <v>31828851</v>
      </c>
      <c r="F115" s="203">
        <v>42000000</v>
      </c>
      <c r="G115" s="204">
        <v>0.75782978571428572</v>
      </c>
      <c r="I115" s="203">
        <v>42000000</v>
      </c>
      <c r="J115" s="202">
        <v>-10171149</v>
      </c>
    </row>
    <row r="116" spans="2:10" x14ac:dyDescent="0.25">
      <c r="B116" s="4">
        <v>2017</v>
      </c>
      <c r="C116" s="4" t="s">
        <v>158</v>
      </c>
      <c r="D116" s="1" t="s">
        <v>125</v>
      </c>
      <c r="E116" s="202">
        <v>376016496</v>
      </c>
      <c r="F116" s="203">
        <v>330535441.5850994</v>
      </c>
      <c r="G116" s="204">
        <v>1.1375981171543781</v>
      </c>
      <c r="I116" s="203">
        <v>330535441.5850994</v>
      </c>
      <c r="J116" s="202">
        <v>45481054.414900601</v>
      </c>
    </row>
    <row r="117" spans="2:10" x14ac:dyDescent="0.25">
      <c r="B117" s="4">
        <v>2017</v>
      </c>
      <c r="C117" s="4" t="s">
        <v>158</v>
      </c>
      <c r="D117" s="1" t="s">
        <v>126</v>
      </c>
      <c r="E117" s="208">
        <v>114404394</v>
      </c>
      <c r="F117" s="203">
        <v>79437687.138563663</v>
      </c>
      <c r="G117" s="204">
        <v>1.4401778062904034</v>
      </c>
      <c r="I117" s="203">
        <v>79437687.138563663</v>
      </c>
      <c r="J117" s="202">
        <v>34966706.861436337</v>
      </c>
    </row>
    <row r="118" spans="2:10" x14ac:dyDescent="0.25">
      <c r="B118" s="4">
        <v>2017</v>
      </c>
      <c r="C118" s="4" t="s">
        <v>158</v>
      </c>
      <c r="D118" s="1" t="s">
        <v>127</v>
      </c>
      <c r="E118" s="202">
        <v>139421204</v>
      </c>
      <c r="F118" s="203">
        <v>98040755.197133005</v>
      </c>
      <c r="G118" s="204">
        <v>1.4220739499574671</v>
      </c>
      <c r="I118" s="203">
        <v>98040755.197133005</v>
      </c>
      <c r="J118" s="202">
        <v>41380448.802866995</v>
      </c>
    </row>
    <row r="119" spans="2:10" x14ac:dyDescent="0.25">
      <c r="B119" s="4">
        <v>2017</v>
      </c>
      <c r="C119" s="4" t="s">
        <v>158</v>
      </c>
      <c r="D119" s="1" t="s">
        <v>128</v>
      </c>
      <c r="E119" s="202">
        <v>62142716</v>
      </c>
      <c r="F119" s="203">
        <v>52124054.829347007</v>
      </c>
      <c r="G119" s="204">
        <v>1.1922080161156661</v>
      </c>
      <c r="I119" s="203">
        <v>52124054.829347007</v>
      </c>
      <c r="J119" s="202">
        <v>10018661.170652993</v>
      </c>
    </row>
    <row r="120" spans="2:10" x14ac:dyDescent="0.25">
      <c r="B120" s="4">
        <v>2017</v>
      </c>
      <c r="C120" s="4" t="s">
        <v>158</v>
      </c>
      <c r="D120" s="1" t="s">
        <v>129</v>
      </c>
      <c r="E120" s="202">
        <v>321373155</v>
      </c>
      <c r="F120" s="203">
        <v>175480906.16871634</v>
      </c>
      <c r="G120" s="204">
        <v>1.8313853171638821</v>
      </c>
      <c r="I120" s="203">
        <v>175480906.16871634</v>
      </c>
      <c r="J120" s="202">
        <v>145892248.83128366</v>
      </c>
    </row>
    <row r="121" spans="2:10" x14ac:dyDescent="0.25">
      <c r="B121" s="4">
        <v>2017</v>
      </c>
      <c r="C121" s="4" t="s">
        <v>158</v>
      </c>
      <c r="D121" s="1" t="s">
        <v>130</v>
      </c>
      <c r="E121" s="202">
        <v>68544193</v>
      </c>
      <c r="F121" s="203">
        <v>48652850.645672902</v>
      </c>
      <c r="G121" s="204">
        <v>1.4088422793392106</v>
      </c>
      <c r="I121" s="203">
        <v>48652850.645672902</v>
      </c>
      <c r="J121" s="202">
        <v>19891342.354327098</v>
      </c>
    </row>
    <row r="122" spans="2:10" x14ac:dyDescent="0.25">
      <c r="B122" s="4">
        <v>2017</v>
      </c>
      <c r="C122" s="4" t="s">
        <v>158</v>
      </c>
      <c r="D122" s="1" t="s">
        <v>131</v>
      </c>
      <c r="E122" s="202">
        <v>343800034</v>
      </c>
      <c r="F122" s="203">
        <v>353361603.25929201</v>
      </c>
      <c r="G122" s="204">
        <v>0.97294111988654342</v>
      </c>
      <c r="I122" s="203">
        <v>353361603.25929201</v>
      </c>
      <c r="J122" s="202">
        <v>-9561569.2592920065</v>
      </c>
    </row>
    <row r="123" spans="2:10" x14ac:dyDescent="0.25">
      <c r="B123" s="4">
        <v>2017</v>
      </c>
      <c r="C123" s="4" t="s">
        <v>158</v>
      </c>
      <c r="D123" s="1" t="s">
        <v>132</v>
      </c>
      <c r="E123" s="202">
        <v>151749848</v>
      </c>
      <c r="F123" s="203">
        <v>130726381.59669819</v>
      </c>
      <c r="G123" s="204">
        <v>1.1608203802975359</v>
      </c>
      <c r="I123" s="203">
        <v>130726381.59669819</v>
      </c>
      <c r="J123" s="202">
        <v>21023466.403301805</v>
      </c>
    </row>
    <row r="124" spans="2:10" x14ac:dyDescent="0.25">
      <c r="B124" s="4">
        <v>2017</v>
      </c>
      <c r="C124" s="4" t="s">
        <v>158</v>
      </c>
      <c r="D124" s="1" t="s">
        <v>133</v>
      </c>
      <c r="E124" s="202">
        <v>32621064</v>
      </c>
      <c r="F124" s="203">
        <v>26896826.683119051</v>
      </c>
      <c r="G124" s="204">
        <v>1.2128220322910281</v>
      </c>
      <c r="I124" s="203">
        <v>26896826.683119051</v>
      </c>
      <c r="J124" s="202">
        <v>5724237.3168809488</v>
      </c>
    </row>
    <row r="125" spans="2:10" x14ac:dyDescent="0.25">
      <c r="B125" s="4">
        <v>2017</v>
      </c>
      <c r="C125" s="4" t="s">
        <v>158</v>
      </c>
      <c r="D125" s="1" t="s">
        <v>134</v>
      </c>
      <c r="E125" s="202">
        <v>209148226</v>
      </c>
      <c r="F125" s="203">
        <v>201692629.97980615</v>
      </c>
      <c r="G125" s="204">
        <v>1.0369651385920264</v>
      </c>
      <c r="I125" s="203">
        <v>201692629.97980615</v>
      </c>
      <c r="J125" s="202">
        <v>7455596.020193845</v>
      </c>
    </row>
    <row r="126" spans="2:10" x14ac:dyDescent="0.25">
      <c r="B126" s="4">
        <v>2017</v>
      </c>
      <c r="C126" s="4" t="s">
        <v>158</v>
      </c>
      <c r="D126" s="1" t="s">
        <v>135</v>
      </c>
      <c r="E126" s="202">
        <v>88964316</v>
      </c>
      <c r="F126" s="203">
        <v>78197598.43320182</v>
      </c>
      <c r="G126" s="204">
        <v>1.1376860387342376</v>
      </c>
      <c r="I126" s="203">
        <v>78197598.43320182</v>
      </c>
      <c r="J126" s="202">
        <v>10766717.56679818</v>
      </c>
    </row>
    <row r="127" spans="2:10" x14ac:dyDescent="0.25">
      <c r="B127" s="4">
        <v>2017</v>
      </c>
      <c r="C127" s="4" t="s">
        <v>158</v>
      </c>
      <c r="D127" s="1" t="s">
        <v>136</v>
      </c>
      <c r="E127" s="202">
        <v>91634676</v>
      </c>
      <c r="F127" s="203">
        <v>95681500</v>
      </c>
      <c r="G127" s="204">
        <v>0.9577052617277112</v>
      </c>
      <c r="I127" s="203">
        <v>95681500</v>
      </c>
      <c r="J127" s="202">
        <v>-4046824</v>
      </c>
    </row>
    <row r="128" spans="2:10" x14ac:dyDescent="0.25">
      <c r="B128" s="4">
        <v>2017</v>
      </c>
      <c r="C128" s="4" t="s">
        <v>158</v>
      </c>
      <c r="D128" s="1" t="s">
        <v>137</v>
      </c>
      <c r="E128" s="202">
        <v>47249776</v>
      </c>
      <c r="F128" s="203">
        <v>24917579.02777778</v>
      </c>
      <c r="G128" s="204">
        <v>1.8962426464997497</v>
      </c>
      <c r="I128" s="203">
        <v>24917579.02777778</v>
      </c>
      <c r="J128" s="202">
        <v>22332196.97222222</v>
      </c>
    </row>
    <row r="129" spans="2:10" x14ac:dyDescent="0.25">
      <c r="B129" s="5">
        <v>2017</v>
      </c>
      <c r="C129" s="5" t="s">
        <v>158</v>
      </c>
      <c r="D129" s="5" t="s">
        <v>430</v>
      </c>
      <c r="E129" s="205">
        <v>2103354990</v>
      </c>
      <c r="F129" s="205">
        <v>1769466529.9915817</v>
      </c>
      <c r="G129" s="206">
        <v>1.1886944196734859</v>
      </c>
      <c r="I129" s="205">
        <v>1769466529.9915817</v>
      </c>
      <c r="J129" s="205">
        <v>333888460.0084182</v>
      </c>
    </row>
    <row r="130" spans="2:10" x14ac:dyDescent="0.25">
      <c r="B130" s="4">
        <v>2017</v>
      </c>
      <c r="C130" s="4" t="s">
        <v>165</v>
      </c>
      <c r="D130" s="1" t="s">
        <v>123</v>
      </c>
      <c r="E130" s="202">
        <v>35348729</v>
      </c>
      <c r="F130" s="203">
        <v>31720715.447154462</v>
      </c>
      <c r="G130" s="204">
        <v>1.1143736357047076</v>
      </c>
      <c r="I130" s="203">
        <v>31720715.447154462</v>
      </c>
      <c r="J130" s="202">
        <v>3628013.5528455377</v>
      </c>
    </row>
    <row r="131" spans="2:10" x14ac:dyDescent="0.25">
      <c r="B131" s="4">
        <v>2017</v>
      </c>
      <c r="C131" s="4" t="s">
        <v>165</v>
      </c>
      <c r="D131" s="1" t="s">
        <v>124</v>
      </c>
      <c r="E131" s="202">
        <v>24886552</v>
      </c>
      <c r="F131" s="203">
        <v>42000000</v>
      </c>
      <c r="G131" s="204">
        <v>0.59253695238095239</v>
      </c>
      <c r="I131" s="203">
        <v>42000000</v>
      </c>
      <c r="J131" s="202">
        <v>-17113448</v>
      </c>
    </row>
    <row r="132" spans="2:10" x14ac:dyDescent="0.25">
      <c r="B132" s="4">
        <v>2017</v>
      </c>
      <c r="C132" s="4" t="s">
        <v>165</v>
      </c>
      <c r="D132" s="1" t="s">
        <v>125</v>
      </c>
      <c r="E132" s="202">
        <v>330144407</v>
      </c>
      <c r="F132" s="203">
        <v>330535441.5850994</v>
      </c>
      <c r="G132" s="204">
        <v>0.99881696624354666</v>
      </c>
      <c r="I132" s="203">
        <v>330535441.5850994</v>
      </c>
      <c r="J132" s="202">
        <v>-391034.58509939909</v>
      </c>
    </row>
    <row r="133" spans="2:10" x14ac:dyDescent="0.25">
      <c r="B133" s="4">
        <v>2017</v>
      </c>
      <c r="C133" s="4" t="s">
        <v>165</v>
      </c>
      <c r="D133" s="1" t="s">
        <v>126</v>
      </c>
      <c r="E133" s="202">
        <v>107417090</v>
      </c>
      <c r="F133" s="203">
        <v>79437687.138563663</v>
      </c>
      <c r="G133" s="204">
        <v>1.3522182463926937</v>
      </c>
      <c r="I133" s="203">
        <v>79437687.138563663</v>
      </c>
      <c r="J133" s="202">
        <v>27979402.861436337</v>
      </c>
    </row>
    <row r="134" spans="2:10" x14ac:dyDescent="0.25">
      <c r="B134" s="4">
        <v>2017</v>
      </c>
      <c r="C134" s="4" t="s">
        <v>165</v>
      </c>
      <c r="D134" s="1" t="s">
        <v>127</v>
      </c>
      <c r="E134" s="202">
        <v>138191908</v>
      </c>
      <c r="F134" s="203">
        <v>98040755.197133005</v>
      </c>
      <c r="G134" s="204">
        <v>1.4095353276515881</v>
      </c>
      <c r="I134" s="203">
        <v>98040755.197133005</v>
      </c>
      <c r="J134" s="202">
        <v>40151152.802866995</v>
      </c>
    </row>
    <row r="135" spans="2:10" x14ac:dyDescent="0.25">
      <c r="B135" s="4">
        <v>2017</v>
      </c>
      <c r="C135" s="4" t="s">
        <v>165</v>
      </c>
      <c r="D135" s="1" t="s">
        <v>128</v>
      </c>
      <c r="E135" s="202">
        <v>76689857</v>
      </c>
      <c r="F135" s="203">
        <v>52124054.829347007</v>
      </c>
      <c r="G135" s="204">
        <v>1.4712949184609847</v>
      </c>
      <c r="I135" s="203">
        <v>52124054.829347007</v>
      </c>
      <c r="J135" s="202">
        <v>24565802.170652993</v>
      </c>
    </row>
    <row r="136" spans="2:10" x14ac:dyDescent="0.25">
      <c r="B136" s="4">
        <v>2017</v>
      </c>
      <c r="C136" s="4" t="s">
        <v>165</v>
      </c>
      <c r="D136" s="1" t="s">
        <v>129</v>
      </c>
      <c r="E136" s="202">
        <v>285349407</v>
      </c>
      <c r="F136" s="203">
        <v>175480906.16871634</v>
      </c>
      <c r="G136" s="204">
        <v>1.6260994613604882</v>
      </c>
      <c r="I136" s="203">
        <v>175480906.16871634</v>
      </c>
      <c r="J136" s="202">
        <v>109868500.83128366</v>
      </c>
    </row>
    <row r="137" spans="2:10" x14ac:dyDescent="0.25">
      <c r="B137" s="4">
        <v>2017</v>
      </c>
      <c r="C137" s="4" t="s">
        <v>165</v>
      </c>
      <c r="D137" s="1" t="s">
        <v>130</v>
      </c>
      <c r="E137" s="202">
        <v>66914674</v>
      </c>
      <c r="F137" s="203">
        <v>48652850.645672902</v>
      </c>
      <c r="G137" s="204">
        <v>1.375349503923698</v>
      </c>
      <c r="I137" s="203">
        <v>48652850.645672902</v>
      </c>
      <c r="J137" s="202">
        <v>18261823.354327098</v>
      </c>
    </row>
    <row r="138" spans="2:10" x14ac:dyDescent="0.25">
      <c r="B138" s="4">
        <v>2017</v>
      </c>
      <c r="C138" s="4" t="s">
        <v>165</v>
      </c>
      <c r="D138" s="1" t="s">
        <v>131</v>
      </c>
      <c r="E138" s="202">
        <v>338920412</v>
      </c>
      <c r="F138" s="203">
        <v>353361603.25929201</v>
      </c>
      <c r="G138" s="204">
        <v>0.95913197380221515</v>
      </c>
      <c r="I138" s="203">
        <v>353361603.25929201</v>
      </c>
      <c r="J138" s="202">
        <v>-14441191.259292006</v>
      </c>
    </row>
    <row r="139" spans="2:10" x14ac:dyDescent="0.25">
      <c r="B139" s="4">
        <v>2017</v>
      </c>
      <c r="C139" s="4" t="s">
        <v>165</v>
      </c>
      <c r="D139" s="1" t="s">
        <v>132</v>
      </c>
      <c r="E139" s="202">
        <v>151000950</v>
      </c>
      <c r="F139" s="203">
        <v>130726381.59669819</v>
      </c>
      <c r="G139" s="204">
        <v>1.1550916361002828</v>
      </c>
      <c r="I139" s="203">
        <v>130726381.59669819</v>
      </c>
      <c r="J139" s="202">
        <v>20274568.403301805</v>
      </c>
    </row>
    <row r="140" spans="2:10" x14ac:dyDescent="0.25">
      <c r="B140" s="4">
        <v>2017</v>
      </c>
      <c r="C140" s="4" t="s">
        <v>165</v>
      </c>
      <c r="D140" s="1" t="s">
        <v>133</v>
      </c>
      <c r="E140" s="202">
        <v>31456835</v>
      </c>
      <c r="F140" s="203">
        <v>26896826.683119051</v>
      </c>
      <c r="G140" s="204">
        <v>1.1695370376068526</v>
      </c>
      <c r="I140" s="203">
        <v>26896826.683119051</v>
      </c>
      <c r="J140" s="202">
        <v>4560008.3168809488</v>
      </c>
    </row>
    <row r="141" spans="2:10" x14ac:dyDescent="0.25">
      <c r="B141" s="4">
        <v>2017</v>
      </c>
      <c r="C141" s="4" t="s">
        <v>165</v>
      </c>
      <c r="D141" s="1" t="s">
        <v>134</v>
      </c>
      <c r="E141" s="202">
        <v>203141479</v>
      </c>
      <c r="F141" s="203">
        <v>201692629.97980615</v>
      </c>
      <c r="G141" s="204">
        <v>1.0071834504827415</v>
      </c>
      <c r="I141" s="203">
        <v>201692629.97980615</v>
      </c>
      <c r="J141" s="202">
        <v>1448849.020193845</v>
      </c>
    </row>
    <row r="142" spans="2:10" x14ac:dyDescent="0.25">
      <c r="B142" s="4">
        <v>2017</v>
      </c>
      <c r="C142" s="4" t="s">
        <v>165</v>
      </c>
      <c r="D142" s="1" t="s">
        <v>135</v>
      </c>
      <c r="E142" s="202">
        <v>90057236</v>
      </c>
      <c r="F142" s="203">
        <v>78197598.43320182</v>
      </c>
      <c r="G142" s="204">
        <v>1.1516624270364129</v>
      </c>
      <c r="I142" s="203">
        <v>78197598.43320182</v>
      </c>
      <c r="J142" s="202">
        <v>11859637.56679818</v>
      </c>
    </row>
    <row r="143" spans="2:10" x14ac:dyDescent="0.25">
      <c r="B143" s="4">
        <v>2017</v>
      </c>
      <c r="C143" s="4" t="s">
        <v>165</v>
      </c>
      <c r="D143" s="1" t="s">
        <v>136</v>
      </c>
      <c r="E143" s="202">
        <v>83326139</v>
      </c>
      <c r="F143" s="203">
        <v>95681500</v>
      </c>
      <c r="G143" s="204">
        <v>0.8708699069308069</v>
      </c>
      <c r="I143" s="203">
        <v>95681500</v>
      </c>
      <c r="J143" s="202">
        <v>-12355361</v>
      </c>
    </row>
    <row r="144" spans="2:10" x14ac:dyDescent="0.25">
      <c r="B144" s="4">
        <v>2017</v>
      </c>
      <c r="C144" s="4" t="s">
        <v>165</v>
      </c>
      <c r="D144" s="1" t="s">
        <v>137</v>
      </c>
      <c r="E144" s="202">
        <v>46194329</v>
      </c>
      <c r="F144" s="203">
        <v>24917579.02777778</v>
      </c>
      <c r="G144" s="204">
        <v>1.8538851205609979</v>
      </c>
      <c r="I144" s="203">
        <v>24917579.02777778</v>
      </c>
      <c r="J144" s="202">
        <v>21276749.97222222</v>
      </c>
    </row>
    <row r="145" spans="2:10" x14ac:dyDescent="0.25">
      <c r="B145" s="5">
        <v>2017</v>
      </c>
      <c r="C145" s="5" t="s">
        <v>165</v>
      </c>
      <c r="D145" s="5" t="s">
        <v>430</v>
      </c>
      <c r="E145" s="205">
        <v>2009040004</v>
      </c>
      <c r="F145" s="205">
        <v>1769466529.9915817</v>
      </c>
      <c r="G145" s="206">
        <v>1.1353930520570841</v>
      </c>
      <c r="I145" s="205">
        <v>1769466529.9915817</v>
      </c>
      <c r="J145" s="205">
        <v>239573474.00841817</v>
      </c>
    </row>
    <row r="146" spans="2:10" x14ac:dyDescent="0.25">
      <c r="B146" s="4">
        <v>2017</v>
      </c>
      <c r="C146" s="4" t="s">
        <v>173</v>
      </c>
      <c r="D146" s="1" t="s">
        <v>123</v>
      </c>
      <c r="E146" s="202">
        <v>50626386</v>
      </c>
      <c r="F146" s="203">
        <v>31720715.447154462</v>
      </c>
      <c r="G146" s="204">
        <v>1.5960039137308137</v>
      </c>
      <c r="I146" s="203">
        <v>31720715.447154462</v>
      </c>
      <c r="J146" s="202">
        <v>18905670.552845538</v>
      </c>
    </row>
    <row r="147" spans="2:10" x14ac:dyDescent="0.25">
      <c r="B147" s="4">
        <v>2017</v>
      </c>
      <c r="C147" s="4" t="s">
        <v>173</v>
      </c>
      <c r="D147" s="1" t="s">
        <v>124</v>
      </c>
      <c r="E147" s="202">
        <v>48847333</v>
      </c>
      <c r="F147" s="203">
        <v>42000000</v>
      </c>
      <c r="G147" s="204">
        <v>1.1630317380952382</v>
      </c>
      <c r="I147" s="203">
        <v>42000000</v>
      </c>
      <c r="J147" s="202">
        <v>6847333</v>
      </c>
    </row>
    <row r="148" spans="2:10" x14ac:dyDescent="0.25">
      <c r="B148" s="4">
        <v>2017</v>
      </c>
      <c r="C148" s="4" t="s">
        <v>173</v>
      </c>
      <c r="D148" s="1" t="s">
        <v>125</v>
      </c>
      <c r="E148" s="202">
        <v>315819006</v>
      </c>
      <c r="F148" s="203">
        <v>330535441.5850994</v>
      </c>
      <c r="G148" s="204">
        <v>0.95547698148638471</v>
      </c>
      <c r="I148" s="203">
        <v>330535441.5850994</v>
      </c>
      <c r="J148" s="202">
        <v>-14716435.585099399</v>
      </c>
    </row>
    <row r="149" spans="2:10" x14ac:dyDescent="0.25">
      <c r="B149" s="4">
        <v>2017</v>
      </c>
      <c r="C149" s="4" t="s">
        <v>173</v>
      </c>
      <c r="D149" s="1" t="s">
        <v>126</v>
      </c>
      <c r="E149" s="202">
        <v>107434365</v>
      </c>
      <c r="F149" s="203">
        <v>79437687.138563663</v>
      </c>
      <c r="G149" s="204">
        <v>1.3524357124421504</v>
      </c>
      <c r="I149" s="203">
        <v>79437687.138563663</v>
      </c>
      <c r="J149" s="202">
        <v>27996677.861436337</v>
      </c>
    </row>
    <row r="150" spans="2:10" x14ac:dyDescent="0.25">
      <c r="B150" s="4">
        <v>2017</v>
      </c>
      <c r="C150" s="4" t="s">
        <v>173</v>
      </c>
      <c r="D150" s="1" t="s">
        <v>127</v>
      </c>
      <c r="E150" s="202">
        <v>128632305</v>
      </c>
      <c r="F150" s="203">
        <v>98040755.197133005</v>
      </c>
      <c r="G150" s="204">
        <v>1.3120289081959415</v>
      </c>
      <c r="I150" s="203">
        <v>98040755.197133005</v>
      </c>
      <c r="J150" s="202">
        <v>30591549.802866995</v>
      </c>
    </row>
    <row r="151" spans="2:10" x14ac:dyDescent="0.25">
      <c r="B151" s="4">
        <v>2017</v>
      </c>
      <c r="C151" s="4" t="s">
        <v>173</v>
      </c>
      <c r="D151" s="1" t="s">
        <v>128</v>
      </c>
      <c r="E151" s="202">
        <v>86266796</v>
      </c>
      <c r="F151" s="203">
        <v>52124054.829347007</v>
      </c>
      <c r="G151" s="204">
        <v>1.6550284946640388</v>
      </c>
      <c r="I151" s="203">
        <v>52124054.829347007</v>
      </c>
      <c r="J151" s="202">
        <v>34142741.170652993</v>
      </c>
    </row>
    <row r="152" spans="2:10" x14ac:dyDescent="0.25">
      <c r="B152" s="4">
        <v>2017</v>
      </c>
      <c r="C152" s="4" t="s">
        <v>173</v>
      </c>
      <c r="D152" s="1" t="s">
        <v>129</v>
      </c>
      <c r="E152" s="202">
        <v>298220924</v>
      </c>
      <c r="F152" s="203">
        <v>175480906.16871634</v>
      </c>
      <c r="G152" s="204">
        <v>1.6994494188061413</v>
      </c>
      <c r="I152" s="203">
        <v>175480906.16871634</v>
      </c>
      <c r="J152" s="202">
        <v>122740017.83128366</v>
      </c>
    </row>
    <row r="153" spans="2:10" x14ac:dyDescent="0.25">
      <c r="B153" s="4">
        <v>2017</v>
      </c>
      <c r="C153" s="4" t="s">
        <v>173</v>
      </c>
      <c r="D153" s="1" t="s">
        <v>130</v>
      </c>
      <c r="E153" s="202">
        <v>70569520</v>
      </c>
      <c r="F153" s="203">
        <v>48652850.645672902</v>
      </c>
      <c r="G153" s="204">
        <v>1.4504704054021618</v>
      </c>
      <c r="I153" s="203">
        <v>48652850.645672902</v>
      </c>
      <c r="J153" s="202">
        <v>21916669.354327098</v>
      </c>
    </row>
    <row r="154" spans="2:10" x14ac:dyDescent="0.25">
      <c r="B154" s="4">
        <v>2017</v>
      </c>
      <c r="C154" s="4" t="s">
        <v>173</v>
      </c>
      <c r="D154" s="1" t="s">
        <v>131</v>
      </c>
      <c r="E154" s="202">
        <v>336517003</v>
      </c>
      <c r="F154" s="203">
        <v>353361603.25929201</v>
      </c>
      <c r="G154" s="204">
        <v>0.95233041704609978</v>
      </c>
      <c r="I154" s="203">
        <v>353361603.25929201</v>
      </c>
      <c r="J154" s="202">
        <v>-16844600.259292006</v>
      </c>
    </row>
    <row r="155" spans="2:10" x14ac:dyDescent="0.25">
      <c r="B155" s="4">
        <v>2017</v>
      </c>
      <c r="C155" s="4" t="s">
        <v>173</v>
      </c>
      <c r="D155" s="1" t="s">
        <v>132</v>
      </c>
      <c r="E155" s="202">
        <v>145109337</v>
      </c>
      <c r="F155" s="203">
        <v>130726381.59669819</v>
      </c>
      <c r="G155" s="204">
        <v>1.1100233573944884</v>
      </c>
      <c r="I155" s="203">
        <v>130726381.59669819</v>
      </c>
      <c r="J155" s="202">
        <v>14382955.403301805</v>
      </c>
    </row>
    <row r="156" spans="2:10" x14ac:dyDescent="0.25">
      <c r="B156" s="4">
        <v>2017</v>
      </c>
      <c r="C156" s="4" t="s">
        <v>173</v>
      </c>
      <c r="D156" s="1" t="s">
        <v>133</v>
      </c>
      <c r="E156" s="202">
        <v>33681408</v>
      </c>
      <c r="F156" s="203">
        <v>26896826.683119051</v>
      </c>
      <c r="G156" s="204">
        <v>1.2522446754337411</v>
      </c>
      <c r="I156" s="203">
        <v>26896826.683119051</v>
      </c>
      <c r="J156" s="202">
        <v>6784581.3168809488</v>
      </c>
    </row>
    <row r="157" spans="2:10" x14ac:dyDescent="0.25">
      <c r="B157" s="4">
        <v>2017</v>
      </c>
      <c r="C157" s="4" t="s">
        <v>173</v>
      </c>
      <c r="D157" s="1" t="s">
        <v>134</v>
      </c>
      <c r="E157" s="202">
        <v>187377425</v>
      </c>
      <c r="F157" s="203">
        <v>201692629.97980615</v>
      </c>
      <c r="G157" s="204">
        <v>0.92902465012608826</v>
      </c>
      <c r="I157" s="203">
        <v>201692629.97980615</v>
      </c>
      <c r="J157" s="202">
        <v>-14315204.979806155</v>
      </c>
    </row>
    <row r="158" spans="2:10" x14ac:dyDescent="0.25">
      <c r="B158" s="4">
        <v>2017</v>
      </c>
      <c r="C158" s="4" t="s">
        <v>173</v>
      </c>
      <c r="D158" s="1" t="s">
        <v>135</v>
      </c>
      <c r="E158" s="202">
        <v>99979227</v>
      </c>
      <c r="F158" s="203">
        <v>78197598.43320182</v>
      </c>
      <c r="G158" s="204">
        <v>1.2785460040106544</v>
      </c>
      <c r="I158" s="203">
        <v>78197598.43320182</v>
      </c>
      <c r="J158" s="202">
        <v>21781628.56679818</v>
      </c>
    </row>
    <row r="159" spans="2:10" x14ac:dyDescent="0.25">
      <c r="B159" s="4">
        <v>2017</v>
      </c>
      <c r="C159" s="4" t="s">
        <v>173</v>
      </c>
      <c r="D159" s="1" t="s">
        <v>136</v>
      </c>
      <c r="E159" s="202">
        <v>69148590</v>
      </c>
      <c r="F159" s="203">
        <v>95681500</v>
      </c>
      <c r="G159" s="204">
        <v>0.72269550540073058</v>
      </c>
      <c r="I159" s="203">
        <v>95681500</v>
      </c>
      <c r="J159" s="202">
        <v>-26532910</v>
      </c>
    </row>
    <row r="160" spans="2:10" x14ac:dyDescent="0.25">
      <c r="B160" s="4">
        <v>2017</v>
      </c>
      <c r="C160" s="4" t="s">
        <v>173</v>
      </c>
      <c r="D160" s="1" t="s">
        <v>137</v>
      </c>
      <c r="E160" s="202">
        <v>48214439</v>
      </c>
      <c r="F160" s="203">
        <v>24917579.02777778</v>
      </c>
      <c r="G160" s="204">
        <v>1.9349568008292939</v>
      </c>
      <c r="I160" s="203">
        <v>24917579.02777778</v>
      </c>
      <c r="J160" s="202">
        <v>23296859.97222222</v>
      </c>
    </row>
    <row r="161" spans="2:10" x14ac:dyDescent="0.25">
      <c r="B161" s="5">
        <v>2017</v>
      </c>
      <c r="C161" s="5" t="s">
        <v>173</v>
      </c>
      <c r="D161" s="5" t="s">
        <v>430</v>
      </c>
      <c r="E161" s="205">
        <v>2026444064</v>
      </c>
      <c r="F161" s="205">
        <v>1769466529.9915817</v>
      </c>
      <c r="G161" s="206">
        <v>1.1452288187726507</v>
      </c>
      <c r="I161" s="205">
        <v>1769466529.9915817</v>
      </c>
      <c r="J161" s="205">
        <v>256977534.00841817</v>
      </c>
    </row>
    <row r="162" spans="2:10" x14ac:dyDescent="0.25">
      <c r="B162" s="4">
        <v>2017</v>
      </c>
      <c r="C162" s="4" t="s">
        <v>175</v>
      </c>
      <c r="D162" s="1" t="s">
        <v>123</v>
      </c>
      <c r="E162" s="202">
        <v>41803661</v>
      </c>
      <c r="F162" s="203">
        <v>31720715.447154462</v>
      </c>
      <c r="G162" s="204">
        <v>1.3178662716370113</v>
      </c>
      <c r="I162" s="203">
        <v>31720715.447154462</v>
      </c>
      <c r="J162" s="202">
        <v>10082945.552845538</v>
      </c>
    </row>
    <row r="163" spans="2:10" x14ac:dyDescent="0.25">
      <c r="B163" s="4">
        <v>2017</v>
      </c>
      <c r="C163" s="4" t="s">
        <v>175</v>
      </c>
      <c r="D163" s="1" t="s">
        <v>124</v>
      </c>
      <c r="E163" s="202">
        <v>31594702</v>
      </c>
      <c r="F163" s="203">
        <v>42000000</v>
      </c>
      <c r="G163" s="204">
        <v>0.75225480952380952</v>
      </c>
      <c r="I163" s="203">
        <v>42000000</v>
      </c>
      <c r="J163" s="202">
        <v>-10405298</v>
      </c>
    </row>
    <row r="164" spans="2:10" x14ac:dyDescent="0.25">
      <c r="B164" s="4">
        <v>2017</v>
      </c>
      <c r="C164" s="4" t="s">
        <v>175</v>
      </c>
      <c r="D164" s="1" t="s">
        <v>125</v>
      </c>
      <c r="E164" s="202">
        <v>319364680</v>
      </c>
      <c r="F164" s="203">
        <v>330535441.5850994</v>
      </c>
      <c r="G164" s="204">
        <v>0.96620404295669637</v>
      </c>
      <c r="I164" s="203">
        <v>330535441.5850994</v>
      </c>
      <c r="J164" s="202">
        <v>-11170761.585099399</v>
      </c>
    </row>
    <row r="165" spans="2:10" x14ac:dyDescent="0.25">
      <c r="B165" s="4">
        <v>2017</v>
      </c>
      <c r="C165" s="4" t="s">
        <v>175</v>
      </c>
      <c r="D165" s="1" t="s">
        <v>126</v>
      </c>
      <c r="E165" s="202">
        <v>97966432</v>
      </c>
      <c r="F165" s="203">
        <v>79437687.138563663</v>
      </c>
      <c r="G165" s="204">
        <v>1.2332487957399429</v>
      </c>
      <c r="I165" s="203">
        <v>79437687.138563663</v>
      </c>
      <c r="J165" s="202">
        <v>18528744.861436337</v>
      </c>
    </row>
    <row r="166" spans="2:10" x14ac:dyDescent="0.25">
      <c r="B166" s="4">
        <v>2017</v>
      </c>
      <c r="C166" s="4" t="s">
        <v>175</v>
      </c>
      <c r="D166" s="1" t="s">
        <v>127</v>
      </c>
      <c r="E166" s="202">
        <v>142916857</v>
      </c>
      <c r="F166" s="203">
        <v>98040755.197133005</v>
      </c>
      <c r="G166" s="204">
        <v>1.4577290506650371</v>
      </c>
      <c r="I166" s="203">
        <v>98040755.197133005</v>
      </c>
      <c r="J166" s="202">
        <v>44876101.802866995</v>
      </c>
    </row>
    <row r="167" spans="2:10" x14ac:dyDescent="0.25">
      <c r="B167" s="4">
        <v>2017</v>
      </c>
      <c r="C167" s="4" t="s">
        <v>175</v>
      </c>
      <c r="D167" s="1" t="s">
        <v>128</v>
      </c>
      <c r="E167" s="202">
        <v>60014919</v>
      </c>
      <c r="F167" s="203">
        <v>52124054.829347007</v>
      </c>
      <c r="G167" s="204">
        <v>1.1513862303400513</v>
      </c>
      <c r="I167" s="203">
        <v>52124054.829347014</v>
      </c>
      <c r="J167" s="202">
        <v>7890864.1706529856</v>
      </c>
    </row>
    <row r="168" spans="2:10" x14ac:dyDescent="0.25">
      <c r="B168" s="4">
        <v>2017</v>
      </c>
      <c r="C168" s="4" t="s">
        <v>175</v>
      </c>
      <c r="D168" s="1" t="s">
        <v>129</v>
      </c>
      <c r="E168" s="202">
        <v>290522881</v>
      </c>
      <c r="F168" s="203">
        <v>175480906.16871634</v>
      </c>
      <c r="G168" s="204">
        <v>1.6555811532035081</v>
      </c>
      <c r="I168" s="203">
        <v>175480906.16871634</v>
      </c>
      <c r="J168" s="202">
        <v>115041974.83128366</v>
      </c>
    </row>
    <row r="169" spans="2:10" x14ac:dyDescent="0.25">
      <c r="B169" s="4">
        <v>2017</v>
      </c>
      <c r="C169" s="4" t="s">
        <v>175</v>
      </c>
      <c r="D169" s="1" t="s">
        <v>130</v>
      </c>
      <c r="E169" s="202">
        <v>50020321</v>
      </c>
      <c r="F169" s="203">
        <v>48652850.645672902</v>
      </c>
      <c r="G169" s="204">
        <v>1.028106685141351</v>
      </c>
      <c r="I169" s="203">
        <v>48652850.645672902</v>
      </c>
      <c r="J169" s="202">
        <v>1367470.3543270975</v>
      </c>
    </row>
    <row r="170" spans="2:10" x14ac:dyDescent="0.25">
      <c r="B170" s="4">
        <v>2017</v>
      </c>
      <c r="C170" s="4" t="s">
        <v>175</v>
      </c>
      <c r="D170" s="1" t="s">
        <v>131</v>
      </c>
      <c r="E170" s="202">
        <v>387294263</v>
      </c>
      <c r="F170" s="203">
        <v>353361603.25929201</v>
      </c>
      <c r="G170" s="204">
        <v>1.0960281463173254</v>
      </c>
      <c r="I170" s="203">
        <v>353361603.25929201</v>
      </c>
      <c r="J170" s="202">
        <v>33932659.740707994</v>
      </c>
    </row>
    <row r="171" spans="2:10" x14ac:dyDescent="0.25">
      <c r="B171" s="4">
        <v>2017</v>
      </c>
      <c r="C171" s="4" t="s">
        <v>175</v>
      </c>
      <c r="D171" s="1" t="s">
        <v>132</v>
      </c>
      <c r="E171" s="202">
        <v>146261487</v>
      </c>
      <c r="F171" s="203">
        <v>130726381.59669819</v>
      </c>
      <c r="G171" s="204">
        <v>1.1188368041213663</v>
      </c>
      <c r="I171" s="203">
        <v>130726381.59669819</v>
      </c>
      <c r="J171" s="202">
        <v>15535105.403301805</v>
      </c>
    </row>
    <row r="172" spans="2:10" x14ac:dyDescent="0.25">
      <c r="B172" s="4">
        <v>2017</v>
      </c>
      <c r="C172" s="4" t="s">
        <v>175</v>
      </c>
      <c r="D172" s="1" t="s">
        <v>133</v>
      </c>
      <c r="E172" s="202">
        <v>30369131</v>
      </c>
      <c r="F172" s="203">
        <v>26896826.683119051</v>
      </c>
      <c r="G172" s="204">
        <v>1.1290971740937839</v>
      </c>
      <c r="I172" s="203">
        <v>26896826.683119051</v>
      </c>
      <c r="J172" s="202">
        <v>3472304.3168809488</v>
      </c>
    </row>
    <row r="173" spans="2:10" x14ac:dyDescent="0.25">
      <c r="B173" s="4">
        <v>2017</v>
      </c>
      <c r="C173" s="4" t="s">
        <v>175</v>
      </c>
      <c r="D173" s="1" t="s">
        <v>134</v>
      </c>
      <c r="E173" s="202">
        <v>201437180</v>
      </c>
      <c r="F173" s="203">
        <v>201692629.97980615</v>
      </c>
      <c r="G173" s="204">
        <v>0.99873346894315507</v>
      </c>
      <c r="I173" s="203">
        <v>201692629.97980615</v>
      </c>
      <c r="J173" s="202">
        <v>-255449.97980615497</v>
      </c>
    </row>
    <row r="174" spans="2:10" x14ac:dyDescent="0.25">
      <c r="B174" s="4">
        <v>2017</v>
      </c>
      <c r="C174" s="4" t="s">
        <v>175</v>
      </c>
      <c r="D174" s="1" t="s">
        <v>135</v>
      </c>
      <c r="E174" s="202">
        <v>92358703</v>
      </c>
      <c r="F174" s="203">
        <v>78197598.43320182</v>
      </c>
      <c r="G174" s="204">
        <v>1.1810938551891068</v>
      </c>
      <c r="I174" s="203">
        <v>78197598.43320182</v>
      </c>
      <c r="J174" s="202">
        <v>14161104.56679818</v>
      </c>
    </row>
    <row r="175" spans="2:10" x14ac:dyDescent="0.25">
      <c r="B175" s="4">
        <v>2017</v>
      </c>
      <c r="C175" s="4" t="s">
        <v>175</v>
      </c>
      <c r="D175" s="1" t="s">
        <v>136</v>
      </c>
      <c r="E175" s="202">
        <v>92109090</v>
      </c>
      <c r="F175" s="203">
        <v>95681500</v>
      </c>
      <c r="G175" s="204">
        <v>0.96266352429675539</v>
      </c>
      <c r="I175" s="203">
        <v>95681500</v>
      </c>
      <c r="J175" s="202">
        <v>-3572410</v>
      </c>
    </row>
    <row r="176" spans="2:10" x14ac:dyDescent="0.25">
      <c r="B176" s="4">
        <v>2017</v>
      </c>
      <c r="C176" s="4" t="s">
        <v>175</v>
      </c>
      <c r="D176" s="1" t="s">
        <v>137</v>
      </c>
      <c r="E176" s="202">
        <v>50164719</v>
      </c>
      <c r="F176" s="203">
        <v>24917579.02777778</v>
      </c>
      <c r="G176" s="204">
        <v>2.0132260419070831</v>
      </c>
      <c r="I176" s="203">
        <v>24917579.02777778</v>
      </c>
      <c r="J176" s="202">
        <v>25247139.97222222</v>
      </c>
    </row>
    <row r="177" spans="2:10" x14ac:dyDescent="0.25">
      <c r="B177" s="5">
        <v>2017</v>
      </c>
      <c r="C177" s="5" t="s">
        <v>175</v>
      </c>
      <c r="D177" s="5" t="s">
        <v>430</v>
      </c>
      <c r="E177" s="205">
        <v>2034199026</v>
      </c>
      <c r="F177" s="205">
        <v>1769466529.9915817</v>
      </c>
      <c r="G177" s="206">
        <v>1.14961147414847</v>
      </c>
      <c r="I177" s="205">
        <v>1769466529.9915817</v>
      </c>
      <c r="J177" s="205">
        <v>264732496.00841817</v>
      </c>
    </row>
    <row r="178" spans="2:10" x14ac:dyDescent="0.25">
      <c r="B178" s="4">
        <v>2017</v>
      </c>
      <c r="C178" s="4" t="s">
        <v>187</v>
      </c>
      <c r="D178" s="1" t="s">
        <v>123</v>
      </c>
      <c r="E178" s="202">
        <v>25230339</v>
      </c>
      <c r="F178" s="203">
        <v>0</v>
      </c>
      <c r="G178" s="204">
        <v>0</v>
      </c>
      <c r="I178" s="203">
        <v>0</v>
      </c>
      <c r="J178" s="202">
        <v>25230339</v>
      </c>
    </row>
    <row r="179" spans="2:10" x14ac:dyDescent="0.25">
      <c r="B179" s="4">
        <v>2017</v>
      </c>
      <c r="C179" s="4" t="s">
        <v>187</v>
      </c>
      <c r="D179" s="1" t="s">
        <v>124</v>
      </c>
      <c r="E179" s="202">
        <v>9524147</v>
      </c>
      <c r="F179" s="203">
        <v>0</v>
      </c>
      <c r="G179" s="204">
        <v>0</v>
      </c>
      <c r="I179" s="203">
        <v>0</v>
      </c>
      <c r="J179" s="202">
        <v>9524147</v>
      </c>
    </row>
    <row r="180" spans="2:10" x14ac:dyDescent="0.25">
      <c r="B180" s="4">
        <v>2017</v>
      </c>
      <c r="C180" s="4" t="s">
        <v>187</v>
      </c>
      <c r="D180" s="1" t="s">
        <v>125</v>
      </c>
      <c r="E180" s="202">
        <v>340008067</v>
      </c>
      <c r="F180" s="203">
        <v>330535441.5850994</v>
      </c>
      <c r="G180" s="204">
        <v>1.0286584257635858</v>
      </c>
      <c r="I180" s="203">
        <v>330535441.5850994</v>
      </c>
      <c r="J180" s="202">
        <v>9472625.4149006009</v>
      </c>
    </row>
    <row r="181" spans="2:10" x14ac:dyDescent="0.25">
      <c r="B181" s="4">
        <v>2017</v>
      </c>
      <c r="C181" s="4" t="s">
        <v>187</v>
      </c>
      <c r="D181" s="1" t="s">
        <v>126</v>
      </c>
      <c r="E181" s="202">
        <v>107197672</v>
      </c>
      <c r="F181" s="203">
        <v>79437687.138563663</v>
      </c>
      <c r="G181" s="204">
        <v>1.3494561065582691</v>
      </c>
      <c r="I181" s="203">
        <v>79437687.138563663</v>
      </c>
      <c r="J181" s="202">
        <v>27759984.861436337</v>
      </c>
    </row>
    <row r="182" spans="2:10" x14ac:dyDescent="0.25">
      <c r="B182" s="4">
        <v>2017</v>
      </c>
      <c r="C182" s="4" t="s">
        <v>187</v>
      </c>
      <c r="D182" s="1" t="s">
        <v>127</v>
      </c>
      <c r="E182" s="202">
        <v>155774862</v>
      </c>
      <c r="F182" s="203">
        <v>98040755.197133005</v>
      </c>
      <c r="G182" s="204">
        <v>1.5888786422215901</v>
      </c>
      <c r="I182" s="203">
        <v>98040755.197133005</v>
      </c>
      <c r="J182" s="202">
        <v>57734106.802866995</v>
      </c>
    </row>
    <row r="183" spans="2:10" x14ac:dyDescent="0.25">
      <c r="B183" s="4">
        <v>2017</v>
      </c>
      <c r="C183" s="4" t="s">
        <v>187</v>
      </c>
      <c r="D183" s="1" t="s">
        <v>128</v>
      </c>
      <c r="E183" s="202">
        <v>69258599</v>
      </c>
      <c r="F183" s="203">
        <v>52124054.829347007</v>
      </c>
      <c r="G183" s="204">
        <v>1.3287262325763241</v>
      </c>
      <c r="I183" s="203">
        <v>52124054.829347014</v>
      </c>
      <c r="J183" s="202">
        <v>17134544.170652986</v>
      </c>
    </row>
    <row r="184" spans="2:10" x14ac:dyDescent="0.25">
      <c r="B184" s="4">
        <v>2017</v>
      </c>
      <c r="C184" s="4" t="s">
        <v>187</v>
      </c>
      <c r="D184" s="1" t="s">
        <v>129</v>
      </c>
      <c r="E184" s="202">
        <v>300787816</v>
      </c>
      <c r="F184" s="203">
        <v>175480906.16871634</v>
      </c>
      <c r="G184" s="204">
        <v>1.7140771755008331</v>
      </c>
      <c r="I184" s="203">
        <v>175480906.16871634</v>
      </c>
      <c r="J184" s="202">
        <v>125306909.83128366</v>
      </c>
    </row>
    <row r="185" spans="2:10" x14ac:dyDescent="0.25">
      <c r="B185" s="4">
        <v>2017</v>
      </c>
      <c r="C185" s="4" t="s">
        <v>187</v>
      </c>
      <c r="D185" s="1" t="s">
        <v>130</v>
      </c>
      <c r="E185" s="202">
        <v>47216023</v>
      </c>
      <c r="F185" s="203">
        <v>48652850.645672902</v>
      </c>
      <c r="G185" s="204">
        <v>0.97046776033460047</v>
      </c>
      <c r="I185" s="203">
        <v>48652850.645672902</v>
      </c>
      <c r="J185" s="202">
        <v>-1436827.6456729025</v>
      </c>
    </row>
    <row r="186" spans="2:10" x14ac:dyDescent="0.25">
      <c r="B186" s="4">
        <v>2017</v>
      </c>
      <c r="C186" s="4" t="s">
        <v>187</v>
      </c>
      <c r="D186" s="1" t="s">
        <v>131</v>
      </c>
      <c r="E186" s="202">
        <v>440053908</v>
      </c>
      <c r="F186" s="203">
        <v>353361603.25929201</v>
      </c>
      <c r="G186" s="204">
        <v>1.2453359503157289</v>
      </c>
      <c r="I186" s="203">
        <v>353361603.25929201</v>
      </c>
      <c r="J186" s="202">
        <v>86692304.740707994</v>
      </c>
    </row>
    <row r="187" spans="2:10" x14ac:dyDescent="0.25">
      <c r="B187" s="4">
        <v>2017</v>
      </c>
      <c r="C187" s="4" t="s">
        <v>187</v>
      </c>
      <c r="D187" s="1" t="s">
        <v>132</v>
      </c>
      <c r="E187" s="202">
        <v>150478621</v>
      </c>
      <c r="F187" s="203">
        <v>130726381.59669819</v>
      </c>
      <c r="G187" s="204">
        <v>1.1510960462765589</v>
      </c>
      <c r="I187" s="203">
        <v>130726381.59669819</v>
      </c>
      <c r="J187" s="202">
        <v>19752239.403301805</v>
      </c>
    </row>
    <row r="188" spans="2:10" x14ac:dyDescent="0.25">
      <c r="B188" s="4">
        <v>2017</v>
      </c>
      <c r="C188" s="4" t="s">
        <v>187</v>
      </c>
      <c r="D188" s="1" t="s">
        <v>133</v>
      </c>
      <c r="E188" s="202">
        <v>32638116</v>
      </c>
      <c r="F188" s="203">
        <v>26896826.683119051</v>
      </c>
      <c r="G188" s="204">
        <v>1.2134560104253596</v>
      </c>
      <c r="I188" s="203">
        <v>26896826.683119051</v>
      </c>
      <c r="J188" s="202">
        <v>5741289.3168809488</v>
      </c>
    </row>
    <row r="189" spans="2:10" x14ac:dyDescent="0.25">
      <c r="B189" s="4">
        <v>2017</v>
      </c>
      <c r="C189" s="4" t="s">
        <v>187</v>
      </c>
      <c r="D189" s="1" t="s">
        <v>134</v>
      </c>
      <c r="E189" s="202">
        <v>235391606</v>
      </c>
      <c r="F189" s="203">
        <v>201692629.97980615</v>
      </c>
      <c r="G189" s="204">
        <v>1.1670808498236542</v>
      </c>
      <c r="I189" s="203">
        <v>201692629.97980615</v>
      </c>
      <c r="J189" s="202">
        <v>33698976.020193845</v>
      </c>
    </row>
    <row r="190" spans="2:10" x14ac:dyDescent="0.25">
      <c r="B190" s="4">
        <v>2017</v>
      </c>
      <c r="C190" s="4" t="s">
        <v>187</v>
      </c>
      <c r="D190" s="1" t="s">
        <v>135</v>
      </c>
      <c r="E190" s="202">
        <v>96598138</v>
      </c>
      <c r="F190" s="203">
        <v>78197598.43320182</v>
      </c>
      <c r="G190" s="204">
        <v>1.2353082439292089</v>
      </c>
      <c r="I190" s="203">
        <v>78197598.43320182</v>
      </c>
      <c r="J190" s="202">
        <v>18400539.56679818</v>
      </c>
    </row>
    <row r="191" spans="2:10" x14ac:dyDescent="0.25">
      <c r="B191" s="4">
        <v>2017</v>
      </c>
      <c r="C191" s="4" t="s">
        <v>187</v>
      </c>
      <c r="D191" s="1" t="s">
        <v>136</v>
      </c>
      <c r="E191" s="202">
        <v>68543789</v>
      </c>
      <c r="F191" s="203">
        <v>95681500</v>
      </c>
      <c r="G191" s="204">
        <v>0.71637452381076805</v>
      </c>
      <c r="I191" s="203">
        <v>95681500</v>
      </c>
      <c r="J191" s="202">
        <v>-27137711</v>
      </c>
    </row>
    <row r="192" spans="2:10" x14ac:dyDescent="0.25">
      <c r="B192" s="4">
        <v>2017</v>
      </c>
      <c r="C192" s="4" t="s">
        <v>187</v>
      </c>
      <c r="D192" s="1" t="s">
        <v>137</v>
      </c>
      <c r="E192" s="202">
        <v>44083716</v>
      </c>
      <c r="F192" s="203">
        <v>24917579.02777778</v>
      </c>
      <c r="G192" s="204">
        <v>1.7691813458625363</v>
      </c>
      <c r="I192" s="203">
        <v>24917579.02777778</v>
      </c>
      <c r="J192" s="202">
        <v>19166136.97222222</v>
      </c>
    </row>
    <row r="193" spans="2:10" x14ac:dyDescent="0.25">
      <c r="B193" s="5">
        <v>2017</v>
      </c>
      <c r="C193" s="5" t="s">
        <v>187</v>
      </c>
      <c r="D193" s="5" t="s">
        <v>430</v>
      </c>
      <c r="E193" s="205">
        <v>2122785419</v>
      </c>
      <c r="F193" s="205">
        <v>1695745814.5444274</v>
      </c>
      <c r="G193" s="206">
        <v>1.2518299622460218</v>
      </c>
      <c r="I193" s="205">
        <v>1695745814.5444274</v>
      </c>
      <c r="J193" s="205">
        <v>427039604.45557261</v>
      </c>
    </row>
    <row r="194" spans="2:10" x14ac:dyDescent="0.25">
      <c r="B194" s="4">
        <v>2018</v>
      </c>
      <c r="C194" s="4" t="s">
        <v>122</v>
      </c>
      <c r="D194" s="1" t="s">
        <v>123</v>
      </c>
      <c r="E194" s="202">
        <v>12629460</v>
      </c>
      <c r="F194" s="203">
        <v>0</v>
      </c>
      <c r="G194" s="204">
        <v>0</v>
      </c>
      <c r="I194" s="203">
        <v>0</v>
      </c>
      <c r="J194" s="202">
        <v>12629460</v>
      </c>
    </row>
    <row r="195" spans="2:10" x14ac:dyDescent="0.25">
      <c r="B195" s="4">
        <v>2018</v>
      </c>
      <c r="C195" s="4" t="s">
        <v>122</v>
      </c>
      <c r="D195" s="1" t="s">
        <v>124</v>
      </c>
      <c r="E195" s="202">
        <v>3007086</v>
      </c>
      <c r="F195" s="203">
        <v>0</v>
      </c>
      <c r="G195" s="204">
        <v>0</v>
      </c>
      <c r="I195" s="203">
        <v>0</v>
      </c>
      <c r="J195" s="202">
        <v>3007086</v>
      </c>
    </row>
    <row r="196" spans="2:10" x14ac:dyDescent="0.25">
      <c r="B196" s="4">
        <v>2018</v>
      </c>
      <c r="C196" s="4" t="s">
        <v>122</v>
      </c>
      <c r="D196" s="1" t="s">
        <v>125</v>
      </c>
      <c r="E196" s="202">
        <v>366219282</v>
      </c>
      <c r="F196" s="203">
        <v>382475097.48455769</v>
      </c>
      <c r="G196" s="204">
        <v>0.95749836893573437</v>
      </c>
      <c r="I196" s="203">
        <v>382475097.48455769</v>
      </c>
      <c r="J196" s="202">
        <v>-16255815.484557688</v>
      </c>
    </row>
    <row r="197" spans="2:10" x14ac:dyDescent="0.25">
      <c r="B197" s="4">
        <v>2018</v>
      </c>
      <c r="C197" s="4" t="s">
        <v>122</v>
      </c>
      <c r="D197" s="1" t="s">
        <v>126</v>
      </c>
      <c r="E197" s="202">
        <v>137075934</v>
      </c>
      <c r="F197" s="203">
        <v>85227625.017634138</v>
      </c>
      <c r="G197" s="204">
        <v>1.6083509774165139</v>
      </c>
      <c r="I197" s="203">
        <v>85227625.017634138</v>
      </c>
      <c r="J197" s="202">
        <v>51848308.982365862</v>
      </c>
    </row>
    <row r="198" spans="2:10" x14ac:dyDescent="0.25">
      <c r="B198" s="4">
        <v>2018</v>
      </c>
      <c r="C198" s="4" t="s">
        <v>122</v>
      </c>
      <c r="D198" s="1" t="s">
        <v>127</v>
      </c>
      <c r="E198" s="202">
        <v>161977767</v>
      </c>
      <c r="F198" s="203">
        <v>140882615.45490599</v>
      </c>
      <c r="G198" s="204">
        <v>1.149735660975475</v>
      </c>
      <c r="I198" s="203">
        <v>140882615.45490599</v>
      </c>
      <c r="J198" s="202">
        <v>21095151.545094013</v>
      </c>
    </row>
    <row r="199" spans="2:10" x14ac:dyDescent="0.25">
      <c r="B199" s="4">
        <v>2018</v>
      </c>
      <c r="C199" s="4" t="s">
        <v>122</v>
      </c>
      <c r="D199" s="1" t="s">
        <v>128</v>
      </c>
      <c r="E199" s="202">
        <v>61809493</v>
      </c>
      <c r="F199" s="203">
        <v>43690739.71914801</v>
      </c>
      <c r="G199" s="204">
        <v>1.4147046581798024</v>
      </c>
      <c r="I199" s="203">
        <v>43690739.71914801</v>
      </c>
      <c r="J199" s="202">
        <v>18118753.28085199</v>
      </c>
    </row>
    <row r="200" spans="2:10" x14ac:dyDescent="0.25">
      <c r="B200" s="4">
        <v>2018</v>
      </c>
      <c r="C200" s="4" t="s">
        <v>122</v>
      </c>
      <c r="D200" s="1" t="s">
        <v>129</v>
      </c>
      <c r="E200" s="202">
        <v>337008047</v>
      </c>
      <c r="F200" s="203">
        <v>193883699.29206532</v>
      </c>
      <c r="G200" s="204">
        <v>1.7381969099544206</v>
      </c>
      <c r="I200" s="203">
        <v>193883699.29206532</v>
      </c>
      <c r="J200" s="202">
        <v>143124347.70793468</v>
      </c>
    </row>
    <row r="201" spans="2:10" x14ac:dyDescent="0.25">
      <c r="B201" s="4">
        <v>2018</v>
      </c>
      <c r="C201" s="4" t="s">
        <v>122</v>
      </c>
      <c r="D201" s="1" t="s">
        <v>130</v>
      </c>
      <c r="E201" s="202">
        <v>65538422</v>
      </c>
      <c r="F201" s="203">
        <v>52618785.304541282</v>
      </c>
      <c r="G201" s="204">
        <v>1.2455327811290939</v>
      </c>
      <c r="I201" s="203">
        <v>52618785.304541282</v>
      </c>
      <c r="J201" s="202">
        <v>12919636.695458718</v>
      </c>
    </row>
    <row r="202" spans="2:10" x14ac:dyDescent="0.25">
      <c r="B202" s="4">
        <v>2018</v>
      </c>
      <c r="C202" s="4" t="s">
        <v>122</v>
      </c>
      <c r="D202" s="1" t="s">
        <v>131</v>
      </c>
      <c r="E202" s="202">
        <v>452340696</v>
      </c>
      <c r="F202" s="203">
        <v>322847918.95421475</v>
      </c>
      <c r="G202" s="204">
        <v>1.4010952818442961</v>
      </c>
      <c r="I202" s="203">
        <v>322847918.95421475</v>
      </c>
      <c r="J202" s="202">
        <v>129492777.04578525</v>
      </c>
    </row>
    <row r="203" spans="2:10" x14ac:dyDescent="0.25">
      <c r="B203" s="4">
        <v>2018</v>
      </c>
      <c r="C203" s="4" t="s">
        <v>122</v>
      </c>
      <c r="D203" s="1" t="s">
        <v>132</v>
      </c>
      <c r="E203" s="202">
        <v>175282832</v>
      </c>
      <c r="F203" s="203">
        <v>101811911.66767861</v>
      </c>
      <c r="G203" s="204">
        <v>1.7216338356570275</v>
      </c>
      <c r="I203" s="203">
        <v>101811911.66767861</v>
      </c>
      <c r="J203" s="202">
        <v>73470920.332321391</v>
      </c>
    </row>
    <row r="204" spans="2:10" x14ac:dyDescent="0.25">
      <c r="B204" s="4">
        <v>2018</v>
      </c>
      <c r="C204" s="4" t="s">
        <v>122</v>
      </c>
      <c r="D204" s="1" t="s">
        <v>133</v>
      </c>
      <c r="E204" s="202">
        <v>26138006</v>
      </c>
      <c r="F204" s="203">
        <v>19347501.774036177</v>
      </c>
      <c r="G204" s="204">
        <v>1.3509757644822391</v>
      </c>
      <c r="I204" s="203">
        <v>19347501.774036177</v>
      </c>
      <c r="J204" s="202">
        <v>6790504.2259638235</v>
      </c>
    </row>
    <row r="205" spans="2:10" x14ac:dyDescent="0.25">
      <c r="B205" s="4">
        <v>2018</v>
      </c>
      <c r="C205" s="4" t="s">
        <v>122</v>
      </c>
      <c r="D205" s="1" t="s">
        <v>134</v>
      </c>
      <c r="E205" s="202">
        <v>259177016</v>
      </c>
      <c r="F205" s="203">
        <v>229200367.98489058</v>
      </c>
      <c r="G205" s="204">
        <v>1.1307879576226751</v>
      </c>
      <c r="I205" s="203">
        <v>229200367.98489058</v>
      </c>
      <c r="J205" s="202">
        <v>29976648.01510942</v>
      </c>
    </row>
    <row r="206" spans="2:10" x14ac:dyDescent="0.25">
      <c r="B206" s="4">
        <v>2018</v>
      </c>
      <c r="C206" s="4" t="s">
        <v>122</v>
      </c>
      <c r="D206" s="1" t="s">
        <v>135</v>
      </c>
      <c r="E206" s="202">
        <v>116890374</v>
      </c>
      <c r="F206" s="203">
        <v>105221417.37132886</v>
      </c>
      <c r="G206" s="204">
        <v>1.1108990633293896</v>
      </c>
      <c r="I206" s="203">
        <v>105221417.37132885</v>
      </c>
      <c r="J206" s="202">
        <v>11668956.628671154</v>
      </c>
    </row>
    <row r="207" spans="2:10" x14ac:dyDescent="0.25">
      <c r="B207" s="4">
        <v>2018</v>
      </c>
      <c r="C207" s="4" t="s">
        <v>122</v>
      </c>
      <c r="D207" s="1" t="s">
        <v>136</v>
      </c>
      <c r="E207" s="202">
        <v>88300736</v>
      </c>
      <c r="F207" s="203">
        <v>94895244.318719834</v>
      </c>
      <c r="G207" s="204">
        <v>0.9305074941735626</v>
      </c>
      <c r="I207" s="203">
        <v>94895244.318719834</v>
      </c>
      <c r="J207" s="202">
        <v>-6594508.3187198341</v>
      </c>
    </row>
    <row r="208" spans="2:10" x14ac:dyDescent="0.25">
      <c r="B208" s="4">
        <v>2018</v>
      </c>
      <c r="C208" s="4" t="s">
        <v>122</v>
      </c>
      <c r="D208" s="1" t="s">
        <v>137</v>
      </c>
      <c r="E208" s="202">
        <v>38840803</v>
      </c>
      <c r="F208" s="203">
        <v>18956843.328281898</v>
      </c>
      <c r="G208" s="204">
        <v>2.0489066838492582</v>
      </c>
      <c r="I208" s="203">
        <v>18956843.328281898</v>
      </c>
      <c r="J208" s="202">
        <v>19883959.671718102</v>
      </c>
    </row>
    <row r="209" spans="2:10" x14ac:dyDescent="0.25">
      <c r="B209" s="5">
        <v>2018</v>
      </c>
      <c r="C209" s="5" t="s">
        <v>122</v>
      </c>
      <c r="D209" s="5" t="s">
        <v>430</v>
      </c>
      <c r="E209" s="205">
        <v>2302235954</v>
      </c>
      <c r="F209" s="205">
        <v>1791059767.6720028</v>
      </c>
      <c r="G209" s="206">
        <v>1.2854043151180921</v>
      </c>
      <c r="I209" s="205">
        <v>1791059767.6720028</v>
      </c>
      <c r="J209" s="205">
        <v>511176186.32799697</v>
      </c>
    </row>
    <row r="210" spans="2:10" x14ac:dyDescent="0.25">
      <c r="B210" s="4">
        <v>2018</v>
      </c>
      <c r="C210" s="4" t="s">
        <v>138</v>
      </c>
      <c r="D210" s="1" t="s">
        <v>123</v>
      </c>
      <c r="E210" s="202">
        <v>5374750</v>
      </c>
      <c r="F210" s="203">
        <v>0</v>
      </c>
      <c r="G210" s="204">
        <v>0</v>
      </c>
      <c r="I210" s="203">
        <v>0</v>
      </c>
      <c r="J210" s="202">
        <v>5374750</v>
      </c>
    </row>
    <row r="211" spans="2:10" x14ac:dyDescent="0.25">
      <c r="B211" s="4">
        <v>2018</v>
      </c>
      <c r="C211" s="4" t="s">
        <v>138</v>
      </c>
      <c r="D211" s="1" t="s">
        <v>124</v>
      </c>
      <c r="E211" s="202">
        <v>90412</v>
      </c>
      <c r="F211" s="203">
        <v>0</v>
      </c>
      <c r="G211" s="204">
        <v>0</v>
      </c>
      <c r="I211" s="203">
        <v>0</v>
      </c>
      <c r="J211" s="202">
        <v>90412</v>
      </c>
    </row>
    <row r="212" spans="2:10" x14ac:dyDescent="0.25">
      <c r="B212" s="4">
        <v>2018</v>
      </c>
      <c r="C212" s="4" t="s">
        <v>138</v>
      </c>
      <c r="D212" s="1" t="s">
        <v>125</v>
      </c>
      <c r="E212" s="202">
        <v>383155303</v>
      </c>
      <c r="F212" s="203">
        <v>350377185.74700725</v>
      </c>
      <c r="G212" s="204">
        <v>1.0935509461984789</v>
      </c>
      <c r="I212" s="203">
        <v>350377185.74700725</v>
      </c>
      <c r="J212" s="202">
        <v>32778117.252992749</v>
      </c>
    </row>
    <row r="213" spans="2:10" x14ac:dyDescent="0.25">
      <c r="B213" s="4">
        <v>2018</v>
      </c>
      <c r="C213" s="4" t="s">
        <v>138</v>
      </c>
      <c r="D213" s="1" t="s">
        <v>126</v>
      </c>
      <c r="E213" s="202">
        <v>124627026</v>
      </c>
      <c r="F213" s="203">
        <v>87896199.949717313</v>
      </c>
      <c r="G213" s="204">
        <v>1.4178886694907773</v>
      </c>
      <c r="I213" s="203">
        <v>87896199.949717313</v>
      </c>
      <c r="J213" s="202">
        <v>36730826.050282687</v>
      </c>
    </row>
    <row r="214" spans="2:10" x14ac:dyDescent="0.25">
      <c r="B214" s="4">
        <v>2018</v>
      </c>
      <c r="C214" s="4" t="s">
        <v>138</v>
      </c>
      <c r="D214" s="1" t="s">
        <v>127</v>
      </c>
      <c r="E214" s="202">
        <v>158126537</v>
      </c>
      <c r="F214" s="203">
        <v>132351556.58668005</v>
      </c>
      <c r="G214" s="204">
        <v>1.1947463337647966</v>
      </c>
      <c r="I214" s="203">
        <v>132351556.58668005</v>
      </c>
      <c r="J214" s="202">
        <v>25774980.413319945</v>
      </c>
    </row>
    <row r="215" spans="2:10" x14ac:dyDescent="0.25">
      <c r="B215" s="4">
        <v>2018</v>
      </c>
      <c r="C215" s="4" t="s">
        <v>138</v>
      </c>
      <c r="D215" s="1" t="s">
        <v>128</v>
      </c>
      <c r="E215" s="202">
        <v>68670684</v>
      </c>
      <c r="F215" s="203">
        <v>69174738.563290685</v>
      </c>
      <c r="G215" s="204">
        <v>0.99271331451683764</v>
      </c>
      <c r="I215" s="203">
        <v>69174738.563290685</v>
      </c>
      <c r="J215" s="202">
        <v>-504054.56329068542</v>
      </c>
    </row>
    <row r="216" spans="2:10" x14ac:dyDescent="0.25">
      <c r="B216" s="4">
        <v>2018</v>
      </c>
      <c r="C216" s="4" t="s">
        <v>138</v>
      </c>
      <c r="D216" s="1" t="s">
        <v>129</v>
      </c>
      <c r="E216" s="202">
        <v>314008912</v>
      </c>
      <c r="F216" s="203">
        <v>183473813.8762812</v>
      </c>
      <c r="G216" s="204">
        <v>1.7114644611450673</v>
      </c>
      <c r="I216" s="203">
        <v>183473813.8762812</v>
      </c>
      <c r="J216" s="202">
        <v>130535098.1237188</v>
      </c>
    </row>
    <row r="217" spans="2:10" x14ac:dyDescent="0.25">
      <c r="B217" s="4">
        <v>2018</v>
      </c>
      <c r="C217" s="4" t="s">
        <v>138</v>
      </c>
      <c r="D217" s="1" t="s">
        <v>130</v>
      </c>
      <c r="E217" s="202">
        <v>70978338</v>
      </c>
      <c r="F217" s="203">
        <v>65985087.304466493</v>
      </c>
      <c r="G217" s="204">
        <v>1.0756724117450023</v>
      </c>
      <c r="I217" s="203">
        <v>65985087.304466501</v>
      </c>
      <c r="J217" s="202">
        <v>4993250.6955334991</v>
      </c>
    </row>
    <row r="218" spans="2:10" x14ac:dyDescent="0.25">
      <c r="B218" s="4">
        <v>2018</v>
      </c>
      <c r="C218" s="4" t="s">
        <v>138</v>
      </c>
      <c r="D218" s="1" t="s">
        <v>131</v>
      </c>
      <c r="E218" s="202">
        <v>401064401</v>
      </c>
      <c r="F218" s="203">
        <v>355983005.84165668</v>
      </c>
      <c r="G218" s="204">
        <v>1.1266391777656819</v>
      </c>
      <c r="I218" s="203">
        <v>355983005.84165668</v>
      </c>
      <c r="J218" s="202">
        <v>45081395.158343315</v>
      </c>
    </row>
    <row r="219" spans="2:10" x14ac:dyDescent="0.25">
      <c r="B219" s="4">
        <v>2018</v>
      </c>
      <c r="C219" s="4" t="s">
        <v>138</v>
      </c>
      <c r="D219" s="1" t="s">
        <v>132</v>
      </c>
      <c r="E219" s="202">
        <v>165830207</v>
      </c>
      <c r="F219" s="203">
        <v>123622154.25924699</v>
      </c>
      <c r="G219" s="204">
        <v>1.3414279017678243</v>
      </c>
      <c r="I219" s="203">
        <v>123622154.25924698</v>
      </c>
      <c r="J219" s="202">
        <v>42208052.740753025</v>
      </c>
    </row>
    <row r="220" spans="2:10" x14ac:dyDescent="0.25">
      <c r="B220" s="4">
        <v>2018</v>
      </c>
      <c r="C220" s="4" t="s">
        <v>138</v>
      </c>
      <c r="D220" s="1" t="s">
        <v>133</v>
      </c>
      <c r="E220" s="202">
        <v>42661789</v>
      </c>
      <c r="F220" s="203">
        <v>28261087.390268311</v>
      </c>
      <c r="G220" s="204">
        <v>1.5095593602208868</v>
      </c>
      <c r="I220" s="203">
        <v>28261087.390268311</v>
      </c>
      <c r="J220" s="202">
        <v>14400701.609731689</v>
      </c>
    </row>
    <row r="221" spans="2:10" x14ac:dyDescent="0.25">
      <c r="B221" s="4">
        <v>2018</v>
      </c>
      <c r="C221" s="4" t="s">
        <v>138</v>
      </c>
      <c r="D221" s="1" t="s">
        <v>134</v>
      </c>
      <c r="E221" s="202">
        <v>239795720</v>
      </c>
      <c r="F221" s="203">
        <v>224811158.83356199</v>
      </c>
      <c r="G221" s="204">
        <v>1.066653991928985</v>
      </c>
      <c r="I221" s="203">
        <v>224811158.83356202</v>
      </c>
      <c r="J221" s="202">
        <v>14984561.166437984</v>
      </c>
    </row>
    <row r="222" spans="2:10" x14ac:dyDescent="0.25">
      <c r="B222" s="4">
        <v>2018</v>
      </c>
      <c r="C222" s="4" t="s">
        <v>138</v>
      </c>
      <c r="D222" s="1" t="s">
        <v>135</v>
      </c>
      <c r="E222" s="202">
        <v>103324166</v>
      </c>
      <c r="F222" s="203">
        <v>94832955.698536992</v>
      </c>
      <c r="G222" s="204">
        <v>1.0895386022603322</v>
      </c>
      <c r="I222" s="203">
        <v>94832955.698536992</v>
      </c>
      <c r="J222" s="202">
        <v>8491210.3014630079</v>
      </c>
    </row>
    <row r="223" spans="2:10" x14ac:dyDescent="0.25">
      <c r="B223" s="4">
        <v>2018</v>
      </c>
      <c r="C223" s="4" t="s">
        <v>138</v>
      </c>
      <c r="D223" s="1" t="s">
        <v>136</v>
      </c>
      <c r="E223" s="202">
        <v>98073182</v>
      </c>
      <c r="F223" s="203">
        <v>136709617.18756557</v>
      </c>
      <c r="G223" s="204">
        <v>0.71738319525424177</v>
      </c>
      <c r="I223" s="203">
        <v>136709617.18756557</v>
      </c>
      <c r="J223" s="202">
        <v>-38636435.187565565</v>
      </c>
    </row>
    <row r="224" spans="2:10" x14ac:dyDescent="0.25">
      <c r="B224" s="4">
        <v>2018</v>
      </c>
      <c r="C224" s="4" t="s">
        <v>138</v>
      </c>
      <c r="D224" s="1" t="s">
        <v>137</v>
      </c>
      <c r="E224" s="202">
        <v>49086170</v>
      </c>
      <c r="F224" s="203">
        <v>35422820.771482453</v>
      </c>
      <c r="G224" s="204">
        <v>1.3857216599621389</v>
      </c>
      <c r="I224" s="203">
        <v>35422820.771482453</v>
      </c>
      <c r="J224" s="202">
        <v>13663349.228517547</v>
      </c>
    </row>
    <row r="225" spans="2:10" x14ac:dyDescent="0.25">
      <c r="B225" s="5">
        <v>2018</v>
      </c>
      <c r="C225" s="5" t="s">
        <v>138</v>
      </c>
      <c r="D225" s="5" t="s">
        <v>430</v>
      </c>
      <c r="E225" s="205">
        <v>2224867597</v>
      </c>
      <c r="F225" s="205">
        <v>1888901382.009762</v>
      </c>
      <c r="G225" s="206">
        <v>1.1778632903708159</v>
      </c>
      <c r="I225" s="205">
        <v>1888901382.009762</v>
      </c>
      <c r="J225" s="205">
        <v>335966214.99023795</v>
      </c>
    </row>
    <row r="226" spans="2:10" x14ac:dyDescent="0.25">
      <c r="B226" s="4">
        <v>2018</v>
      </c>
      <c r="C226" s="4" t="s">
        <v>139</v>
      </c>
      <c r="D226" s="1" t="s">
        <v>123</v>
      </c>
      <c r="E226" s="202">
        <v>-171714</v>
      </c>
      <c r="F226" s="203">
        <v>0</v>
      </c>
      <c r="G226" s="204">
        <v>0</v>
      </c>
      <c r="I226" s="203">
        <v>0</v>
      </c>
      <c r="J226" s="202">
        <v>-171714</v>
      </c>
    </row>
    <row r="227" spans="2:10" x14ac:dyDescent="0.25">
      <c r="B227" s="4">
        <v>2018</v>
      </c>
      <c r="C227" s="4" t="s">
        <v>139</v>
      </c>
      <c r="D227" s="1" t="s">
        <v>124</v>
      </c>
      <c r="E227" s="202">
        <v>13386148</v>
      </c>
      <c r="F227" s="203">
        <v>25959253.131132126</v>
      </c>
      <c r="G227" s="204">
        <v>0.51565998191012696</v>
      </c>
      <c r="I227" s="203">
        <v>25959253.131132126</v>
      </c>
      <c r="J227" s="202">
        <v>-12573105.131132126</v>
      </c>
    </row>
    <row r="228" spans="2:10" x14ac:dyDescent="0.25">
      <c r="B228" s="4">
        <v>2018</v>
      </c>
      <c r="C228" s="4" t="s">
        <v>139</v>
      </c>
      <c r="D228" s="1" t="s">
        <v>125</v>
      </c>
      <c r="E228" s="202">
        <v>325988700</v>
      </c>
      <c r="F228" s="203">
        <v>373925921.32806998</v>
      </c>
      <c r="G228" s="204">
        <v>0.87180021872297142</v>
      </c>
      <c r="I228" s="203">
        <v>373925921.32806998</v>
      </c>
      <c r="J228" s="202">
        <v>-47937221.328069985</v>
      </c>
    </row>
    <row r="229" spans="2:10" x14ac:dyDescent="0.25">
      <c r="B229" s="4">
        <v>2018</v>
      </c>
      <c r="C229" s="4" t="s">
        <v>139</v>
      </c>
      <c r="D229" s="1" t="s">
        <v>126</v>
      </c>
      <c r="E229" s="202">
        <v>107093133</v>
      </c>
      <c r="F229" s="203">
        <v>103247931.74580884</v>
      </c>
      <c r="G229" s="204">
        <v>1.0372424046581179</v>
      </c>
      <c r="I229" s="203">
        <v>103247931.74580884</v>
      </c>
      <c r="J229" s="202">
        <v>3845201.2541911602</v>
      </c>
    </row>
    <row r="230" spans="2:10" x14ac:dyDescent="0.25">
      <c r="B230" s="4">
        <v>2018</v>
      </c>
      <c r="C230" s="4" t="s">
        <v>139</v>
      </c>
      <c r="D230" s="1" t="s">
        <v>127</v>
      </c>
      <c r="E230" s="202">
        <v>141816123</v>
      </c>
      <c r="F230" s="203">
        <v>136337608.57647219</v>
      </c>
      <c r="G230" s="204">
        <v>1.0401834422704788</v>
      </c>
      <c r="I230" s="203">
        <v>136337608.57647219</v>
      </c>
      <c r="J230" s="202">
        <v>5478514.423527807</v>
      </c>
    </row>
    <row r="231" spans="2:10" x14ac:dyDescent="0.25">
      <c r="B231" s="4">
        <v>2018</v>
      </c>
      <c r="C231" s="4" t="s">
        <v>139</v>
      </c>
      <c r="D231" s="1" t="s">
        <v>128</v>
      </c>
      <c r="E231" s="202">
        <v>75823458</v>
      </c>
      <c r="F231" s="203">
        <v>64433898.305084728</v>
      </c>
      <c r="G231" s="204">
        <v>1.1767634738005053</v>
      </c>
      <c r="I231" s="203">
        <v>64433898.30508472</v>
      </c>
      <c r="J231" s="202">
        <v>11389559.69491528</v>
      </c>
    </row>
    <row r="232" spans="2:10" x14ac:dyDescent="0.25">
      <c r="B232" s="4">
        <v>2018</v>
      </c>
      <c r="C232" s="4" t="s">
        <v>139</v>
      </c>
      <c r="D232" s="1" t="s">
        <v>129</v>
      </c>
      <c r="E232" s="202">
        <v>326604716</v>
      </c>
      <c r="F232" s="203">
        <v>280307644.55239588</v>
      </c>
      <c r="G232" s="204">
        <v>1.1651652116785212</v>
      </c>
      <c r="I232" s="203">
        <v>280307644.55239588</v>
      </c>
      <c r="J232" s="202">
        <v>46297071.44760412</v>
      </c>
    </row>
    <row r="233" spans="2:10" x14ac:dyDescent="0.25">
      <c r="B233" s="4">
        <v>2018</v>
      </c>
      <c r="C233" s="4" t="s">
        <v>139</v>
      </c>
      <c r="D233" s="1" t="s">
        <v>130</v>
      </c>
      <c r="E233" s="202">
        <v>75178056</v>
      </c>
      <c r="F233" s="203">
        <v>64635976.74683813</v>
      </c>
      <c r="G233" s="204">
        <v>1.163099248804615</v>
      </c>
      <c r="I233" s="203">
        <v>64635976.74683813</v>
      </c>
      <c r="J233" s="202">
        <v>10542079.25316187</v>
      </c>
    </row>
    <row r="234" spans="2:10" x14ac:dyDescent="0.25">
      <c r="B234" s="4">
        <v>2018</v>
      </c>
      <c r="C234" s="4" t="s">
        <v>139</v>
      </c>
      <c r="D234" s="1" t="s">
        <v>131</v>
      </c>
      <c r="E234" s="202">
        <v>378233902</v>
      </c>
      <c r="F234" s="203">
        <v>373117378.77958661</v>
      </c>
      <c r="G234" s="204">
        <v>1.0137129051376508</v>
      </c>
      <c r="I234" s="203">
        <v>373117378.77958661</v>
      </c>
      <c r="J234" s="202">
        <v>5116523.2204133868</v>
      </c>
    </row>
    <row r="235" spans="2:10" x14ac:dyDescent="0.25">
      <c r="B235" s="4">
        <v>2018</v>
      </c>
      <c r="C235" s="4" t="s">
        <v>139</v>
      </c>
      <c r="D235" s="1" t="s">
        <v>132</v>
      </c>
      <c r="E235" s="202">
        <v>149582735</v>
      </c>
      <c r="F235" s="203">
        <v>131763386.85478087</v>
      </c>
      <c r="G235" s="204">
        <v>1.1352374781080741</v>
      </c>
      <c r="I235" s="203">
        <v>131763386.85478087</v>
      </c>
      <c r="J235" s="202">
        <v>17819348.145219132</v>
      </c>
    </row>
    <row r="236" spans="2:10" x14ac:dyDescent="0.25">
      <c r="B236" s="4">
        <v>2018</v>
      </c>
      <c r="C236" s="4" t="s">
        <v>139</v>
      </c>
      <c r="D236" s="1" t="s">
        <v>133</v>
      </c>
      <c r="E236" s="202">
        <v>39492013</v>
      </c>
      <c r="F236" s="203">
        <v>29288135.593220342</v>
      </c>
      <c r="G236" s="204">
        <v>1.3483962771990738</v>
      </c>
      <c r="I236" s="203">
        <v>29288135.593220346</v>
      </c>
      <c r="J236" s="202">
        <v>10203877.406779654</v>
      </c>
    </row>
    <row r="237" spans="2:10" x14ac:dyDescent="0.25">
      <c r="B237" s="4">
        <v>2018</v>
      </c>
      <c r="C237" s="4" t="s">
        <v>139</v>
      </c>
      <c r="D237" s="1" t="s">
        <v>134</v>
      </c>
      <c r="E237" s="202">
        <v>202804569</v>
      </c>
      <c r="F237" s="203">
        <v>214113782.05477998</v>
      </c>
      <c r="G237" s="204">
        <v>0.94718129329999612</v>
      </c>
      <c r="I237" s="203">
        <v>214113782.05477998</v>
      </c>
      <c r="J237" s="202">
        <v>-11309213.054779977</v>
      </c>
    </row>
    <row r="238" spans="2:10" x14ac:dyDescent="0.25">
      <c r="B238" s="4">
        <v>2018</v>
      </c>
      <c r="C238" s="4" t="s">
        <v>139</v>
      </c>
      <c r="D238" s="1" t="s">
        <v>135</v>
      </c>
      <c r="E238" s="202">
        <v>100376869</v>
      </c>
      <c r="F238" s="203">
        <v>94377497.464038983</v>
      </c>
      <c r="G238" s="204">
        <v>1.0635678175112344</v>
      </c>
      <c r="I238" s="203">
        <v>94377497.464038983</v>
      </c>
      <c r="J238" s="202">
        <v>5999371.535961017</v>
      </c>
    </row>
    <row r="239" spans="2:10" x14ac:dyDescent="0.25">
      <c r="B239" s="4">
        <v>2018</v>
      </c>
      <c r="C239" s="4" t="s">
        <v>139</v>
      </c>
      <c r="D239" s="1" t="s">
        <v>136</v>
      </c>
      <c r="E239" s="202">
        <v>77899785</v>
      </c>
      <c r="F239" s="203">
        <v>112840458.87707385</v>
      </c>
      <c r="G239" s="204">
        <v>0.69035331631239172</v>
      </c>
      <c r="I239" s="203">
        <v>112840458.87707385</v>
      </c>
      <c r="J239" s="202">
        <v>-34940673.877073854</v>
      </c>
    </row>
    <row r="240" spans="2:10" x14ac:dyDescent="0.25">
      <c r="B240" s="4">
        <v>2018</v>
      </c>
      <c r="C240" s="4" t="s">
        <v>139</v>
      </c>
      <c r="D240" s="1" t="s">
        <v>137</v>
      </c>
      <c r="E240" s="202">
        <v>46022592</v>
      </c>
      <c r="F240" s="203">
        <v>34169491.525423728</v>
      </c>
      <c r="G240" s="204">
        <v>1.3468913333333334</v>
      </c>
      <c r="I240" s="203">
        <v>34169491.525423728</v>
      </c>
      <c r="J240" s="202">
        <v>11853100.474576272</v>
      </c>
    </row>
    <row r="241" spans="2:10" x14ac:dyDescent="0.25">
      <c r="B241" s="5">
        <v>2018</v>
      </c>
      <c r="C241" s="5" t="s">
        <v>139</v>
      </c>
      <c r="D241" s="5" t="s">
        <v>430</v>
      </c>
      <c r="E241" s="205">
        <v>2060131085</v>
      </c>
      <c r="F241" s="205">
        <v>2038518365.5347061</v>
      </c>
      <c r="G241" s="206">
        <v>1.0106021705914947</v>
      </c>
      <c r="I241" s="205">
        <v>2038518365.5347061</v>
      </c>
      <c r="J241" s="205">
        <v>21612719.465293758</v>
      </c>
    </row>
    <row r="242" spans="2:10" x14ac:dyDescent="0.25">
      <c r="B242" s="4">
        <v>2018</v>
      </c>
      <c r="C242" s="4" t="s">
        <v>140</v>
      </c>
      <c r="D242" s="1" t="s">
        <v>123</v>
      </c>
      <c r="E242" s="202">
        <v>-210463</v>
      </c>
      <c r="F242" s="203">
        <v>0</v>
      </c>
      <c r="G242" s="204">
        <v>0</v>
      </c>
      <c r="I242" s="203">
        <v>0</v>
      </c>
      <c r="J242" s="202">
        <v>-210463</v>
      </c>
    </row>
    <row r="243" spans="2:10" x14ac:dyDescent="0.25">
      <c r="B243" s="4">
        <v>2018</v>
      </c>
      <c r="C243" s="4" t="s">
        <v>140</v>
      </c>
      <c r="D243" s="1" t="s">
        <v>124</v>
      </c>
      <c r="E243" s="202">
        <v>46693529</v>
      </c>
      <c r="F243" s="203">
        <v>59000997.651686534</v>
      </c>
      <c r="G243" s="204">
        <v>0.79140236366266381</v>
      </c>
      <c r="I243" s="203">
        <v>59000997.651686534</v>
      </c>
      <c r="J243" s="202">
        <v>-12307468.651686534</v>
      </c>
    </row>
    <row r="244" spans="2:10" x14ac:dyDescent="0.25">
      <c r="B244" s="4">
        <v>2018</v>
      </c>
      <c r="C244" s="4" t="s">
        <v>140</v>
      </c>
      <c r="D244" s="1" t="s">
        <v>125</v>
      </c>
      <c r="E244" s="202">
        <v>415015754</v>
      </c>
      <c r="F244" s="203">
        <v>392903924.28858149</v>
      </c>
      <c r="G244" s="204">
        <v>1.0562779558678517</v>
      </c>
      <c r="I244" s="203">
        <v>392903924.28858149</v>
      </c>
      <c r="J244" s="202">
        <v>22111829.711418509</v>
      </c>
    </row>
    <row r="245" spans="2:10" x14ac:dyDescent="0.25">
      <c r="B245" s="4">
        <v>2018</v>
      </c>
      <c r="C245" s="4" t="s">
        <v>140</v>
      </c>
      <c r="D245" s="1" t="s">
        <v>126</v>
      </c>
      <c r="E245" s="202">
        <v>105970287</v>
      </c>
      <c r="F245" s="203">
        <v>111735932.8663666</v>
      </c>
      <c r="G245" s="204">
        <v>0.94839935803585973</v>
      </c>
      <c r="I245" s="203">
        <v>111735932.86636661</v>
      </c>
      <c r="J245" s="202">
        <v>-5765645.8663666099</v>
      </c>
    </row>
    <row r="246" spans="2:10" x14ac:dyDescent="0.25">
      <c r="B246" s="4">
        <v>2018</v>
      </c>
      <c r="C246" s="4" t="s">
        <v>140</v>
      </c>
      <c r="D246" s="1" t="s">
        <v>127</v>
      </c>
      <c r="E246" s="202">
        <v>150763129</v>
      </c>
      <c r="F246" s="203">
        <v>142587428.80071902</v>
      </c>
      <c r="G246" s="204">
        <v>1.0573381557409762</v>
      </c>
      <c r="I246" s="203">
        <v>142587428.80071902</v>
      </c>
      <c r="J246" s="202">
        <v>8175700.1992809772</v>
      </c>
    </row>
    <row r="247" spans="2:10" x14ac:dyDescent="0.25">
      <c r="B247" s="4">
        <v>2018</v>
      </c>
      <c r="C247" s="4" t="s">
        <v>140</v>
      </c>
      <c r="D247" s="1" t="s">
        <v>128</v>
      </c>
      <c r="E247" s="202">
        <v>71920570</v>
      </c>
      <c r="F247" s="203">
        <v>69194984.522290215</v>
      </c>
      <c r="G247" s="204">
        <v>1.0393899282805934</v>
      </c>
      <c r="I247" s="203">
        <v>69194984.522290215</v>
      </c>
      <c r="J247" s="202">
        <v>2725585.4777097851</v>
      </c>
    </row>
    <row r="248" spans="2:10" x14ac:dyDescent="0.25">
      <c r="B248" s="4">
        <v>2018</v>
      </c>
      <c r="C248" s="4" t="s">
        <v>140</v>
      </c>
      <c r="D248" s="1" t="s">
        <v>129</v>
      </c>
      <c r="E248" s="202">
        <v>319423398</v>
      </c>
      <c r="F248" s="203">
        <v>313646825.42275995</v>
      </c>
      <c r="G248" s="204">
        <v>1.0184174431526731</v>
      </c>
      <c r="I248" s="203">
        <v>313646825.42275995</v>
      </c>
      <c r="J248" s="202">
        <v>5776572.5772400498</v>
      </c>
    </row>
    <row r="249" spans="2:10" x14ac:dyDescent="0.25">
      <c r="B249" s="4">
        <v>2018</v>
      </c>
      <c r="C249" s="4" t="s">
        <v>140</v>
      </c>
      <c r="D249" s="1" t="s">
        <v>130</v>
      </c>
      <c r="E249" s="202">
        <v>69188320</v>
      </c>
      <c r="F249" s="203">
        <v>68813725.398228988</v>
      </c>
      <c r="G249" s="204">
        <v>1.0054436029963967</v>
      </c>
      <c r="I249" s="203">
        <v>68813725.398228988</v>
      </c>
      <c r="J249" s="202">
        <v>374594.60177101195</v>
      </c>
    </row>
    <row r="250" spans="2:10" x14ac:dyDescent="0.25">
      <c r="B250" s="4">
        <v>2018</v>
      </c>
      <c r="C250" s="4" t="s">
        <v>140</v>
      </c>
      <c r="D250" s="1" t="s">
        <v>131</v>
      </c>
      <c r="E250" s="202">
        <v>399869349</v>
      </c>
      <c r="F250" s="203">
        <v>397880646.25234169</v>
      </c>
      <c r="G250" s="204">
        <v>1.0049982394629897</v>
      </c>
      <c r="I250" s="203">
        <v>397880646.25234169</v>
      </c>
      <c r="J250" s="202">
        <v>1988702.7476583123</v>
      </c>
    </row>
    <row r="251" spans="2:10" x14ac:dyDescent="0.25">
      <c r="B251" s="4">
        <v>2018</v>
      </c>
      <c r="C251" s="4" t="s">
        <v>140</v>
      </c>
      <c r="D251" s="1" t="s">
        <v>132</v>
      </c>
      <c r="E251" s="202">
        <v>154894822</v>
      </c>
      <c r="F251" s="203">
        <v>142096066.7405729</v>
      </c>
      <c r="G251" s="204">
        <v>1.0900711437903063</v>
      </c>
      <c r="I251" s="203">
        <v>142096066.7405729</v>
      </c>
      <c r="J251" s="202">
        <v>12798755.2594271</v>
      </c>
    </row>
    <row r="252" spans="2:10" x14ac:dyDescent="0.25">
      <c r="B252" s="4">
        <v>2018</v>
      </c>
      <c r="C252" s="4" t="s">
        <v>140</v>
      </c>
      <c r="D252" s="1" t="s">
        <v>133</v>
      </c>
      <c r="E252" s="202">
        <v>37296616</v>
      </c>
      <c r="F252" s="203">
        <v>31862699.132403079</v>
      </c>
      <c r="G252" s="204">
        <v>1.1705416369472241</v>
      </c>
      <c r="I252" s="203">
        <v>31862699.132403079</v>
      </c>
      <c r="J252" s="202">
        <v>5433916.8675969206</v>
      </c>
    </row>
    <row r="253" spans="2:10" x14ac:dyDescent="0.25">
      <c r="B253" s="4">
        <v>2018</v>
      </c>
      <c r="C253" s="4" t="s">
        <v>140</v>
      </c>
      <c r="D253" s="1" t="s">
        <v>134</v>
      </c>
      <c r="E253" s="202">
        <v>222098279</v>
      </c>
      <c r="F253" s="203">
        <v>221161572.40447614</v>
      </c>
      <c r="G253" s="204">
        <v>1.00423539489858</v>
      </c>
      <c r="I253" s="203">
        <v>221161572.40447611</v>
      </c>
      <c r="J253" s="202">
        <v>936706.59552389383</v>
      </c>
    </row>
    <row r="254" spans="2:10" x14ac:dyDescent="0.25">
      <c r="B254" s="4">
        <v>2018</v>
      </c>
      <c r="C254" s="4" t="s">
        <v>140</v>
      </c>
      <c r="D254" s="1" t="s">
        <v>135</v>
      </c>
      <c r="E254" s="202">
        <v>95236490</v>
      </c>
      <c r="F254" s="203">
        <v>97491339.59013842</v>
      </c>
      <c r="G254" s="204">
        <v>0.97687128313532268</v>
      </c>
      <c r="I254" s="203">
        <v>97491339.59013842</v>
      </c>
      <c r="J254" s="202">
        <v>-2254849.5901384205</v>
      </c>
    </row>
    <row r="255" spans="2:10" x14ac:dyDescent="0.25">
      <c r="B255" s="4">
        <v>2018</v>
      </c>
      <c r="C255" s="4" t="s">
        <v>140</v>
      </c>
      <c r="D255" s="1" t="s">
        <v>136</v>
      </c>
      <c r="E255" s="202">
        <v>93440486</v>
      </c>
      <c r="F255" s="203">
        <v>117406338.22299714</v>
      </c>
      <c r="G255" s="204">
        <v>0.79587258587796761</v>
      </c>
      <c r="I255" s="203">
        <v>117406338.22299714</v>
      </c>
      <c r="J255" s="202">
        <v>-23965852.222997144</v>
      </c>
    </row>
    <row r="256" spans="2:10" x14ac:dyDescent="0.25">
      <c r="B256" s="4">
        <v>2018</v>
      </c>
      <c r="C256" s="4" t="s">
        <v>140</v>
      </c>
      <c r="D256" s="1" t="s">
        <v>137</v>
      </c>
      <c r="E256" s="202">
        <v>53403919</v>
      </c>
      <c r="F256" s="203">
        <v>37302447.868387759</v>
      </c>
      <c r="G256" s="204">
        <v>1.4316465018173126</v>
      </c>
      <c r="I256" s="203">
        <v>37302447.868387759</v>
      </c>
      <c r="J256" s="202">
        <v>16101471.131612241</v>
      </c>
    </row>
    <row r="257" spans="2:10" x14ac:dyDescent="0.25">
      <c r="B257" s="5">
        <v>2018</v>
      </c>
      <c r="C257" s="5" t="s">
        <v>140</v>
      </c>
      <c r="D257" s="5" t="s">
        <v>430</v>
      </c>
      <c r="E257" s="205">
        <v>2235004485</v>
      </c>
      <c r="F257" s="205">
        <v>2203084929.1619501</v>
      </c>
      <c r="G257" s="206">
        <v>1.0144885725536654</v>
      </c>
      <c r="I257" s="205">
        <v>2203084929.1619501</v>
      </c>
      <c r="J257" s="205">
        <v>31919555.838050097</v>
      </c>
    </row>
    <row r="258" spans="2:10" x14ac:dyDescent="0.25">
      <c r="B258" s="4">
        <v>2018</v>
      </c>
      <c r="C258" s="4" t="s">
        <v>141</v>
      </c>
      <c r="D258" s="1" t="s">
        <v>123</v>
      </c>
      <c r="E258" s="202">
        <v>0</v>
      </c>
      <c r="F258" s="203">
        <v>21189465</v>
      </c>
      <c r="G258" s="204">
        <v>0</v>
      </c>
      <c r="I258" s="203">
        <v>21189465</v>
      </c>
      <c r="J258" s="202">
        <v>-21189465</v>
      </c>
    </row>
    <row r="259" spans="2:10" x14ac:dyDescent="0.25">
      <c r="B259" s="4">
        <v>2018</v>
      </c>
      <c r="C259" s="4" t="s">
        <v>141</v>
      </c>
      <c r="D259" s="1" t="s">
        <v>124</v>
      </c>
      <c r="E259" s="202">
        <v>44886792</v>
      </c>
      <c r="F259" s="203">
        <v>85155373.124612093</v>
      </c>
      <c r="G259" s="204">
        <v>0.52711637977693937</v>
      </c>
      <c r="I259" s="203">
        <v>85155373.124612093</v>
      </c>
      <c r="J259" s="202">
        <v>-40268581.124612093</v>
      </c>
    </row>
    <row r="260" spans="2:10" x14ac:dyDescent="0.25">
      <c r="B260" s="4">
        <v>2018</v>
      </c>
      <c r="C260" s="4" t="s">
        <v>141</v>
      </c>
      <c r="D260" s="1" t="s">
        <v>125</v>
      </c>
      <c r="E260" s="202">
        <v>352370407</v>
      </c>
      <c r="F260" s="203">
        <v>392903924.28858149</v>
      </c>
      <c r="G260" s="204">
        <v>0.8968360589373745</v>
      </c>
      <c r="I260" s="203">
        <v>392903924.28858149</v>
      </c>
      <c r="J260" s="202">
        <v>-40533517.288581491</v>
      </c>
    </row>
    <row r="261" spans="2:10" x14ac:dyDescent="0.25">
      <c r="B261" s="4">
        <v>2018</v>
      </c>
      <c r="C261" s="4" t="s">
        <v>141</v>
      </c>
      <c r="D261" s="1" t="s">
        <v>128</v>
      </c>
      <c r="E261" s="202">
        <v>69340507</v>
      </c>
      <c r="F261" s="203">
        <v>69194984.522290215</v>
      </c>
      <c r="G261" s="204">
        <v>1.002103078405385</v>
      </c>
      <c r="I261" s="203">
        <v>69194984.522290215</v>
      </c>
      <c r="J261" s="202">
        <v>145522.4777097851</v>
      </c>
    </row>
    <row r="262" spans="2:10" x14ac:dyDescent="0.25">
      <c r="B262" s="4">
        <v>2018</v>
      </c>
      <c r="C262" s="4" t="s">
        <v>141</v>
      </c>
      <c r="D262" s="1" t="s">
        <v>129</v>
      </c>
      <c r="E262" s="202">
        <v>332542380</v>
      </c>
      <c r="F262" s="203">
        <v>313646825.42275995</v>
      </c>
      <c r="G262" s="204">
        <v>1.0602446862064394</v>
      </c>
      <c r="I262" s="203">
        <v>313646825.42275995</v>
      </c>
      <c r="J262" s="202">
        <v>18895554.57724005</v>
      </c>
    </row>
    <row r="263" spans="2:10" x14ac:dyDescent="0.25">
      <c r="B263" s="4">
        <v>2018</v>
      </c>
      <c r="C263" s="4" t="s">
        <v>141</v>
      </c>
      <c r="D263" s="1" t="s">
        <v>130</v>
      </c>
      <c r="E263" s="202">
        <v>82253875</v>
      </c>
      <c r="F263" s="203">
        <v>68813725.398228988</v>
      </c>
      <c r="G263" s="204">
        <v>1.1953120474729728</v>
      </c>
      <c r="I263" s="203">
        <v>68813725.398228988</v>
      </c>
      <c r="J263" s="202">
        <v>13440149.601771012</v>
      </c>
    </row>
    <row r="264" spans="2:10" x14ac:dyDescent="0.25">
      <c r="B264" s="4">
        <v>2018</v>
      </c>
      <c r="C264" s="4" t="s">
        <v>141</v>
      </c>
      <c r="D264" s="1" t="s">
        <v>131</v>
      </c>
      <c r="E264" s="202">
        <v>406043587</v>
      </c>
      <c r="F264" s="203">
        <v>397880646.25234169</v>
      </c>
      <c r="G264" s="204">
        <v>1.0205160538079585</v>
      </c>
      <c r="I264" s="203">
        <v>397880646.25234169</v>
      </c>
      <c r="J264" s="202">
        <v>8162940.7476583123</v>
      </c>
    </row>
    <row r="265" spans="2:10" x14ac:dyDescent="0.25">
      <c r="B265" s="4">
        <v>2018</v>
      </c>
      <c r="C265" s="4" t="s">
        <v>141</v>
      </c>
      <c r="D265" s="1" t="s">
        <v>132</v>
      </c>
      <c r="E265" s="202">
        <v>137930817</v>
      </c>
      <c r="F265" s="203">
        <v>142096066.7405729</v>
      </c>
      <c r="G265" s="204">
        <v>0.97068708630635459</v>
      </c>
      <c r="I265" s="203">
        <v>142096066.7405729</v>
      </c>
      <c r="J265" s="202">
        <v>-4165249.7405728996</v>
      </c>
    </row>
    <row r="266" spans="2:10" x14ac:dyDescent="0.25">
      <c r="B266" s="4">
        <v>2018</v>
      </c>
      <c r="C266" s="4" t="s">
        <v>141</v>
      </c>
      <c r="D266" s="1" t="s">
        <v>127</v>
      </c>
      <c r="E266" s="202">
        <v>145061582</v>
      </c>
      <c r="F266" s="203">
        <v>142587428.80071902</v>
      </c>
      <c r="G266" s="204">
        <v>1.0173518326271165</v>
      </c>
      <c r="I266" s="203">
        <v>142587428.80071902</v>
      </c>
      <c r="J266" s="202">
        <v>2474153.1992809772</v>
      </c>
    </row>
    <row r="267" spans="2:10" x14ac:dyDescent="0.25">
      <c r="B267" s="4">
        <v>2018</v>
      </c>
      <c r="C267" s="4" t="s">
        <v>141</v>
      </c>
      <c r="D267" s="1" t="s">
        <v>126</v>
      </c>
      <c r="E267" s="202">
        <v>117457919</v>
      </c>
      <c r="F267" s="203">
        <v>111735932.8663666</v>
      </c>
      <c r="G267" s="204">
        <v>1.0512099016569429</v>
      </c>
      <c r="I267" s="203">
        <v>111735932.86636661</v>
      </c>
      <c r="J267" s="202">
        <v>5721986.1336333901</v>
      </c>
    </row>
    <row r="268" spans="2:10" x14ac:dyDescent="0.25">
      <c r="B268" s="4">
        <v>2018</v>
      </c>
      <c r="C268" s="4" t="s">
        <v>141</v>
      </c>
      <c r="D268" s="1" t="s">
        <v>133</v>
      </c>
      <c r="E268" s="202">
        <v>34081946</v>
      </c>
      <c r="F268" s="203">
        <v>31862699.132403079</v>
      </c>
      <c r="G268" s="204">
        <v>1.0696503098615409</v>
      </c>
      <c r="I268" s="203">
        <v>31862699.132403079</v>
      </c>
      <c r="J268" s="202">
        <v>2219246.8675969206</v>
      </c>
    </row>
    <row r="269" spans="2:10" x14ac:dyDescent="0.25">
      <c r="B269" s="4">
        <v>2018</v>
      </c>
      <c r="C269" s="4" t="s">
        <v>141</v>
      </c>
      <c r="D269" s="1" t="s">
        <v>134</v>
      </c>
      <c r="E269" s="202">
        <v>214837714</v>
      </c>
      <c r="F269" s="203">
        <v>221161572.40447614</v>
      </c>
      <c r="G269" s="204">
        <v>0.97140616095408017</v>
      </c>
      <c r="I269" s="203">
        <v>221161572.40447611</v>
      </c>
      <c r="J269" s="202">
        <v>-6323858.4044761062</v>
      </c>
    </row>
    <row r="270" spans="2:10" x14ac:dyDescent="0.25">
      <c r="B270" s="4">
        <v>2018</v>
      </c>
      <c r="C270" s="4" t="s">
        <v>141</v>
      </c>
      <c r="D270" s="1" t="s">
        <v>135</v>
      </c>
      <c r="E270" s="202">
        <v>92752290</v>
      </c>
      <c r="F270" s="203">
        <v>97491339.59013842</v>
      </c>
      <c r="G270" s="204">
        <v>0.95139004541263072</v>
      </c>
      <c r="I270" s="203">
        <v>97491339.59013842</v>
      </c>
      <c r="J270" s="202">
        <v>-4739049.5901384205</v>
      </c>
    </row>
    <row r="271" spans="2:10" x14ac:dyDescent="0.25">
      <c r="B271" s="4">
        <v>2018</v>
      </c>
      <c r="C271" s="4" t="s">
        <v>141</v>
      </c>
      <c r="D271" s="1" t="s">
        <v>136</v>
      </c>
      <c r="E271" s="202">
        <v>3163384</v>
      </c>
      <c r="F271" s="203">
        <v>0</v>
      </c>
      <c r="G271" s="204">
        <v>0</v>
      </c>
      <c r="I271" s="203">
        <v>0</v>
      </c>
      <c r="J271" s="202">
        <v>3163384</v>
      </c>
    </row>
    <row r="272" spans="2:10" x14ac:dyDescent="0.25">
      <c r="B272" s="4">
        <v>2018</v>
      </c>
      <c r="C272" s="4" t="s">
        <v>141</v>
      </c>
      <c r="D272" s="1" t="s">
        <v>137</v>
      </c>
      <c r="E272" s="202">
        <v>52249105</v>
      </c>
      <c r="F272" s="203">
        <v>37302447.868387759</v>
      </c>
      <c r="G272" s="204">
        <v>1.4006883726330168</v>
      </c>
      <c r="I272" s="203">
        <v>37302447.868387759</v>
      </c>
      <c r="J272" s="202">
        <v>14946657.131612241</v>
      </c>
    </row>
    <row r="273" spans="2:10" x14ac:dyDescent="0.25">
      <c r="B273" s="4">
        <v>2018</v>
      </c>
      <c r="C273" s="4" t="s">
        <v>141</v>
      </c>
      <c r="D273" s="1" t="s">
        <v>252</v>
      </c>
      <c r="E273" s="202">
        <v>83589619</v>
      </c>
      <c r="F273" s="203">
        <v>117406338.22299714</v>
      </c>
      <c r="G273" s="204">
        <v>0.71196853819964179</v>
      </c>
      <c r="I273" s="203">
        <v>117406338.22299714</v>
      </c>
      <c r="J273" s="202">
        <v>-33816719.222997144</v>
      </c>
    </row>
    <row r="274" spans="2:10" x14ac:dyDescent="0.25">
      <c r="B274" s="5">
        <v>2018</v>
      </c>
      <c r="C274" s="5" t="s">
        <v>141</v>
      </c>
      <c r="D274" s="5" t="s">
        <v>430</v>
      </c>
      <c r="E274" s="205">
        <v>2168561924</v>
      </c>
      <c r="F274" s="205">
        <v>2250428769.6348753</v>
      </c>
      <c r="G274" s="206">
        <v>0.9636216676841729</v>
      </c>
      <c r="I274" s="205">
        <v>2250428769.6348753</v>
      </c>
      <c r="J274" s="205">
        <v>-81866845.634875461</v>
      </c>
    </row>
    <row r="275" spans="2:10" x14ac:dyDescent="0.25">
      <c r="B275" s="4">
        <v>2018</v>
      </c>
      <c r="C275" s="4" t="s">
        <v>153</v>
      </c>
      <c r="D275" s="1" t="s">
        <v>123</v>
      </c>
      <c r="E275" s="202">
        <v>27982853</v>
      </c>
      <c r="F275" s="203">
        <v>26306829.999999996</v>
      </c>
      <c r="G275" s="204">
        <v>1.0637105648989256</v>
      </c>
      <c r="I275" s="203">
        <v>26306829.999999996</v>
      </c>
      <c r="J275" s="202">
        <v>1676023.0000000037</v>
      </c>
    </row>
    <row r="276" spans="2:10" x14ac:dyDescent="0.25">
      <c r="B276" s="4">
        <v>2018</v>
      </c>
      <c r="C276" s="4" t="s">
        <v>153</v>
      </c>
      <c r="D276" s="1" t="s">
        <v>124</v>
      </c>
      <c r="E276" s="202">
        <v>149749787</v>
      </c>
      <c r="F276" s="203">
        <v>144321672.38905671</v>
      </c>
      <c r="G276" s="204">
        <v>1.0376112230484025</v>
      </c>
      <c r="I276" s="203">
        <v>144321672.38905671</v>
      </c>
      <c r="J276" s="202">
        <v>5428114.6109432876</v>
      </c>
    </row>
    <row r="277" spans="2:10" x14ac:dyDescent="0.25">
      <c r="B277" s="4">
        <v>2018</v>
      </c>
      <c r="C277" s="4" t="s">
        <v>153</v>
      </c>
      <c r="D277" s="1" t="s">
        <v>125</v>
      </c>
      <c r="E277" s="202">
        <v>362422481</v>
      </c>
      <c r="F277" s="203">
        <v>377323677.56657863</v>
      </c>
      <c r="G277" s="204">
        <v>0.96050818580302499</v>
      </c>
      <c r="I277" s="203">
        <v>377323677.56657863</v>
      </c>
      <c r="J277" s="202">
        <v>-14901196.566578627</v>
      </c>
    </row>
    <row r="278" spans="2:10" x14ac:dyDescent="0.25">
      <c r="B278" s="4">
        <v>2018</v>
      </c>
      <c r="C278" s="4" t="s">
        <v>153</v>
      </c>
      <c r="D278" s="1" t="s">
        <v>128</v>
      </c>
      <c r="E278" s="202">
        <v>67105254</v>
      </c>
      <c r="F278" s="203">
        <v>66510238.759578355</v>
      </c>
      <c r="G278" s="204">
        <v>1.0089462201838202</v>
      </c>
      <c r="I278" s="203">
        <v>66510238.759578355</v>
      </c>
      <c r="J278" s="202">
        <v>595015.24042164534</v>
      </c>
    </row>
    <row r="279" spans="2:10" x14ac:dyDescent="0.25">
      <c r="B279" s="4">
        <v>2018</v>
      </c>
      <c r="C279" s="4" t="s">
        <v>153</v>
      </c>
      <c r="D279" s="1" t="s">
        <v>129</v>
      </c>
      <c r="E279" s="202">
        <v>318903204</v>
      </c>
      <c r="F279" s="203">
        <v>301967340.23307675</v>
      </c>
      <c r="G279" s="204">
        <v>1.0560850844129406</v>
      </c>
      <c r="I279" s="203">
        <v>301967340.23307675</v>
      </c>
      <c r="J279" s="202">
        <v>16935863.766923249</v>
      </c>
    </row>
    <row r="280" spans="2:10" x14ac:dyDescent="0.25">
      <c r="B280" s="4">
        <v>2018</v>
      </c>
      <c r="C280" s="4" t="s">
        <v>153</v>
      </c>
      <c r="D280" s="1" t="s">
        <v>130</v>
      </c>
      <c r="E280" s="202">
        <v>88732652</v>
      </c>
      <c r="F280" s="203">
        <v>66120559.700444065</v>
      </c>
      <c r="G280" s="204">
        <v>1.3419827721059667</v>
      </c>
      <c r="I280" s="203">
        <v>66120559.700444058</v>
      </c>
      <c r="J280" s="202">
        <v>22612092.299555942</v>
      </c>
    </row>
    <row r="281" spans="2:10" x14ac:dyDescent="0.25">
      <c r="B281" s="4">
        <v>2018</v>
      </c>
      <c r="C281" s="4" t="s">
        <v>153</v>
      </c>
      <c r="D281" s="1" t="s">
        <v>131</v>
      </c>
      <c r="E281" s="202">
        <v>356631523</v>
      </c>
      <c r="F281" s="203">
        <v>382334088.80319232</v>
      </c>
      <c r="G281" s="204">
        <v>0.93277459019244613</v>
      </c>
      <c r="I281" s="203">
        <v>382334088.80319232</v>
      </c>
      <c r="J281" s="202">
        <v>-25702565.803192317</v>
      </c>
    </row>
    <row r="282" spans="2:10" x14ac:dyDescent="0.25">
      <c r="B282" s="4">
        <v>2018</v>
      </c>
      <c r="C282" s="4" t="s">
        <v>153</v>
      </c>
      <c r="D282" s="1" t="s">
        <v>132</v>
      </c>
      <c r="E282" s="202">
        <v>133718191</v>
      </c>
      <c r="F282" s="203">
        <v>136605925.62162369</v>
      </c>
      <c r="G282" s="204">
        <v>0.97886083924629852</v>
      </c>
      <c r="I282" s="203">
        <v>136605925.62162369</v>
      </c>
      <c r="J282" s="202">
        <v>-2887734.6216236949</v>
      </c>
    </row>
    <row r="283" spans="2:10" x14ac:dyDescent="0.25">
      <c r="B283" s="4">
        <v>2018</v>
      </c>
      <c r="C283" s="4" t="s">
        <v>153</v>
      </c>
      <c r="D283" s="1" t="s">
        <v>127</v>
      </c>
      <c r="E283" s="202">
        <v>186456266</v>
      </c>
      <c r="F283" s="203">
        <v>136906695.11003271</v>
      </c>
      <c r="G283" s="204">
        <v>1.3619221897814713</v>
      </c>
      <c r="I283" s="203">
        <v>136906695.11003271</v>
      </c>
      <c r="J283" s="202">
        <v>49549570.889967293</v>
      </c>
    </row>
    <row r="284" spans="2:10" x14ac:dyDescent="0.25">
      <c r="B284" s="4">
        <v>2018</v>
      </c>
      <c r="C284" s="4" t="s">
        <v>153</v>
      </c>
      <c r="D284" s="1" t="s">
        <v>126</v>
      </c>
      <c r="E284" s="202">
        <v>129766701</v>
      </c>
      <c r="F284" s="203">
        <v>107433935.71029124</v>
      </c>
      <c r="G284" s="204">
        <v>1.2078744033908597</v>
      </c>
      <c r="I284" s="203">
        <v>107433935.71029124</v>
      </c>
      <c r="J284" s="202">
        <v>22332765.289708763</v>
      </c>
    </row>
    <row r="285" spans="2:10" x14ac:dyDescent="0.25">
      <c r="B285" s="4">
        <v>2018</v>
      </c>
      <c r="C285" s="4" t="s">
        <v>153</v>
      </c>
      <c r="D285" s="1" t="s">
        <v>133</v>
      </c>
      <c r="E285" s="202">
        <v>30555086</v>
      </c>
      <c r="F285" s="203">
        <v>30642360.149352234</v>
      </c>
      <c r="G285" s="204">
        <v>0.99715184636800636</v>
      </c>
      <c r="I285" s="203">
        <v>30642360.14935223</v>
      </c>
      <c r="J285" s="202">
        <v>-87274.149352230132</v>
      </c>
    </row>
    <row r="286" spans="2:10" x14ac:dyDescent="0.25">
      <c r="B286" s="4">
        <v>2018</v>
      </c>
      <c r="C286" s="4" t="s">
        <v>153</v>
      </c>
      <c r="D286" s="1" t="s">
        <v>134</v>
      </c>
      <c r="E286" s="202">
        <v>223827257</v>
      </c>
      <c r="F286" s="203">
        <v>212240164.81886032</v>
      </c>
      <c r="G286" s="204">
        <v>1.0545942479409063</v>
      </c>
      <c r="I286" s="203">
        <v>212240164.81886035</v>
      </c>
      <c r="J286" s="202">
        <v>11587092.181139648</v>
      </c>
    </row>
    <row r="287" spans="2:10" x14ac:dyDescent="0.25">
      <c r="B287" s="4">
        <v>2018</v>
      </c>
      <c r="C287" s="4" t="s">
        <v>153</v>
      </c>
      <c r="D287" s="1" t="s">
        <v>135</v>
      </c>
      <c r="E287" s="202">
        <v>83376012</v>
      </c>
      <c r="F287" s="203">
        <v>93558943.86247015</v>
      </c>
      <c r="G287" s="204">
        <v>0.89116025211401628</v>
      </c>
      <c r="I287" s="203">
        <v>93558943.86247015</v>
      </c>
      <c r="J287" s="202">
        <v>-10182931.86247015</v>
      </c>
    </row>
    <row r="288" spans="2:10" x14ac:dyDescent="0.25">
      <c r="B288" s="4">
        <v>2018</v>
      </c>
      <c r="C288" s="4" t="s">
        <v>153</v>
      </c>
      <c r="D288" s="1" t="s">
        <v>136</v>
      </c>
      <c r="E288" s="202">
        <v>0</v>
      </c>
      <c r="F288" s="203">
        <v>0</v>
      </c>
      <c r="G288" s="204">
        <v>0</v>
      </c>
      <c r="I288" s="203">
        <v>0</v>
      </c>
      <c r="J288" s="202">
        <v>0</v>
      </c>
    </row>
    <row r="289" spans="2:10" x14ac:dyDescent="0.25">
      <c r="B289" s="4">
        <v>2018</v>
      </c>
      <c r="C289" s="4" t="s">
        <v>153</v>
      </c>
      <c r="D289" s="1" t="s">
        <v>137</v>
      </c>
      <c r="E289" s="202">
        <v>50413046</v>
      </c>
      <c r="F289" s="203">
        <v>35878719.054828443</v>
      </c>
      <c r="G289" s="204">
        <v>1.4050960382103044</v>
      </c>
      <c r="I289" s="203">
        <v>35878719.054828443</v>
      </c>
      <c r="J289" s="202">
        <v>14534326.945171557</v>
      </c>
    </row>
    <row r="290" spans="2:10" x14ac:dyDescent="0.25">
      <c r="B290" s="4">
        <v>2018</v>
      </c>
      <c r="C290" s="4" t="s">
        <v>153</v>
      </c>
      <c r="D290" s="1" t="s">
        <v>252</v>
      </c>
      <c r="E290" s="202">
        <v>195495511</v>
      </c>
      <c r="F290" s="203">
        <v>112704652.4364524</v>
      </c>
      <c r="G290" s="204">
        <v>1.7345824397997105</v>
      </c>
      <c r="I290" s="203">
        <v>112704652.43645242</v>
      </c>
      <c r="J290" s="202">
        <v>82790858.563547581</v>
      </c>
    </row>
    <row r="291" spans="2:10" x14ac:dyDescent="0.25">
      <c r="B291" s="5">
        <v>2018</v>
      </c>
      <c r="C291" s="5" t="s">
        <v>153</v>
      </c>
      <c r="D291" s="5" t="s">
        <v>430</v>
      </c>
      <c r="E291" s="205">
        <v>2405135824</v>
      </c>
      <c r="F291" s="205">
        <v>2230855804.215838</v>
      </c>
      <c r="G291" s="206">
        <v>1.0781224942709475</v>
      </c>
      <c r="I291" s="205">
        <v>2230855804.215838</v>
      </c>
      <c r="J291" s="205">
        <v>174280019.78416196</v>
      </c>
    </row>
    <row r="292" spans="2:10" x14ac:dyDescent="0.25">
      <c r="B292" s="4">
        <v>2018</v>
      </c>
      <c r="C292" s="4" t="s">
        <v>157</v>
      </c>
      <c r="D292" s="1" t="s">
        <v>123</v>
      </c>
      <c r="E292" s="202">
        <v>25057571</v>
      </c>
      <c r="F292" s="203">
        <v>23762254.999999996</v>
      </c>
      <c r="G292" s="204">
        <v>1.0545114931221806</v>
      </c>
      <c r="I292" s="203">
        <v>23762254.999999996</v>
      </c>
      <c r="J292" s="202">
        <v>1295316.0000000037</v>
      </c>
    </row>
    <row r="293" spans="2:10" x14ac:dyDescent="0.25">
      <c r="B293" s="4">
        <v>2018</v>
      </c>
      <c r="C293" s="4" t="s">
        <v>157</v>
      </c>
      <c r="D293" s="1" t="s">
        <v>124</v>
      </c>
      <c r="E293" s="202">
        <v>102691871</v>
      </c>
      <c r="F293" s="203">
        <v>97643799.707250819</v>
      </c>
      <c r="G293" s="204">
        <v>1.0516988411745956</v>
      </c>
      <c r="I293" s="203">
        <v>97643799.707250819</v>
      </c>
      <c r="J293" s="202">
        <v>5048071.2927491814</v>
      </c>
    </row>
    <row r="294" spans="2:10" x14ac:dyDescent="0.25">
      <c r="B294" s="4">
        <v>2018</v>
      </c>
      <c r="C294" s="4" t="s">
        <v>157</v>
      </c>
      <c r="D294" s="1" t="s">
        <v>125</v>
      </c>
      <c r="E294" s="202">
        <v>341324467</v>
      </c>
      <c r="F294" s="203">
        <v>377323677.56657863</v>
      </c>
      <c r="G294" s="204">
        <v>0.90459329030517421</v>
      </c>
      <c r="I294" s="203">
        <v>377323677.56657863</v>
      </c>
      <c r="J294" s="202">
        <v>-35999210.566578627</v>
      </c>
    </row>
    <row r="295" spans="2:10" x14ac:dyDescent="0.25">
      <c r="B295" s="4">
        <v>2018</v>
      </c>
      <c r="C295" s="4" t="s">
        <v>157</v>
      </c>
      <c r="D295" s="1" t="s">
        <v>128</v>
      </c>
      <c r="E295" s="202">
        <v>54211341</v>
      </c>
      <c r="F295" s="203">
        <v>66510238.759578355</v>
      </c>
      <c r="G295" s="204">
        <v>0.81508264007235798</v>
      </c>
      <c r="I295" s="203">
        <v>66510238.759578355</v>
      </c>
      <c r="J295" s="202">
        <v>-12298897.759578355</v>
      </c>
    </row>
    <row r="296" spans="2:10" x14ac:dyDescent="0.25">
      <c r="B296" s="4">
        <v>2018</v>
      </c>
      <c r="C296" s="4" t="s">
        <v>157</v>
      </c>
      <c r="D296" s="1" t="s">
        <v>129</v>
      </c>
      <c r="E296" s="202">
        <v>316006232</v>
      </c>
      <c r="F296" s="203">
        <v>301967340.23307675</v>
      </c>
      <c r="G296" s="204">
        <v>1.0464914243907542</v>
      </c>
      <c r="I296" s="203">
        <v>301967340.23307675</v>
      </c>
      <c r="J296" s="202">
        <v>14038891.766923249</v>
      </c>
    </row>
    <row r="297" spans="2:10" x14ac:dyDescent="0.25">
      <c r="B297" s="4">
        <v>2018</v>
      </c>
      <c r="C297" s="4" t="s">
        <v>157</v>
      </c>
      <c r="D297" s="1" t="s">
        <v>130</v>
      </c>
      <c r="E297" s="202">
        <v>102333760</v>
      </c>
      <c r="F297" s="203">
        <v>66120559.700444065</v>
      </c>
      <c r="G297" s="204">
        <v>1.5476844186379857</v>
      </c>
      <c r="I297" s="203">
        <v>66120559.700444058</v>
      </c>
      <c r="J297" s="202">
        <v>36213200.299555942</v>
      </c>
    </row>
    <row r="298" spans="2:10" x14ac:dyDescent="0.25">
      <c r="B298" s="4">
        <v>2018</v>
      </c>
      <c r="C298" s="4" t="s">
        <v>157</v>
      </c>
      <c r="D298" s="1" t="s">
        <v>131</v>
      </c>
      <c r="E298" s="202">
        <v>393066063</v>
      </c>
      <c r="F298" s="203">
        <v>382334088.80319232</v>
      </c>
      <c r="G298" s="204">
        <v>1.0280696242137384</v>
      </c>
      <c r="I298" s="203">
        <v>382334088.80319232</v>
      </c>
      <c r="J298" s="202">
        <v>10731974.196807683</v>
      </c>
    </row>
    <row r="299" spans="2:10" x14ac:dyDescent="0.25">
      <c r="B299" s="4">
        <v>2018</v>
      </c>
      <c r="C299" s="4" t="s">
        <v>157</v>
      </c>
      <c r="D299" s="1" t="s">
        <v>132</v>
      </c>
      <c r="E299" s="202">
        <v>144493591</v>
      </c>
      <c r="F299" s="203">
        <v>136605925.62162369</v>
      </c>
      <c r="G299" s="204">
        <v>1.0577402871982571</v>
      </c>
      <c r="I299" s="203">
        <v>136605925.62162369</v>
      </c>
      <c r="J299" s="202">
        <v>7887665.3783763051</v>
      </c>
    </row>
    <row r="300" spans="2:10" x14ac:dyDescent="0.25">
      <c r="B300" s="4">
        <v>2018</v>
      </c>
      <c r="C300" s="4" t="s">
        <v>157</v>
      </c>
      <c r="D300" s="1" t="s">
        <v>127</v>
      </c>
      <c r="E300" s="202">
        <v>232766024</v>
      </c>
      <c r="F300" s="203">
        <v>136906695.11003271</v>
      </c>
      <c r="G300" s="204">
        <v>1.7001799934833326</v>
      </c>
      <c r="I300" s="203">
        <v>136906695.11003271</v>
      </c>
      <c r="J300" s="202">
        <v>95859328.889967293</v>
      </c>
    </row>
    <row r="301" spans="2:10" x14ac:dyDescent="0.25">
      <c r="B301" s="4">
        <v>2018</v>
      </c>
      <c r="C301" s="4" t="s">
        <v>157</v>
      </c>
      <c r="D301" s="1" t="s">
        <v>126</v>
      </c>
      <c r="E301" s="202">
        <v>131916012</v>
      </c>
      <c r="F301" s="203">
        <v>107433935.71029124</v>
      </c>
      <c r="G301" s="204">
        <v>1.2278802887360254</v>
      </c>
      <c r="I301" s="203">
        <v>107433935.71029124</v>
      </c>
      <c r="J301" s="202">
        <v>24482076.289708763</v>
      </c>
    </row>
    <row r="302" spans="2:10" x14ac:dyDescent="0.25">
      <c r="B302" s="4">
        <v>2018</v>
      </c>
      <c r="C302" s="4" t="s">
        <v>157</v>
      </c>
      <c r="D302" s="1" t="s">
        <v>133</v>
      </c>
      <c r="E302" s="202">
        <v>39166234</v>
      </c>
      <c r="F302" s="203">
        <v>30642360.149352234</v>
      </c>
      <c r="G302" s="204">
        <v>1.2781728890693154</v>
      </c>
      <c r="I302" s="203">
        <v>30642360.14935223</v>
      </c>
      <c r="J302" s="202">
        <v>8523873.8506477699</v>
      </c>
    </row>
    <row r="303" spans="2:10" x14ac:dyDescent="0.25">
      <c r="B303" s="4">
        <v>2018</v>
      </c>
      <c r="C303" s="4" t="s">
        <v>157</v>
      </c>
      <c r="D303" s="1" t="s">
        <v>134</v>
      </c>
      <c r="E303" s="202">
        <v>241151987</v>
      </c>
      <c r="F303" s="203">
        <v>212240164.81886032</v>
      </c>
      <c r="G303" s="204">
        <v>1.1362222000054274</v>
      </c>
      <c r="I303" s="203">
        <v>212240164.81886035</v>
      </c>
      <c r="J303" s="202">
        <v>28911822.181139648</v>
      </c>
    </row>
    <row r="304" spans="2:10" x14ac:dyDescent="0.25">
      <c r="B304" s="4">
        <v>2018</v>
      </c>
      <c r="C304" s="4" t="s">
        <v>157</v>
      </c>
      <c r="D304" s="1" t="s">
        <v>135</v>
      </c>
      <c r="E304" s="202">
        <v>112863512</v>
      </c>
      <c r="F304" s="203">
        <v>93558943.86247015</v>
      </c>
      <c r="G304" s="204">
        <v>1.2063358920116414</v>
      </c>
      <c r="I304" s="203">
        <v>93558943.86247015</v>
      </c>
      <c r="J304" s="202">
        <v>19304568.13752985</v>
      </c>
    </row>
    <row r="305" spans="2:10" x14ac:dyDescent="0.25">
      <c r="B305" s="4">
        <v>2018</v>
      </c>
      <c r="C305" s="4" t="s">
        <v>157</v>
      </c>
      <c r="D305" s="1" t="s">
        <v>137</v>
      </c>
      <c r="E305" s="202">
        <v>56435390</v>
      </c>
      <c r="F305" s="203">
        <v>35878719.054828443</v>
      </c>
      <c r="G305" s="204">
        <v>1.5729488534347524</v>
      </c>
      <c r="I305" s="203">
        <v>35878719.054828443</v>
      </c>
      <c r="J305" s="202">
        <v>20556670.945171557</v>
      </c>
    </row>
    <row r="306" spans="2:10" x14ac:dyDescent="0.25">
      <c r="B306" s="4">
        <v>2018</v>
      </c>
      <c r="C306" s="4" t="s">
        <v>157</v>
      </c>
      <c r="D306" s="1" t="s">
        <v>252</v>
      </c>
      <c r="E306" s="202">
        <v>181913111</v>
      </c>
      <c r="F306" s="203">
        <v>112704652.4364524</v>
      </c>
      <c r="G306" s="204">
        <v>1.6140692248935351</v>
      </c>
      <c r="I306" s="203">
        <v>112704652.43645242</v>
      </c>
      <c r="J306" s="202">
        <v>69208458.563547581</v>
      </c>
    </row>
    <row r="307" spans="2:10" x14ac:dyDescent="0.25">
      <c r="B307" s="5">
        <v>2018</v>
      </c>
      <c r="C307" s="5" t="s">
        <v>157</v>
      </c>
      <c r="D307" s="5" t="s">
        <v>430</v>
      </c>
      <c r="E307" s="205">
        <v>2475397166</v>
      </c>
      <c r="F307" s="205">
        <v>2181633356.5340323</v>
      </c>
      <c r="G307" s="206">
        <v>1.1346531526877051</v>
      </c>
      <c r="I307" s="205">
        <v>2181633356.5340323</v>
      </c>
      <c r="J307" s="205">
        <v>293763809.46596789</v>
      </c>
    </row>
    <row r="308" spans="2:10" x14ac:dyDescent="0.25">
      <c r="B308" s="4">
        <v>2018</v>
      </c>
      <c r="C308" s="4" t="s">
        <v>158</v>
      </c>
      <c r="D308" s="1" t="s">
        <v>123</v>
      </c>
      <c r="E308" s="202">
        <v>32930226</v>
      </c>
      <c r="F308" s="203">
        <v>25556519.999999996</v>
      </c>
      <c r="G308" s="204">
        <v>1.2885254330401794</v>
      </c>
      <c r="I308" s="203">
        <v>25556519.999999996</v>
      </c>
      <c r="J308" s="202">
        <v>7373706.0000000037</v>
      </c>
    </row>
    <row r="309" spans="2:10" x14ac:dyDescent="0.25">
      <c r="B309" s="4">
        <v>2018</v>
      </c>
      <c r="C309" s="4" t="s">
        <v>158</v>
      </c>
      <c r="D309" s="1" t="s">
        <v>124</v>
      </c>
      <c r="E309" s="202">
        <v>15983937</v>
      </c>
      <c r="F309" s="203">
        <v>39479725.999065444</v>
      </c>
      <c r="G309" s="204">
        <v>0.4048644359988306</v>
      </c>
      <c r="I309" s="203">
        <v>39479725.999065444</v>
      </c>
      <c r="J309" s="202">
        <v>-23495788.999065444</v>
      </c>
    </row>
    <row r="310" spans="2:10" x14ac:dyDescent="0.25">
      <c r="B310" s="4">
        <v>2018</v>
      </c>
      <c r="C310" s="4" t="s">
        <v>158</v>
      </c>
      <c r="D310" s="1" t="s">
        <v>125</v>
      </c>
      <c r="E310" s="202">
        <v>359110300</v>
      </c>
      <c r="F310" s="203">
        <v>392903924.28858149</v>
      </c>
      <c r="G310" s="204">
        <v>0.91399010750587306</v>
      </c>
      <c r="I310" s="203">
        <v>392903924.28858149</v>
      </c>
      <c r="J310" s="202">
        <v>-33793624.288581491</v>
      </c>
    </row>
    <row r="311" spans="2:10" x14ac:dyDescent="0.25">
      <c r="B311" s="4">
        <v>2018</v>
      </c>
      <c r="C311" s="4" t="s">
        <v>158</v>
      </c>
      <c r="D311" s="1" t="s">
        <v>128</v>
      </c>
      <c r="E311" s="202">
        <v>69684122</v>
      </c>
      <c r="F311" s="203">
        <v>69194984.522290215</v>
      </c>
      <c r="G311" s="204">
        <v>1.0070689730055828</v>
      </c>
      <c r="I311" s="203">
        <v>69194984.522290215</v>
      </c>
      <c r="J311" s="202">
        <v>489137.4777097851</v>
      </c>
    </row>
    <row r="312" spans="2:10" x14ac:dyDescent="0.25">
      <c r="B312" s="4">
        <v>2018</v>
      </c>
      <c r="C312" s="4" t="s">
        <v>158</v>
      </c>
      <c r="D312" s="1" t="s">
        <v>129</v>
      </c>
      <c r="E312" s="202">
        <v>275604407</v>
      </c>
      <c r="F312" s="203">
        <v>313646825.42275995</v>
      </c>
      <c r="G312" s="204">
        <v>0.87870937838607766</v>
      </c>
      <c r="I312" s="203">
        <v>313646825.42275995</v>
      </c>
      <c r="J312" s="202">
        <v>-38042418.42275995</v>
      </c>
    </row>
    <row r="313" spans="2:10" x14ac:dyDescent="0.25">
      <c r="B313" s="4">
        <v>2018</v>
      </c>
      <c r="C313" s="4" t="s">
        <v>158</v>
      </c>
      <c r="D313" s="1" t="s">
        <v>130</v>
      </c>
      <c r="E313" s="202">
        <v>101548341</v>
      </c>
      <c r="F313" s="203">
        <v>93813725.398228988</v>
      </c>
      <c r="G313" s="204">
        <v>1.0824465244178121</v>
      </c>
      <c r="I313" s="203">
        <v>93813725.398228988</v>
      </c>
      <c r="J313" s="202">
        <v>7734615.6017710119</v>
      </c>
    </row>
    <row r="314" spans="2:10" x14ac:dyDescent="0.25">
      <c r="B314" s="4">
        <v>2018</v>
      </c>
      <c r="C314" s="4" t="s">
        <v>158</v>
      </c>
      <c r="D314" s="1" t="s">
        <v>131</v>
      </c>
      <c r="E314" s="202">
        <v>403267253</v>
      </c>
      <c r="F314" s="203">
        <v>397880646.25234169</v>
      </c>
      <c r="G314" s="204">
        <v>1.0135382477091939</v>
      </c>
      <c r="I314" s="203">
        <v>397880646.25234169</v>
      </c>
      <c r="J314" s="202">
        <v>5386606.7476583123</v>
      </c>
    </row>
    <row r="315" spans="2:10" x14ac:dyDescent="0.25">
      <c r="B315" s="4">
        <v>2018</v>
      </c>
      <c r="C315" s="4" t="s">
        <v>158</v>
      </c>
      <c r="D315" s="1" t="s">
        <v>132</v>
      </c>
      <c r="E315" s="202">
        <v>141267533</v>
      </c>
      <c r="F315" s="203">
        <v>142096066.7405729</v>
      </c>
      <c r="G315" s="204">
        <v>0.99416920003784781</v>
      </c>
      <c r="I315" s="203">
        <v>142096066.7405729</v>
      </c>
      <c r="J315" s="202">
        <v>-828533.74057289958</v>
      </c>
    </row>
    <row r="316" spans="2:10" x14ac:dyDescent="0.25">
      <c r="B316" s="4">
        <v>2018</v>
      </c>
      <c r="C316" s="4" t="s">
        <v>158</v>
      </c>
      <c r="D316" s="1" t="s">
        <v>127</v>
      </c>
      <c r="E316" s="202">
        <v>231552354</v>
      </c>
      <c r="F316" s="203">
        <v>196587428.80071902</v>
      </c>
      <c r="G316" s="204">
        <v>1.1778594155922604</v>
      </c>
      <c r="I316" s="203">
        <v>196587428.80071902</v>
      </c>
      <c r="J316" s="202">
        <v>34964925.199280977</v>
      </c>
    </row>
    <row r="317" spans="2:10" x14ac:dyDescent="0.25">
      <c r="B317" s="4">
        <v>2018</v>
      </c>
      <c r="C317" s="4" t="s">
        <v>158</v>
      </c>
      <c r="D317" s="1" t="s">
        <v>126</v>
      </c>
      <c r="E317" s="202">
        <v>137251244</v>
      </c>
      <c r="F317" s="203">
        <v>111735932.8663666</v>
      </c>
      <c r="G317" s="204">
        <v>1.2283536770946288</v>
      </c>
      <c r="I317" s="203">
        <v>111735932.86636661</v>
      </c>
      <c r="J317" s="202">
        <v>25515311.13363339</v>
      </c>
    </row>
    <row r="318" spans="2:10" x14ac:dyDescent="0.25">
      <c r="B318" s="4">
        <v>2018</v>
      </c>
      <c r="C318" s="4" t="s">
        <v>158</v>
      </c>
      <c r="D318" s="1" t="s">
        <v>133</v>
      </c>
      <c r="E318" s="202">
        <v>39224807</v>
      </c>
      <c r="F318" s="203">
        <v>31862699.132403079</v>
      </c>
      <c r="G318" s="204">
        <v>1.2310572571709706</v>
      </c>
      <c r="I318" s="203">
        <v>31862699.132403079</v>
      </c>
      <c r="J318" s="202">
        <v>7362107.8675969206</v>
      </c>
    </row>
    <row r="319" spans="2:10" x14ac:dyDescent="0.25">
      <c r="B319" s="4">
        <v>2018</v>
      </c>
      <c r="C319" s="4" t="s">
        <v>158</v>
      </c>
      <c r="D319" s="1" t="s">
        <v>134</v>
      </c>
      <c r="E319" s="202">
        <v>232736474</v>
      </c>
      <c r="F319" s="203">
        <v>221161572.40447614</v>
      </c>
      <c r="G319" s="204">
        <v>1.0523368570302749</v>
      </c>
      <c r="I319" s="203">
        <v>221161572.40447611</v>
      </c>
      <c r="J319" s="202">
        <v>11574901.595523894</v>
      </c>
    </row>
    <row r="320" spans="2:10" x14ac:dyDescent="0.25">
      <c r="B320" s="4">
        <v>2018</v>
      </c>
      <c r="C320" s="4" t="s">
        <v>158</v>
      </c>
      <c r="D320" s="1" t="s">
        <v>135</v>
      </c>
      <c r="E320" s="202">
        <v>97331978</v>
      </c>
      <c r="F320" s="203">
        <v>97491339.59013842</v>
      </c>
      <c r="G320" s="204">
        <v>0.99836537695749805</v>
      </c>
      <c r="I320" s="203">
        <v>97491339.59013842</v>
      </c>
      <c r="J320" s="202">
        <v>-159361.59013842046</v>
      </c>
    </row>
    <row r="321" spans="2:10" x14ac:dyDescent="0.25">
      <c r="B321" s="4">
        <v>2018</v>
      </c>
      <c r="C321" s="4" t="s">
        <v>158</v>
      </c>
      <c r="D321" s="1" t="s">
        <v>137</v>
      </c>
      <c r="E321" s="202">
        <v>61720728</v>
      </c>
      <c r="F321" s="203">
        <v>37302447.868387759</v>
      </c>
      <c r="G321" s="204">
        <v>1.6546026206581927</v>
      </c>
      <c r="I321" s="203">
        <v>37302447.868387759</v>
      </c>
      <c r="J321" s="202">
        <v>24418280.131612241</v>
      </c>
    </row>
    <row r="322" spans="2:10" x14ac:dyDescent="0.25">
      <c r="B322" s="4">
        <v>2018</v>
      </c>
      <c r="C322" s="4" t="s">
        <v>158</v>
      </c>
      <c r="D322" s="1" t="s">
        <v>252</v>
      </c>
      <c r="E322" s="202">
        <v>177050220</v>
      </c>
      <c r="F322" s="203">
        <v>177406338.22299713</v>
      </c>
      <c r="G322" s="204">
        <v>0.99799264092498496</v>
      </c>
      <c r="I322" s="203">
        <v>177406338.22299713</v>
      </c>
      <c r="J322" s="202">
        <v>-356118.22299712896</v>
      </c>
    </row>
    <row r="323" spans="2:10" x14ac:dyDescent="0.25">
      <c r="B323" s="5">
        <v>2018</v>
      </c>
      <c r="C323" s="5" t="s">
        <v>158</v>
      </c>
      <c r="D323" s="5" t="s">
        <v>430</v>
      </c>
      <c r="E323" s="205">
        <v>2376263924</v>
      </c>
      <c r="F323" s="205">
        <v>2348120177.5093293</v>
      </c>
      <c r="G323" s="206">
        <v>1.0119856499510698</v>
      </c>
      <c r="I323" s="205">
        <v>2348120177.5093293</v>
      </c>
      <c r="J323" s="205">
        <v>28143746.490671199</v>
      </c>
    </row>
    <row r="324" spans="2:10" x14ac:dyDescent="0.25">
      <c r="B324" s="4">
        <v>2018</v>
      </c>
      <c r="C324" s="4" t="s">
        <v>165</v>
      </c>
      <c r="D324" s="1" t="s">
        <v>123</v>
      </c>
      <c r="E324" s="202">
        <v>24616732</v>
      </c>
      <c r="F324" s="203">
        <v>35518947.115384609</v>
      </c>
      <c r="G324" s="204">
        <v>0.69305916980116666</v>
      </c>
      <c r="I324" s="203">
        <v>35518947.115384609</v>
      </c>
      <c r="J324" s="202">
        <v>-10902215.115384609</v>
      </c>
    </row>
    <row r="325" spans="2:10" x14ac:dyDescent="0.25">
      <c r="B325" s="4">
        <v>2018</v>
      </c>
      <c r="C325" s="4" t="s">
        <v>165</v>
      </c>
      <c r="D325" s="1" t="s">
        <v>124</v>
      </c>
      <c r="E325" s="202">
        <v>67428007</v>
      </c>
      <c r="F325" s="203">
        <v>39479725.999065444</v>
      </c>
      <c r="G325" s="204">
        <v>1.7079147662168714</v>
      </c>
      <c r="I325" s="203">
        <v>39479725.999065444</v>
      </c>
      <c r="J325" s="202">
        <v>27948281.000934556</v>
      </c>
    </row>
    <row r="326" spans="2:10" x14ac:dyDescent="0.25">
      <c r="B326" s="4">
        <v>2018</v>
      </c>
      <c r="C326" s="4" t="s">
        <v>165</v>
      </c>
      <c r="D326" s="1" t="s">
        <v>125</v>
      </c>
      <c r="E326" s="202">
        <v>380617024</v>
      </c>
      <c r="F326" s="203">
        <v>392903924.28858149</v>
      </c>
      <c r="G326" s="204">
        <v>0.96872797768352914</v>
      </c>
      <c r="I326" s="203">
        <v>392903924.28858149</v>
      </c>
      <c r="J326" s="202">
        <v>-12286900.288581491</v>
      </c>
    </row>
    <row r="327" spans="2:10" x14ac:dyDescent="0.25">
      <c r="B327" s="4">
        <v>2018</v>
      </c>
      <c r="C327" s="4" t="s">
        <v>165</v>
      </c>
      <c r="D327" s="1" t="s">
        <v>128</v>
      </c>
      <c r="E327" s="202">
        <v>69326434</v>
      </c>
      <c r="F327" s="203">
        <v>69194984.522290215</v>
      </c>
      <c r="G327" s="204">
        <v>1.0018996966126561</v>
      </c>
      <c r="I327" s="203">
        <v>69194984.522290215</v>
      </c>
      <c r="J327" s="202">
        <v>131449.4777097851</v>
      </c>
    </row>
    <row r="328" spans="2:10" x14ac:dyDescent="0.25">
      <c r="B328" s="4">
        <v>2018</v>
      </c>
      <c r="C328" s="4" t="s">
        <v>165</v>
      </c>
      <c r="D328" s="1" t="s">
        <v>129</v>
      </c>
      <c r="E328" s="202">
        <v>313745881</v>
      </c>
      <c r="F328" s="203">
        <v>313646825.42275995</v>
      </c>
      <c r="G328" s="204">
        <v>1.0003158188421213</v>
      </c>
      <c r="I328" s="203">
        <v>313646825.42275995</v>
      </c>
      <c r="J328" s="202">
        <v>99055.577240049839</v>
      </c>
    </row>
    <row r="329" spans="2:10" x14ac:dyDescent="0.25">
      <c r="B329" s="4">
        <v>2018</v>
      </c>
      <c r="C329" s="4" t="s">
        <v>165</v>
      </c>
      <c r="D329" s="1" t="s">
        <v>130</v>
      </c>
      <c r="E329" s="202">
        <v>103461616</v>
      </c>
      <c r="F329" s="203">
        <v>93813725.398228988</v>
      </c>
      <c r="G329" s="204">
        <v>1.1028409282417553</v>
      </c>
      <c r="I329" s="203">
        <v>93813725.398228988</v>
      </c>
      <c r="J329" s="202">
        <v>9647890.6017710119</v>
      </c>
    </row>
    <row r="330" spans="2:10" x14ac:dyDescent="0.25">
      <c r="B330" s="4">
        <v>2018</v>
      </c>
      <c r="C330" s="4" t="s">
        <v>165</v>
      </c>
      <c r="D330" s="1" t="s">
        <v>131</v>
      </c>
      <c r="E330" s="202">
        <v>391573809</v>
      </c>
      <c r="F330" s="203">
        <v>397880646.25234169</v>
      </c>
      <c r="G330" s="204">
        <v>0.98414892176398594</v>
      </c>
      <c r="I330" s="203">
        <v>397880646.25234169</v>
      </c>
      <c r="J330" s="202">
        <v>-6306837.2523416877</v>
      </c>
    </row>
    <row r="331" spans="2:10" x14ac:dyDescent="0.25">
      <c r="B331" s="4">
        <v>2018</v>
      </c>
      <c r="C331" s="4" t="s">
        <v>165</v>
      </c>
      <c r="D331" s="1" t="s">
        <v>132</v>
      </c>
      <c r="E331" s="202">
        <v>150406681</v>
      </c>
      <c r="F331" s="203">
        <v>142096066.7405729</v>
      </c>
      <c r="G331" s="204">
        <v>1.0584858852891399</v>
      </c>
      <c r="I331" s="203">
        <v>142096066.7405729</v>
      </c>
      <c r="J331" s="202">
        <v>8310614.2594271004</v>
      </c>
    </row>
    <row r="332" spans="2:10" x14ac:dyDescent="0.25">
      <c r="B332" s="4">
        <v>2018</v>
      </c>
      <c r="C332" s="4" t="s">
        <v>165</v>
      </c>
      <c r="D332" s="1" t="s">
        <v>127</v>
      </c>
      <c r="E332" s="202">
        <v>195500896</v>
      </c>
      <c r="F332" s="203">
        <v>196587428.80071902</v>
      </c>
      <c r="G332" s="204">
        <v>0.99447303010498989</v>
      </c>
      <c r="I332" s="203">
        <v>196587428.80071902</v>
      </c>
      <c r="J332" s="202">
        <v>-1086532.8007190228</v>
      </c>
    </row>
    <row r="333" spans="2:10" x14ac:dyDescent="0.25">
      <c r="B333" s="4">
        <v>2018</v>
      </c>
      <c r="C333" s="4" t="s">
        <v>165</v>
      </c>
      <c r="D333" s="1" t="s">
        <v>126</v>
      </c>
      <c r="E333" s="202">
        <v>142886049</v>
      </c>
      <c r="F333" s="203">
        <v>111735932.8663666</v>
      </c>
      <c r="G333" s="204">
        <v>1.2787833361617715</v>
      </c>
      <c r="I333" s="203">
        <v>111735932.86636661</v>
      </c>
      <c r="J333" s="202">
        <v>31150116.13363339</v>
      </c>
    </row>
    <row r="334" spans="2:10" x14ac:dyDescent="0.25">
      <c r="B334" s="4">
        <v>2018</v>
      </c>
      <c r="C334" s="4" t="s">
        <v>165</v>
      </c>
      <c r="D334" s="1" t="s">
        <v>133</v>
      </c>
      <c r="E334" s="202">
        <v>39511438</v>
      </c>
      <c r="F334" s="203">
        <v>31862699.132403079</v>
      </c>
      <c r="G334" s="204">
        <v>1.2400530738407676</v>
      </c>
      <c r="I334" s="203">
        <v>31862699.132403079</v>
      </c>
      <c r="J334" s="202">
        <v>7648738.8675969206</v>
      </c>
    </row>
    <row r="335" spans="2:10" x14ac:dyDescent="0.25">
      <c r="B335" s="4">
        <v>2018</v>
      </c>
      <c r="C335" s="4" t="s">
        <v>165</v>
      </c>
      <c r="D335" s="1" t="s">
        <v>134</v>
      </c>
      <c r="E335" s="202">
        <v>234903426</v>
      </c>
      <c r="F335" s="203">
        <v>221161572.40447614</v>
      </c>
      <c r="G335" s="204">
        <v>1.062134906376917</v>
      </c>
      <c r="I335" s="203">
        <v>221161572.40447611</v>
      </c>
      <c r="J335" s="202">
        <v>13741853.595523894</v>
      </c>
    </row>
    <row r="336" spans="2:10" x14ac:dyDescent="0.25">
      <c r="B336" s="4">
        <v>2018</v>
      </c>
      <c r="C336" s="4" t="s">
        <v>165</v>
      </c>
      <c r="D336" s="1" t="s">
        <v>135</v>
      </c>
      <c r="E336" s="202">
        <v>88553652</v>
      </c>
      <c r="F336" s="203">
        <v>97491339.59013842</v>
      </c>
      <c r="G336" s="204">
        <v>0.90832326617201908</v>
      </c>
      <c r="I336" s="203">
        <v>97491339.59013842</v>
      </c>
      <c r="J336" s="202">
        <v>-8937687.5901384205</v>
      </c>
    </row>
    <row r="337" spans="2:10" x14ac:dyDescent="0.25">
      <c r="B337" s="4">
        <v>2018</v>
      </c>
      <c r="C337" s="4" t="s">
        <v>165</v>
      </c>
      <c r="D337" s="1" t="s">
        <v>137</v>
      </c>
      <c r="E337" s="202">
        <v>61285111</v>
      </c>
      <c r="F337" s="203">
        <v>37302447.868387759</v>
      </c>
      <c r="G337" s="204">
        <v>1.6429246470963246</v>
      </c>
      <c r="I337" s="203">
        <v>37302447.868387759</v>
      </c>
      <c r="J337" s="202">
        <v>23982663.131612241</v>
      </c>
    </row>
    <row r="338" spans="2:10" x14ac:dyDescent="0.25">
      <c r="B338" s="4">
        <v>2018</v>
      </c>
      <c r="C338" s="4" t="s">
        <v>165</v>
      </c>
      <c r="D338" s="1" t="s">
        <v>252</v>
      </c>
      <c r="E338" s="202">
        <v>158055623</v>
      </c>
      <c r="F338" s="203">
        <v>177406338.22299713</v>
      </c>
      <c r="G338" s="204">
        <v>0.89092432989246662</v>
      </c>
      <c r="I338" s="203">
        <v>177406338.22299713</v>
      </c>
      <c r="J338" s="202">
        <v>-19350715.222997129</v>
      </c>
    </row>
    <row r="339" spans="2:10" x14ac:dyDescent="0.25">
      <c r="B339" s="5">
        <v>2018</v>
      </c>
      <c r="C339" s="5" t="s">
        <v>165</v>
      </c>
      <c r="D339" s="5" t="s">
        <v>430</v>
      </c>
      <c r="E339" s="205">
        <v>2421872379</v>
      </c>
      <c r="F339" s="205">
        <v>2358082604.6247134</v>
      </c>
      <c r="G339" s="206">
        <v>1.0270515435931638</v>
      </c>
      <c r="I339" s="205">
        <v>2358082604.6247134</v>
      </c>
      <c r="J339" s="205">
        <v>63789774.375286594</v>
      </c>
    </row>
    <row r="340" spans="2:10" x14ac:dyDescent="0.25">
      <c r="B340" s="4">
        <v>2018</v>
      </c>
      <c r="C340" s="4" t="s">
        <v>173</v>
      </c>
      <c r="D340" s="1" t="s">
        <v>123</v>
      </c>
      <c r="E340" s="202">
        <v>95286443</v>
      </c>
      <c r="F340" s="203">
        <v>55020336.799999997</v>
      </c>
      <c r="G340" s="204">
        <v>1.7318404165057748</v>
      </c>
      <c r="I340" s="203">
        <v>55020336.799999997</v>
      </c>
      <c r="J340" s="202">
        <v>40266106.200000003</v>
      </c>
    </row>
    <row r="341" spans="2:10" x14ac:dyDescent="0.25">
      <c r="B341" s="4">
        <v>2018</v>
      </c>
      <c r="C341" s="4" t="s">
        <v>173</v>
      </c>
      <c r="D341" s="1" t="s">
        <v>124</v>
      </c>
      <c r="E341" s="202">
        <v>35853359</v>
      </c>
      <c r="F341" s="203">
        <v>39479725.999065444</v>
      </c>
      <c r="G341" s="204">
        <v>0.90814609505771937</v>
      </c>
      <c r="I341" s="203">
        <v>39479725.999065444</v>
      </c>
      <c r="J341" s="202">
        <v>-3626366.9990654439</v>
      </c>
    </row>
    <row r="342" spans="2:10" x14ac:dyDescent="0.25">
      <c r="B342" s="4">
        <v>2018</v>
      </c>
      <c r="C342" s="4" t="s">
        <v>173</v>
      </c>
      <c r="D342" s="1" t="s">
        <v>125</v>
      </c>
      <c r="E342" s="202">
        <v>382246161</v>
      </c>
      <c r="F342" s="203">
        <v>408484171.01058441</v>
      </c>
      <c r="G342" s="204">
        <v>0.93576737638163088</v>
      </c>
      <c r="I342" s="203">
        <v>408484171.01058441</v>
      </c>
      <c r="J342" s="202">
        <v>-26238010.010584414</v>
      </c>
    </row>
    <row r="343" spans="2:10" x14ac:dyDescent="0.25">
      <c r="B343" s="4">
        <v>2018</v>
      </c>
      <c r="C343" s="4" t="s">
        <v>173</v>
      </c>
      <c r="D343" s="1" t="s">
        <v>128</v>
      </c>
      <c r="E343" s="202">
        <v>74475396</v>
      </c>
      <c r="F343" s="203">
        <v>71879730.285002083</v>
      </c>
      <c r="G343" s="204">
        <v>1.0361112333714406</v>
      </c>
      <c r="I343" s="203">
        <v>71879730.285002083</v>
      </c>
      <c r="J343" s="202">
        <v>2595665.7149979174</v>
      </c>
    </row>
    <row r="344" spans="2:10" x14ac:dyDescent="0.25">
      <c r="B344" s="4">
        <v>2018</v>
      </c>
      <c r="C344" s="4" t="s">
        <v>173</v>
      </c>
      <c r="D344" s="1" t="s">
        <v>129</v>
      </c>
      <c r="E344" s="202">
        <v>287668403</v>
      </c>
      <c r="F344" s="203">
        <v>325326310.61244309</v>
      </c>
      <c r="G344" s="204">
        <v>0.8842457360993945</v>
      </c>
      <c r="I344" s="203">
        <v>325326310.61244309</v>
      </c>
      <c r="J344" s="202">
        <v>-37657907.612443089</v>
      </c>
    </row>
    <row r="345" spans="2:10" x14ac:dyDescent="0.25">
      <c r="B345" s="4">
        <v>2018</v>
      </c>
      <c r="C345" s="4" t="s">
        <v>173</v>
      </c>
      <c r="D345" s="1" t="s">
        <v>130</v>
      </c>
      <c r="E345" s="202">
        <v>82702909</v>
      </c>
      <c r="F345" s="203">
        <v>96506891.096013904</v>
      </c>
      <c r="G345" s="204">
        <v>0.85696376767250293</v>
      </c>
      <c r="I345" s="203">
        <v>96506891.096013904</v>
      </c>
      <c r="J345" s="202">
        <v>-13803982.096013904</v>
      </c>
    </row>
    <row r="346" spans="2:10" x14ac:dyDescent="0.25">
      <c r="B346" s="4">
        <v>2018</v>
      </c>
      <c r="C346" s="4" t="s">
        <v>173</v>
      </c>
      <c r="D346" s="1" t="s">
        <v>131</v>
      </c>
      <c r="E346" s="202">
        <v>400923293</v>
      </c>
      <c r="F346" s="203">
        <v>413427203.70149112</v>
      </c>
      <c r="G346" s="204">
        <v>0.96975547184718069</v>
      </c>
      <c r="I346" s="203">
        <v>413427203.70149112</v>
      </c>
      <c r="J346" s="202">
        <v>-12503910.701491117</v>
      </c>
    </row>
    <row r="347" spans="2:10" x14ac:dyDescent="0.25">
      <c r="B347" s="4">
        <v>2018</v>
      </c>
      <c r="C347" s="4" t="s">
        <v>173</v>
      </c>
      <c r="D347" s="1" t="s">
        <v>132</v>
      </c>
      <c r="E347" s="202">
        <v>143479085</v>
      </c>
      <c r="F347" s="203">
        <v>147586207.8595221</v>
      </c>
      <c r="G347" s="204">
        <v>0.97217136398387971</v>
      </c>
      <c r="I347" s="203">
        <v>147586207.8595221</v>
      </c>
      <c r="J347" s="202">
        <v>-4107122.8595221043</v>
      </c>
    </row>
    <row r="348" spans="2:10" x14ac:dyDescent="0.25">
      <c r="B348" s="4">
        <v>2018</v>
      </c>
      <c r="C348" s="4" t="s">
        <v>173</v>
      </c>
      <c r="D348" s="1" t="s">
        <v>127</v>
      </c>
      <c r="E348" s="202">
        <v>195788640</v>
      </c>
      <c r="F348" s="203">
        <v>202268162.49140537</v>
      </c>
      <c r="G348" s="204">
        <v>0.96796568272735117</v>
      </c>
      <c r="I348" s="203">
        <v>202268162.49140537</v>
      </c>
      <c r="J348" s="202">
        <v>-6479522.4914053679</v>
      </c>
    </row>
    <row r="349" spans="2:10" x14ac:dyDescent="0.25">
      <c r="B349" s="4">
        <v>2018</v>
      </c>
      <c r="C349" s="4" t="s">
        <v>173</v>
      </c>
      <c r="D349" s="1" t="s">
        <v>126</v>
      </c>
      <c r="E349" s="202">
        <v>151664927</v>
      </c>
      <c r="F349" s="203">
        <v>116037930.02244195</v>
      </c>
      <c r="G349" s="204">
        <v>1.3070288910761139</v>
      </c>
      <c r="I349" s="203">
        <v>116037930.02244195</v>
      </c>
      <c r="J349" s="202">
        <v>35626996.977558047</v>
      </c>
    </row>
    <row r="350" spans="2:10" x14ac:dyDescent="0.25">
      <c r="B350" s="4">
        <v>2018</v>
      </c>
      <c r="C350" s="4" t="s">
        <v>173</v>
      </c>
      <c r="D350" s="1" t="s">
        <v>133</v>
      </c>
      <c r="E350" s="202">
        <v>40480608</v>
      </c>
      <c r="F350" s="203">
        <v>33083038.115453929</v>
      </c>
      <c r="G350" s="204">
        <v>1.2236061228333948</v>
      </c>
      <c r="I350" s="203">
        <v>33083038.115453932</v>
      </c>
      <c r="J350" s="202">
        <v>7397569.8845460676</v>
      </c>
    </row>
    <row r="351" spans="2:10" x14ac:dyDescent="0.25">
      <c r="B351" s="4">
        <v>2018</v>
      </c>
      <c r="C351" s="4" t="s">
        <v>173</v>
      </c>
      <c r="D351" s="1" t="s">
        <v>134</v>
      </c>
      <c r="E351" s="202">
        <v>238050035</v>
      </c>
      <c r="F351" s="203">
        <v>230082979.99009198</v>
      </c>
      <c r="G351" s="204">
        <v>1.0346268768348319</v>
      </c>
      <c r="I351" s="203">
        <v>230082979.99009198</v>
      </c>
      <c r="J351" s="202">
        <v>7967055.0099080205</v>
      </c>
    </row>
    <row r="352" spans="2:10" x14ac:dyDescent="0.25">
      <c r="B352" s="4">
        <v>2018</v>
      </c>
      <c r="C352" s="4" t="s">
        <v>173</v>
      </c>
      <c r="D352" s="1" t="s">
        <v>135</v>
      </c>
      <c r="E352" s="202">
        <v>94564873</v>
      </c>
      <c r="F352" s="203">
        <v>101423735.31780672</v>
      </c>
      <c r="G352" s="204">
        <v>0.93237418937179961</v>
      </c>
      <c r="I352" s="203">
        <v>101423735.31780672</v>
      </c>
      <c r="J352" s="202">
        <v>-6858862.3178067207</v>
      </c>
    </row>
    <row r="353" spans="2:10" x14ac:dyDescent="0.25">
      <c r="B353" s="4">
        <v>2018</v>
      </c>
      <c r="C353" s="4" t="s">
        <v>173</v>
      </c>
      <c r="D353" s="1" t="s">
        <v>300</v>
      </c>
      <c r="E353" s="202">
        <v>35404379</v>
      </c>
      <c r="F353" s="203">
        <v>24000000</v>
      </c>
      <c r="G353" s="204">
        <v>1.4751824583333333</v>
      </c>
      <c r="I353" s="203">
        <v>24000000</v>
      </c>
      <c r="J353" s="202">
        <v>11404379</v>
      </c>
    </row>
    <row r="354" spans="2:10" x14ac:dyDescent="0.25">
      <c r="B354" s="4">
        <v>2018</v>
      </c>
      <c r="C354" s="4" t="s">
        <v>173</v>
      </c>
      <c r="D354" s="1" t="s">
        <v>137</v>
      </c>
      <c r="E354" s="202">
        <v>61005124</v>
      </c>
      <c r="F354" s="203">
        <v>38726176.68194709</v>
      </c>
      <c r="G354" s="204">
        <v>1.5752942641621177</v>
      </c>
      <c r="I354" s="203">
        <v>38726176.68194709</v>
      </c>
      <c r="J354" s="202">
        <v>22278947.31805291</v>
      </c>
    </row>
    <row r="355" spans="2:10" x14ac:dyDescent="0.25">
      <c r="B355" s="4">
        <v>2018</v>
      </c>
      <c r="C355" s="4" t="s">
        <v>173</v>
      </c>
      <c r="D355" s="1" t="s">
        <v>252</v>
      </c>
      <c r="E355" s="202">
        <v>167637333</v>
      </c>
      <c r="F355" s="203">
        <v>182108024.0095419</v>
      </c>
      <c r="G355" s="204">
        <v>0.92053787257181108</v>
      </c>
      <c r="I355" s="203">
        <v>182108024.0095419</v>
      </c>
      <c r="J355" s="202">
        <v>-14470691.009541899</v>
      </c>
    </row>
    <row r="356" spans="2:10" x14ac:dyDescent="0.25">
      <c r="B356" s="5">
        <v>2018</v>
      </c>
      <c r="C356" s="5" t="s">
        <v>173</v>
      </c>
      <c r="D356" s="5" t="s">
        <v>430</v>
      </c>
      <c r="E356" s="205">
        <v>2487230968</v>
      </c>
      <c r="F356" s="205">
        <v>2485440623.9928112</v>
      </c>
      <c r="G356" s="206">
        <v>1.0007203326403802</v>
      </c>
      <c r="I356" s="205">
        <v>2485440623.9928112</v>
      </c>
      <c r="J356" s="205">
        <v>1790344.007188905</v>
      </c>
    </row>
    <row r="357" spans="2:10" x14ac:dyDescent="0.25">
      <c r="B357" s="4">
        <v>2018</v>
      </c>
      <c r="C357" s="4" t="s">
        <v>175</v>
      </c>
      <c r="D357" s="1" t="s">
        <v>123</v>
      </c>
      <c r="E357" s="202">
        <v>25413230</v>
      </c>
      <c r="F357" s="203">
        <v>42073204.799999997</v>
      </c>
      <c r="G357" s="204">
        <v>0.60402410799949335</v>
      </c>
      <c r="I357" s="203">
        <v>42073204.799999997</v>
      </c>
      <c r="J357" s="202">
        <v>-16659974.799999997</v>
      </c>
    </row>
    <row r="358" spans="2:10" x14ac:dyDescent="0.25">
      <c r="B358" s="4">
        <v>2018</v>
      </c>
      <c r="C358" s="4" t="s">
        <v>175</v>
      </c>
      <c r="D358" s="1" t="s">
        <v>124</v>
      </c>
      <c r="E358" s="202">
        <v>30311844</v>
      </c>
      <c r="F358" s="203">
        <v>39479725.999065444</v>
      </c>
      <c r="G358" s="204">
        <v>0.76778253224750181</v>
      </c>
      <c r="I358" s="203">
        <v>39479725.999065444</v>
      </c>
      <c r="J358" s="202">
        <v>-9167881.9990654439</v>
      </c>
    </row>
    <row r="359" spans="2:10" x14ac:dyDescent="0.25">
      <c r="B359" s="4">
        <v>2018</v>
      </c>
      <c r="C359" s="4" t="s">
        <v>175</v>
      </c>
      <c r="D359" s="1" t="s">
        <v>125</v>
      </c>
      <c r="E359" s="202">
        <v>335245735</v>
      </c>
      <c r="F359" s="203">
        <v>377323677.56657863</v>
      </c>
      <c r="G359" s="204">
        <v>0.8884831642743809</v>
      </c>
      <c r="I359" s="203">
        <v>377323677.56657863</v>
      </c>
      <c r="J359" s="202">
        <v>-42077942.566578627</v>
      </c>
    </row>
    <row r="360" spans="2:10" x14ac:dyDescent="0.25">
      <c r="B360" s="4">
        <v>2018</v>
      </c>
      <c r="C360" s="4" t="s">
        <v>175</v>
      </c>
      <c r="D360" s="1" t="s">
        <v>128</v>
      </c>
      <c r="E360" s="202">
        <v>67975851</v>
      </c>
      <c r="F360" s="203">
        <v>66510238.759578355</v>
      </c>
      <c r="G360" s="204">
        <v>1.022035889026343</v>
      </c>
      <c r="I360" s="203">
        <v>66510238.759578355</v>
      </c>
      <c r="J360" s="202">
        <v>1465612.2404216453</v>
      </c>
    </row>
    <row r="361" spans="2:10" x14ac:dyDescent="0.25">
      <c r="B361" s="4">
        <v>2018</v>
      </c>
      <c r="C361" s="4" t="s">
        <v>175</v>
      </c>
      <c r="D361" s="1" t="s">
        <v>129</v>
      </c>
      <c r="E361" s="202">
        <v>303900938</v>
      </c>
      <c r="F361" s="203">
        <v>301967340.23307675</v>
      </c>
      <c r="G361" s="204">
        <v>1.0064033341004057</v>
      </c>
      <c r="I361" s="203">
        <v>301967340.23307675</v>
      </c>
      <c r="J361" s="202">
        <v>1933597.7669232488</v>
      </c>
    </row>
    <row r="362" spans="2:10" x14ac:dyDescent="0.25">
      <c r="B362" s="4">
        <v>2018</v>
      </c>
      <c r="C362" s="4" t="s">
        <v>175</v>
      </c>
      <c r="D362" s="1" t="s">
        <v>130</v>
      </c>
      <c r="E362" s="202">
        <v>96331770</v>
      </c>
      <c r="F362" s="203">
        <v>91120559.700444072</v>
      </c>
      <c r="G362" s="204">
        <v>1.0571902797424382</v>
      </c>
      <c r="I362" s="203">
        <v>91120559.700444072</v>
      </c>
      <c r="J362" s="202">
        <v>5211210.2995559275</v>
      </c>
    </row>
    <row r="363" spans="2:10" x14ac:dyDescent="0.25">
      <c r="B363" s="4">
        <v>2018</v>
      </c>
      <c r="C363" s="4" t="s">
        <v>175</v>
      </c>
      <c r="D363" s="1" t="s">
        <v>131</v>
      </c>
      <c r="E363" s="202">
        <v>351385228</v>
      </c>
      <c r="F363" s="203">
        <v>382334088.80319232</v>
      </c>
      <c r="G363" s="204">
        <v>0.91905283439394458</v>
      </c>
      <c r="I363" s="203">
        <v>382334088.80319232</v>
      </c>
      <c r="J363" s="202">
        <v>-30948860.803192317</v>
      </c>
    </row>
    <row r="364" spans="2:10" x14ac:dyDescent="0.25">
      <c r="B364" s="4">
        <v>2018</v>
      </c>
      <c r="C364" s="4" t="s">
        <v>175</v>
      </c>
      <c r="D364" s="1" t="s">
        <v>132</v>
      </c>
      <c r="E364" s="202">
        <v>157269201</v>
      </c>
      <c r="F364" s="203">
        <v>136605925.62162369</v>
      </c>
      <c r="G364" s="204">
        <v>1.1512619257499139</v>
      </c>
      <c r="I364" s="203">
        <v>136605925.62162369</v>
      </c>
      <c r="J364" s="202">
        <v>20663275.378376305</v>
      </c>
    </row>
    <row r="365" spans="2:10" x14ac:dyDescent="0.25">
      <c r="B365" s="4">
        <v>2018</v>
      </c>
      <c r="C365" s="4" t="s">
        <v>175</v>
      </c>
      <c r="D365" s="1" t="s">
        <v>127</v>
      </c>
      <c r="E365" s="202">
        <v>183007321</v>
      </c>
      <c r="F365" s="203">
        <v>190906695.11003271</v>
      </c>
      <c r="G365" s="204">
        <v>0.95862180681782927</v>
      </c>
      <c r="I365" s="203">
        <v>190906695.11003271</v>
      </c>
      <c r="J365" s="202">
        <v>-7899374.1100327075</v>
      </c>
    </row>
    <row r="366" spans="2:10" x14ac:dyDescent="0.25">
      <c r="B366" s="4">
        <v>2018</v>
      </c>
      <c r="C366" s="4" t="s">
        <v>175</v>
      </c>
      <c r="D366" s="1" t="s">
        <v>126</v>
      </c>
      <c r="E366" s="202">
        <v>116283463</v>
      </c>
      <c r="F366" s="203">
        <v>107433935.71029124</v>
      </c>
      <c r="G366" s="204">
        <v>1.0823718058097824</v>
      </c>
      <c r="I366" s="203">
        <v>107433935.71029124</v>
      </c>
      <c r="J366" s="202">
        <v>8849527.2897087634</v>
      </c>
    </row>
    <row r="367" spans="2:10" x14ac:dyDescent="0.25">
      <c r="B367" s="4">
        <v>2018</v>
      </c>
      <c r="C367" s="4" t="s">
        <v>175</v>
      </c>
      <c r="D367" s="1" t="s">
        <v>133</v>
      </c>
      <c r="E367" s="202">
        <v>33406669</v>
      </c>
      <c r="F367" s="203">
        <v>30642360.149352234</v>
      </c>
      <c r="G367" s="204">
        <v>1.090212008382331</v>
      </c>
      <c r="I367" s="203">
        <v>30642360.14935223</v>
      </c>
      <c r="J367" s="202">
        <v>2764308.8506477699</v>
      </c>
    </row>
    <row r="368" spans="2:10" x14ac:dyDescent="0.25">
      <c r="B368" s="4">
        <v>2018</v>
      </c>
      <c r="C368" s="4" t="s">
        <v>175</v>
      </c>
      <c r="D368" s="1" t="s">
        <v>134</v>
      </c>
      <c r="E368" s="202">
        <v>217839280</v>
      </c>
      <c r="F368" s="203">
        <v>212240164.81886032</v>
      </c>
      <c r="G368" s="204">
        <v>1.0263810348334319</v>
      </c>
      <c r="I368" s="203">
        <v>212240164.81886035</v>
      </c>
      <c r="J368" s="202">
        <v>5599115.181139648</v>
      </c>
    </row>
    <row r="369" spans="2:10" x14ac:dyDescent="0.25">
      <c r="B369" s="4">
        <v>2018</v>
      </c>
      <c r="C369" s="4" t="s">
        <v>175</v>
      </c>
      <c r="D369" s="1" t="s">
        <v>135</v>
      </c>
      <c r="E369" s="202">
        <v>81938060</v>
      </c>
      <c r="F369" s="203">
        <v>93558943.86247015</v>
      </c>
      <c r="G369" s="204">
        <v>0.87579077549707463</v>
      </c>
      <c r="I369" s="203">
        <v>93558943.86247015</v>
      </c>
      <c r="J369" s="202">
        <v>-11620883.86247015</v>
      </c>
    </row>
    <row r="370" spans="2:10" x14ac:dyDescent="0.25">
      <c r="B370" s="4">
        <v>2018</v>
      </c>
      <c r="C370" s="4" t="s">
        <v>175</v>
      </c>
      <c r="D370" s="1" t="s">
        <v>300</v>
      </c>
      <c r="E370" s="202">
        <v>101608905</v>
      </c>
      <c r="F370" s="203">
        <v>51000000</v>
      </c>
      <c r="G370" s="204">
        <v>1.9923314705882353</v>
      </c>
      <c r="I370" s="203">
        <v>51000000</v>
      </c>
      <c r="J370" s="202">
        <v>50608905</v>
      </c>
    </row>
    <row r="371" spans="2:10" x14ac:dyDescent="0.25">
      <c r="B371" s="4">
        <v>2018</v>
      </c>
      <c r="C371" s="4" t="s">
        <v>175</v>
      </c>
      <c r="D371" s="1" t="s">
        <v>137</v>
      </c>
      <c r="E371" s="202">
        <v>54443078</v>
      </c>
      <c r="F371" s="203">
        <v>35878719.054828443</v>
      </c>
      <c r="G371" s="204">
        <v>1.5174197807007055</v>
      </c>
      <c r="I371" s="203">
        <v>35878719.054828443</v>
      </c>
      <c r="J371" s="202">
        <v>18564358.945171557</v>
      </c>
    </row>
    <row r="372" spans="2:10" x14ac:dyDescent="0.25">
      <c r="B372" s="4">
        <v>2018</v>
      </c>
      <c r="C372" s="4" t="s">
        <v>175</v>
      </c>
      <c r="D372" s="1" t="s">
        <v>252</v>
      </c>
      <c r="E372" s="202">
        <v>146150608</v>
      </c>
      <c r="F372" s="203">
        <v>172704652.43645239</v>
      </c>
      <c r="G372" s="204">
        <v>0.84624592295668988</v>
      </c>
      <c r="I372" s="203">
        <v>172704652.43645239</v>
      </c>
      <c r="J372" s="202">
        <v>-26554044.436452389</v>
      </c>
    </row>
    <row r="373" spans="2:10" x14ac:dyDescent="0.25">
      <c r="B373" s="4">
        <v>2018</v>
      </c>
      <c r="C373" s="4" t="s">
        <v>175</v>
      </c>
      <c r="D373" s="1" t="s">
        <v>301</v>
      </c>
      <c r="E373" s="202">
        <v>9964240</v>
      </c>
      <c r="F373" s="203">
        <v>26175000</v>
      </c>
      <c r="G373" s="204">
        <v>0.38067774594078319</v>
      </c>
      <c r="I373" s="203">
        <v>26175000</v>
      </c>
      <c r="J373" s="202">
        <v>-16210760</v>
      </c>
    </row>
    <row r="374" spans="2:10" x14ac:dyDescent="0.25">
      <c r="B374" s="5">
        <v>2018</v>
      </c>
      <c r="C374" s="5" t="s">
        <v>175</v>
      </c>
      <c r="D374" s="5" t="s">
        <v>430</v>
      </c>
      <c r="E374" s="205">
        <v>2312475421</v>
      </c>
      <c r="F374" s="205">
        <v>2357955232.6258469</v>
      </c>
      <c r="G374" s="206">
        <v>0.98071218189532805</v>
      </c>
      <c r="I374" s="205">
        <v>2357955232.6258469</v>
      </c>
      <c r="J374" s="205">
        <v>-45479811.625846751</v>
      </c>
    </row>
    <row r="375" spans="2:10" x14ac:dyDescent="0.25">
      <c r="B375" s="4">
        <v>2018</v>
      </c>
      <c r="C375" s="4" t="s">
        <v>187</v>
      </c>
      <c r="D375" s="1" t="s">
        <v>123</v>
      </c>
      <c r="E375" s="202">
        <v>17026340</v>
      </c>
      <c r="F375" s="203">
        <v>0</v>
      </c>
      <c r="G375" s="204">
        <v>0</v>
      </c>
      <c r="I375" s="203">
        <v>0</v>
      </c>
      <c r="J375" s="202">
        <v>17026340</v>
      </c>
    </row>
    <row r="376" spans="2:10" x14ac:dyDescent="0.25">
      <c r="B376" s="4">
        <v>2018</v>
      </c>
      <c r="C376" s="4" t="s">
        <v>187</v>
      </c>
      <c r="D376" s="1" t="s">
        <v>124</v>
      </c>
      <c r="E376" s="202">
        <v>25531564</v>
      </c>
      <c r="F376" s="203">
        <v>0</v>
      </c>
      <c r="G376" s="204">
        <v>0</v>
      </c>
      <c r="I376" s="203">
        <v>0</v>
      </c>
      <c r="J376" s="202">
        <v>25531564</v>
      </c>
    </row>
    <row r="377" spans="2:10" x14ac:dyDescent="0.25">
      <c r="B377" s="4">
        <v>2018</v>
      </c>
      <c r="C377" s="4" t="s">
        <v>187</v>
      </c>
      <c r="D377" s="1" t="s">
        <v>125</v>
      </c>
      <c r="E377" s="202">
        <v>407940960</v>
      </c>
      <c r="F377" s="203">
        <v>377323677.56657863</v>
      </c>
      <c r="G377" s="204">
        <v>1.0811432842775126</v>
      </c>
      <c r="I377" s="203">
        <v>377323677.56657863</v>
      </c>
      <c r="J377" s="202">
        <v>30617282.433421373</v>
      </c>
    </row>
    <row r="378" spans="2:10" x14ac:dyDescent="0.25">
      <c r="B378" s="4">
        <v>2018</v>
      </c>
      <c r="C378" s="4" t="s">
        <v>187</v>
      </c>
      <c r="D378" s="1" t="s">
        <v>128</v>
      </c>
      <c r="E378" s="202">
        <v>55144702</v>
      </c>
      <c r="F378" s="203">
        <v>66510238.759578355</v>
      </c>
      <c r="G378" s="204">
        <v>0.82911598316971058</v>
      </c>
      <c r="I378" s="203">
        <v>66510238.759578355</v>
      </c>
      <c r="J378" s="202">
        <v>-11365536.759578355</v>
      </c>
    </row>
    <row r="379" spans="2:10" x14ac:dyDescent="0.25">
      <c r="B379" s="4">
        <v>2018</v>
      </c>
      <c r="C379" s="4" t="s">
        <v>187</v>
      </c>
      <c r="D379" s="1" t="s">
        <v>129</v>
      </c>
      <c r="E379" s="202">
        <v>307902416</v>
      </c>
      <c r="F379" s="203">
        <v>301967340.23307675</v>
      </c>
      <c r="G379" s="204">
        <v>1.0196546943200619</v>
      </c>
      <c r="I379" s="203">
        <v>301967340.23307675</v>
      </c>
      <c r="J379" s="202">
        <v>5935075.7669232488</v>
      </c>
    </row>
    <row r="380" spans="2:10" x14ac:dyDescent="0.25">
      <c r="B380" s="4">
        <v>2018</v>
      </c>
      <c r="C380" s="4" t="s">
        <v>187</v>
      </c>
      <c r="D380" s="1" t="s">
        <v>130</v>
      </c>
      <c r="E380" s="202">
        <v>99783716</v>
      </c>
      <c r="F380" s="203">
        <v>91120559.700444072</v>
      </c>
      <c r="G380" s="204">
        <v>1.0950735632884145</v>
      </c>
      <c r="I380" s="203">
        <v>91120559.700444072</v>
      </c>
      <c r="J380" s="202">
        <v>8663156.2995559275</v>
      </c>
    </row>
    <row r="381" spans="2:10" x14ac:dyDescent="0.25">
      <c r="B381" s="4">
        <v>2018</v>
      </c>
      <c r="C381" s="4" t="s">
        <v>187</v>
      </c>
      <c r="D381" s="1" t="s">
        <v>131</v>
      </c>
      <c r="E381" s="202">
        <v>365424120</v>
      </c>
      <c r="F381" s="203">
        <v>382334088.80319232</v>
      </c>
      <c r="G381" s="204">
        <v>0.95577174701809864</v>
      </c>
      <c r="I381" s="203">
        <v>382334088.80319232</v>
      </c>
      <c r="J381" s="202">
        <v>-16909968.803192317</v>
      </c>
    </row>
    <row r="382" spans="2:10" x14ac:dyDescent="0.25">
      <c r="B382" s="4">
        <v>2018</v>
      </c>
      <c r="C382" s="4" t="s">
        <v>187</v>
      </c>
      <c r="D382" s="1" t="s">
        <v>132</v>
      </c>
      <c r="E382" s="202">
        <v>152564240</v>
      </c>
      <c r="F382" s="203">
        <v>136605925.62162369</v>
      </c>
      <c r="G382" s="204">
        <v>1.1168200742812449</v>
      </c>
      <c r="I382" s="203">
        <v>136605925.62162369</v>
      </c>
      <c r="J382" s="202">
        <v>15958314.378376305</v>
      </c>
    </row>
    <row r="383" spans="2:10" x14ac:dyDescent="0.25">
      <c r="B383" s="4">
        <v>2018</v>
      </c>
      <c r="C383" s="4" t="s">
        <v>187</v>
      </c>
      <c r="D383" s="1" t="s">
        <v>127</v>
      </c>
      <c r="E383" s="202">
        <v>187298836</v>
      </c>
      <c r="F383" s="203">
        <v>190906695.11003271</v>
      </c>
      <c r="G383" s="204">
        <v>0.9811014532101493</v>
      </c>
      <c r="I383" s="203">
        <v>190906695.11003271</v>
      </c>
      <c r="J383" s="202">
        <v>-3607859.1100327075</v>
      </c>
    </row>
    <row r="384" spans="2:10" x14ac:dyDescent="0.25">
      <c r="B384" s="4">
        <v>2018</v>
      </c>
      <c r="C384" s="4" t="s">
        <v>187</v>
      </c>
      <c r="D384" s="1" t="s">
        <v>126</v>
      </c>
      <c r="E384" s="202">
        <v>142256800</v>
      </c>
      <c r="F384" s="203">
        <v>107433935.71029124</v>
      </c>
      <c r="G384" s="204">
        <v>1.3241328176193123</v>
      </c>
      <c r="I384" s="203">
        <v>107433935.71029124</v>
      </c>
      <c r="J384" s="202">
        <v>34822864.289708763</v>
      </c>
    </row>
    <row r="385" spans="2:10" x14ac:dyDescent="0.25">
      <c r="B385" s="4">
        <v>2018</v>
      </c>
      <c r="C385" s="4" t="s">
        <v>187</v>
      </c>
      <c r="D385" s="1" t="s">
        <v>133</v>
      </c>
      <c r="E385" s="202">
        <v>36651665</v>
      </c>
      <c r="F385" s="203">
        <v>30642360.149352234</v>
      </c>
      <c r="G385" s="204">
        <v>1.1961110313095384</v>
      </c>
      <c r="I385" s="203">
        <v>30642360.14935223</v>
      </c>
      <c r="J385" s="202">
        <v>6009304.8506477699</v>
      </c>
    </row>
    <row r="386" spans="2:10" x14ac:dyDescent="0.25">
      <c r="B386" s="4">
        <v>2018</v>
      </c>
      <c r="C386" s="4" t="s">
        <v>187</v>
      </c>
      <c r="D386" s="1" t="s">
        <v>134</v>
      </c>
      <c r="E386" s="202">
        <v>189584717</v>
      </c>
      <c r="F386" s="203">
        <v>212240164.81886032</v>
      </c>
      <c r="G386" s="204">
        <v>0.89325560579829</v>
      </c>
      <c r="I386" s="203">
        <v>212240164.81886035</v>
      </c>
      <c r="J386" s="202">
        <v>-22655447.818860352</v>
      </c>
    </row>
    <row r="387" spans="2:10" x14ac:dyDescent="0.25">
      <c r="B387" s="4">
        <v>2018</v>
      </c>
      <c r="C387" s="4" t="s">
        <v>187</v>
      </c>
      <c r="D387" s="1" t="s">
        <v>135</v>
      </c>
      <c r="E387" s="202">
        <v>88349433</v>
      </c>
      <c r="F387" s="203">
        <v>93558943.86247015</v>
      </c>
      <c r="G387" s="204">
        <v>0.94431840882975304</v>
      </c>
      <c r="I387" s="203">
        <v>93558943.86247015</v>
      </c>
      <c r="J387" s="202">
        <v>-5209510.86247015</v>
      </c>
    </row>
    <row r="388" spans="2:10" x14ac:dyDescent="0.25">
      <c r="B388" s="4">
        <v>2018</v>
      </c>
      <c r="C388" s="4" t="s">
        <v>187</v>
      </c>
      <c r="D388" s="1" t="s">
        <v>300</v>
      </c>
      <c r="E388" s="202">
        <v>117317838</v>
      </c>
      <c r="F388" s="203">
        <v>123200000</v>
      </c>
      <c r="G388" s="204">
        <v>0.95225517857142861</v>
      </c>
      <c r="I388" s="203">
        <v>123200000</v>
      </c>
      <c r="J388" s="202">
        <v>-5882162</v>
      </c>
    </row>
    <row r="389" spans="2:10" x14ac:dyDescent="0.25">
      <c r="B389" s="4">
        <v>2018</v>
      </c>
      <c r="C389" s="4" t="s">
        <v>187</v>
      </c>
      <c r="D389" s="1" t="s">
        <v>137</v>
      </c>
      <c r="E389" s="202">
        <v>56664546</v>
      </c>
      <c r="F389" s="203">
        <v>35878719.054828443</v>
      </c>
      <c r="G389" s="204">
        <v>1.5793358150107721</v>
      </c>
      <c r="I389" s="203">
        <v>35878719.054828443</v>
      </c>
      <c r="J389" s="202">
        <v>20785826.945171557</v>
      </c>
    </row>
    <row r="390" spans="2:10" x14ac:dyDescent="0.25">
      <c r="B390" s="4">
        <v>2018</v>
      </c>
      <c r="C390" s="4" t="s">
        <v>187</v>
      </c>
      <c r="D390" s="1" t="s">
        <v>252</v>
      </c>
      <c r="E390" s="202">
        <v>152919571</v>
      </c>
      <c r="F390" s="203">
        <v>103622791.46187143</v>
      </c>
      <c r="G390" s="204">
        <v>1.4757329815445821</v>
      </c>
      <c r="I390" s="203">
        <v>103622791.46187145</v>
      </c>
      <c r="J390" s="202">
        <v>49296779.538128555</v>
      </c>
    </row>
    <row r="391" spans="2:10" x14ac:dyDescent="0.25">
      <c r="B391" s="4">
        <v>2018</v>
      </c>
      <c r="C391" s="4" t="s">
        <v>187</v>
      </c>
      <c r="D391" s="1" t="s">
        <v>301</v>
      </c>
      <c r="E391" s="202">
        <v>89783394</v>
      </c>
      <c r="F391" s="203">
        <v>93000000</v>
      </c>
      <c r="G391" s="204">
        <v>0.96541283870967742</v>
      </c>
      <c r="I391" s="203">
        <v>93000000</v>
      </c>
      <c r="J391" s="202">
        <v>-3216606</v>
      </c>
    </row>
    <row r="392" spans="2:10" x14ac:dyDescent="0.25">
      <c r="B392" s="5">
        <v>2018</v>
      </c>
      <c r="C392" s="5" t="s">
        <v>187</v>
      </c>
      <c r="D392" s="5" t="s">
        <v>430</v>
      </c>
      <c r="E392" s="205">
        <v>2492144858</v>
      </c>
      <c r="F392" s="205">
        <v>2346345440.8522005</v>
      </c>
      <c r="G392" s="206">
        <v>1.0621389393945526</v>
      </c>
      <c r="I392" s="205">
        <v>2346345440.8522005</v>
      </c>
      <c r="J392" s="205">
        <v>145799417.14779964</v>
      </c>
    </row>
    <row r="393" spans="2:10" x14ac:dyDescent="0.25">
      <c r="B393" s="4">
        <v>2019</v>
      </c>
      <c r="C393" s="4" t="s">
        <v>122</v>
      </c>
      <c r="D393" s="1" t="s">
        <v>123</v>
      </c>
      <c r="E393" s="202">
        <v>5715086</v>
      </c>
      <c r="F393" s="203">
        <v>0</v>
      </c>
      <c r="G393" s="204">
        <v>0</v>
      </c>
      <c r="I393" s="203">
        <v>0</v>
      </c>
      <c r="J393" s="202">
        <v>5715086</v>
      </c>
    </row>
    <row r="394" spans="2:10" x14ac:dyDescent="0.25">
      <c r="B394" s="4">
        <v>2019</v>
      </c>
      <c r="C394" s="4" t="s">
        <v>122</v>
      </c>
      <c r="D394" s="1" t="s">
        <v>124</v>
      </c>
      <c r="E394" s="202">
        <v>0</v>
      </c>
      <c r="F394" s="203">
        <v>0</v>
      </c>
      <c r="G394" s="204">
        <v>0</v>
      </c>
      <c r="I394" s="203">
        <v>0</v>
      </c>
      <c r="J394" s="202">
        <v>0</v>
      </c>
    </row>
    <row r="395" spans="2:10" x14ac:dyDescent="0.25">
      <c r="B395" s="4">
        <v>2019</v>
      </c>
      <c r="C395" s="4" t="s">
        <v>122</v>
      </c>
      <c r="D395" s="1" t="s">
        <v>125</v>
      </c>
      <c r="E395" s="202">
        <v>360865974</v>
      </c>
      <c r="F395" s="203">
        <v>408379110.62011528</v>
      </c>
      <c r="G395" s="204">
        <v>0.88365434131053477</v>
      </c>
      <c r="I395" s="203">
        <v>408379110.62011528</v>
      </c>
      <c r="J395" s="202">
        <v>-47513136.62011528</v>
      </c>
    </row>
    <row r="396" spans="2:10" x14ac:dyDescent="0.25">
      <c r="B396" s="4">
        <v>2019</v>
      </c>
      <c r="C396" s="4" t="s">
        <v>122</v>
      </c>
      <c r="D396" s="1" t="s">
        <v>128</v>
      </c>
      <c r="E396" s="202">
        <v>49513918</v>
      </c>
      <c r="F396" s="203">
        <v>74769990.688070834</v>
      </c>
      <c r="G396" s="204">
        <v>0.66221645267503948</v>
      </c>
      <c r="I396" s="203">
        <v>74769990.688070834</v>
      </c>
      <c r="J396" s="202">
        <v>-25256072.688070834</v>
      </c>
    </row>
    <row r="397" spans="2:10" x14ac:dyDescent="0.25">
      <c r="B397" s="4">
        <v>2019</v>
      </c>
      <c r="C397" s="4" t="s">
        <v>122</v>
      </c>
      <c r="D397" s="1" t="s">
        <v>129</v>
      </c>
      <c r="E397" s="202">
        <v>308987112</v>
      </c>
      <c r="F397" s="203">
        <v>394163949.37555283</v>
      </c>
      <c r="G397" s="204">
        <v>0.78390505394901611</v>
      </c>
      <c r="I397" s="203">
        <v>394163949.37555283</v>
      </c>
      <c r="J397" s="202">
        <v>-85176837.375552833</v>
      </c>
    </row>
    <row r="398" spans="2:10" x14ac:dyDescent="0.25">
      <c r="B398" s="4">
        <v>2019</v>
      </c>
      <c r="C398" s="4" t="s">
        <v>122</v>
      </c>
      <c r="D398" s="1" t="s">
        <v>130</v>
      </c>
      <c r="E398" s="202">
        <v>89901906</v>
      </c>
      <c r="F398" s="203">
        <v>102029467.83288611</v>
      </c>
      <c r="G398" s="204">
        <v>0.88113667462472878</v>
      </c>
      <c r="I398" s="203">
        <v>102029467.83288611</v>
      </c>
      <c r="J398" s="202">
        <v>-12127561.832886115</v>
      </c>
    </row>
    <row r="399" spans="2:10" x14ac:dyDescent="0.25">
      <c r="B399" s="4">
        <v>2019</v>
      </c>
      <c r="C399" s="4" t="s">
        <v>122</v>
      </c>
      <c r="D399" s="1" t="s">
        <v>131</v>
      </c>
      <c r="E399" s="202">
        <v>402061823</v>
      </c>
      <c r="F399" s="203">
        <v>434177183.23455554</v>
      </c>
      <c r="G399" s="204">
        <v>0.92603167214983317</v>
      </c>
      <c r="I399" s="203">
        <v>434177183.23455554</v>
      </c>
      <c r="J399" s="202">
        <v>-32115360.234555542</v>
      </c>
    </row>
    <row r="400" spans="2:10" x14ac:dyDescent="0.25">
      <c r="B400" s="4">
        <v>2019</v>
      </c>
      <c r="C400" s="4" t="s">
        <v>122</v>
      </c>
      <c r="D400" s="1" t="s">
        <v>132</v>
      </c>
      <c r="E400" s="202">
        <v>154111566</v>
      </c>
      <c r="F400" s="203">
        <v>157506374.5999389</v>
      </c>
      <c r="G400" s="204">
        <v>0.97844653203045528</v>
      </c>
      <c r="I400" s="203">
        <v>157506374.5999389</v>
      </c>
      <c r="J400" s="202">
        <v>-3394808.5999388993</v>
      </c>
    </row>
    <row r="401" spans="2:10" x14ac:dyDescent="0.25">
      <c r="B401" s="4">
        <v>2019</v>
      </c>
      <c r="C401" s="4" t="s">
        <v>122</v>
      </c>
      <c r="D401" s="1" t="s">
        <v>127</v>
      </c>
      <c r="E401" s="202">
        <v>191415305</v>
      </c>
      <c r="F401" s="203">
        <v>215443517.72346112</v>
      </c>
      <c r="G401" s="204">
        <v>0.88847094135223303</v>
      </c>
      <c r="I401" s="203">
        <v>215443517.72346109</v>
      </c>
      <c r="J401" s="202">
        <v>-24028212.723461092</v>
      </c>
    </row>
    <row r="402" spans="2:10" x14ac:dyDescent="0.25">
      <c r="B402" s="4">
        <v>2019</v>
      </c>
      <c r="C402" s="4" t="s">
        <v>122</v>
      </c>
      <c r="D402" s="1" t="s">
        <v>126</v>
      </c>
      <c r="E402" s="202">
        <v>160462844</v>
      </c>
      <c r="F402" s="203">
        <v>125099065.67908472</v>
      </c>
      <c r="G402" s="204">
        <v>1.2826861905718272</v>
      </c>
      <c r="I402" s="203">
        <v>125099065.67908472</v>
      </c>
      <c r="J402" s="202">
        <v>35363778.320915282</v>
      </c>
    </row>
    <row r="403" spans="2:10" x14ac:dyDescent="0.25">
      <c r="B403" s="4">
        <v>2019</v>
      </c>
      <c r="C403" s="4" t="s">
        <v>122</v>
      </c>
      <c r="D403" s="1" t="s">
        <v>133</v>
      </c>
      <c r="E403" s="202">
        <v>44244784</v>
      </c>
      <c r="F403" s="203">
        <v>29588145.075030554</v>
      </c>
      <c r="G403" s="204">
        <v>1.4953551122519737</v>
      </c>
      <c r="I403" s="203">
        <v>29588145.075030554</v>
      </c>
      <c r="J403" s="202">
        <v>14656638.924969446</v>
      </c>
    </row>
    <row r="404" spans="2:10" x14ac:dyDescent="0.25">
      <c r="B404" s="4">
        <v>2019</v>
      </c>
      <c r="C404" s="4" t="s">
        <v>122</v>
      </c>
      <c r="D404" s="1" t="s">
        <v>134</v>
      </c>
      <c r="E404" s="202">
        <v>215717059</v>
      </c>
      <c r="F404" s="203">
        <v>229620618.93206945</v>
      </c>
      <c r="G404" s="204">
        <v>0.93944986300998234</v>
      </c>
      <c r="I404" s="203">
        <v>229620618.93206948</v>
      </c>
      <c r="J404" s="202">
        <v>-13903559.93206948</v>
      </c>
    </row>
    <row r="405" spans="2:10" x14ac:dyDescent="0.25">
      <c r="B405" s="4">
        <v>2019</v>
      </c>
      <c r="C405" s="4" t="s">
        <v>122</v>
      </c>
      <c r="D405" s="1" t="s">
        <v>135</v>
      </c>
      <c r="E405" s="202">
        <v>87007524</v>
      </c>
      <c r="F405" s="203">
        <v>101727464.55634166</v>
      </c>
      <c r="G405" s="204">
        <v>0.85530023164797309</v>
      </c>
      <c r="I405" s="203">
        <v>101727464.55634166</v>
      </c>
      <c r="J405" s="202">
        <v>-14719940.556341663</v>
      </c>
    </row>
    <row r="406" spans="2:10" x14ac:dyDescent="0.25">
      <c r="B406" s="4">
        <v>2019</v>
      </c>
      <c r="C406" s="4" t="s">
        <v>122</v>
      </c>
      <c r="D406" s="1" t="s">
        <v>300</v>
      </c>
      <c r="E406" s="202">
        <v>138282450</v>
      </c>
      <c r="F406" s="203">
        <v>195000000</v>
      </c>
      <c r="G406" s="204">
        <v>0.70914076923076919</v>
      </c>
      <c r="I406" s="203">
        <v>195000000</v>
      </c>
      <c r="J406" s="202">
        <v>-56717550</v>
      </c>
    </row>
    <row r="407" spans="2:10" x14ac:dyDescent="0.25">
      <c r="B407" s="4">
        <v>2019</v>
      </c>
      <c r="C407" s="4" t="s">
        <v>122</v>
      </c>
      <c r="D407" s="1" t="s">
        <v>137</v>
      </c>
      <c r="E407" s="202">
        <v>47303203</v>
      </c>
      <c r="F407" s="203">
        <v>45595395.589404166</v>
      </c>
      <c r="G407" s="204">
        <v>1.0374556989476522</v>
      </c>
      <c r="I407" s="203">
        <v>45595395.589404166</v>
      </c>
      <c r="J407" s="202">
        <v>1707807.4105958343</v>
      </c>
    </row>
    <row r="408" spans="2:10" x14ac:dyDescent="0.25">
      <c r="B408" s="4">
        <v>2019</v>
      </c>
      <c r="C408" s="4" t="s">
        <v>122</v>
      </c>
      <c r="D408" s="1" t="s">
        <v>252</v>
      </c>
      <c r="E408" s="202">
        <v>147503292</v>
      </c>
      <c r="F408" s="203">
        <v>184203424.32765695</v>
      </c>
      <c r="G408" s="204">
        <v>0.80076302890886775</v>
      </c>
      <c r="I408" s="203">
        <v>184203424.32765695</v>
      </c>
      <c r="J408" s="202">
        <v>-36700132.327656955</v>
      </c>
    </row>
    <row r="409" spans="2:10" x14ac:dyDescent="0.25">
      <c r="B409" s="4">
        <v>2019</v>
      </c>
      <c r="C409" s="4" t="s">
        <v>122</v>
      </c>
      <c r="D409" s="1" t="s">
        <v>301</v>
      </c>
      <c r="E409" s="202">
        <v>124982042</v>
      </c>
      <c r="F409" s="203">
        <v>107850000</v>
      </c>
      <c r="G409" s="204">
        <v>1.1588506444135374</v>
      </c>
      <c r="I409" s="203">
        <v>107850000</v>
      </c>
      <c r="J409" s="202">
        <v>17132042</v>
      </c>
    </row>
    <row r="410" spans="2:10" x14ac:dyDescent="0.25">
      <c r="B410" s="5">
        <v>2019</v>
      </c>
      <c r="C410" s="5" t="s">
        <v>122</v>
      </c>
      <c r="D410" s="5" t="s">
        <v>430</v>
      </c>
      <c r="E410" s="205">
        <v>2528075888</v>
      </c>
      <c r="F410" s="205">
        <v>2805153708.2341681</v>
      </c>
      <c r="G410" s="206">
        <v>0.90122544107980906</v>
      </c>
      <c r="I410" s="205">
        <v>2805153708.2341681</v>
      </c>
      <c r="J410" s="205">
        <v>-277077820.23416817</v>
      </c>
    </row>
    <row r="411" spans="2:10" x14ac:dyDescent="0.25">
      <c r="B411" s="4">
        <v>2019</v>
      </c>
      <c r="C411" s="4" t="s">
        <v>138</v>
      </c>
      <c r="D411" s="1" t="s">
        <v>123</v>
      </c>
      <c r="E411" s="202">
        <v>2444914</v>
      </c>
      <c r="F411" s="203">
        <v>0</v>
      </c>
      <c r="G411" s="204">
        <v>0</v>
      </c>
      <c r="I411" s="203">
        <v>0</v>
      </c>
      <c r="J411" s="202">
        <v>2444914</v>
      </c>
    </row>
    <row r="412" spans="2:10" x14ac:dyDescent="0.25">
      <c r="B412" s="4">
        <v>2019</v>
      </c>
      <c r="C412" s="4" t="s">
        <v>138</v>
      </c>
      <c r="D412" s="1" t="s">
        <v>124</v>
      </c>
      <c r="E412" s="202">
        <v>-204460</v>
      </c>
      <c r="F412" s="203">
        <v>0</v>
      </c>
      <c r="G412" s="204">
        <v>0</v>
      </c>
      <c r="I412" s="203">
        <v>0</v>
      </c>
      <c r="J412" s="202">
        <v>-204460</v>
      </c>
    </row>
    <row r="413" spans="2:10" x14ac:dyDescent="0.25">
      <c r="B413" s="4">
        <v>2019</v>
      </c>
      <c r="C413" s="4" t="s">
        <v>138</v>
      </c>
      <c r="D413" s="1" t="s">
        <v>125</v>
      </c>
      <c r="E413" s="202">
        <v>340112521</v>
      </c>
      <c r="F413" s="203">
        <v>408379110.62011528</v>
      </c>
      <c r="G413" s="204">
        <v>0.83283525566120686</v>
      </c>
      <c r="I413" s="203">
        <v>408379110.62011528</v>
      </c>
      <c r="J413" s="202">
        <v>-68266589.62011528</v>
      </c>
    </row>
    <row r="414" spans="2:10" x14ac:dyDescent="0.25">
      <c r="B414" s="4">
        <v>2019</v>
      </c>
      <c r="C414" s="4" t="s">
        <v>138</v>
      </c>
      <c r="D414" s="1" t="s">
        <v>128</v>
      </c>
      <c r="E414" s="202">
        <v>85063960</v>
      </c>
      <c r="F414" s="203">
        <v>74769990.688070834</v>
      </c>
      <c r="G414" s="204">
        <v>1.1376751450307658</v>
      </c>
      <c r="I414" s="203">
        <v>74769990.688070834</v>
      </c>
      <c r="J414" s="202">
        <v>10293969.311929166</v>
      </c>
    </row>
    <row r="415" spans="2:10" x14ac:dyDescent="0.25">
      <c r="B415" s="4">
        <v>2019</v>
      </c>
      <c r="C415" s="4" t="s">
        <v>138</v>
      </c>
      <c r="D415" s="1" t="s">
        <v>129</v>
      </c>
      <c r="E415" s="202">
        <v>259974337</v>
      </c>
      <c r="F415" s="203">
        <v>394163949.37555283</v>
      </c>
      <c r="G415" s="204">
        <v>0.65955889018226976</v>
      </c>
      <c r="I415" s="203">
        <v>394163949.37555283</v>
      </c>
      <c r="J415" s="202">
        <v>-134189612.37555283</v>
      </c>
    </row>
    <row r="416" spans="2:10" x14ac:dyDescent="0.25">
      <c r="B416" s="4">
        <v>2019</v>
      </c>
      <c r="C416" s="4" t="s">
        <v>138</v>
      </c>
      <c r="D416" s="1" t="s">
        <v>130</v>
      </c>
      <c r="E416" s="202">
        <v>81216597</v>
      </c>
      <c r="F416" s="203">
        <v>102029467.83288611</v>
      </c>
      <c r="G416" s="204">
        <v>0.79601117917251629</v>
      </c>
      <c r="I416" s="203">
        <v>102029467.83288613</v>
      </c>
      <c r="J416" s="202">
        <v>-20812870.83288613</v>
      </c>
    </row>
    <row r="417" spans="2:10" x14ac:dyDescent="0.25">
      <c r="B417" s="4">
        <v>2019</v>
      </c>
      <c r="C417" s="4" t="s">
        <v>138</v>
      </c>
      <c r="D417" s="1" t="s">
        <v>131</v>
      </c>
      <c r="E417" s="202">
        <v>402460260</v>
      </c>
      <c r="F417" s="203">
        <v>434177183.23455554</v>
      </c>
      <c r="G417" s="204">
        <v>0.92694935510367182</v>
      </c>
      <c r="I417" s="203">
        <v>434177183.2345556</v>
      </c>
      <c r="J417" s="202">
        <v>-31716923.234555602</v>
      </c>
    </row>
    <row r="418" spans="2:10" x14ac:dyDescent="0.25">
      <c r="B418" s="4">
        <v>2019</v>
      </c>
      <c r="C418" s="4" t="s">
        <v>138</v>
      </c>
      <c r="D418" s="1" t="s">
        <v>132</v>
      </c>
      <c r="E418" s="202">
        <v>149341992</v>
      </c>
      <c r="F418" s="203">
        <v>157506374.5999389</v>
      </c>
      <c r="G418" s="204">
        <v>0.94816474812098139</v>
      </c>
      <c r="I418" s="203">
        <v>157506374.5999389</v>
      </c>
      <c r="J418" s="202">
        <v>-8164382.5999388993</v>
      </c>
    </row>
    <row r="419" spans="2:10" x14ac:dyDescent="0.25">
      <c r="B419" s="4">
        <v>2019</v>
      </c>
      <c r="C419" s="4" t="s">
        <v>138</v>
      </c>
      <c r="D419" s="1" t="s">
        <v>127</v>
      </c>
      <c r="E419" s="202">
        <v>159049181</v>
      </c>
      <c r="F419" s="203">
        <v>215443517.72346112</v>
      </c>
      <c r="G419" s="204">
        <v>0.73824073557948611</v>
      </c>
      <c r="I419" s="203">
        <v>215443517.72346112</v>
      </c>
      <c r="J419" s="202">
        <v>-56394336.723461121</v>
      </c>
    </row>
    <row r="420" spans="2:10" x14ac:dyDescent="0.25">
      <c r="B420" s="4">
        <v>2019</v>
      </c>
      <c r="C420" s="4" t="s">
        <v>138</v>
      </c>
      <c r="D420" s="1" t="s">
        <v>126</v>
      </c>
      <c r="E420" s="202">
        <v>126018587</v>
      </c>
      <c r="F420" s="203">
        <v>125099065.67908472</v>
      </c>
      <c r="G420" s="204">
        <v>1.0073503452317871</v>
      </c>
      <c r="I420" s="203">
        <v>125099065.67908472</v>
      </c>
      <c r="J420" s="202">
        <v>919521.32091528177</v>
      </c>
    </row>
    <row r="421" spans="2:10" x14ac:dyDescent="0.25">
      <c r="B421" s="4">
        <v>2019</v>
      </c>
      <c r="C421" s="4" t="s">
        <v>138</v>
      </c>
      <c r="D421" s="1" t="s">
        <v>133</v>
      </c>
      <c r="E421" s="202">
        <v>44899112</v>
      </c>
      <c r="F421" s="203">
        <v>34588145.075030588</v>
      </c>
      <c r="G421" s="204">
        <v>1.298106964181001</v>
      </c>
      <c r="I421" s="203">
        <v>34588145.075030588</v>
      </c>
      <c r="J421" s="202">
        <v>10310966.924969412</v>
      </c>
    </row>
    <row r="422" spans="2:10" x14ac:dyDescent="0.25">
      <c r="B422" s="4">
        <v>2019</v>
      </c>
      <c r="C422" s="4" t="s">
        <v>138</v>
      </c>
      <c r="D422" s="1" t="s">
        <v>134</v>
      </c>
      <c r="E422" s="202">
        <v>208018521</v>
      </c>
      <c r="F422" s="203">
        <v>229620618.93206945</v>
      </c>
      <c r="G422" s="204">
        <v>0.90592265610755029</v>
      </c>
      <c r="I422" s="203">
        <v>229620618.93206948</v>
      </c>
      <c r="J422" s="202">
        <v>-21602097.93206948</v>
      </c>
    </row>
    <row r="423" spans="2:10" x14ac:dyDescent="0.25">
      <c r="B423" s="4">
        <v>2019</v>
      </c>
      <c r="C423" s="4" t="s">
        <v>138</v>
      </c>
      <c r="D423" s="1" t="s">
        <v>135</v>
      </c>
      <c r="E423" s="202">
        <v>101799119</v>
      </c>
      <c r="F423" s="203">
        <v>101727464.55634166</v>
      </c>
      <c r="G423" s="204">
        <v>1.0007043765808068</v>
      </c>
      <c r="I423" s="203">
        <v>101727464.55634166</v>
      </c>
      <c r="J423" s="202">
        <v>71654.443658336997</v>
      </c>
    </row>
    <row r="424" spans="2:10" x14ac:dyDescent="0.25">
      <c r="B424" s="4">
        <v>2019</v>
      </c>
      <c r="C424" s="4" t="s">
        <v>138</v>
      </c>
      <c r="D424" s="1" t="s">
        <v>300</v>
      </c>
      <c r="E424" s="202">
        <v>156037047</v>
      </c>
      <c r="F424" s="203">
        <v>195000000</v>
      </c>
      <c r="G424" s="204">
        <v>0.8001899846153846</v>
      </c>
      <c r="I424" s="203">
        <v>195000000</v>
      </c>
      <c r="J424" s="202">
        <v>-38962953</v>
      </c>
    </row>
    <row r="425" spans="2:10" x14ac:dyDescent="0.25">
      <c r="B425" s="4">
        <v>2019</v>
      </c>
      <c r="C425" s="4" t="s">
        <v>138</v>
      </c>
      <c r="D425" s="1" t="s">
        <v>137</v>
      </c>
      <c r="E425" s="202">
        <v>61064818</v>
      </c>
      <c r="F425" s="203">
        <v>45595395.589404166</v>
      </c>
      <c r="G425" s="204">
        <v>1.3392759775548639</v>
      </c>
      <c r="I425" s="203">
        <v>45595395.589404166</v>
      </c>
      <c r="J425" s="202">
        <v>15469422.410595834</v>
      </c>
    </row>
    <row r="426" spans="2:10" x14ac:dyDescent="0.25">
      <c r="B426" s="4">
        <v>2019</v>
      </c>
      <c r="C426" s="4" t="s">
        <v>138</v>
      </c>
      <c r="D426" s="1" t="s">
        <v>252</v>
      </c>
      <c r="E426" s="202">
        <v>169642210</v>
      </c>
      <c r="F426" s="203">
        <v>122203424.32765694</v>
      </c>
      <c r="G426" s="204">
        <v>1.3881952239337272</v>
      </c>
      <c r="I426" s="203">
        <v>122203424.32765695</v>
      </c>
      <c r="J426" s="202">
        <v>47438785.672343045</v>
      </c>
    </row>
    <row r="427" spans="2:10" x14ac:dyDescent="0.25">
      <c r="B427" s="4">
        <v>2019</v>
      </c>
      <c r="C427" s="4" t="s">
        <v>138</v>
      </c>
      <c r="D427" s="1" t="s">
        <v>301</v>
      </c>
      <c r="E427" s="202">
        <v>112911025</v>
      </c>
      <c r="F427" s="203">
        <v>107850000</v>
      </c>
      <c r="G427" s="204">
        <v>1.046926518312471</v>
      </c>
      <c r="I427" s="203">
        <v>107850000</v>
      </c>
      <c r="J427" s="202">
        <v>5061025</v>
      </c>
    </row>
    <row r="428" spans="2:10" x14ac:dyDescent="0.25">
      <c r="B428" s="5">
        <v>2019</v>
      </c>
      <c r="C428" s="5" t="s">
        <v>138</v>
      </c>
      <c r="D428" s="5" t="s">
        <v>430</v>
      </c>
      <c r="E428" s="205">
        <v>2459849741</v>
      </c>
      <c r="F428" s="205">
        <v>2748153708.2341681</v>
      </c>
      <c r="G428" s="206">
        <v>0.89509176056261486</v>
      </c>
      <c r="I428" s="205">
        <v>2748153708.2341681</v>
      </c>
      <c r="J428" s="205">
        <v>-288303967.23416817</v>
      </c>
    </row>
    <row r="429" spans="2:10" x14ac:dyDescent="0.25">
      <c r="B429" s="4">
        <v>2019</v>
      </c>
      <c r="C429" s="4" t="s">
        <v>139</v>
      </c>
      <c r="D429" s="1" t="s">
        <v>123</v>
      </c>
      <c r="E429" s="202">
        <v>0</v>
      </c>
      <c r="F429" s="203">
        <v>26000000</v>
      </c>
      <c r="G429" s="204">
        <v>0</v>
      </c>
      <c r="I429" s="203">
        <v>26000000</v>
      </c>
      <c r="J429" s="202">
        <v>-26000000</v>
      </c>
    </row>
    <row r="430" spans="2:10" x14ac:dyDescent="0.25">
      <c r="B430" s="4">
        <v>2019</v>
      </c>
      <c r="C430" s="4" t="s">
        <v>139</v>
      </c>
      <c r="D430" s="1" t="s">
        <v>124</v>
      </c>
      <c r="E430" s="202">
        <v>26617795</v>
      </c>
      <c r="F430" s="203">
        <v>57000000</v>
      </c>
      <c r="G430" s="204">
        <v>0.46697885964912278</v>
      </c>
      <c r="I430" s="203">
        <v>57000000</v>
      </c>
      <c r="J430" s="202">
        <v>-30382205</v>
      </c>
    </row>
    <row r="431" spans="2:10" x14ac:dyDescent="0.25">
      <c r="B431" s="4">
        <v>2019</v>
      </c>
      <c r="C431" s="4" t="s">
        <v>139</v>
      </c>
      <c r="D431" s="1" t="s">
        <v>125</v>
      </c>
      <c r="E431" s="202">
        <v>395885471</v>
      </c>
      <c r="F431" s="203">
        <v>408379110.62011528</v>
      </c>
      <c r="G431" s="204">
        <v>0.96940676127840142</v>
      </c>
      <c r="I431" s="203">
        <v>408379110.62011528</v>
      </c>
      <c r="J431" s="202">
        <v>-12493639.62011528</v>
      </c>
    </row>
    <row r="432" spans="2:10" x14ac:dyDescent="0.25">
      <c r="B432" s="4">
        <v>2019</v>
      </c>
      <c r="C432" s="4" t="s">
        <v>139</v>
      </c>
      <c r="D432" s="1" t="s">
        <v>128</v>
      </c>
      <c r="E432" s="202">
        <v>79840723</v>
      </c>
      <c r="F432" s="203">
        <v>74769990.688070834</v>
      </c>
      <c r="G432" s="204">
        <v>1.0678177470033867</v>
      </c>
      <c r="I432" s="203">
        <v>74769990.688070834</v>
      </c>
      <c r="J432" s="202">
        <v>5070732.3119291663</v>
      </c>
    </row>
    <row r="433" spans="2:10" x14ac:dyDescent="0.25">
      <c r="B433" s="4">
        <v>2019</v>
      </c>
      <c r="C433" s="4" t="s">
        <v>139</v>
      </c>
      <c r="D433" s="1" t="s">
        <v>129</v>
      </c>
      <c r="E433" s="202">
        <v>343656797</v>
      </c>
      <c r="F433" s="203">
        <v>394163949.37555283</v>
      </c>
      <c r="G433" s="204">
        <v>0.87186257785480414</v>
      </c>
      <c r="I433" s="203">
        <v>394163949.37555283</v>
      </c>
      <c r="J433" s="202">
        <v>-50507152.375552833</v>
      </c>
    </row>
    <row r="434" spans="2:10" x14ac:dyDescent="0.25">
      <c r="B434" s="4">
        <v>2019</v>
      </c>
      <c r="C434" s="4" t="s">
        <v>139</v>
      </c>
      <c r="D434" s="1" t="s">
        <v>130</v>
      </c>
      <c r="E434" s="202">
        <v>89860388</v>
      </c>
      <c r="F434" s="203">
        <v>102029467.83288611</v>
      </c>
      <c r="G434" s="204">
        <v>0.88072975296884004</v>
      </c>
      <c r="I434" s="203">
        <v>102029467.83288611</v>
      </c>
      <c r="J434" s="202">
        <v>-12169079.832886115</v>
      </c>
    </row>
    <row r="435" spans="2:10" x14ac:dyDescent="0.25">
      <c r="B435" s="4">
        <v>2019</v>
      </c>
      <c r="C435" s="4" t="s">
        <v>139</v>
      </c>
      <c r="D435" s="1" t="s">
        <v>131</v>
      </c>
      <c r="E435" s="202">
        <v>376402128</v>
      </c>
      <c r="F435" s="203">
        <v>434177183.23455554</v>
      </c>
      <c r="G435" s="204">
        <v>0.86693207873306477</v>
      </c>
      <c r="I435" s="203">
        <v>434177183.23455554</v>
      </c>
      <c r="J435" s="202">
        <v>-57775055.234555542</v>
      </c>
    </row>
    <row r="436" spans="2:10" x14ac:dyDescent="0.25">
      <c r="B436" s="4">
        <v>2019</v>
      </c>
      <c r="C436" s="4" t="s">
        <v>139</v>
      </c>
      <c r="D436" s="1" t="s">
        <v>132</v>
      </c>
      <c r="E436" s="202">
        <v>158906712</v>
      </c>
      <c r="F436" s="203">
        <v>157506374.5999389</v>
      </c>
      <c r="G436" s="204">
        <v>1.0088906712735781</v>
      </c>
      <c r="I436" s="203">
        <v>157506374.5999389</v>
      </c>
      <c r="J436" s="202">
        <v>1400337.4000611007</v>
      </c>
    </row>
    <row r="437" spans="2:10" x14ac:dyDescent="0.25">
      <c r="B437" s="4">
        <v>2019</v>
      </c>
      <c r="C437" s="4" t="s">
        <v>139</v>
      </c>
      <c r="D437" s="1" t="s">
        <v>127</v>
      </c>
      <c r="E437" s="202">
        <v>201004623</v>
      </c>
      <c r="F437" s="203">
        <v>215443517.72346112</v>
      </c>
      <c r="G437" s="204">
        <v>0.93298060263760363</v>
      </c>
      <c r="I437" s="203">
        <v>215443517.72346109</v>
      </c>
      <c r="J437" s="202">
        <v>-14438894.723461092</v>
      </c>
    </row>
    <row r="438" spans="2:10" x14ac:dyDescent="0.25">
      <c r="B438" s="4">
        <v>2019</v>
      </c>
      <c r="C438" s="4" t="s">
        <v>139</v>
      </c>
      <c r="D438" s="1" t="s">
        <v>126</v>
      </c>
      <c r="E438" s="202">
        <v>134529530</v>
      </c>
      <c r="F438" s="203">
        <v>125099065.67908472</v>
      </c>
      <c r="G438" s="204">
        <v>1.0753839708532049</v>
      </c>
      <c r="I438" s="203">
        <v>125099065.67908472</v>
      </c>
      <c r="J438" s="202">
        <v>9430464.3209152818</v>
      </c>
    </row>
    <row r="439" spans="2:10" x14ac:dyDescent="0.25">
      <c r="B439" s="4">
        <v>2019</v>
      </c>
      <c r="C439" s="4" t="s">
        <v>139</v>
      </c>
      <c r="D439" s="1" t="s">
        <v>133</v>
      </c>
      <c r="E439" s="202">
        <v>38863055</v>
      </c>
      <c r="F439" s="203">
        <v>34588145.075030588</v>
      </c>
      <c r="G439" s="204">
        <v>1.1235946569466513</v>
      </c>
      <c r="I439" s="203">
        <v>34588145.075030588</v>
      </c>
      <c r="J439" s="202">
        <v>4274909.9249694124</v>
      </c>
    </row>
    <row r="440" spans="2:10" x14ac:dyDescent="0.25">
      <c r="B440" s="4">
        <v>2019</v>
      </c>
      <c r="C440" s="4" t="s">
        <v>139</v>
      </c>
      <c r="D440" s="1" t="s">
        <v>134</v>
      </c>
      <c r="E440" s="202">
        <v>232061988</v>
      </c>
      <c r="F440" s="203">
        <v>229620618.93206945</v>
      </c>
      <c r="G440" s="204">
        <v>1.0106321857300316</v>
      </c>
      <c r="I440" s="203">
        <v>229620618.93206948</v>
      </c>
      <c r="J440" s="202">
        <v>2441369.0679305196</v>
      </c>
    </row>
    <row r="441" spans="2:10" x14ac:dyDescent="0.25">
      <c r="B441" s="4">
        <v>2019</v>
      </c>
      <c r="C441" s="4" t="s">
        <v>139</v>
      </c>
      <c r="D441" s="1" t="s">
        <v>135</v>
      </c>
      <c r="E441" s="202">
        <v>72694459</v>
      </c>
      <c r="F441" s="203">
        <v>101727464.55634166</v>
      </c>
      <c r="G441" s="204">
        <v>0.71460012610201484</v>
      </c>
      <c r="I441" s="203">
        <v>101727464.55634166</v>
      </c>
      <c r="J441" s="202">
        <v>-29033005.556341663</v>
      </c>
    </row>
    <row r="442" spans="2:10" x14ac:dyDescent="0.25">
      <c r="B442" s="4">
        <v>2019</v>
      </c>
      <c r="C442" s="4" t="s">
        <v>139</v>
      </c>
      <c r="D442" s="1" t="s">
        <v>300</v>
      </c>
      <c r="E442" s="202">
        <v>158020641</v>
      </c>
      <c r="F442" s="203">
        <v>195000000</v>
      </c>
      <c r="G442" s="204">
        <v>0.81036226153846158</v>
      </c>
      <c r="I442" s="203">
        <v>195000000</v>
      </c>
      <c r="J442" s="202">
        <v>-36979359</v>
      </c>
    </row>
    <row r="443" spans="2:10" x14ac:dyDescent="0.25">
      <c r="B443" s="4">
        <v>2019</v>
      </c>
      <c r="C443" s="4" t="s">
        <v>139</v>
      </c>
      <c r="D443" s="1" t="s">
        <v>137</v>
      </c>
      <c r="E443" s="202">
        <v>61862909</v>
      </c>
      <c r="F443" s="203">
        <v>45595395.589404166</v>
      </c>
      <c r="G443" s="204">
        <v>1.3567797405924078</v>
      </c>
      <c r="I443" s="203">
        <v>45595395.589404166</v>
      </c>
      <c r="J443" s="202">
        <v>16267513.410595834</v>
      </c>
    </row>
    <row r="444" spans="2:10" x14ac:dyDescent="0.25">
      <c r="B444" s="4">
        <v>2019</v>
      </c>
      <c r="C444" s="4" t="s">
        <v>139</v>
      </c>
      <c r="D444" s="1" t="s">
        <v>252</v>
      </c>
      <c r="E444" s="202">
        <v>146799722</v>
      </c>
      <c r="F444" s="203">
        <v>122203424.32765694</v>
      </c>
      <c r="G444" s="204">
        <v>1.2012733915409313</v>
      </c>
      <c r="I444" s="203">
        <v>122203424.32765692</v>
      </c>
      <c r="J444" s="202">
        <v>24596297.672343075</v>
      </c>
    </row>
    <row r="445" spans="2:10" x14ac:dyDescent="0.25">
      <c r="B445" s="4">
        <v>2019</v>
      </c>
      <c r="C445" s="4" t="s">
        <v>139</v>
      </c>
      <c r="D445" s="1" t="s">
        <v>301</v>
      </c>
      <c r="E445" s="202">
        <v>120071453</v>
      </c>
      <c r="F445" s="203">
        <v>107850000</v>
      </c>
      <c r="G445" s="204">
        <v>1.1133189893370421</v>
      </c>
      <c r="I445" s="203">
        <v>107850000</v>
      </c>
      <c r="J445" s="202">
        <v>12221453</v>
      </c>
    </row>
    <row r="446" spans="2:10" x14ac:dyDescent="0.25">
      <c r="B446" s="5">
        <v>2019</v>
      </c>
      <c r="C446" s="5" t="s">
        <v>139</v>
      </c>
      <c r="D446" s="5" t="s">
        <v>430</v>
      </c>
      <c r="E446" s="205">
        <v>2637078394</v>
      </c>
      <c r="F446" s="205">
        <v>2831153708.2341681</v>
      </c>
      <c r="G446" s="206">
        <v>0.93145009623825203</v>
      </c>
      <c r="I446" s="205">
        <v>2831153708.2341681</v>
      </c>
      <c r="J446" s="205">
        <v>-194075314.23416811</v>
      </c>
    </row>
  </sheetData>
  <conditionalFormatting sqref="J2:J16">
    <cfRule type="cellIs" dxfId="172" priority="136" operator="lessThan">
      <formula>0</formula>
    </cfRule>
  </conditionalFormatting>
  <conditionalFormatting sqref="G2:G17">
    <cfRule type="iconSet" priority="137">
      <iconSet iconSet="3Symbols2">
        <cfvo type="percent" val="0"/>
        <cfvo type="num" val="#REF!" gte="0"/>
        <cfvo type="num" val="#REF!"/>
      </iconSet>
    </cfRule>
  </conditionalFormatting>
  <conditionalFormatting sqref="J18:J32">
    <cfRule type="cellIs" dxfId="171" priority="134" operator="lessThan">
      <formula>0</formula>
    </cfRule>
  </conditionalFormatting>
  <conditionalFormatting sqref="G18:G32">
    <cfRule type="iconSet" priority="135">
      <iconSet iconSet="3Symbols2">
        <cfvo type="percent" val="0"/>
        <cfvo type="num" val="#REF!" gte="0"/>
        <cfvo type="num" val="#REF!"/>
      </iconSet>
    </cfRule>
  </conditionalFormatting>
  <conditionalFormatting sqref="G33">
    <cfRule type="iconSet" priority="133">
      <iconSet iconSet="3Symbols2">
        <cfvo type="percent" val="0"/>
        <cfvo type="num" val="#REF!" gte="0"/>
        <cfvo type="num" val="#REF!"/>
      </iconSet>
    </cfRule>
  </conditionalFormatting>
  <conditionalFormatting sqref="J34:J48">
    <cfRule type="cellIs" dxfId="170" priority="131" operator="lessThan">
      <formula>0</formula>
    </cfRule>
  </conditionalFormatting>
  <conditionalFormatting sqref="G34:G48">
    <cfRule type="iconSet" priority="132">
      <iconSet iconSet="3Symbols2">
        <cfvo type="percent" val="0"/>
        <cfvo type="num" val="#REF!" gte="0"/>
        <cfvo type="num" val="#REF!"/>
      </iconSet>
    </cfRule>
  </conditionalFormatting>
  <conditionalFormatting sqref="G49">
    <cfRule type="iconSet" priority="130">
      <iconSet iconSet="3Symbols2">
        <cfvo type="percent" val="0"/>
        <cfvo type="num" val="#REF!" gte="0"/>
        <cfvo type="num" val="#REF!"/>
      </iconSet>
    </cfRule>
  </conditionalFormatting>
  <conditionalFormatting sqref="J50:J64">
    <cfRule type="cellIs" dxfId="169" priority="128" operator="lessThan">
      <formula>0</formula>
    </cfRule>
  </conditionalFormatting>
  <conditionalFormatting sqref="G50:G64">
    <cfRule type="iconSet" priority="129">
      <iconSet iconSet="3Symbols2">
        <cfvo type="percent" val="0"/>
        <cfvo type="num" val="#REF!" gte="0"/>
        <cfvo type="num" val="#REF!"/>
      </iconSet>
    </cfRule>
  </conditionalFormatting>
  <conditionalFormatting sqref="G65">
    <cfRule type="iconSet" priority="127">
      <iconSet iconSet="3Symbols2">
        <cfvo type="percent" val="0"/>
        <cfvo type="num" val="#REF!" gte="0"/>
        <cfvo type="num" val="#REF!"/>
      </iconSet>
    </cfRule>
  </conditionalFormatting>
  <conditionalFormatting sqref="J66:J80">
    <cfRule type="cellIs" dxfId="168" priority="125" operator="lessThan">
      <formula>0</formula>
    </cfRule>
  </conditionalFormatting>
  <conditionalFormatting sqref="G66:G80">
    <cfRule type="iconSet" priority="126">
      <iconSet iconSet="3Symbols2">
        <cfvo type="percent" val="0"/>
        <cfvo type="num" val="#REF!" gte="0"/>
        <cfvo type="num" val="#REF!"/>
      </iconSet>
    </cfRule>
  </conditionalFormatting>
  <conditionalFormatting sqref="G81">
    <cfRule type="iconSet" priority="124">
      <iconSet iconSet="3Symbols2">
        <cfvo type="percent" val="0"/>
        <cfvo type="num" val="#REF!" gte="0"/>
        <cfvo type="num" val="#REF!"/>
      </iconSet>
    </cfRule>
  </conditionalFormatting>
  <conditionalFormatting sqref="Q2">
    <cfRule type="iconSet" priority="123">
      <iconSet iconSet="3Symbols2">
        <cfvo type="percent" val="0"/>
        <cfvo type="num" val="#REF!" gte="0"/>
        <cfvo type="num" val="#REF!"/>
      </iconSet>
    </cfRule>
  </conditionalFormatting>
  <conditionalFormatting sqref="Q3">
    <cfRule type="iconSet" priority="122">
      <iconSet iconSet="3Symbols2">
        <cfvo type="percent" val="0"/>
        <cfvo type="num" val="#REF!" gte="0"/>
        <cfvo type="num" val="#REF!"/>
      </iconSet>
    </cfRule>
  </conditionalFormatting>
  <conditionalFormatting sqref="Q4">
    <cfRule type="iconSet" priority="121">
      <iconSet iconSet="3Symbols2">
        <cfvo type="percent" val="0"/>
        <cfvo type="num" val="#REF!" gte="0"/>
        <cfvo type="num" val="#REF!"/>
      </iconSet>
    </cfRule>
  </conditionalFormatting>
  <conditionalFormatting sqref="Q5">
    <cfRule type="iconSet" priority="120">
      <iconSet iconSet="3Symbols2">
        <cfvo type="percent" val="0"/>
        <cfvo type="num" val="#REF!" gte="0"/>
        <cfvo type="num" val="#REF!"/>
      </iconSet>
    </cfRule>
  </conditionalFormatting>
  <conditionalFormatting sqref="Q6">
    <cfRule type="iconSet" priority="119">
      <iconSet iconSet="3Symbols2">
        <cfvo type="percent" val="0"/>
        <cfvo type="num" val="#REF!" gte="0"/>
        <cfvo type="num" val="#REF!"/>
      </iconSet>
    </cfRule>
  </conditionalFormatting>
  <conditionalFormatting sqref="J82:J96">
    <cfRule type="cellIs" dxfId="167" priority="117" operator="lessThan">
      <formula>0</formula>
    </cfRule>
  </conditionalFormatting>
  <conditionalFormatting sqref="G82:G96">
    <cfRule type="iconSet" priority="118">
      <iconSet iconSet="3Symbols2">
        <cfvo type="percent" val="0"/>
        <cfvo type="num" val="#REF!" gte="0"/>
        <cfvo type="num" val="#REF!"/>
      </iconSet>
    </cfRule>
  </conditionalFormatting>
  <conditionalFormatting sqref="G97">
    <cfRule type="iconSet" priority="116">
      <iconSet iconSet="3Symbols2">
        <cfvo type="percent" val="0"/>
        <cfvo type="num" val="#REF!" gte="0"/>
        <cfvo type="num" val="#REF!"/>
      </iconSet>
    </cfRule>
  </conditionalFormatting>
  <conditionalFormatting sqref="Q7">
    <cfRule type="iconSet" priority="115">
      <iconSet iconSet="3Symbols2">
        <cfvo type="percent" val="0"/>
        <cfvo type="num" val="#REF!" gte="0"/>
        <cfvo type="num" val="#REF!"/>
      </iconSet>
    </cfRule>
  </conditionalFormatting>
  <conditionalFormatting sqref="J98:J112">
    <cfRule type="cellIs" dxfId="166" priority="114" operator="lessThan">
      <formula>0</formula>
    </cfRule>
  </conditionalFormatting>
  <conditionalFormatting sqref="G98:G112">
    <cfRule type="iconSet" priority="113">
      <iconSet iconSet="3Symbols2">
        <cfvo type="percent" val="0"/>
        <cfvo type="num" val="#REF!" gte="0"/>
        <cfvo type="num" val="#REF!"/>
      </iconSet>
    </cfRule>
  </conditionalFormatting>
  <conditionalFormatting sqref="G113">
    <cfRule type="iconSet" priority="112">
      <iconSet iconSet="3Symbols2">
        <cfvo type="percent" val="0"/>
        <cfvo type="num" val="#REF!" gte="0"/>
        <cfvo type="num" val="#REF!"/>
      </iconSet>
    </cfRule>
  </conditionalFormatting>
  <conditionalFormatting sqref="J114:J128">
    <cfRule type="cellIs" dxfId="165" priority="111" operator="lessThan">
      <formula>0</formula>
    </cfRule>
  </conditionalFormatting>
  <conditionalFormatting sqref="G114:G128">
    <cfRule type="iconSet" priority="110">
      <iconSet iconSet="3Symbols2">
        <cfvo type="percent" val="0"/>
        <cfvo type="num" val="#REF!" gte="0"/>
        <cfvo type="num" val="#REF!"/>
      </iconSet>
    </cfRule>
  </conditionalFormatting>
  <conditionalFormatting sqref="G129">
    <cfRule type="iconSet" priority="109">
      <iconSet iconSet="3Symbols2">
        <cfvo type="percent" val="0"/>
        <cfvo type="num" val="#REF!" gte="0"/>
        <cfvo type="num" val="#REF!"/>
      </iconSet>
    </cfRule>
  </conditionalFormatting>
  <conditionalFormatting sqref="Q9">
    <cfRule type="iconSet" priority="108">
      <iconSet iconSet="3Symbols2">
        <cfvo type="percent" val="0"/>
        <cfvo type="num" val="#REF!" gte="0"/>
        <cfvo type="num" val="#REF!"/>
      </iconSet>
    </cfRule>
  </conditionalFormatting>
  <conditionalFormatting sqref="J130:J144">
    <cfRule type="cellIs" dxfId="164" priority="107" operator="lessThan">
      <formula>0</formula>
    </cfRule>
  </conditionalFormatting>
  <conditionalFormatting sqref="G130:G144">
    <cfRule type="iconSet" priority="106">
      <iconSet iconSet="3Symbols2">
        <cfvo type="percent" val="0"/>
        <cfvo type="num" val="#REF!" gte="0"/>
        <cfvo type="num" val="#REF!"/>
      </iconSet>
    </cfRule>
  </conditionalFormatting>
  <conditionalFormatting sqref="G145">
    <cfRule type="iconSet" priority="105">
      <iconSet iconSet="3Symbols2">
        <cfvo type="percent" val="0"/>
        <cfvo type="num" val="#REF!" gte="0"/>
        <cfvo type="num" val="#REF!"/>
      </iconSet>
    </cfRule>
  </conditionalFormatting>
  <conditionalFormatting sqref="Q10">
    <cfRule type="iconSet" priority="104">
      <iconSet iconSet="3Symbols2">
        <cfvo type="percent" val="0"/>
        <cfvo type="num" val="#REF!" gte="0"/>
        <cfvo type="num" val="#REF!"/>
      </iconSet>
    </cfRule>
  </conditionalFormatting>
  <conditionalFormatting sqref="J146:J160">
    <cfRule type="cellIs" dxfId="163" priority="103" operator="lessThan">
      <formula>0</formula>
    </cfRule>
  </conditionalFormatting>
  <conditionalFormatting sqref="G146:G160">
    <cfRule type="iconSet" priority="102">
      <iconSet iconSet="3Symbols2">
        <cfvo type="percent" val="0"/>
        <cfvo type="num" val="#REF!" gte="0"/>
        <cfvo type="num" val="#REF!"/>
      </iconSet>
    </cfRule>
  </conditionalFormatting>
  <conditionalFormatting sqref="G161">
    <cfRule type="iconSet" priority="101">
      <iconSet iconSet="3Symbols2">
        <cfvo type="percent" val="0"/>
        <cfvo type="num" val="#REF!" gte="0"/>
        <cfvo type="num" val="#REF!"/>
      </iconSet>
    </cfRule>
  </conditionalFormatting>
  <conditionalFormatting sqref="J162:J176">
    <cfRule type="cellIs" dxfId="162" priority="100" operator="lessThan">
      <formula>0</formula>
    </cfRule>
  </conditionalFormatting>
  <conditionalFormatting sqref="G162:G176">
    <cfRule type="iconSet" priority="99">
      <iconSet iconSet="3Symbols2">
        <cfvo type="percent" val="0"/>
        <cfvo type="num" val="#REF!" gte="0"/>
        <cfvo type="num" val="#REF!"/>
      </iconSet>
    </cfRule>
  </conditionalFormatting>
  <conditionalFormatting sqref="G177">
    <cfRule type="iconSet" priority="98">
      <iconSet iconSet="3Symbols2">
        <cfvo type="percent" val="0"/>
        <cfvo type="num" val="#REF!" gte="0"/>
        <cfvo type="num" val="#REF!"/>
      </iconSet>
    </cfRule>
  </conditionalFormatting>
  <conditionalFormatting sqref="J178:J192">
    <cfRule type="cellIs" dxfId="161" priority="97" operator="lessThan">
      <formula>0</formula>
    </cfRule>
  </conditionalFormatting>
  <conditionalFormatting sqref="G178:G192">
    <cfRule type="iconSet" priority="96">
      <iconSet iconSet="3Symbols2">
        <cfvo type="percent" val="0"/>
        <cfvo type="num" val="#REF!" gte="0"/>
        <cfvo type="num" val="#REF!"/>
      </iconSet>
    </cfRule>
  </conditionalFormatting>
  <conditionalFormatting sqref="G193">
    <cfRule type="iconSet" priority="95">
      <iconSet iconSet="3Symbols2">
        <cfvo type="percent" val="0"/>
        <cfvo type="num" val="#REF!" gte="0"/>
        <cfvo type="num" val="#REF!"/>
      </iconSet>
    </cfRule>
  </conditionalFormatting>
  <conditionalFormatting sqref="Q8">
    <cfRule type="iconSet" priority="94">
      <iconSet iconSet="3Symbols2">
        <cfvo type="percent" val="0"/>
        <cfvo type="num" val="#REF!" gte="0"/>
        <cfvo type="num" val="#REF!"/>
      </iconSet>
    </cfRule>
  </conditionalFormatting>
  <conditionalFormatting sqref="Q11">
    <cfRule type="iconSet" priority="93">
      <iconSet iconSet="3Symbols2">
        <cfvo type="percent" val="0"/>
        <cfvo type="num" val="#REF!" gte="0"/>
        <cfvo type="num" val="#REF!"/>
      </iconSet>
    </cfRule>
  </conditionalFormatting>
  <conditionalFormatting sqref="Q12">
    <cfRule type="iconSet" priority="92">
      <iconSet iconSet="3Symbols2">
        <cfvo type="percent" val="0"/>
        <cfvo type="num" val="#REF!" gte="0"/>
        <cfvo type="num" val="#REF!"/>
      </iconSet>
    </cfRule>
  </conditionalFormatting>
  <conditionalFormatting sqref="Q13">
    <cfRule type="iconSet" priority="91">
      <iconSet iconSet="3Symbols2">
        <cfvo type="percent" val="0"/>
        <cfvo type="num" val="#REF!" gte="0"/>
        <cfvo type="num" val="#REF!"/>
      </iconSet>
    </cfRule>
  </conditionalFormatting>
  <conditionalFormatting sqref="J194:J208">
    <cfRule type="cellIs" dxfId="160" priority="90" operator="lessThan">
      <formula>0</formula>
    </cfRule>
  </conditionalFormatting>
  <conditionalFormatting sqref="G194:G208">
    <cfRule type="iconSet" priority="89">
      <iconSet iconSet="3Symbols2">
        <cfvo type="percent" val="0"/>
        <cfvo type="num" val="#REF!" gte="0"/>
        <cfvo type="num" val="#REF!"/>
      </iconSet>
    </cfRule>
  </conditionalFormatting>
  <conditionalFormatting sqref="G209">
    <cfRule type="iconSet" priority="88">
      <iconSet iconSet="3Symbols2">
        <cfvo type="percent" val="0"/>
        <cfvo type="num" val="#REF!" gte="0"/>
        <cfvo type="num" val="#REF!"/>
      </iconSet>
    </cfRule>
  </conditionalFormatting>
  <conditionalFormatting sqref="J210:J224">
    <cfRule type="cellIs" dxfId="159" priority="87" operator="lessThan">
      <formula>0</formula>
    </cfRule>
  </conditionalFormatting>
  <conditionalFormatting sqref="G210:G224">
    <cfRule type="iconSet" priority="86">
      <iconSet iconSet="3Symbols2">
        <cfvo type="percent" val="0"/>
        <cfvo type="num" val="#REF!" gte="0"/>
        <cfvo type="num" val="#REF!"/>
      </iconSet>
    </cfRule>
  </conditionalFormatting>
  <conditionalFormatting sqref="G225">
    <cfRule type="iconSet" priority="85">
      <iconSet iconSet="3Symbols2">
        <cfvo type="percent" val="0"/>
        <cfvo type="num" val="#REF!" gte="0"/>
        <cfvo type="num" val="#REF!"/>
      </iconSet>
    </cfRule>
  </conditionalFormatting>
  <conditionalFormatting sqref="Q14">
    <cfRule type="iconSet" priority="84">
      <iconSet iconSet="3Symbols2">
        <cfvo type="percent" val="0"/>
        <cfvo type="num" val="#REF!" gte="0"/>
        <cfvo type="num" val="#REF!"/>
      </iconSet>
    </cfRule>
  </conditionalFormatting>
  <conditionalFormatting sqref="Q15">
    <cfRule type="iconSet" priority="83">
      <iconSet iconSet="3Symbols2">
        <cfvo type="percent" val="0"/>
        <cfvo type="num" val="#REF!" gte="0"/>
        <cfvo type="num" val="#REF!"/>
      </iconSet>
    </cfRule>
  </conditionalFormatting>
  <conditionalFormatting sqref="J226:J240">
    <cfRule type="cellIs" dxfId="158" priority="82" operator="lessThan">
      <formula>0</formula>
    </cfRule>
  </conditionalFormatting>
  <conditionalFormatting sqref="G226:G240">
    <cfRule type="iconSet" priority="81">
      <iconSet iconSet="3Symbols2">
        <cfvo type="percent" val="0"/>
        <cfvo type="num" val="#REF!" gte="0"/>
        <cfvo type="num" val="#REF!"/>
      </iconSet>
    </cfRule>
  </conditionalFormatting>
  <conditionalFormatting sqref="G241">
    <cfRule type="iconSet" priority="80">
      <iconSet iconSet="3Symbols2">
        <cfvo type="percent" val="0"/>
        <cfvo type="num" val="#REF!" gte="0"/>
        <cfvo type="num" val="#REF!"/>
      </iconSet>
    </cfRule>
  </conditionalFormatting>
  <conditionalFormatting sqref="Q16">
    <cfRule type="iconSet" priority="79">
      <iconSet iconSet="3Symbols2">
        <cfvo type="percent" val="0"/>
        <cfvo type="num" val="#REF!" gte="0"/>
        <cfvo type="num" val="#REF!"/>
      </iconSet>
    </cfRule>
  </conditionalFormatting>
  <conditionalFormatting sqref="J242:J256">
    <cfRule type="cellIs" dxfId="157" priority="78" operator="lessThan">
      <formula>0</formula>
    </cfRule>
  </conditionalFormatting>
  <conditionalFormatting sqref="Q17">
    <cfRule type="iconSet" priority="77">
      <iconSet iconSet="3Symbols2">
        <cfvo type="percent" val="0"/>
        <cfvo type="num" val="#REF!" gte="0"/>
        <cfvo type="num" val="#REF!"/>
      </iconSet>
    </cfRule>
  </conditionalFormatting>
  <conditionalFormatting sqref="G242:G256">
    <cfRule type="iconSet" priority="76">
      <iconSet iconSet="3Symbols2">
        <cfvo type="percent" val="0"/>
        <cfvo type="num" val="#REF!" gte="0"/>
        <cfvo type="num" val="#REF!"/>
      </iconSet>
    </cfRule>
  </conditionalFormatting>
  <conditionalFormatting sqref="G257">
    <cfRule type="iconSet" priority="75">
      <iconSet iconSet="3Symbols2">
        <cfvo type="percent" val="0"/>
        <cfvo type="num" val="#REF!" gte="0"/>
        <cfvo type="num" val="#REF!"/>
      </iconSet>
    </cfRule>
  </conditionalFormatting>
  <conditionalFormatting sqref="J258:J273">
    <cfRule type="cellIs" dxfId="156" priority="74" operator="lessThan">
      <formula>0</formula>
    </cfRule>
  </conditionalFormatting>
  <conditionalFormatting sqref="G258:G273">
    <cfRule type="iconSet" priority="73">
      <iconSet iconSet="3Symbols2">
        <cfvo type="percent" val="0"/>
        <cfvo type="num" val="#REF!" gte="0"/>
        <cfvo type="num" val="#REF!"/>
      </iconSet>
    </cfRule>
  </conditionalFormatting>
  <conditionalFormatting sqref="G274">
    <cfRule type="iconSet" priority="72">
      <iconSet iconSet="3Symbols2">
        <cfvo type="percent" val="0"/>
        <cfvo type="num" val="#REF!" gte="0"/>
        <cfvo type="num" val="#REF!"/>
      </iconSet>
    </cfRule>
  </conditionalFormatting>
  <conditionalFormatting sqref="J275:J290">
    <cfRule type="cellIs" dxfId="155" priority="71" operator="lessThan">
      <formula>0</formula>
    </cfRule>
  </conditionalFormatting>
  <conditionalFormatting sqref="G275:G290">
    <cfRule type="iconSet" priority="70">
      <iconSet iconSet="3Symbols2">
        <cfvo type="percent" val="0"/>
        <cfvo type="num" val="#REF!" gte="0"/>
        <cfvo type="num" val="#REF!"/>
      </iconSet>
    </cfRule>
  </conditionalFormatting>
  <conditionalFormatting sqref="G291">
    <cfRule type="iconSet" priority="69">
      <iconSet iconSet="3Symbols2">
        <cfvo type="percent" val="0"/>
        <cfvo type="num" val="#REF!" gte="0"/>
        <cfvo type="num" val="#REF!"/>
      </iconSet>
    </cfRule>
  </conditionalFormatting>
  <conditionalFormatting sqref="Q18">
    <cfRule type="iconSet" priority="68">
      <iconSet iconSet="3Symbols2">
        <cfvo type="percent" val="0"/>
        <cfvo type="num" val="#REF!" gte="0"/>
        <cfvo type="num" val="#REF!"/>
      </iconSet>
    </cfRule>
  </conditionalFormatting>
  <conditionalFormatting sqref="Q19">
    <cfRule type="iconSet" priority="67">
      <iconSet iconSet="3Symbols2">
        <cfvo type="percent" val="0"/>
        <cfvo type="num" val="#REF!" gte="0"/>
        <cfvo type="num" val="#REF!"/>
      </iconSet>
    </cfRule>
  </conditionalFormatting>
  <conditionalFormatting sqref="J292:J306">
    <cfRule type="cellIs" dxfId="154" priority="66" operator="lessThan">
      <formula>0</formula>
    </cfRule>
  </conditionalFormatting>
  <conditionalFormatting sqref="G292:G306">
    <cfRule type="iconSet" priority="65">
      <iconSet iconSet="3Symbols2">
        <cfvo type="percent" val="0"/>
        <cfvo type="num" val="#REF!" gte="0"/>
        <cfvo type="num" val="#REF!"/>
      </iconSet>
    </cfRule>
  </conditionalFormatting>
  <conditionalFormatting sqref="G307">
    <cfRule type="iconSet" priority="64">
      <iconSet iconSet="3Symbols2">
        <cfvo type="percent" val="0"/>
        <cfvo type="num" val="#REF!" gte="0"/>
        <cfvo type="num" val="#REF!"/>
      </iconSet>
    </cfRule>
  </conditionalFormatting>
  <conditionalFormatting sqref="Q20">
    <cfRule type="iconSet" priority="63">
      <iconSet iconSet="3Symbols2">
        <cfvo type="percent" val="0"/>
        <cfvo type="num" val="#REF!" gte="0"/>
        <cfvo type="num" val="#REF!"/>
      </iconSet>
    </cfRule>
  </conditionalFormatting>
  <conditionalFormatting sqref="J308:J321">
    <cfRule type="cellIs" dxfId="153" priority="62" operator="lessThan">
      <formula>0</formula>
    </cfRule>
  </conditionalFormatting>
  <conditionalFormatting sqref="G308:G321">
    <cfRule type="iconSet" priority="61">
      <iconSet iconSet="3Symbols2">
        <cfvo type="percent" val="0"/>
        <cfvo type="num" val="#REF!" gte="0"/>
        <cfvo type="num" val="#REF!"/>
      </iconSet>
    </cfRule>
  </conditionalFormatting>
  <conditionalFormatting sqref="J322">
    <cfRule type="cellIs" dxfId="152" priority="60" operator="lessThan">
      <formula>0</formula>
    </cfRule>
  </conditionalFormatting>
  <conditionalFormatting sqref="G322">
    <cfRule type="iconSet" priority="59">
      <iconSet iconSet="3Symbols2">
        <cfvo type="percent" val="0"/>
        <cfvo type="num" val="#REF!" gte="0"/>
        <cfvo type="num" val="#REF!"/>
      </iconSet>
    </cfRule>
  </conditionalFormatting>
  <conditionalFormatting sqref="G323">
    <cfRule type="iconSet" priority="58">
      <iconSet iconSet="3Symbols2">
        <cfvo type="percent" val="0"/>
        <cfvo type="num" val="#REF!" gte="0"/>
        <cfvo type="num" val="#REF!"/>
      </iconSet>
    </cfRule>
  </conditionalFormatting>
  <conditionalFormatting sqref="Q21">
    <cfRule type="iconSet" priority="57">
      <iconSet iconSet="3Symbols2">
        <cfvo type="percent" val="0"/>
        <cfvo type="num" val="#REF!" gte="0"/>
        <cfvo type="num" val="#REF!"/>
      </iconSet>
    </cfRule>
  </conditionalFormatting>
  <conditionalFormatting sqref="J324:J337">
    <cfRule type="cellIs" dxfId="151" priority="56" operator="lessThan">
      <formula>0</formula>
    </cfRule>
  </conditionalFormatting>
  <conditionalFormatting sqref="G324:G337">
    <cfRule type="iconSet" priority="55">
      <iconSet iconSet="3Symbols2">
        <cfvo type="percent" val="0"/>
        <cfvo type="num" val="#REF!" gte="0"/>
        <cfvo type="num" val="#REF!"/>
      </iconSet>
    </cfRule>
  </conditionalFormatting>
  <conditionalFormatting sqref="J338">
    <cfRule type="cellIs" dxfId="150" priority="54" operator="lessThan">
      <formula>0</formula>
    </cfRule>
  </conditionalFormatting>
  <conditionalFormatting sqref="G338">
    <cfRule type="iconSet" priority="53">
      <iconSet iconSet="3Symbols2">
        <cfvo type="percent" val="0"/>
        <cfvo type="num" val="#REF!" gte="0"/>
        <cfvo type="num" val="#REF!"/>
      </iconSet>
    </cfRule>
  </conditionalFormatting>
  <conditionalFormatting sqref="G339">
    <cfRule type="iconSet" priority="52">
      <iconSet iconSet="3Symbols2">
        <cfvo type="percent" val="0"/>
        <cfvo type="num" val="#REF!" gte="0"/>
        <cfvo type="num" val="#REF!"/>
      </iconSet>
    </cfRule>
  </conditionalFormatting>
  <conditionalFormatting sqref="Q22">
    <cfRule type="iconSet" priority="51">
      <iconSet iconSet="3Symbols2">
        <cfvo type="percent" val="0"/>
        <cfvo type="num" val="#REF!" gte="0"/>
        <cfvo type="num" val="#REF!"/>
      </iconSet>
    </cfRule>
  </conditionalFormatting>
  <conditionalFormatting sqref="G356">
    <cfRule type="iconSet" priority="50">
      <iconSet iconSet="3Symbols2">
        <cfvo type="percent" val="0"/>
        <cfvo type="num" val="#REF!" gte="0"/>
        <cfvo type="num" val="#REF!"/>
      </iconSet>
    </cfRule>
  </conditionalFormatting>
  <conditionalFormatting sqref="J340:J353">
    <cfRule type="cellIs" dxfId="149" priority="49" operator="lessThan">
      <formula>0</formula>
    </cfRule>
  </conditionalFormatting>
  <conditionalFormatting sqref="G340:G353">
    <cfRule type="iconSet" priority="48">
      <iconSet iconSet="3Symbols2">
        <cfvo type="percent" val="0"/>
        <cfvo type="num" val="#REF!" gte="0"/>
        <cfvo type="num" val="#REF!"/>
      </iconSet>
    </cfRule>
  </conditionalFormatting>
  <conditionalFormatting sqref="J354">
    <cfRule type="cellIs" dxfId="148" priority="47" operator="lessThan">
      <formula>0</formula>
    </cfRule>
  </conditionalFormatting>
  <conditionalFormatting sqref="G354">
    <cfRule type="iconSet" priority="46">
      <iconSet iconSet="3Symbols2">
        <cfvo type="percent" val="0"/>
        <cfvo type="num" val="#REF!" gte="0"/>
        <cfvo type="num" val="#REF!"/>
      </iconSet>
    </cfRule>
  </conditionalFormatting>
  <conditionalFormatting sqref="J355">
    <cfRule type="cellIs" dxfId="147" priority="45" operator="lessThan">
      <formula>0</formula>
    </cfRule>
  </conditionalFormatting>
  <conditionalFormatting sqref="G355">
    <cfRule type="iconSet" priority="44">
      <iconSet iconSet="3Symbols2">
        <cfvo type="percent" val="0"/>
        <cfvo type="num" val="#REF!" gte="0"/>
        <cfvo type="num" val="#REF!"/>
      </iconSet>
    </cfRule>
  </conditionalFormatting>
  <conditionalFormatting sqref="Q23">
    <cfRule type="iconSet" priority="43">
      <iconSet iconSet="3Symbols2">
        <cfvo type="percent" val="0"/>
        <cfvo type="num" val="#REF!" gte="0"/>
        <cfvo type="num" val="#REF!"/>
      </iconSet>
    </cfRule>
  </conditionalFormatting>
  <conditionalFormatting sqref="G373">
    <cfRule type="iconSet" priority="42">
      <iconSet iconSet="3Symbols2">
        <cfvo type="percent" val="0"/>
        <cfvo type="num" val="#REF!" gte="0"/>
        <cfvo type="num" val="#REF!"/>
      </iconSet>
    </cfRule>
  </conditionalFormatting>
  <conditionalFormatting sqref="J357:J370">
    <cfRule type="cellIs" dxfId="146" priority="41" operator="lessThan">
      <formula>0</formula>
    </cfRule>
  </conditionalFormatting>
  <conditionalFormatting sqref="G357:G370">
    <cfRule type="iconSet" priority="40">
      <iconSet iconSet="3Symbols2">
        <cfvo type="percent" val="0"/>
        <cfvo type="num" val="#REF!" gte="0"/>
        <cfvo type="num" val="#REF!"/>
      </iconSet>
    </cfRule>
  </conditionalFormatting>
  <conditionalFormatting sqref="J371">
    <cfRule type="cellIs" dxfId="145" priority="39" operator="lessThan">
      <formula>0</formula>
    </cfRule>
  </conditionalFormatting>
  <conditionalFormatting sqref="G371">
    <cfRule type="iconSet" priority="38">
      <iconSet iconSet="3Symbols2">
        <cfvo type="percent" val="0"/>
        <cfvo type="num" val="#REF!" gte="0"/>
        <cfvo type="num" val="#REF!"/>
      </iconSet>
    </cfRule>
  </conditionalFormatting>
  <conditionalFormatting sqref="J372">
    <cfRule type="cellIs" dxfId="144" priority="37" operator="lessThan">
      <formula>0</formula>
    </cfRule>
  </conditionalFormatting>
  <conditionalFormatting sqref="G372">
    <cfRule type="iconSet" priority="36">
      <iconSet iconSet="3Symbols2">
        <cfvo type="percent" val="0"/>
        <cfvo type="num" val="#REF!" gte="0"/>
        <cfvo type="num" val="#REF!"/>
      </iconSet>
    </cfRule>
  </conditionalFormatting>
  <conditionalFormatting sqref="J373">
    <cfRule type="cellIs" dxfId="143" priority="35" operator="lessThan">
      <formula>0</formula>
    </cfRule>
  </conditionalFormatting>
  <conditionalFormatting sqref="G373">
    <cfRule type="iconSet" priority="34">
      <iconSet iconSet="3Symbols2">
        <cfvo type="percent" val="0"/>
        <cfvo type="num" val="#REF!" gte="0"/>
        <cfvo type="num" val="#REF!"/>
      </iconSet>
    </cfRule>
  </conditionalFormatting>
  <conditionalFormatting sqref="G374">
    <cfRule type="iconSet" priority="33">
      <iconSet iconSet="3Symbols2">
        <cfvo type="percent" val="0"/>
        <cfvo type="num" val="#REF!" gte="0"/>
        <cfvo type="num" val="#REF!"/>
      </iconSet>
    </cfRule>
  </conditionalFormatting>
  <conditionalFormatting sqref="Q24">
    <cfRule type="iconSet" priority="32">
      <iconSet iconSet="3Symbols2">
        <cfvo type="percent" val="0"/>
        <cfvo type="num" val="#REF!" gte="0"/>
        <cfvo type="num" val="#REF!"/>
      </iconSet>
    </cfRule>
  </conditionalFormatting>
  <conditionalFormatting sqref="G391">
    <cfRule type="iconSet" priority="31">
      <iconSet iconSet="3Symbols2">
        <cfvo type="percent" val="0"/>
        <cfvo type="num" val="#REF!" gte="0"/>
        <cfvo type="num" val="#REF!"/>
      </iconSet>
    </cfRule>
  </conditionalFormatting>
  <conditionalFormatting sqref="J375:J388">
    <cfRule type="cellIs" dxfId="142" priority="30" operator="lessThan">
      <formula>0</formula>
    </cfRule>
  </conditionalFormatting>
  <conditionalFormatting sqref="G375:G388">
    <cfRule type="iconSet" priority="29">
      <iconSet iconSet="3Symbols2">
        <cfvo type="percent" val="0"/>
        <cfvo type="num" val="#REF!" gte="0"/>
        <cfvo type="num" val="#REF!"/>
      </iconSet>
    </cfRule>
  </conditionalFormatting>
  <conditionalFormatting sqref="J389">
    <cfRule type="cellIs" dxfId="141" priority="28" operator="lessThan">
      <formula>0</formula>
    </cfRule>
  </conditionalFormatting>
  <conditionalFormatting sqref="G389">
    <cfRule type="iconSet" priority="27">
      <iconSet iconSet="3Symbols2">
        <cfvo type="percent" val="0"/>
        <cfvo type="num" val="#REF!" gte="0"/>
        <cfvo type="num" val="#REF!"/>
      </iconSet>
    </cfRule>
  </conditionalFormatting>
  <conditionalFormatting sqref="J390">
    <cfRule type="cellIs" dxfId="140" priority="26" operator="lessThan">
      <formula>0</formula>
    </cfRule>
  </conditionalFormatting>
  <conditionalFormatting sqref="G390">
    <cfRule type="iconSet" priority="25">
      <iconSet iconSet="3Symbols2">
        <cfvo type="percent" val="0"/>
        <cfvo type="num" val="#REF!" gte="0"/>
        <cfvo type="num" val="#REF!"/>
      </iconSet>
    </cfRule>
  </conditionalFormatting>
  <conditionalFormatting sqref="J391">
    <cfRule type="cellIs" dxfId="139" priority="24" operator="lessThan">
      <formula>0</formula>
    </cfRule>
  </conditionalFormatting>
  <conditionalFormatting sqref="G391">
    <cfRule type="iconSet" priority="23">
      <iconSet iconSet="3Symbols2">
        <cfvo type="percent" val="0"/>
        <cfvo type="num" val="#REF!" gte="0"/>
        <cfvo type="num" val="#REF!"/>
      </iconSet>
    </cfRule>
  </conditionalFormatting>
  <conditionalFormatting sqref="G392">
    <cfRule type="iconSet" priority="22">
      <iconSet iconSet="3Symbols2">
        <cfvo type="percent" val="0"/>
        <cfvo type="num" val="#REF!" gte="0"/>
        <cfvo type="num" val="#REF!"/>
      </iconSet>
    </cfRule>
  </conditionalFormatting>
  <conditionalFormatting sqref="Q25">
    <cfRule type="iconSet" priority="21">
      <iconSet iconSet="3Symbols2">
        <cfvo type="percent" val="0"/>
        <cfvo type="num" val="#REF!" gte="0"/>
        <cfvo type="num" val="#REF!"/>
      </iconSet>
    </cfRule>
  </conditionalFormatting>
  <conditionalFormatting sqref="J394:J407">
    <cfRule type="cellIs" dxfId="138" priority="20" operator="lessThan">
      <formula>0</formula>
    </cfRule>
  </conditionalFormatting>
  <conditionalFormatting sqref="G394:G407">
    <cfRule type="iconSet" priority="19">
      <iconSet iconSet="3Symbols2">
        <cfvo type="percent" val="0"/>
        <cfvo type="num" val="#REF!" gte="0"/>
        <cfvo type="num" val="#REF!"/>
      </iconSet>
    </cfRule>
  </conditionalFormatting>
  <conditionalFormatting sqref="J408">
    <cfRule type="cellIs" dxfId="137" priority="18" operator="lessThan">
      <formula>0</formula>
    </cfRule>
  </conditionalFormatting>
  <conditionalFormatting sqref="G408">
    <cfRule type="iconSet" priority="17">
      <iconSet iconSet="3Symbols2">
        <cfvo type="percent" val="0"/>
        <cfvo type="num" val="#REF!" gte="0"/>
        <cfvo type="num" val="#REF!"/>
      </iconSet>
    </cfRule>
  </conditionalFormatting>
  <conditionalFormatting sqref="J409">
    <cfRule type="cellIs" dxfId="136" priority="16" operator="lessThan">
      <formula>0</formula>
    </cfRule>
  </conditionalFormatting>
  <conditionalFormatting sqref="G409">
    <cfRule type="iconSet" priority="15">
      <iconSet iconSet="3Symbols2">
        <cfvo type="percent" val="0"/>
        <cfvo type="num" val="#REF!" gte="0"/>
        <cfvo type="num" val="#REF!"/>
      </iconSet>
    </cfRule>
  </conditionalFormatting>
  <conditionalFormatting sqref="G410">
    <cfRule type="iconSet" priority="14">
      <iconSet iconSet="3Symbols2">
        <cfvo type="percent" val="0"/>
        <cfvo type="num" val="#REF!" gte="0"/>
        <cfvo type="num" val="#REF!"/>
      </iconSet>
    </cfRule>
  </conditionalFormatting>
  <conditionalFormatting sqref="J393">
    <cfRule type="cellIs" dxfId="135" priority="13" operator="lessThan">
      <formula>0</formula>
    </cfRule>
  </conditionalFormatting>
  <conditionalFormatting sqref="G393">
    <cfRule type="iconSet" priority="12">
      <iconSet iconSet="3Symbols2">
        <cfvo type="percent" val="0"/>
        <cfvo type="num" val="#REF!" gte="0"/>
        <cfvo type="num" val="#REF!"/>
      </iconSet>
    </cfRule>
  </conditionalFormatting>
  <conditionalFormatting sqref="Q26">
    <cfRule type="iconSet" priority="11">
      <iconSet iconSet="3Symbols2">
        <cfvo type="percent" val="0"/>
        <cfvo type="num" val="#REF!" gte="0"/>
        <cfvo type="num" val="#REF!"/>
      </iconSet>
    </cfRule>
  </conditionalFormatting>
  <conditionalFormatting sqref="J411:J427">
    <cfRule type="cellIs" dxfId="134" priority="10" operator="lessThan">
      <formula>0</formula>
    </cfRule>
  </conditionalFormatting>
  <conditionalFormatting sqref="G411:G427">
    <cfRule type="iconSet" priority="9">
      <iconSet iconSet="3Symbols2">
        <cfvo type="percent" val="0"/>
        <cfvo type="num" val="#REF!" gte="0"/>
        <cfvo type="num" val="#REF!"/>
      </iconSet>
    </cfRule>
  </conditionalFormatting>
  <conditionalFormatting sqref="G428">
    <cfRule type="iconSet" priority="8">
      <iconSet iconSet="3Symbols2">
        <cfvo type="percent" val="0"/>
        <cfvo type="num" val="#REF!" gte="0"/>
        <cfvo type="num" val="#REF!"/>
      </iconSet>
    </cfRule>
  </conditionalFormatting>
  <conditionalFormatting sqref="Q27">
    <cfRule type="iconSet" priority="7">
      <iconSet iconSet="3Symbols2">
        <cfvo type="percent" val="0"/>
        <cfvo type="num" val="#REF!" gte="0"/>
        <cfvo type="num" val="#REF!"/>
      </iconSet>
    </cfRule>
  </conditionalFormatting>
  <conditionalFormatting sqref="J429:J445">
    <cfRule type="cellIs" dxfId="133" priority="4" operator="lessThan">
      <formula>0</formula>
    </cfRule>
  </conditionalFormatting>
  <conditionalFormatting sqref="G429:G445">
    <cfRule type="iconSet" priority="3">
      <iconSet iconSet="3Symbols2">
        <cfvo type="percent" val="0"/>
        <cfvo type="num" val="#REF!" gte="0"/>
        <cfvo type="num" val="#REF!"/>
      </iconSet>
    </cfRule>
  </conditionalFormatting>
  <conditionalFormatting sqref="G446">
    <cfRule type="iconSet" priority="2">
      <iconSet iconSet="3Symbols2">
        <cfvo type="percent" val="0"/>
        <cfvo type="num" val="#REF!" gte="0"/>
        <cfvo type="num" val="#REF!"/>
      </iconSet>
    </cfRule>
  </conditionalFormatting>
  <conditionalFormatting sqref="Q28">
    <cfRule type="iconSet" priority="1">
      <iconSet iconSet="3Symbols2">
        <cfvo type="percent" val="0"/>
        <cfvo type="num" val="#REF!" gte="0"/>
        <cfvo type="num" val="#REF!"/>
      </iconSet>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rgb="FF0070C0"/>
  </sheetPr>
  <dimension ref="A1:Z2043"/>
  <sheetViews>
    <sheetView zoomScale="85" zoomScaleNormal="85" workbookViewId="0">
      <pane ySplit="1" topLeftCell="A2032" activePane="bottomLeft" state="frozen"/>
      <selection activeCell="M9" sqref="M9"/>
      <selection pane="bottomLeft" activeCell="A2046" sqref="A2046"/>
    </sheetView>
  </sheetViews>
  <sheetFormatPr baseColWidth="10" defaultRowHeight="15" x14ac:dyDescent="0.25"/>
  <cols>
    <col min="1" max="1" width="6.7109375" style="26" bestFit="1" customWidth="1"/>
    <col min="2" max="2" width="14.7109375" style="26" customWidth="1"/>
    <col min="3" max="3" width="5.140625" style="26" bestFit="1" customWidth="1"/>
    <col min="4" max="4" width="10.42578125" style="19" bestFit="1" customWidth="1"/>
    <col min="5" max="5" width="11.5703125" style="19" bestFit="1" customWidth="1"/>
    <col min="6" max="6" width="11.28515625" style="19" bestFit="1" customWidth="1"/>
    <col min="7" max="7" width="32.28515625" style="19" bestFit="1" customWidth="1"/>
    <col min="8" max="8" width="13.140625" style="19" customWidth="1"/>
    <col min="9" max="9" width="11.7109375" style="19" customWidth="1"/>
    <col min="10" max="10" width="14.42578125" style="19" bestFit="1" customWidth="1"/>
    <col min="11" max="11" width="13.28515625" style="19" customWidth="1"/>
    <col min="12" max="12" width="13.85546875" style="19" customWidth="1"/>
    <col min="13" max="13" width="15.140625" style="19" customWidth="1"/>
    <col min="14" max="14" width="6" style="26" bestFit="1" customWidth="1"/>
    <col min="15" max="15" width="6.85546875" style="26" bestFit="1" customWidth="1"/>
    <col min="16" max="16" width="26.140625" style="19" bestFit="1" customWidth="1"/>
    <col min="17" max="17" width="10.28515625" style="19" bestFit="1" customWidth="1"/>
    <col min="18" max="18" width="16.140625" style="19" bestFit="1" customWidth="1"/>
    <col min="19" max="19" width="10.85546875" style="26" bestFit="1" customWidth="1"/>
    <col min="20" max="20" width="11.28515625" style="37" bestFit="1" customWidth="1"/>
    <col min="21" max="21" width="14.140625" style="26" bestFit="1" customWidth="1"/>
    <col min="22" max="22" width="13.7109375" style="37" bestFit="1" customWidth="1"/>
    <col min="23" max="23" width="13.5703125" style="19" bestFit="1" customWidth="1"/>
    <col min="24" max="24" width="13.140625" style="37" bestFit="1" customWidth="1"/>
    <col min="25" max="25" width="17.42578125" style="37" bestFit="1" customWidth="1"/>
    <col min="26" max="26" width="18.42578125" style="19" bestFit="1" customWidth="1"/>
  </cols>
  <sheetData>
    <row r="1" spans="1:26" ht="25.5" x14ac:dyDescent="0.25">
      <c r="A1" s="13" t="s">
        <v>337</v>
      </c>
      <c r="B1" s="13" t="s">
        <v>234</v>
      </c>
      <c r="C1" s="13" t="s">
        <v>114</v>
      </c>
      <c r="D1" s="13" t="s">
        <v>0</v>
      </c>
      <c r="E1" s="13" t="s">
        <v>31</v>
      </c>
      <c r="F1" s="13" t="s">
        <v>32</v>
      </c>
      <c r="G1" s="13" t="s">
        <v>30</v>
      </c>
      <c r="H1" s="14" t="s">
        <v>76</v>
      </c>
      <c r="I1" s="14" t="s">
        <v>74</v>
      </c>
      <c r="J1" s="14" t="s">
        <v>333</v>
      </c>
      <c r="K1" s="15" t="s">
        <v>75</v>
      </c>
      <c r="L1" s="13" t="s">
        <v>77</v>
      </c>
      <c r="M1" s="13" t="s">
        <v>78</v>
      </c>
      <c r="N1" s="16" t="s">
        <v>174</v>
      </c>
      <c r="O1" s="17" t="s">
        <v>277</v>
      </c>
      <c r="P1" s="18" t="s">
        <v>334</v>
      </c>
      <c r="Q1" s="18" t="s">
        <v>193</v>
      </c>
      <c r="R1" s="18" t="s">
        <v>274</v>
      </c>
      <c r="S1" s="52" t="s">
        <v>278</v>
      </c>
      <c r="T1" s="53" t="s">
        <v>279</v>
      </c>
      <c r="U1" s="52" t="s">
        <v>280</v>
      </c>
      <c r="V1" s="53" t="s">
        <v>281</v>
      </c>
      <c r="W1" s="52" t="s">
        <v>282</v>
      </c>
      <c r="X1" s="53" t="s">
        <v>283</v>
      </c>
      <c r="Y1" s="53" t="s">
        <v>332</v>
      </c>
      <c r="Z1" s="13" t="s">
        <v>316</v>
      </c>
    </row>
    <row r="2" spans="1:26" x14ac:dyDescent="0.25">
      <c r="A2" s="20">
        <f>+VLOOKUP(D2,Back!Q:R,2,0)</f>
        <v>1</v>
      </c>
      <c r="B2" s="20" t="str">
        <f t="shared" ref="B2:B65" si="0">MID(UPPER(C2&amp;" "&amp;D2),1,8)</f>
        <v>2016 ENE</v>
      </c>
      <c r="C2" s="20">
        <v>2016</v>
      </c>
      <c r="D2" s="21" t="s">
        <v>122</v>
      </c>
      <c r="E2" s="21" t="s">
        <v>475</v>
      </c>
      <c r="F2" s="21">
        <v>43920870</v>
      </c>
      <c r="G2" s="21" t="s">
        <v>476</v>
      </c>
      <c r="H2" s="22">
        <v>24114029</v>
      </c>
      <c r="I2" s="22">
        <v>3635660</v>
      </c>
      <c r="J2" s="22">
        <v>2524480</v>
      </c>
      <c r="K2" s="23">
        <v>17953889</v>
      </c>
      <c r="L2" s="23">
        <v>40000000</v>
      </c>
      <c r="M2" s="24">
        <v>0.44884722500000002</v>
      </c>
      <c r="N2" s="25" t="str">
        <f>IFERROR(VLOOKUP(F2,Back!C:F,4,0),"NO")</f>
        <v>NO</v>
      </c>
      <c r="O2" s="26">
        <v>24</v>
      </c>
      <c r="P2" s="27" t="str">
        <f>IFERROR(VLOOKUP(F2,Back!C:E,3,0),"")</f>
        <v/>
      </c>
      <c r="Q2" s="27" t="str">
        <f>IFERROR(VLOOKUP(P2,Back!M:N,2,0),"")</f>
        <v/>
      </c>
      <c r="R2" s="27" t="str">
        <f>IF(N2="Si",IFERROR(VLOOKUP(F2,'TD Cumpl'!B:AB,27,0),"No Aplica"),"No Aplica")</f>
        <v>No Aplica</v>
      </c>
      <c r="S2" s="38"/>
      <c r="T2" s="36"/>
      <c r="Y2" s="54">
        <f t="shared" ref="Y2:Y65" si="1">+H2-X2-V2-T2</f>
        <v>24114029</v>
      </c>
    </row>
    <row r="3" spans="1:26" x14ac:dyDescent="0.25">
      <c r="A3" s="20">
        <f>+VLOOKUP(D3,Back!Q:R,2,0)</f>
        <v>1</v>
      </c>
      <c r="B3" s="20" t="str">
        <f t="shared" si="0"/>
        <v>2016 ENE</v>
      </c>
      <c r="C3" s="20">
        <v>2016</v>
      </c>
      <c r="D3" s="21" t="s">
        <v>122</v>
      </c>
      <c r="E3" s="21" t="s">
        <v>9</v>
      </c>
      <c r="F3" s="21">
        <v>43169964</v>
      </c>
      <c r="G3" s="21" t="s">
        <v>155</v>
      </c>
      <c r="H3" s="22">
        <v>25988283</v>
      </c>
      <c r="I3" s="22">
        <v>652000</v>
      </c>
      <c r="J3" s="22">
        <v>2977045</v>
      </c>
      <c r="K3" s="23">
        <v>22359238</v>
      </c>
      <c r="L3" s="23">
        <v>17333333.333333332</v>
      </c>
      <c r="M3" s="24">
        <v>1.2899560384615385</v>
      </c>
      <c r="N3" s="25" t="str">
        <f>IFERROR(VLOOKUP(F3,Back!C:F,4,0),"NO")</f>
        <v>Si</v>
      </c>
      <c r="O3" s="26">
        <v>24</v>
      </c>
      <c r="P3" s="27" t="str">
        <f>IFERROR(VLOOKUP(F3,Back!C:E,3,0),"")</f>
        <v>IPS Pto De Vista Molinos</v>
      </c>
      <c r="Q3" s="27" t="str">
        <f>IFERROR(VLOOKUP(P3,Back!M:N,2,0),"")</f>
        <v>Antioquia</v>
      </c>
      <c r="R3" s="27" t="str">
        <f>IF(N3="Si",IFERROR(VLOOKUP(F3,'TD Cumpl'!B:AB,27,0),"No Aplica"),"No Aplica")</f>
        <v>Cumple</v>
      </c>
      <c r="S3" s="38"/>
      <c r="T3" s="36"/>
      <c r="Y3" s="54">
        <f t="shared" si="1"/>
        <v>25988283</v>
      </c>
    </row>
    <row r="4" spans="1:26" x14ac:dyDescent="0.25">
      <c r="A4" s="20">
        <f>+VLOOKUP(D4,Back!Q:R,2,0)</f>
        <v>1</v>
      </c>
      <c r="B4" s="20" t="str">
        <f t="shared" si="0"/>
        <v>2016 ENE</v>
      </c>
      <c r="C4" s="20">
        <v>2016</v>
      </c>
      <c r="D4" s="21" t="s">
        <v>122</v>
      </c>
      <c r="E4" s="21" t="s">
        <v>11</v>
      </c>
      <c r="F4" s="21">
        <v>43253531</v>
      </c>
      <c r="G4" s="21" t="s">
        <v>39</v>
      </c>
      <c r="H4" s="22">
        <v>45216009</v>
      </c>
      <c r="I4" s="22">
        <v>3276100</v>
      </c>
      <c r="J4" s="22">
        <v>2597845</v>
      </c>
      <c r="K4" s="23">
        <v>39342064</v>
      </c>
      <c r="L4" s="23">
        <v>40000000</v>
      </c>
      <c r="M4" s="24">
        <v>0.98355159999999997</v>
      </c>
      <c r="N4" s="25" t="str">
        <f>IFERROR(VLOOKUP(F4,Back!C:F,4,0),"NO")</f>
        <v>Si</v>
      </c>
      <c r="O4" s="26">
        <v>24</v>
      </c>
      <c r="P4" s="27" t="str">
        <f>IFERROR(VLOOKUP(F4,Back!C:E,3,0),"")</f>
        <v>IPS Punto de Vista Bello</v>
      </c>
      <c r="Q4" s="27" t="str">
        <f>IFERROR(VLOOKUP(P4,Back!M:N,2,0),"")</f>
        <v>Antioquia</v>
      </c>
      <c r="R4" s="27" t="str">
        <f>IF(N4="Si",IFERROR(VLOOKUP(F4,'TD Cumpl'!B:AB,27,0),"No Aplica"),"No Aplica")</f>
        <v>Cumple</v>
      </c>
      <c r="S4" s="38"/>
      <c r="T4" s="36"/>
      <c r="Y4" s="54">
        <f t="shared" si="1"/>
        <v>45216009</v>
      </c>
    </row>
    <row r="5" spans="1:26" x14ac:dyDescent="0.25">
      <c r="A5" s="20">
        <f>+VLOOKUP(D5,Back!Q:R,2,0)</f>
        <v>1</v>
      </c>
      <c r="B5" s="20" t="str">
        <f t="shared" si="0"/>
        <v>2016 ENE</v>
      </c>
      <c r="C5" s="20">
        <v>2016</v>
      </c>
      <c r="D5" s="21" t="s">
        <v>122</v>
      </c>
      <c r="E5" s="21" t="s">
        <v>6</v>
      </c>
      <c r="F5" s="21">
        <v>43821410</v>
      </c>
      <c r="G5" s="21" t="s">
        <v>40</v>
      </c>
      <c r="H5" s="22">
        <v>60312267</v>
      </c>
      <c r="I5" s="22">
        <v>1159600</v>
      </c>
      <c r="J5" s="22">
        <v>3957071</v>
      </c>
      <c r="K5" s="23">
        <v>55195596</v>
      </c>
      <c r="L5" s="23">
        <v>40000000</v>
      </c>
      <c r="M5" s="24">
        <v>1.3798899</v>
      </c>
      <c r="N5" s="25" t="str">
        <f>IFERROR(VLOOKUP(F5,Back!C:F,4,0),"NO")</f>
        <v>Si</v>
      </c>
      <c r="O5" s="26">
        <v>24</v>
      </c>
      <c r="P5" s="27" t="str">
        <f>IFERROR(VLOOKUP(F5,Back!C:E,3,0),"")</f>
        <v>IPS Pto De Vista Unicentro</v>
      </c>
      <c r="Q5" s="27" t="str">
        <f>IFERROR(VLOOKUP(P5,Back!M:N,2,0),"")</f>
        <v>Antioquia</v>
      </c>
      <c r="R5" s="27" t="str">
        <f>IF(N5="Si",IFERROR(VLOOKUP(F5,'TD Cumpl'!B:AB,27,0),"No Aplica"),"No Aplica")</f>
        <v>Siempre Cumple</v>
      </c>
      <c r="S5" s="38"/>
      <c r="T5" s="36"/>
      <c r="Y5" s="54">
        <f t="shared" si="1"/>
        <v>60312267</v>
      </c>
    </row>
    <row r="6" spans="1:26" x14ac:dyDescent="0.25">
      <c r="A6" s="20">
        <f>+VLOOKUP(D6,Back!Q:R,2,0)</f>
        <v>1</v>
      </c>
      <c r="B6" s="20" t="str">
        <f t="shared" si="0"/>
        <v>2016 ENE</v>
      </c>
      <c r="C6" s="20">
        <v>2016</v>
      </c>
      <c r="D6" s="21" t="s">
        <v>122</v>
      </c>
      <c r="E6" s="21" t="s">
        <v>18</v>
      </c>
      <c r="F6" s="21">
        <v>39442617</v>
      </c>
      <c r="G6" s="21" t="s">
        <v>41</v>
      </c>
      <c r="H6" s="22">
        <v>51262661</v>
      </c>
      <c r="I6" s="22">
        <v>598200</v>
      </c>
      <c r="J6" s="22">
        <v>3686234</v>
      </c>
      <c r="K6" s="23">
        <v>46978227</v>
      </c>
      <c r="L6" s="23">
        <v>40000000</v>
      </c>
      <c r="M6" s="24">
        <v>1.1744556749999999</v>
      </c>
      <c r="N6" s="25" t="str">
        <f>IFERROR(VLOOKUP(F6,Back!C:F,4,0),"NO")</f>
        <v>Si</v>
      </c>
      <c r="O6" s="26">
        <v>24</v>
      </c>
      <c r="P6" s="27" t="str">
        <f>IFERROR(VLOOKUP(F6,Back!C:E,3,0),"")</f>
        <v>IPS Pto De Vista San Diego</v>
      </c>
      <c r="Q6" s="27" t="str">
        <f>IFERROR(VLOOKUP(P6,Back!M:N,2,0),"")</f>
        <v>Antioquia</v>
      </c>
      <c r="R6" s="27" t="str">
        <f>IF(N6="Si",IFERROR(VLOOKUP(F6,'TD Cumpl'!B:AB,27,0),"No Aplica"),"No Aplica")</f>
        <v>Cumple</v>
      </c>
      <c r="S6" s="38"/>
      <c r="T6" s="36"/>
      <c r="Y6" s="54">
        <f t="shared" si="1"/>
        <v>51262661</v>
      </c>
    </row>
    <row r="7" spans="1:26" x14ac:dyDescent="0.25">
      <c r="A7" s="20">
        <f>+VLOOKUP(D7,Back!Q:R,2,0)</f>
        <v>1</v>
      </c>
      <c r="B7" s="20" t="str">
        <f t="shared" si="0"/>
        <v>2016 ENE</v>
      </c>
      <c r="C7" s="20">
        <v>2016</v>
      </c>
      <c r="D7" s="21" t="s">
        <v>122</v>
      </c>
      <c r="E7" s="21" t="s">
        <v>54</v>
      </c>
      <c r="F7" s="21">
        <v>1013628003</v>
      </c>
      <c r="G7" s="21" t="s">
        <v>55</v>
      </c>
      <c r="H7" s="22">
        <v>6977349</v>
      </c>
      <c r="I7" s="22">
        <v>0</v>
      </c>
      <c r="J7" s="22">
        <v>344107</v>
      </c>
      <c r="K7" s="23">
        <v>6633242</v>
      </c>
      <c r="L7" s="23">
        <v>26416666.666666664</v>
      </c>
      <c r="M7" s="24">
        <v>0.25110064353312306</v>
      </c>
      <c r="N7" s="25" t="str">
        <f>IFERROR(VLOOKUP(F7,Back!C:F,4,0),"NO")</f>
        <v>NO</v>
      </c>
      <c r="O7" s="26">
        <v>24</v>
      </c>
      <c r="P7" s="27" t="str">
        <f>IFERROR(VLOOKUP(F7,Back!C:E,3,0),"")</f>
        <v/>
      </c>
      <c r="Q7" s="27" t="str">
        <f>IFERROR(VLOOKUP(P7,Back!M:N,2,0),"")</f>
        <v/>
      </c>
      <c r="R7" s="27" t="str">
        <f>IF(N7="Si",IFERROR(VLOOKUP(F7,'TD Cumpl'!B:AB,27,0),"No Aplica"),"No Aplica")</f>
        <v>No Aplica</v>
      </c>
      <c r="S7" s="38"/>
      <c r="T7" s="36"/>
      <c r="Y7" s="54">
        <f t="shared" si="1"/>
        <v>6977349</v>
      </c>
    </row>
    <row r="8" spans="1:26" x14ac:dyDescent="0.25">
      <c r="A8" s="20">
        <f>+VLOOKUP(D8,Back!Q:R,2,0)</f>
        <v>1</v>
      </c>
      <c r="B8" s="20" t="str">
        <f t="shared" si="0"/>
        <v>2016 ENE</v>
      </c>
      <c r="C8" s="20">
        <v>2016</v>
      </c>
      <c r="D8" s="21" t="s">
        <v>122</v>
      </c>
      <c r="E8" s="21" t="s">
        <v>56</v>
      </c>
      <c r="F8" s="21">
        <v>43971430</v>
      </c>
      <c r="G8" s="21" t="s">
        <v>142</v>
      </c>
      <c r="H8" s="22">
        <v>43366839</v>
      </c>
      <c r="I8" s="22">
        <v>1597500</v>
      </c>
      <c r="J8" s="22">
        <v>4547202</v>
      </c>
      <c r="K8" s="23">
        <v>37222137</v>
      </c>
      <c r="L8" s="23">
        <v>40000000</v>
      </c>
      <c r="M8" s="24">
        <v>0.93055342500000005</v>
      </c>
      <c r="N8" s="25" t="str">
        <f>IFERROR(VLOOKUP(F8,Back!C:F,4,0),"NO")</f>
        <v>Si</v>
      </c>
      <c r="O8" s="26">
        <v>24</v>
      </c>
      <c r="P8" s="27" t="str">
        <f>IFERROR(VLOOKUP(F8,Back!C:E,3,0),"")</f>
        <v>IPS Pto De Vista Centro</v>
      </c>
      <c r="Q8" s="27" t="str">
        <f>IFERROR(VLOOKUP(P8,Back!M:N,2,0),"")</f>
        <v>Antioquia</v>
      </c>
      <c r="R8" s="27" t="str">
        <f>IF(N8="Si",IFERROR(VLOOKUP(F8,'TD Cumpl'!B:AB,27,0),"No Aplica"),"No Aplica")</f>
        <v>Siempre Cumple</v>
      </c>
      <c r="S8" s="38"/>
      <c r="T8" s="36"/>
      <c r="Y8" s="54">
        <f t="shared" si="1"/>
        <v>43366839</v>
      </c>
    </row>
    <row r="9" spans="1:26" x14ac:dyDescent="0.25">
      <c r="A9" s="20">
        <f>+VLOOKUP(D9,Back!Q:R,2,0)</f>
        <v>1</v>
      </c>
      <c r="B9" s="20" t="str">
        <f t="shared" si="0"/>
        <v>2016 ENE</v>
      </c>
      <c r="C9" s="20">
        <v>2016</v>
      </c>
      <c r="D9" s="21" t="s">
        <v>122</v>
      </c>
      <c r="E9" s="21" t="s">
        <v>14</v>
      </c>
      <c r="F9" s="21">
        <v>43184345</v>
      </c>
      <c r="G9" s="21"/>
      <c r="H9" s="22">
        <v>1130738</v>
      </c>
      <c r="I9" s="22">
        <v>77000</v>
      </c>
      <c r="J9" s="22">
        <v>0</v>
      </c>
      <c r="K9" s="23">
        <v>1053738</v>
      </c>
      <c r="L9" s="23"/>
      <c r="M9" s="24"/>
      <c r="N9" s="25" t="str">
        <f>IFERROR(VLOOKUP(F9,Back!C:F,4,0),"NO")</f>
        <v>NO</v>
      </c>
      <c r="O9" s="26">
        <v>24</v>
      </c>
      <c r="P9" s="27" t="str">
        <f>IFERROR(VLOOKUP(F9,Back!C:E,3,0),"")</f>
        <v/>
      </c>
      <c r="Q9" s="27" t="str">
        <f>IFERROR(VLOOKUP(P9,Back!M:N,2,0),"")</f>
        <v/>
      </c>
      <c r="R9" s="27" t="str">
        <f>IF(N9="Si",IFERROR(VLOOKUP(F9,'TD Cumpl'!B:AB,27,0),"No Aplica"),"No Aplica")</f>
        <v>No Aplica</v>
      </c>
      <c r="S9" s="38"/>
      <c r="T9" s="36"/>
      <c r="Y9" s="54">
        <f t="shared" si="1"/>
        <v>1130738</v>
      </c>
    </row>
    <row r="10" spans="1:26" x14ac:dyDescent="0.25">
      <c r="A10" s="20">
        <f>+VLOOKUP(D10,Back!Q:R,2,0)</f>
        <v>1</v>
      </c>
      <c r="B10" s="20" t="str">
        <f t="shared" si="0"/>
        <v>2016 ENE</v>
      </c>
      <c r="C10" s="20">
        <v>2016</v>
      </c>
      <c r="D10" s="21" t="s">
        <v>122</v>
      </c>
      <c r="E10" s="21" t="s">
        <v>59</v>
      </c>
      <c r="F10" s="21">
        <v>1030634664</v>
      </c>
      <c r="G10" s="21"/>
      <c r="H10" s="22">
        <v>1815199</v>
      </c>
      <c r="I10" s="22">
        <v>0</v>
      </c>
      <c r="J10" s="22">
        <v>356672</v>
      </c>
      <c r="K10" s="23">
        <v>1458527</v>
      </c>
      <c r="L10" s="23"/>
      <c r="M10" s="24"/>
      <c r="N10" s="25" t="str">
        <f>IFERROR(VLOOKUP(F10,Back!C:F,4,0),"NO")</f>
        <v>NO</v>
      </c>
      <c r="O10" s="26">
        <v>24</v>
      </c>
      <c r="P10" s="27" t="str">
        <f>IFERROR(VLOOKUP(F10,Back!C:E,3,0),"")</f>
        <v/>
      </c>
      <c r="Q10" s="27" t="str">
        <f>IFERROR(VLOOKUP(P10,Back!M:N,2,0),"")</f>
        <v/>
      </c>
      <c r="R10" s="27" t="str">
        <f>IF(N10="Si",IFERROR(VLOOKUP(F10,'TD Cumpl'!B:AB,27,0),"No Aplica"),"No Aplica")</f>
        <v>No Aplica</v>
      </c>
      <c r="S10" s="38"/>
      <c r="T10" s="36"/>
      <c r="Y10" s="54">
        <f t="shared" si="1"/>
        <v>1815199</v>
      </c>
    </row>
    <row r="11" spans="1:26" x14ac:dyDescent="0.25">
      <c r="A11" s="20">
        <f>+VLOOKUP(D11,Back!Q:R,2,0)</f>
        <v>1</v>
      </c>
      <c r="B11" s="20" t="str">
        <f t="shared" si="0"/>
        <v>2016 ENE</v>
      </c>
      <c r="C11" s="20">
        <v>2016</v>
      </c>
      <c r="D11" s="21" t="s">
        <v>122</v>
      </c>
      <c r="E11" s="21" t="s">
        <v>34</v>
      </c>
      <c r="F11" s="21">
        <v>43554403</v>
      </c>
      <c r="G11" s="21" t="s">
        <v>35</v>
      </c>
      <c r="H11" s="22">
        <v>45603665</v>
      </c>
      <c r="I11" s="22">
        <v>1458300</v>
      </c>
      <c r="J11" s="22">
        <v>4118567</v>
      </c>
      <c r="K11" s="23">
        <v>40026798</v>
      </c>
      <c r="L11" s="23">
        <v>40000000</v>
      </c>
      <c r="M11" s="24">
        <v>1.00066995</v>
      </c>
      <c r="N11" s="25" t="str">
        <f>IFERROR(VLOOKUP(F11,Back!C:F,4,0),"NO")</f>
        <v>Si</v>
      </c>
      <c r="O11" s="26">
        <v>24</v>
      </c>
      <c r="P11" s="27" t="str">
        <f>IFERROR(VLOOKUP(F11,Back!C:E,3,0),"")</f>
        <v>IPS Pto De Vista Centro</v>
      </c>
      <c r="Q11" s="27" t="str">
        <f>IFERROR(VLOOKUP(P11,Back!M:N,2,0),"")</f>
        <v>Antioquia</v>
      </c>
      <c r="R11" s="27" t="str">
        <f>IF(N11="Si",IFERROR(VLOOKUP(F11,'TD Cumpl'!B:AB,27,0),"No Aplica"),"No Aplica")</f>
        <v>Siempre Cumple</v>
      </c>
      <c r="S11" s="38"/>
      <c r="T11" s="36"/>
      <c r="Y11" s="54">
        <f t="shared" si="1"/>
        <v>45603665</v>
      </c>
    </row>
    <row r="12" spans="1:26" x14ac:dyDescent="0.25">
      <c r="A12" s="20">
        <f>+VLOOKUP(D12,Back!Q:R,2,0)</f>
        <v>1</v>
      </c>
      <c r="B12" s="20" t="str">
        <f t="shared" si="0"/>
        <v>2016 ENE</v>
      </c>
      <c r="C12" s="20">
        <v>2016</v>
      </c>
      <c r="D12" s="21" t="s">
        <v>122</v>
      </c>
      <c r="E12" s="21" t="s">
        <v>1</v>
      </c>
      <c r="F12" s="21">
        <v>23857915</v>
      </c>
      <c r="G12" s="21" t="s">
        <v>116</v>
      </c>
      <c r="H12" s="22">
        <v>15931655</v>
      </c>
      <c r="I12" s="22">
        <v>1794200</v>
      </c>
      <c r="J12" s="22">
        <v>1455675</v>
      </c>
      <c r="K12" s="23">
        <v>12681780</v>
      </c>
      <c r="L12" s="23">
        <v>26000000</v>
      </c>
      <c r="M12" s="24">
        <v>0.48776076923076922</v>
      </c>
      <c r="N12" s="25" t="str">
        <f>IFERROR(VLOOKUP(F12,Back!C:F,4,0),"NO")</f>
        <v>NO</v>
      </c>
      <c r="O12" s="26">
        <v>24</v>
      </c>
      <c r="P12" s="27" t="str">
        <f>IFERROR(VLOOKUP(F12,Back!C:E,3,0),"")</f>
        <v/>
      </c>
      <c r="Q12" s="27" t="str">
        <f>IFERROR(VLOOKUP(P12,Back!M:N,2,0),"")</f>
        <v/>
      </c>
      <c r="R12" s="27" t="str">
        <f>IF(N12="Si",IFERROR(VLOOKUP(F12,'TD Cumpl'!B:AB,27,0),"No Aplica"),"No Aplica")</f>
        <v>No Aplica</v>
      </c>
      <c r="S12" s="38"/>
      <c r="T12" s="36"/>
      <c r="Y12" s="54">
        <f t="shared" si="1"/>
        <v>15931655</v>
      </c>
    </row>
    <row r="13" spans="1:26" x14ac:dyDescent="0.25">
      <c r="A13" s="20">
        <f>+VLOOKUP(D13,Back!Q:R,2,0)</f>
        <v>1</v>
      </c>
      <c r="B13" s="20" t="str">
        <f t="shared" si="0"/>
        <v>2016 ENE</v>
      </c>
      <c r="C13" s="20">
        <v>2016</v>
      </c>
      <c r="D13" s="21" t="s">
        <v>122</v>
      </c>
      <c r="E13" s="21" t="s">
        <v>3</v>
      </c>
      <c r="F13" s="21">
        <v>52725011</v>
      </c>
      <c r="G13" s="21" t="s">
        <v>42</v>
      </c>
      <c r="H13" s="22">
        <v>2354991</v>
      </c>
      <c r="I13" s="22">
        <v>0</v>
      </c>
      <c r="J13" s="22">
        <v>444814</v>
      </c>
      <c r="K13" s="23">
        <v>1910177</v>
      </c>
      <c r="L13" s="23">
        <v>5416666.666666666</v>
      </c>
      <c r="M13" s="24">
        <v>0.35264806153846157</v>
      </c>
      <c r="N13" s="25" t="str">
        <f>IFERROR(VLOOKUP(F13,Back!C:F,4,0),"NO")</f>
        <v>Si</v>
      </c>
      <c r="O13" s="26">
        <v>24</v>
      </c>
      <c r="P13" s="27" t="str">
        <f>IFERROR(VLOOKUP(F13,Back!C:E,3,0),"")</f>
        <v>IPS Pto De Vista Olaya</v>
      </c>
      <c r="Q13" s="27" t="str">
        <f>IFERROR(VLOOKUP(P13,Back!M:N,2,0),"")</f>
        <v>Centro</v>
      </c>
      <c r="R13" s="27" t="str">
        <f>IF(N13="Si",IFERROR(VLOOKUP(F13,'TD Cumpl'!B:AB,27,0),"No Aplica"),"No Aplica")</f>
        <v>Fluctúa</v>
      </c>
      <c r="S13" s="38"/>
      <c r="T13" s="36"/>
      <c r="Y13" s="54">
        <f t="shared" si="1"/>
        <v>2354991</v>
      </c>
    </row>
    <row r="14" spans="1:26" x14ac:dyDescent="0.25">
      <c r="A14" s="20">
        <f>+VLOOKUP(D14,Back!Q:R,2,0)</f>
        <v>1</v>
      </c>
      <c r="B14" s="20" t="str">
        <f t="shared" si="0"/>
        <v>2016 ENE</v>
      </c>
      <c r="C14" s="20">
        <v>2016</v>
      </c>
      <c r="D14" s="21" t="s">
        <v>122</v>
      </c>
      <c r="E14" s="21" t="s">
        <v>25</v>
      </c>
      <c r="F14" s="21">
        <v>1040030764</v>
      </c>
      <c r="G14" s="21" t="s">
        <v>43</v>
      </c>
      <c r="H14" s="22">
        <v>31122283</v>
      </c>
      <c r="I14" s="22">
        <v>1736500</v>
      </c>
      <c r="J14" s="22">
        <v>1758341</v>
      </c>
      <c r="K14" s="23">
        <v>27627442</v>
      </c>
      <c r="L14" s="23">
        <v>30000000</v>
      </c>
      <c r="M14" s="24">
        <v>0.92091473333333329</v>
      </c>
      <c r="N14" s="25" t="str">
        <f>IFERROR(VLOOKUP(F14,Back!C:F,4,0),"NO")</f>
        <v>Si</v>
      </c>
      <c r="O14" s="26">
        <v>24</v>
      </c>
      <c r="P14" s="27" t="str">
        <f>IFERROR(VLOOKUP(F14,Back!C:E,3,0),"")</f>
        <v>IPS Pto De Vista Rionegro</v>
      </c>
      <c r="Q14" s="27" t="str">
        <f>IFERROR(VLOOKUP(P14,Back!M:N,2,0),"")</f>
        <v>Antioquia</v>
      </c>
      <c r="R14" s="27" t="str">
        <f>IF(N14="Si",IFERROR(VLOOKUP(F14,'TD Cumpl'!B:AB,27,0),"No Aplica"),"No Aplica")</f>
        <v>Cumple</v>
      </c>
      <c r="S14" s="38"/>
      <c r="T14" s="36"/>
      <c r="Y14" s="54">
        <f t="shared" si="1"/>
        <v>31122283</v>
      </c>
    </row>
    <row r="15" spans="1:26" x14ac:dyDescent="0.25">
      <c r="A15" s="20">
        <f>+VLOOKUP(D15,Back!Q:R,2,0)</f>
        <v>1</v>
      </c>
      <c r="B15" s="20" t="str">
        <f t="shared" si="0"/>
        <v>2016 ENE</v>
      </c>
      <c r="C15" s="20">
        <v>2016</v>
      </c>
      <c r="D15" s="21" t="s">
        <v>122</v>
      </c>
      <c r="E15" s="21" t="s">
        <v>33</v>
      </c>
      <c r="F15" s="21">
        <v>31307503</v>
      </c>
      <c r="G15" s="21"/>
      <c r="H15" s="22">
        <v>268570</v>
      </c>
      <c r="I15" s="22">
        <v>0</v>
      </c>
      <c r="J15" s="22">
        <v>0</v>
      </c>
      <c r="K15" s="23">
        <v>268570</v>
      </c>
      <c r="L15" s="23"/>
      <c r="M15" s="24"/>
      <c r="N15" s="25" t="str">
        <f>IFERROR(VLOOKUP(F15,Back!C:F,4,0),"NO")</f>
        <v>NO</v>
      </c>
      <c r="O15" s="26">
        <v>24</v>
      </c>
      <c r="P15" s="27" t="str">
        <f>IFERROR(VLOOKUP(F15,Back!C:E,3,0),"")</f>
        <v/>
      </c>
      <c r="Q15" s="27" t="str">
        <f>IFERROR(VLOOKUP(P15,Back!M:N,2,0),"")</f>
        <v/>
      </c>
      <c r="R15" s="27" t="str">
        <f>IF(N15="Si",IFERROR(VLOOKUP(F15,'TD Cumpl'!B:AB,27,0),"No Aplica"),"No Aplica")</f>
        <v>No Aplica</v>
      </c>
      <c r="S15" s="38"/>
      <c r="T15" s="36"/>
      <c r="Y15" s="54">
        <f t="shared" si="1"/>
        <v>268570</v>
      </c>
    </row>
    <row r="16" spans="1:26" x14ac:dyDescent="0.25">
      <c r="A16" s="20">
        <f>+VLOOKUP(D16,Back!Q:R,2,0)</f>
        <v>1</v>
      </c>
      <c r="B16" s="20" t="str">
        <f t="shared" si="0"/>
        <v>2016 ENE</v>
      </c>
      <c r="C16" s="20">
        <v>2016</v>
      </c>
      <c r="D16" s="21" t="s">
        <v>122</v>
      </c>
      <c r="E16" s="21" t="s">
        <v>22</v>
      </c>
      <c r="F16" s="21">
        <v>42164020</v>
      </c>
      <c r="G16" s="21" t="s">
        <v>105</v>
      </c>
      <c r="H16" s="22">
        <v>45923828</v>
      </c>
      <c r="I16" s="22">
        <v>3935000</v>
      </c>
      <c r="J16" s="22">
        <v>2718450</v>
      </c>
      <c r="K16" s="23">
        <v>39270378</v>
      </c>
      <c r="L16" s="23">
        <v>36000000</v>
      </c>
      <c r="M16" s="24">
        <v>1.0908438333333332</v>
      </c>
      <c r="N16" s="25" t="str">
        <f>IFERROR(VLOOKUP(F16,Back!C:F,4,0),"NO")</f>
        <v>Si</v>
      </c>
      <c r="O16" s="26">
        <v>24</v>
      </c>
      <c r="P16" s="27" t="str">
        <f>IFERROR(VLOOKUP(F16,Back!C:E,3,0),"")</f>
        <v>IPS Pto De Vista Molinos</v>
      </c>
      <c r="Q16" s="27" t="str">
        <f>IFERROR(VLOOKUP(P16,Back!M:N,2,0),"")</f>
        <v>Antioquia</v>
      </c>
      <c r="R16" s="27" t="str">
        <f>IF(N16="Si",IFERROR(VLOOKUP(F16,'TD Cumpl'!B:AB,27,0),"No Aplica"),"No Aplica")</f>
        <v>Siempre Cumple</v>
      </c>
      <c r="S16" s="38"/>
      <c r="T16" s="36"/>
      <c r="Y16" s="54">
        <f t="shared" si="1"/>
        <v>45923828</v>
      </c>
    </row>
    <row r="17" spans="1:25" x14ac:dyDescent="0.25">
      <c r="A17" s="20">
        <f>+VLOOKUP(D17,Back!Q:R,2,0)</f>
        <v>1</v>
      </c>
      <c r="B17" s="20" t="str">
        <f t="shared" si="0"/>
        <v>2016 ENE</v>
      </c>
      <c r="C17" s="20">
        <v>2016</v>
      </c>
      <c r="D17" s="21" t="s">
        <v>122</v>
      </c>
      <c r="E17" s="21" t="s">
        <v>21</v>
      </c>
      <c r="F17" s="21">
        <v>1035417626</v>
      </c>
      <c r="G17" s="21" t="s">
        <v>80</v>
      </c>
      <c r="H17" s="22">
        <v>30944117</v>
      </c>
      <c r="I17" s="22">
        <v>1578840</v>
      </c>
      <c r="J17" s="22">
        <v>2501408</v>
      </c>
      <c r="K17" s="23">
        <v>26863869</v>
      </c>
      <c r="L17" s="23">
        <v>22500000</v>
      </c>
      <c r="M17" s="24">
        <v>1.1939497333333333</v>
      </c>
      <c r="N17" s="25" t="str">
        <f>IFERROR(VLOOKUP(F17,Back!C:F,4,0),"NO")</f>
        <v>Si</v>
      </c>
      <c r="O17" s="26">
        <v>24</v>
      </c>
      <c r="P17" s="27" t="str">
        <f>IFERROR(VLOOKUP(F17,Back!C:E,3,0),"")</f>
        <v>IPS Pto De Vista Unicentro</v>
      </c>
      <c r="Q17" s="27" t="str">
        <f>IFERROR(VLOOKUP(P17,Back!M:N,2,0),"")</f>
        <v>Antioquia</v>
      </c>
      <c r="R17" s="27" t="str">
        <f>IF(N17="Si",IFERROR(VLOOKUP(F17,'TD Cumpl'!B:AB,27,0),"No Aplica"),"No Aplica")</f>
        <v>Cumple</v>
      </c>
      <c r="S17" s="38"/>
      <c r="T17" s="36"/>
      <c r="Y17" s="54">
        <f t="shared" si="1"/>
        <v>30944117</v>
      </c>
    </row>
    <row r="18" spans="1:25" x14ac:dyDescent="0.25">
      <c r="A18" s="20">
        <f>+VLOOKUP(D18,Back!Q:R,2,0)</f>
        <v>1</v>
      </c>
      <c r="B18" s="20" t="str">
        <f t="shared" si="0"/>
        <v>2016 ENE</v>
      </c>
      <c r="C18" s="20">
        <v>2016</v>
      </c>
      <c r="D18" s="21" t="s">
        <v>122</v>
      </c>
      <c r="E18" s="21" t="s">
        <v>57</v>
      </c>
      <c r="F18" s="21">
        <v>43874518</v>
      </c>
      <c r="G18" s="21" t="s">
        <v>60</v>
      </c>
      <c r="H18" s="22">
        <v>28759819</v>
      </c>
      <c r="I18" s="22">
        <v>929900</v>
      </c>
      <c r="J18" s="22">
        <v>2581449</v>
      </c>
      <c r="K18" s="23">
        <v>25248470</v>
      </c>
      <c r="L18" s="23">
        <v>32000000</v>
      </c>
      <c r="M18" s="24">
        <v>0.78901468750000003</v>
      </c>
      <c r="N18" s="25" t="str">
        <f>IFERROR(VLOOKUP(F18,Back!C:F,4,0),"NO")</f>
        <v>Si</v>
      </c>
      <c r="O18" s="26">
        <v>24</v>
      </c>
      <c r="P18" s="27" t="str">
        <f>IFERROR(VLOOKUP(F18,Back!C:E,3,0),"")</f>
        <v>IPS Pto De Vista Punto Clave</v>
      </c>
      <c r="Q18" s="27" t="str">
        <f>IFERROR(VLOOKUP(P18,Back!M:N,2,0),"")</f>
        <v>Antioquia</v>
      </c>
      <c r="R18" s="27" t="str">
        <f>IF(N18="Si",IFERROR(VLOOKUP(F18,'TD Cumpl'!B:AB,27,0),"No Aplica"),"No Aplica")</f>
        <v>Fluctúa</v>
      </c>
      <c r="S18" s="38"/>
      <c r="T18" s="36"/>
      <c r="Y18" s="54">
        <f t="shared" si="1"/>
        <v>28759819</v>
      </c>
    </row>
    <row r="19" spans="1:25" x14ac:dyDescent="0.25">
      <c r="A19" s="20">
        <f>+VLOOKUP(D19,Back!Q:R,2,0)</f>
        <v>1</v>
      </c>
      <c r="B19" s="20" t="str">
        <f t="shared" si="0"/>
        <v>2016 ENE</v>
      </c>
      <c r="C19" s="20">
        <v>2016</v>
      </c>
      <c r="D19" s="21" t="s">
        <v>122</v>
      </c>
      <c r="E19" s="21" t="s">
        <v>2</v>
      </c>
      <c r="F19" s="21">
        <v>52260671</v>
      </c>
      <c r="G19" s="21" t="s">
        <v>26</v>
      </c>
      <c r="H19" s="22">
        <v>28436549</v>
      </c>
      <c r="I19" s="22">
        <v>768000</v>
      </c>
      <c r="J19" s="22">
        <v>1931858</v>
      </c>
      <c r="K19" s="23">
        <v>25736691</v>
      </c>
      <c r="L19" s="23">
        <v>26000000</v>
      </c>
      <c r="M19" s="24">
        <v>0.98987273076923077</v>
      </c>
      <c r="N19" s="25" t="str">
        <f>IFERROR(VLOOKUP(F19,Back!C:F,4,0),"NO")</f>
        <v>Si</v>
      </c>
      <c r="O19" s="26">
        <v>24</v>
      </c>
      <c r="P19" s="27" t="str">
        <f>IFERROR(VLOOKUP(F19,Back!C:E,3,0),"")</f>
        <v>IPS Pto De Vista Santa Bárbara</v>
      </c>
      <c r="Q19" s="27" t="str">
        <f>IFERROR(VLOOKUP(P19,Back!M:N,2,0),"")</f>
        <v>Centro</v>
      </c>
      <c r="R19" s="27" t="str">
        <f>IF(N19="Si",IFERROR(VLOOKUP(F19,'TD Cumpl'!B:AB,27,0),"No Aplica"),"No Aplica")</f>
        <v>Siempre Cumple</v>
      </c>
      <c r="S19" s="38"/>
      <c r="T19" s="36"/>
      <c r="Y19" s="54">
        <f t="shared" si="1"/>
        <v>28436549</v>
      </c>
    </row>
    <row r="20" spans="1:25" x14ac:dyDescent="0.25">
      <c r="A20" s="20">
        <f>+VLOOKUP(D20,Back!Q:R,2,0)</f>
        <v>1</v>
      </c>
      <c r="B20" s="20" t="str">
        <f t="shared" si="0"/>
        <v>2016 ENE</v>
      </c>
      <c r="C20" s="20">
        <v>2016</v>
      </c>
      <c r="D20" s="21" t="s">
        <v>122</v>
      </c>
      <c r="E20" s="21" t="s">
        <v>37</v>
      </c>
      <c r="F20" s="21">
        <v>1036779770</v>
      </c>
      <c r="G20" s="21" t="s">
        <v>52</v>
      </c>
      <c r="H20" s="22">
        <v>28396875</v>
      </c>
      <c r="I20" s="22">
        <v>2276400</v>
      </c>
      <c r="J20" s="22">
        <v>1705092</v>
      </c>
      <c r="K20" s="23">
        <v>24415383</v>
      </c>
      <c r="L20" s="23">
        <v>30000000</v>
      </c>
      <c r="M20" s="24">
        <v>0.81384610000000002</v>
      </c>
      <c r="N20" s="25" t="str">
        <f>IFERROR(VLOOKUP(F20,Back!C:F,4,0),"NO")</f>
        <v>No</v>
      </c>
      <c r="O20" s="26">
        <v>24</v>
      </c>
      <c r="P20" s="27" t="str">
        <f>IFERROR(VLOOKUP(F20,Back!C:E,3,0),"")</f>
        <v>IPS Pto De Vista Rionegro</v>
      </c>
      <c r="Q20" s="27" t="str">
        <f>IFERROR(VLOOKUP(P20,Back!M:N,2,0),"")</f>
        <v>Antioquia</v>
      </c>
      <c r="R20" s="27" t="str">
        <f>IF(N20="Si",IFERROR(VLOOKUP(F20,'TD Cumpl'!B:AB,27,0),"No Aplica"),"No Aplica")</f>
        <v>No Aplica</v>
      </c>
      <c r="S20" s="38"/>
      <c r="T20" s="36"/>
      <c r="Y20" s="54">
        <f t="shared" si="1"/>
        <v>28396875</v>
      </c>
    </row>
    <row r="21" spans="1:25" x14ac:dyDescent="0.25">
      <c r="A21" s="20">
        <f>+VLOOKUP(D21,Back!Q:R,2,0)</f>
        <v>1</v>
      </c>
      <c r="B21" s="20" t="str">
        <f t="shared" si="0"/>
        <v>2016 ENE</v>
      </c>
      <c r="C21" s="20">
        <v>2016</v>
      </c>
      <c r="D21" s="21" t="s">
        <v>122</v>
      </c>
      <c r="E21" s="21" t="s">
        <v>20</v>
      </c>
      <c r="F21" s="21">
        <v>1017141451</v>
      </c>
      <c r="G21" s="21" t="s">
        <v>44</v>
      </c>
      <c r="H21" s="22">
        <v>56956363</v>
      </c>
      <c r="I21" s="22">
        <v>2185700</v>
      </c>
      <c r="J21" s="22">
        <v>4549820</v>
      </c>
      <c r="K21" s="23">
        <v>50220843</v>
      </c>
      <c r="L21" s="23">
        <v>36000000</v>
      </c>
      <c r="M21" s="24">
        <v>1.3950234166666666</v>
      </c>
      <c r="N21" s="25" t="str">
        <f>IFERROR(VLOOKUP(F21,Back!C:F,4,0),"NO")</f>
        <v>Si</v>
      </c>
      <c r="O21" s="26">
        <v>24</v>
      </c>
      <c r="P21" s="27" t="str">
        <f>IFERROR(VLOOKUP(F21,Back!C:E,3,0),"")</f>
        <v>IPS Pto De Vista Molinos</v>
      </c>
      <c r="Q21" s="27" t="str">
        <f>IFERROR(VLOOKUP(P21,Back!M:N,2,0),"")</f>
        <v>Antioquia</v>
      </c>
      <c r="R21" s="27" t="str">
        <f>IF(N21="Si",IFERROR(VLOOKUP(F21,'TD Cumpl'!B:AB,27,0),"No Aplica"),"No Aplica")</f>
        <v>Siempre Cumple</v>
      </c>
      <c r="S21" s="38"/>
      <c r="T21" s="36"/>
      <c r="Y21" s="54">
        <f t="shared" si="1"/>
        <v>56956363</v>
      </c>
    </row>
    <row r="22" spans="1:25" x14ac:dyDescent="0.25">
      <c r="A22" s="20">
        <f>+VLOOKUP(D22,Back!Q:R,2,0)</f>
        <v>1</v>
      </c>
      <c r="B22" s="20" t="str">
        <f t="shared" si="0"/>
        <v>2016 ENE</v>
      </c>
      <c r="C22" s="20">
        <v>2016</v>
      </c>
      <c r="D22" s="21" t="s">
        <v>122</v>
      </c>
      <c r="E22" s="21" t="s">
        <v>19</v>
      </c>
      <c r="F22" s="21">
        <v>43343234</v>
      </c>
      <c r="G22" s="21" t="s">
        <v>477</v>
      </c>
      <c r="H22" s="22">
        <v>40283212</v>
      </c>
      <c r="I22" s="22">
        <v>1134100</v>
      </c>
      <c r="J22" s="22">
        <v>3278175</v>
      </c>
      <c r="K22" s="23">
        <v>35870937</v>
      </c>
      <c r="L22" s="23">
        <v>38500000</v>
      </c>
      <c r="M22" s="24">
        <v>0.93171264935064935</v>
      </c>
      <c r="N22" s="25" t="str">
        <f>IFERROR(VLOOKUP(F22,Back!C:F,4,0),"NO")</f>
        <v>NO</v>
      </c>
      <c r="O22" s="26">
        <v>24</v>
      </c>
      <c r="P22" s="27" t="str">
        <f>IFERROR(VLOOKUP(F22,Back!C:E,3,0),"")</f>
        <v/>
      </c>
      <c r="Q22" s="27" t="str">
        <f>IFERROR(VLOOKUP(P22,Back!M:N,2,0),"")</f>
        <v/>
      </c>
      <c r="R22" s="27" t="str">
        <f>IF(N22="Si",IFERROR(VLOOKUP(F22,'TD Cumpl'!B:AB,27,0),"No Aplica"),"No Aplica")</f>
        <v>No Aplica</v>
      </c>
      <c r="S22" s="38"/>
      <c r="T22" s="36"/>
      <c r="Y22" s="54">
        <f t="shared" si="1"/>
        <v>40283212</v>
      </c>
    </row>
    <row r="23" spans="1:25" x14ac:dyDescent="0.25">
      <c r="A23" s="20">
        <f>+VLOOKUP(D23,Back!Q:R,2,0)</f>
        <v>1</v>
      </c>
      <c r="B23" s="20" t="str">
        <f t="shared" si="0"/>
        <v>2016 ENE</v>
      </c>
      <c r="C23" s="20">
        <v>2016</v>
      </c>
      <c r="D23" s="21" t="s">
        <v>122</v>
      </c>
      <c r="E23" s="21" t="s">
        <v>38</v>
      </c>
      <c r="F23" s="21">
        <v>43745192</v>
      </c>
      <c r="G23" s="21" t="s">
        <v>45</v>
      </c>
      <c r="H23" s="22">
        <v>27561873</v>
      </c>
      <c r="I23" s="22">
        <v>824850</v>
      </c>
      <c r="J23" s="22">
        <v>0</v>
      </c>
      <c r="K23" s="23">
        <v>26737023</v>
      </c>
      <c r="L23" s="23">
        <v>21000000</v>
      </c>
      <c r="M23" s="24">
        <v>1.2731915714285715</v>
      </c>
      <c r="N23" s="25" t="str">
        <f>IFERROR(VLOOKUP(F23,Back!C:F,4,0),"NO")</f>
        <v>Si</v>
      </c>
      <c r="O23" s="26">
        <v>24</v>
      </c>
      <c r="P23" s="27" t="str">
        <f>IFERROR(VLOOKUP(F23,Back!C:E,3,0),"")</f>
        <v>IPS Punto de Vista Mayorca</v>
      </c>
      <c r="Q23" s="27" t="str">
        <f>IFERROR(VLOOKUP(P23,Back!M:N,2,0),"")</f>
        <v>Antioquia</v>
      </c>
      <c r="R23" s="27" t="str">
        <f>IF(N23="Si",IFERROR(VLOOKUP(F23,'TD Cumpl'!B:AB,27,0),"No Aplica"),"No Aplica")</f>
        <v>Cumple</v>
      </c>
      <c r="S23" s="38"/>
      <c r="T23" s="36"/>
      <c r="Y23" s="54">
        <f t="shared" si="1"/>
        <v>27561873</v>
      </c>
    </row>
    <row r="24" spans="1:25" x14ac:dyDescent="0.25">
      <c r="A24" s="20">
        <f>+VLOOKUP(D24,Back!Q:R,2,0)</f>
        <v>1</v>
      </c>
      <c r="B24" s="20" t="str">
        <f t="shared" si="0"/>
        <v>2016 ENE</v>
      </c>
      <c r="C24" s="20">
        <v>2016</v>
      </c>
      <c r="D24" s="21" t="s">
        <v>122</v>
      </c>
      <c r="E24" s="21" t="s">
        <v>13</v>
      </c>
      <c r="F24" s="21">
        <v>43866877</v>
      </c>
      <c r="G24" s="21" t="s">
        <v>46</v>
      </c>
      <c r="H24" s="22">
        <v>48137539</v>
      </c>
      <c r="I24" s="22">
        <v>3639730</v>
      </c>
      <c r="J24" s="22">
        <v>3691481</v>
      </c>
      <c r="K24" s="23">
        <v>40806328</v>
      </c>
      <c r="L24" s="23">
        <v>40000000</v>
      </c>
      <c r="M24" s="24">
        <v>1.0201582</v>
      </c>
      <c r="N24" s="25" t="str">
        <f>IFERROR(VLOOKUP(F24,Back!C:F,4,0),"NO")</f>
        <v>Si</v>
      </c>
      <c r="O24" s="26">
        <v>24</v>
      </c>
      <c r="P24" s="27" t="str">
        <f>IFERROR(VLOOKUP(F24,Back!C:E,3,0),"")</f>
        <v>IPS Pto De Vista Centro</v>
      </c>
      <c r="Q24" s="27" t="str">
        <f>IFERROR(VLOOKUP(P24,Back!M:N,2,0),"")</f>
        <v>Antioquia</v>
      </c>
      <c r="R24" s="27" t="str">
        <f>IF(N24="Si",IFERROR(VLOOKUP(F24,'TD Cumpl'!B:AB,27,0),"No Aplica"),"No Aplica")</f>
        <v>Siempre Cumple</v>
      </c>
      <c r="S24" s="38"/>
      <c r="T24" s="36"/>
      <c r="Y24" s="54">
        <f t="shared" si="1"/>
        <v>48137539</v>
      </c>
    </row>
    <row r="25" spans="1:25" x14ac:dyDescent="0.25">
      <c r="A25" s="20">
        <f>+VLOOKUP(D25,Back!Q:R,2,0)</f>
        <v>1</v>
      </c>
      <c r="B25" s="20" t="str">
        <f t="shared" si="0"/>
        <v>2016 ENE</v>
      </c>
      <c r="C25" s="20">
        <v>2016</v>
      </c>
      <c r="D25" s="21" t="s">
        <v>122</v>
      </c>
      <c r="E25" s="21" t="s">
        <v>17</v>
      </c>
      <c r="F25" s="21">
        <v>43113640</v>
      </c>
      <c r="G25" s="21"/>
      <c r="H25" s="22">
        <v>1819636</v>
      </c>
      <c r="I25" s="22">
        <v>0</v>
      </c>
      <c r="J25" s="22">
        <v>0</v>
      </c>
      <c r="K25" s="23">
        <v>1819636</v>
      </c>
      <c r="L25" s="23"/>
      <c r="M25" s="24"/>
      <c r="N25" s="25" t="str">
        <f>IFERROR(VLOOKUP(F25,Back!C:F,4,0),"NO")</f>
        <v>Si</v>
      </c>
      <c r="O25" s="26">
        <v>24</v>
      </c>
      <c r="P25" s="27" t="str">
        <f>IFERROR(VLOOKUP(F25,Back!C:E,3,0),"")</f>
        <v>IPS Pto De Vista San Diego</v>
      </c>
      <c r="Q25" s="27" t="str">
        <f>IFERROR(VLOOKUP(P25,Back!M:N,2,0),"")</f>
        <v>Antioquia</v>
      </c>
      <c r="R25" s="27" t="str">
        <f>IF(N25="Si",IFERROR(VLOOKUP(F25,'TD Cumpl'!B:AB,27,0),"No Aplica"),"No Aplica")</f>
        <v>Cumple</v>
      </c>
      <c r="S25" s="38"/>
      <c r="T25" s="36"/>
      <c r="Y25" s="54">
        <f t="shared" si="1"/>
        <v>1819636</v>
      </c>
    </row>
    <row r="26" spans="1:25" x14ac:dyDescent="0.25">
      <c r="A26" s="20">
        <f>+VLOOKUP(D26,Back!Q:R,2,0)</f>
        <v>1</v>
      </c>
      <c r="B26" s="20" t="str">
        <f t="shared" si="0"/>
        <v>2016 ENE</v>
      </c>
      <c r="C26" s="20">
        <v>2016</v>
      </c>
      <c r="D26" s="21" t="s">
        <v>122</v>
      </c>
      <c r="E26" s="21" t="s">
        <v>24</v>
      </c>
      <c r="F26" s="21">
        <v>39448823</v>
      </c>
      <c r="G26" s="21" t="s">
        <v>48</v>
      </c>
      <c r="H26" s="22">
        <v>33755358</v>
      </c>
      <c r="I26" s="22">
        <v>1533700</v>
      </c>
      <c r="J26" s="22">
        <v>2368027</v>
      </c>
      <c r="K26" s="23">
        <v>29853631</v>
      </c>
      <c r="L26" s="23">
        <v>30000000</v>
      </c>
      <c r="M26" s="24">
        <v>0.99512103333333335</v>
      </c>
      <c r="N26" s="25" t="str">
        <f>IFERROR(VLOOKUP(F26,Back!C:F,4,0),"NO")</f>
        <v>Si</v>
      </c>
      <c r="O26" s="26">
        <v>24</v>
      </c>
      <c r="P26" s="27" t="str">
        <f>IFERROR(VLOOKUP(F26,Back!C:E,3,0),"")</f>
        <v>IPS Pto De Vista Rionegro</v>
      </c>
      <c r="Q26" s="27" t="str">
        <f>IFERROR(VLOOKUP(P26,Back!M:N,2,0),"")</f>
        <v>Antioquia</v>
      </c>
      <c r="R26" s="27" t="str">
        <f>IF(N26="Si",IFERROR(VLOOKUP(F26,'TD Cumpl'!B:AB,27,0),"No Aplica"),"No Aplica")</f>
        <v>Siempre Cumple</v>
      </c>
      <c r="S26" s="38"/>
      <c r="T26" s="36"/>
      <c r="Y26" s="54">
        <f t="shared" si="1"/>
        <v>33755358</v>
      </c>
    </row>
    <row r="27" spans="1:25" x14ac:dyDescent="0.25">
      <c r="A27" s="20">
        <f>+VLOOKUP(D27,Back!Q:R,2,0)</f>
        <v>1</v>
      </c>
      <c r="B27" s="20" t="str">
        <f t="shared" si="0"/>
        <v>2016 ENE</v>
      </c>
      <c r="C27" s="20">
        <v>2016</v>
      </c>
      <c r="D27" s="21" t="s">
        <v>122</v>
      </c>
      <c r="E27" s="21" t="s">
        <v>10</v>
      </c>
      <c r="F27" s="21">
        <v>43109744</v>
      </c>
      <c r="G27" s="21" t="s">
        <v>53</v>
      </c>
      <c r="H27" s="22">
        <v>1735878</v>
      </c>
      <c r="I27" s="22">
        <v>329940</v>
      </c>
      <c r="J27" s="22">
        <v>0</v>
      </c>
      <c r="K27" s="23">
        <v>1405938</v>
      </c>
      <c r="L27" s="23">
        <v>8666666.666666666</v>
      </c>
      <c r="M27" s="24">
        <v>0.16222361538461538</v>
      </c>
      <c r="N27" s="25" t="str">
        <f>IFERROR(VLOOKUP(F27,Back!C:F,4,0),"NO")</f>
        <v>NO</v>
      </c>
      <c r="O27" s="26">
        <v>24</v>
      </c>
      <c r="P27" s="27" t="str">
        <f>IFERROR(VLOOKUP(F27,Back!C:E,3,0),"")</f>
        <v/>
      </c>
      <c r="Q27" s="27" t="str">
        <f>IFERROR(VLOOKUP(P27,Back!M:N,2,0),"")</f>
        <v/>
      </c>
      <c r="R27" s="27" t="str">
        <f>IF(N27="Si",IFERROR(VLOOKUP(F27,'TD Cumpl'!B:AB,27,0),"No Aplica"),"No Aplica")</f>
        <v>No Aplica</v>
      </c>
      <c r="S27" s="38"/>
      <c r="T27" s="36"/>
      <c r="Y27" s="54">
        <f t="shared" si="1"/>
        <v>1735878</v>
      </c>
    </row>
    <row r="28" spans="1:25" x14ac:dyDescent="0.25">
      <c r="A28" s="20">
        <f>+VLOOKUP(D28,Back!Q:R,2,0)</f>
        <v>1</v>
      </c>
      <c r="B28" s="20" t="str">
        <f t="shared" si="0"/>
        <v>2016 ENE</v>
      </c>
      <c r="C28" s="20">
        <v>2016</v>
      </c>
      <c r="D28" s="21" t="s">
        <v>122</v>
      </c>
      <c r="E28" s="21" t="s">
        <v>16</v>
      </c>
      <c r="F28" s="21">
        <v>43599983</v>
      </c>
      <c r="G28" s="21" t="s">
        <v>478</v>
      </c>
      <c r="H28" s="22">
        <v>42677545</v>
      </c>
      <c r="I28" s="22">
        <v>675200</v>
      </c>
      <c r="J28" s="22">
        <v>3477391</v>
      </c>
      <c r="K28" s="23">
        <v>38524954</v>
      </c>
      <c r="L28" s="23">
        <v>40000000</v>
      </c>
      <c r="M28" s="24">
        <v>0.96312385</v>
      </c>
      <c r="N28" s="25" t="str">
        <f>IFERROR(VLOOKUP(F28,Back!C:F,4,0),"NO")</f>
        <v>NO</v>
      </c>
      <c r="O28" s="26">
        <v>24</v>
      </c>
      <c r="P28" s="27" t="str">
        <f>IFERROR(VLOOKUP(F28,Back!C:E,3,0),"")</f>
        <v/>
      </c>
      <c r="Q28" s="27" t="str">
        <f>IFERROR(VLOOKUP(P28,Back!M:N,2,0),"")</f>
        <v/>
      </c>
      <c r="R28" s="27" t="str">
        <f>IF(N28="Si",IFERROR(VLOOKUP(F28,'TD Cumpl'!B:AB,27,0),"No Aplica"),"No Aplica")</f>
        <v>No Aplica</v>
      </c>
      <c r="S28" s="38"/>
      <c r="T28" s="36"/>
      <c r="Y28" s="54">
        <f t="shared" si="1"/>
        <v>42677545</v>
      </c>
    </row>
    <row r="29" spans="1:25" x14ac:dyDescent="0.25">
      <c r="A29" s="20">
        <f>+VLOOKUP(D29,Back!Q:R,2,0)</f>
        <v>1</v>
      </c>
      <c r="B29" s="20" t="str">
        <f t="shared" si="0"/>
        <v>2016 ENE</v>
      </c>
      <c r="C29" s="20">
        <v>2016</v>
      </c>
      <c r="D29" s="21" t="s">
        <v>122</v>
      </c>
      <c r="E29" s="21" t="s">
        <v>15</v>
      </c>
      <c r="F29" s="21">
        <v>42689970</v>
      </c>
      <c r="G29" s="21" t="s">
        <v>29</v>
      </c>
      <c r="H29" s="22">
        <v>36390790</v>
      </c>
      <c r="I29" s="22">
        <v>1169400</v>
      </c>
      <c r="J29" s="22">
        <v>2735617</v>
      </c>
      <c r="K29" s="23">
        <v>32485773</v>
      </c>
      <c r="L29" s="23">
        <v>11666666.666666668</v>
      </c>
      <c r="M29" s="24">
        <v>2.7844948285714284</v>
      </c>
      <c r="N29" s="25" t="str">
        <f>IFERROR(VLOOKUP(F29,Back!C:F,4,0),"NO")</f>
        <v>NO</v>
      </c>
      <c r="O29" s="26">
        <v>24</v>
      </c>
      <c r="P29" s="27" t="str">
        <f>IFERROR(VLOOKUP(F29,Back!C:E,3,0),"")</f>
        <v/>
      </c>
      <c r="Q29" s="27" t="str">
        <f>IFERROR(VLOOKUP(P29,Back!M:N,2,0),"")</f>
        <v/>
      </c>
      <c r="R29" s="27" t="str">
        <f>IF(N29="Si",IFERROR(VLOOKUP(F29,'TD Cumpl'!B:AB,27,0),"No Aplica"),"No Aplica")</f>
        <v>No Aplica</v>
      </c>
      <c r="S29" s="38"/>
      <c r="T29" s="36"/>
      <c r="Y29" s="54">
        <f t="shared" si="1"/>
        <v>36390790</v>
      </c>
    </row>
    <row r="30" spans="1:25" x14ac:dyDescent="0.25">
      <c r="A30" s="20">
        <f>+VLOOKUP(D30,Back!Q:R,2,0)</f>
        <v>1</v>
      </c>
      <c r="B30" s="20" t="str">
        <f t="shared" si="0"/>
        <v>2016 ENE</v>
      </c>
      <c r="C30" s="20">
        <v>2016</v>
      </c>
      <c r="D30" s="21" t="s">
        <v>122</v>
      </c>
      <c r="E30" s="21" t="s">
        <v>23</v>
      </c>
      <c r="F30" s="21">
        <v>43907427</v>
      </c>
      <c r="G30" s="21" t="s">
        <v>144</v>
      </c>
      <c r="H30" s="22">
        <v>36234860</v>
      </c>
      <c r="I30" s="22">
        <v>350820</v>
      </c>
      <c r="J30" s="22">
        <v>1137047</v>
      </c>
      <c r="K30" s="23">
        <v>34746993</v>
      </c>
      <c r="L30" s="23">
        <v>28500000</v>
      </c>
      <c r="M30" s="24">
        <v>1.2191927368421052</v>
      </c>
      <c r="N30" s="25" t="str">
        <f>IFERROR(VLOOKUP(F30,Back!C:F,4,0),"NO")</f>
        <v>Si</v>
      </c>
      <c r="O30" s="26">
        <v>24</v>
      </c>
      <c r="P30" s="27" t="str">
        <f>IFERROR(VLOOKUP(F30,Back!C:E,3,0),"")</f>
        <v>IPS Pto De Vista Industriales</v>
      </c>
      <c r="Q30" s="27" t="str">
        <f>IFERROR(VLOOKUP(P30,Back!M:N,2,0),"")</f>
        <v>Antioquia</v>
      </c>
      <c r="R30" s="27" t="str">
        <f>IF(N30="Si",IFERROR(VLOOKUP(F30,'TD Cumpl'!B:AB,27,0),"No Aplica"),"No Aplica")</f>
        <v>Siempre Cumple</v>
      </c>
      <c r="S30" s="38"/>
      <c r="T30" s="36"/>
      <c r="Y30" s="54">
        <f t="shared" si="1"/>
        <v>36234860</v>
      </c>
    </row>
    <row r="31" spans="1:25" x14ac:dyDescent="0.25">
      <c r="A31" s="20">
        <f>+VLOOKUP(D31,Back!Q:R,2,0)</f>
        <v>1</v>
      </c>
      <c r="B31" s="20" t="str">
        <f t="shared" si="0"/>
        <v>2016 ENE</v>
      </c>
      <c r="C31" s="20">
        <v>2016</v>
      </c>
      <c r="D31" s="21" t="s">
        <v>122</v>
      </c>
      <c r="E31" s="21" t="s">
        <v>12</v>
      </c>
      <c r="F31" s="21">
        <v>91511871</v>
      </c>
      <c r="G31" s="21" t="s">
        <v>49</v>
      </c>
      <c r="H31" s="22">
        <v>33059588</v>
      </c>
      <c r="I31" s="22">
        <v>3155560</v>
      </c>
      <c r="J31" s="22">
        <v>3186981</v>
      </c>
      <c r="K31" s="23">
        <v>26717047</v>
      </c>
      <c r="L31" s="23">
        <v>26000000</v>
      </c>
      <c r="M31" s="24">
        <v>1.0275787307692308</v>
      </c>
      <c r="N31" s="25" t="str">
        <f>IFERROR(VLOOKUP(F31,Back!C:F,4,0),"NO")</f>
        <v>NO</v>
      </c>
      <c r="O31" s="26">
        <v>24</v>
      </c>
      <c r="P31" s="27" t="str">
        <f>IFERROR(VLOOKUP(F31,Back!C:E,3,0),"")</f>
        <v/>
      </c>
      <c r="Q31" s="27" t="str">
        <f>IFERROR(VLOOKUP(P31,Back!M:N,2,0),"")</f>
        <v/>
      </c>
      <c r="R31" s="27" t="str">
        <f>IF(N31="Si",IFERROR(VLOOKUP(F31,'TD Cumpl'!B:AB,27,0),"No Aplica"),"No Aplica")</f>
        <v>No Aplica</v>
      </c>
      <c r="S31" s="38"/>
      <c r="T31" s="36"/>
      <c r="Y31" s="54">
        <f t="shared" si="1"/>
        <v>33059588</v>
      </c>
    </row>
    <row r="32" spans="1:25" x14ac:dyDescent="0.25">
      <c r="A32" s="20">
        <f>+VLOOKUP(D32,Back!Q:R,2,0)</f>
        <v>1</v>
      </c>
      <c r="B32" s="20" t="str">
        <f t="shared" si="0"/>
        <v>2016 ENE</v>
      </c>
      <c r="C32" s="20">
        <v>2016</v>
      </c>
      <c r="D32" s="21" t="s">
        <v>122</v>
      </c>
      <c r="E32" s="21" t="s">
        <v>4</v>
      </c>
      <c r="F32" s="21">
        <v>79701425</v>
      </c>
      <c r="G32" s="21" t="s">
        <v>27</v>
      </c>
      <c r="H32" s="22">
        <v>12377840</v>
      </c>
      <c r="I32" s="22">
        <v>366600</v>
      </c>
      <c r="J32" s="22">
        <v>1171192</v>
      </c>
      <c r="K32" s="23">
        <v>10840048</v>
      </c>
      <c r="L32" s="23">
        <v>21000000</v>
      </c>
      <c r="M32" s="24">
        <v>0.51619276190476193</v>
      </c>
      <c r="N32" s="25" t="str">
        <f>IFERROR(VLOOKUP(F32,Back!C:F,4,0),"NO")</f>
        <v>No</v>
      </c>
      <c r="O32" s="26">
        <v>24</v>
      </c>
      <c r="P32" s="27" t="str">
        <f>IFERROR(VLOOKUP(F32,Back!C:E,3,0),"")</f>
        <v>IPS Pto De Vista Olaya</v>
      </c>
      <c r="Q32" s="27" t="str">
        <f>IFERROR(VLOOKUP(P32,Back!M:N,2,0),"")</f>
        <v>Centro</v>
      </c>
      <c r="R32" s="27" t="str">
        <f>IF(N32="Si",IFERROR(VLOOKUP(F32,'TD Cumpl'!B:AB,27,0),"No Aplica"),"No Aplica")</f>
        <v>No Aplica</v>
      </c>
      <c r="S32" s="38"/>
      <c r="T32" s="36"/>
      <c r="Y32" s="54">
        <f t="shared" si="1"/>
        <v>12377840</v>
      </c>
    </row>
    <row r="33" spans="1:25" x14ac:dyDescent="0.25">
      <c r="A33" s="20">
        <f>+VLOOKUP(D33,Back!Q:R,2,0)</f>
        <v>1</v>
      </c>
      <c r="B33" s="20" t="str">
        <f t="shared" si="0"/>
        <v>2016 ENE</v>
      </c>
      <c r="C33" s="20">
        <v>2016</v>
      </c>
      <c r="D33" s="21" t="s">
        <v>122</v>
      </c>
      <c r="E33" s="21" t="s">
        <v>5</v>
      </c>
      <c r="F33" s="21">
        <v>34542470</v>
      </c>
      <c r="G33" s="21" t="s">
        <v>28</v>
      </c>
      <c r="H33" s="22">
        <v>19542392</v>
      </c>
      <c r="I33" s="22">
        <v>473220</v>
      </c>
      <c r="J33" s="22">
        <v>0</v>
      </c>
      <c r="K33" s="23">
        <v>19069172</v>
      </c>
      <c r="L33" s="23">
        <v>21000000</v>
      </c>
      <c r="M33" s="24">
        <v>0.90805580952380949</v>
      </c>
      <c r="N33" s="25" t="str">
        <f>IFERROR(VLOOKUP(F33,Back!C:F,4,0),"NO")</f>
        <v>Si</v>
      </c>
      <c r="O33" s="26">
        <v>24</v>
      </c>
      <c r="P33" s="27" t="str">
        <f>IFERROR(VLOOKUP(F33,Back!C:E,3,0),"")</f>
        <v>Optica Salud Sura Chipichape</v>
      </c>
      <c r="Q33" s="27" t="str">
        <f>IFERROR(VLOOKUP(P33,Back!M:N,2,0),"")</f>
        <v>Occidente</v>
      </c>
      <c r="R33" s="27" t="str">
        <f>IF(N33="Si",IFERROR(VLOOKUP(F33,'TD Cumpl'!B:AB,27,0),"No Aplica"),"No Aplica")</f>
        <v>Siempre Cumple</v>
      </c>
      <c r="S33" s="38"/>
      <c r="T33" s="36"/>
      <c r="Y33" s="54">
        <f t="shared" si="1"/>
        <v>19542392</v>
      </c>
    </row>
    <row r="34" spans="1:25" x14ac:dyDescent="0.25">
      <c r="A34" s="20">
        <f>+VLOOKUP(D34,Back!Q:R,2,0)</f>
        <v>1</v>
      </c>
      <c r="B34" s="20" t="str">
        <f t="shared" si="0"/>
        <v>2016 ENE</v>
      </c>
      <c r="C34" s="20">
        <v>2016</v>
      </c>
      <c r="D34" s="21" t="s">
        <v>122</v>
      </c>
      <c r="E34" s="21" t="s">
        <v>479</v>
      </c>
      <c r="F34" s="21">
        <v>52730701</v>
      </c>
      <c r="G34" s="21" t="s">
        <v>480</v>
      </c>
      <c r="H34" s="22">
        <v>13510580</v>
      </c>
      <c r="I34" s="22">
        <v>192000</v>
      </c>
      <c r="J34" s="22">
        <v>488772</v>
      </c>
      <c r="K34" s="23">
        <v>12829808</v>
      </c>
      <c r="L34" s="23">
        <v>21000000</v>
      </c>
      <c r="M34" s="24">
        <v>0.61094323809523809</v>
      </c>
      <c r="N34" s="25" t="str">
        <f>IFERROR(VLOOKUP(F34,Back!C:F,4,0),"NO")</f>
        <v>NO</v>
      </c>
      <c r="O34" s="26">
        <v>24</v>
      </c>
      <c r="P34" s="27" t="str">
        <f>IFERROR(VLOOKUP(F34,Back!C:E,3,0),"")</f>
        <v/>
      </c>
      <c r="Q34" s="27" t="str">
        <f>IFERROR(VLOOKUP(P34,Back!M:N,2,0),"")</f>
        <v/>
      </c>
      <c r="R34" s="27" t="str">
        <f>IF(N34="Si",IFERROR(VLOOKUP(F34,'TD Cumpl'!B:AB,27,0),"No Aplica"),"No Aplica")</f>
        <v>No Aplica</v>
      </c>
      <c r="S34" s="38"/>
      <c r="T34" s="36"/>
      <c r="Y34" s="54">
        <f t="shared" si="1"/>
        <v>13510580</v>
      </c>
    </row>
    <row r="35" spans="1:25" x14ac:dyDescent="0.25">
      <c r="A35" s="20">
        <f>+VLOOKUP(D35,Back!Q:R,2,0)</f>
        <v>1</v>
      </c>
      <c r="B35" s="20" t="str">
        <f t="shared" si="0"/>
        <v>2016 ENE</v>
      </c>
      <c r="C35" s="20">
        <v>2016</v>
      </c>
      <c r="D35" s="21" t="s">
        <v>122</v>
      </c>
      <c r="E35" s="21" t="s">
        <v>7</v>
      </c>
      <c r="F35" s="21">
        <v>43745952</v>
      </c>
      <c r="G35" s="21" t="s">
        <v>50</v>
      </c>
      <c r="H35" s="22">
        <v>60428270</v>
      </c>
      <c r="I35" s="22">
        <v>1388700</v>
      </c>
      <c r="J35" s="22">
        <v>4526308</v>
      </c>
      <c r="K35" s="23">
        <v>54513262</v>
      </c>
      <c r="L35" s="23">
        <v>40000000</v>
      </c>
      <c r="M35" s="24">
        <v>1.3628315499999999</v>
      </c>
      <c r="N35" s="25" t="str">
        <f>IFERROR(VLOOKUP(F35,Back!C:F,4,0),"NO")</f>
        <v>Si</v>
      </c>
      <c r="O35" s="26">
        <v>24</v>
      </c>
      <c r="P35" s="27" t="str">
        <f>IFERROR(VLOOKUP(F35,Back!C:E,3,0),"")</f>
        <v>IPS Pto De Vista Unicentro</v>
      </c>
      <c r="Q35" s="27" t="str">
        <f>IFERROR(VLOOKUP(P35,Back!M:N,2,0),"")</f>
        <v>Antioquia</v>
      </c>
      <c r="R35" s="27" t="str">
        <f>IF(N35="Si",IFERROR(VLOOKUP(F35,'TD Cumpl'!B:AB,27,0),"No Aplica"),"No Aplica")</f>
        <v>Siempre Cumple</v>
      </c>
      <c r="S35" s="38"/>
      <c r="T35" s="36"/>
      <c r="Y35" s="54">
        <f t="shared" si="1"/>
        <v>60428270</v>
      </c>
    </row>
    <row r="36" spans="1:25" x14ac:dyDescent="0.25">
      <c r="A36" s="20">
        <f>+VLOOKUP(D36,Back!Q:R,2,0)</f>
        <v>1</v>
      </c>
      <c r="B36" s="20" t="str">
        <f t="shared" si="0"/>
        <v>2016 ENE</v>
      </c>
      <c r="C36" s="20">
        <v>2016</v>
      </c>
      <c r="D36" s="21" t="s">
        <v>122</v>
      </c>
      <c r="E36" s="21" t="s">
        <v>8</v>
      </c>
      <c r="F36" s="21">
        <v>43259130</v>
      </c>
      <c r="G36" s="21" t="s">
        <v>51</v>
      </c>
      <c r="H36" s="22">
        <v>55846407</v>
      </c>
      <c r="I36" s="22">
        <v>2438750</v>
      </c>
      <c r="J36" s="22">
        <v>3687060</v>
      </c>
      <c r="K36" s="23">
        <v>49720597</v>
      </c>
      <c r="L36" s="23">
        <v>40000000</v>
      </c>
      <c r="M36" s="24">
        <v>1.243014925</v>
      </c>
      <c r="N36" s="25" t="str">
        <f>IFERROR(VLOOKUP(F36,Back!C:F,4,0),"NO")</f>
        <v>Si</v>
      </c>
      <c r="O36" s="26">
        <v>24</v>
      </c>
      <c r="P36" s="27" t="str">
        <f>IFERROR(VLOOKUP(F36,Back!C:E,3,0),"")</f>
        <v>IPS Pto De Vista Molinos</v>
      </c>
      <c r="Q36" s="27" t="str">
        <f>IFERROR(VLOOKUP(P36,Back!M:N,2,0),"")</f>
        <v>Antioquia</v>
      </c>
      <c r="R36" s="27" t="str">
        <f>IF(N36="Si",IFERROR(VLOOKUP(F36,'TD Cumpl'!B:AB,27,0),"No Aplica"),"No Aplica")</f>
        <v>Fluctúa</v>
      </c>
      <c r="S36" s="38"/>
      <c r="T36" s="36"/>
      <c r="Y36" s="54">
        <f t="shared" si="1"/>
        <v>55846407</v>
      </c>
    </row>
    <row r="37" spans="1:25" x14ac:dyDescent="0.25">
      <c r="A37" s="20">
        <f>+VLOOKUP(D37,Back!Q:R,2,0)</f>
        <v>2</v>
      </c>
      <c r="B37" s="20" t="str">
        <f t="shared" si="0"/>
        <v>2016 FEB</v>
      </c>
      <c r="C37" s="20">
        <v>2016</v>
      </c>
      <c r="D37" s="21" t="s">
        <v>138</v>
      </c>
      <c r="E37" s="21" t="s">
        <v>475</v>
      </c>
      <c r="F37" s="21">
        <v>43920870</v>
      </c>
      <c r="G37" s="21" t="s">
        <v>476</v>
      </c>
      <c r="H37" s="22">
        <v>41352730</v>
      </c>
      <c r="I37" s="22">
        <v>1612600</v>
      </c>
      <c r="J37" s="22">
        <v>1698294</v>
      </c>
      <c r="K37" s="23">
        <v>38041836</v>
      </c>
      <c r="L37" s="23">
        <v>32800000</v>
      </c>
      <c r="M37" s="24">
        <v>1.1598120731707318</v>
      </c>
      <c r="N37" s="25" t="str">
        <f>IFERROR(VLOOKUP(F37,Back!C:F,4,0),"NO")</f>
        <v>NO</v>
      </c>
      <c r="O37" s="26">
        <v>25</v>
      </c>
      <c r="P37" s="27" t="str">
        <f>IFERROR(VLOOKUP(F37,Back!C:E,3,0),"")</f>
        <v/>
      </c>
      <c r="Q37" s="27" t="str">
        <f>IFERROR(VLOOKUP(P37,Back!M:N,2,0),"")</f>
        <v/>
      </c>
      <c r="R37" s="27" t="str">
        <f>IF(N37="Si",IFERROR(VLOOKUP(F37,'TD Cumpl'!B:AB,27,0),"No Aplica"),"No Aplica")</f>
        <v>No Aplica</v>
      </c>
      <c r="S37" s="38"/>
      <c r="T37" s="36"/>
      <c r="Y37" s="54">
        <f t="shared" si="1"/>
        <v>41352730</v>
      </c>
    </row>
    <row r="38" spans="1:25" x14ac:dyDescent="0.25">
      <c r="A38" s="20">
        <f>+VLOOKUP(D38,Back!Q:R,2,0)</f>
        <v>2</v>
      </c>
      <c r="B38" s="20" t="str">
        <f t="shared" si="0"/>
        <v>2016 FEB</v>
      </c>
      <c r="C38" s="20">
        <v>2016</v>
      </c>
      <c r="D38" s="21" t="s">
        <v>138</v>
      </c>
      <c r="E38" s="21" t="s">
        <v>9</v>
      </c>
      <c r="F38" s="21">
        <v>43169964</v>
      </c>
      <c r="G38" s="21" t="s">
        <v>155</v>
      </c>
      <c r="H38" s="22">
        <v>27179896</v>
      </c>
      <c r="I38" s="22">
        <v>829200</v>
      </c>
      <c r="J38" s="22">
        <v>1329705</v>
      </c>
      <c r="K38" s="23">
        <v>25020991</v>
      </c>
      <c r="L38" s="23">
        <v>24960000</v>
      </c>
      <c r="M38" s="24">
        <v>1.0024435496794872</v>
      </c>
      <c r="N38" s="25" t="str">
        <f>IFERROR(VLOOKUP(F38,Back!C:F,4,0),"NO")</f>
        <v>Si</v>
      </c>
      <c r="O38" s="26">
        <v>25</v>
      </c>
      <c r="P38" s="27" t="str">
        <f>IFERROR(VLOOKUP(F38,Back!C:E,3,0),"")</f>
        <v>IPS Pto De Vista Molinos</v>
      </c>
      <c r="Q38" s="27" t="str">
        <f>IFERROR(VLOOKUP(P38,Back!M:N,2,0),"")</f>
        <v>Antioquia</v>
      </c>
      <c r="R38" s="27" t="str">
        <f>IF(N38="Si",IFERROR(VLOOKUP(F38,'TD Cumpl'!B:AB,27,0),"No Aplica"),"No Aplica")</f>
        <v>Cumple</v>
      </c>
      <c r="S38" s="38"/>
      <c r="T38" s="36"/>
      <c r="Y38" s="54">
        <f t="shared" si="1"/>
        <v>27179896</v>
      </c>
    </row>
    <row r="39" spans="1:25" x14ac:dyDescent="0.25">
      <c r="A39" s="20">
        <f>+VLOOKUP(D39,Back!Q:R,2,0)</f>
        <v>2</v>
      </c>
      <c r="B39" s="20" t="str">
        <f t="shared" si="0"/>
        <v>2016 FEB</v>
      </c>
      <c r="C39" s="20">
        <v>2016</v>
      </c>
      <c r="D39" s="21" t="s">
        <v>138</v>
      </c>
      <c r="E39" s="21" t="s">
        <v>11</v>
      </c>
      <c r="F39" s="21">
        <v>43253531</v>
      </c>
      <c r="G39" s="21" t="s">
        <v>39</v>
      </c>
      <c r="H39" s="22">
        <v>39803918</v>
      </c>
      <c r="I39" s="22">
        <v>2979740</v>
      </c>
      <c r="J39" s="22">
        <v>2610309</v>
      </c>
      <c r="K39" s="23">
        <v>34213869</v>
      </c>
      <c r="L39" s="23">
        <v>32000000</v>
      </c>
      <c r="M39" s="24">
        <v>1.0691834062500001</v>
      </c>
      <c r="N39" s="25" t="str">
        <f>IFERROR(VLOOKUP(F39,Back!C:F,4,0),"NO")</f>
        <v>Si</v>
      </c>
      <c r="O39" s="26">
        <v>25</v>
      </c>
      <c r="P39" s="27" t="str">
        <f>IFERROR(VLOOKUP(F39,Back!C:E,3,0),"")</f>
        <v>IPS Punto de Vista Bello</v>
      </c>
      <c r="Q39" s="27" t="str">
        <f>IFERROR(VLOOKUP(P39,Back!M:N,2,0),"")</f>
        <v>Antioquia</v>
      </c>
      <c r="R39" s="27" t="str">
        <f>IF(N39="Si",IFERROR(VLOOKUP(F39,'TD Cumpl'!B:AB,27,0),"No Aplica"),"No Aplica")</f>
        <v>Cumple</v>
      </c>
      <c r="S39" s="38"/>
      <c r="T39" s="36"/>
      <c r="Y39" s="54">
        <f t="shared" si="1"/>
        <v>39803918</v>
      </c>
    </row>
    <row r="40" spans="1:25" x14ac:dyDescent="0.25">
      <c r="A40" s="20">
        <f>+VLOOKUP(D40,Back!Q:R,2,0)</f>
        <v>2</v>
      </c>
      <c r="B40" s="20" t="str">
        <f t="shared" si="0"/>
        <v>2016 FEB</v>
      </c>
      <c r="C40" s="20">
        <v>2016</v>
      </c>
      <c r="D40" s="21" t="s">
        <v>138</v>
      </c>
      <c r="E40" s="21" t="s">
        <v>6</v>
      </c>
      <c r="F40" s="21">
        <v>43821410</v>
      </c>
      <c r="G40" s="21" t="s">
        <v>40</v>
      </c>
      <c r="H40" s="22">
        <v>67741163</v>
      </c>
      <c r="I40" s="22">
        <v>1246000</v>
      </c>
      <c r="J40" s="22">
        <v>3690933</v>
      </c>
      <c r="K40" s="23">
        <v>62804230</v>
      </c>
      <c r="L40" s="23">
        <v>40000000</v>
      </c>
      <c r="M40" s="24">
        <v>1.57010575</v>
      </c>
      <c r="N40" s="25" t="str">
        <f>IFERROR(VLOOKUP(F40,Back!C:F,4,0),"NO")</f>
        <v>Si</v>
      </c>
      <c r="O40" s="26">
        <v>25</v>
      </c>
      <c r="P40" s="27" t="str">
        <f>IFERROR(VLOOKUP(F40,Back!C:E,3,0),"")</f>
        <v>IPS Pto De Vista Unicentro</v>
      </c>
      <c r="Q40" s="27" t="str">
        <f>IFERROR(VLOOKUP(P40,Back!M:N,2,0),"")</f>
        <v>Antioquia</v>
      </c>
      <c r="R40" s="27" t="str">
        <f>IF(N40="Si",IFERROR(VLOOKUP(F40,'TD Cumpl'!B:AB,27,0),"No Aplica"),"No Aplica")</f>
        <v>Siempre Cumple</v>
      </c>
      <c r="S40" s="38"/>
      <c r="T40" s="36"/>
      <c r="Y40" s="54">
        <f t="shared" si="1"/>
        <v>67741163</v>
      </c>
    </row>
    <row r="41" spans="1:25" x14ac:dyDescent="0.25">
      <c r="A41" s="20">
        <f>+VLOOKUP(D41,Back!Q:R,2,0)</f>
        <v>2</v>
      </c>
      <c r="B41" s="20" t="str">
        <f t="shared" si="0"/>
        <v>2016 FEB</v>
      </c>
      <c r="C41" s="20">
        <v>2016</v>
      </c>
      <c r="D41" s="21" t="s">
        <v>138</v>
      </c>
      <c r="E41" s="21" t="s">
        <v>18</v>
      </c>
      <c r="F41" s="21">
        <v>39442617</v>
      </c>
      <c r="G41" s="21" t="s">
        <v>41</v>
      </c>
      <c r="H41" s="22">
        <v>50259026</v>
      </c>
      <c r="I41" s="22">
        <v>2652710</v>
      </c>
      <c r="J41" s="22">
        <v>2830305</v>
      </c>
      <c r="K41" s="23">
        <v>44776011</v>
      </c>
      <c r="L41" s="23">
        <v>40000000</v>
      </c>
      <c r="M41" s="24">
        <v>1.1194002750000001</v>
      </c>
      <c r="N41" s="25" t="str">
        <f>IFERROR(VLOOKUP(F41,Back!C:F,4,0),"NO")</f>
        <v>Si</v>
      </c>
      <c r="O41" s="26">
        <v>25</v>
      </c>
      <c r="P41" s="27" t="str">
        <f>IFERROR(VLOOKUP(F41,Back!C:E,3,0),"")</f>
        <v>IPS Pto De Vista San Diego</v>
      </c>
      <c r="Q41" s="27" t="str">
        <f>IFERROR(VLOOKUP(P41,Back!M:N,2,0),"")</f>
        <v>Antioquia</v>
      </c>
      <c r="R41" s="27" t="str">
        <f>IF(N41="Si",IFERROR(VLOOKUP(F41,'TD Cumpl'!B:AB,27,0),"No Aplica"),"No Aplica")</f>
        <v>Cumple</v>
      </c>
      <c r="S41" s="38"/>
      <c r="T41" s="36"/>
      <c r="Y41" s="54">
        <f t="shared" si="1"/>
        <v>50259026</v>
      </c>
    </row>
    <row r="42" spans="1:25" x14ac:dyDescent="0.25">
      <c r="A42" s="20">
        <f>+VLOOKUP(D42,Back!Q:R,2,0)</f>
        <v>2</v>
      </c>
      <c r="B42" s="20" t="str">
        <f t="shared" si="0"/>
        <v>2016 FEB</v>
      </c>
      <c r="C42" s="20">
        <v>2016</v>
      </c>
      <c r="D42" s="21" t="s">
        <v>138</v>
      </c>
      <c r="E42" s="21" t="s">
        <v>54</v>
      </c>
      <c r="F42" s="21">
        <v>1013628003</v>
      </c>
      <c r="G42" s="21" t="s">
        <v>55</v>
      </c>
      <c r="H42" s="22">
        <v>30381799</v>
      </c>
      <c r="I42" s="22">
        <v>222030</v>
      </c>
      <c r="J42" s="22">
        <v>0</v>
      </c>
      <c r="K42" s="23">
        <v>30159769</v>
      </c>
      <c r="L42" s="23">
        <v>30400000</v>
      </c>
      <c r="M42" s="24">
        <v>0.99209766447368419</v>
      </c>
      <c r="N42" s="25" t="str">
        <f>IFERROR(VLOOKUP(F42,Back!C:F,4,0),"NO")</f>
        <v>NO</v>
      </c>
      <c r="O42" s="26">
        <v>25</v>
      </c>
      <c r="P42" s="27" t="str">
        <f>IFERROR(VLOOKUP(F42,Back!C:E,3,0),"")</f>
        <v/>
      </c>
      <c r="Q42" s="27" t="str">
        <f>IFERROR(VLOOKUP(P42,Back!M:N,2,0),"")</f>
        <v/>
      </c>
      <c r="R42" s="27" t="str">
        <f>IF(N42="Si",IFERROR(VLOOKUP(F42,'TD Cumpl'!B:AB,27,0),"No Aplica"),"No Aplica")</f>
        <v>No Aplica</v>
      </c>
      <c r="S42" s="38"/>
      <c r="T42" s="36"/>
      <c r="Y42" s="54">
        <f t="shared" si="1"/>
        <v>30381799</v>
      </c>
    </row>
    <row r="43" spans="1:25" x14ac:dyDescent="0.25">
      <c r="A43" s="20">
        <f>+VLOOKUP(D43,Back!Q:R,2,0)</f>
        <v>2</v>
      </c>
      <c r="B43" s="20" t="str">
        <f t="shared" si="0"/>
        <v>2016 FEB</v>
      </c>
      <c r="C43" s="20">
        <v>2016</v>
      </c>
      <c r="D43" s="21" t="s">
        <v>138</v>
      </c>
      <c r="E43" s="21" t="s">
        <v>56</v>
      </c>
      <c r="F43" s="21">
        <v>43971430</v>
      </c>
      <c r="G43" s="21" t="s">
        <v>142</v>
      </c>
      <c r="H43" s="22">
        <v>43647916</v>
      </c>
      <c r="I43" s="22">
        <v>337600</v>
      </c>
      <c r="J43" s="22">
        <v>2443455</v>
      </c>
      <c r="K43" s="23">
        <v>40866861</v>
      </c>
      <c r="L43" s="23">
        <v>40000000</v>
      </c>
      <c r="M43" s="24">
        <v>1.0216715249999999</v>
      </c>
      <c r="N43" s="25" t="str">
        <f>IFERROR(VLOOKUP(F43,Back!C:F,4,0),"NO")</f>
        <v>Si</v>
      </c>
      <c r="O43" s="26">
        <v>25</v>
      </c>
      <c r="P43" s="27" t="str">
        <f>IFERROR(VLOOKUP(F43,Back!C:E,3,0),"")</f>
        <v>IPS Pto De Vista Centro</v>
      </c>
      <c r="Q43" s="27" t="str">
        <f>IFERROR(VLOOKUP(P43,Back!M:N,2,0),"")</f>
        <v>Antioquia</v>
      </c>
      <c r="R43" s="27" t="str">
        <f>IF(N43="Si",IFERROR(VLOOKUP(F43,'TD Cumpl'!B:AB,27,0),"No Aplica"),"No Aplica")</f>
        <v>Siempre Cumple</v>
      </c>
      <c r="S43" s="38"/>
      <c r="T43" s="36"/>
      <c r="Y43" s="54">
        <f t="shared" si="1"/>
        <v>43647916</v>
      </c>
    </row>
    <row r="44" spans="1:25" x14ac:dyDescent="0.25">
      <c r="A44" s="20">
        <f>+VLOOKUP(D44,Back!Q:R,2,0)</f>
        <v>2</v>
      </c>
      <c r="B44" s="20" t="str">
        <f t="shared" si="0"/>
        <v>2016 FEB</v>
      </c>
      <c r="C44" s="20">
        <v>2016</v>
      </c>
      <c r="D44" s="21" t="s">
        <v>138</v>
      </c>
      <c r="E44" s="21" t="s">
        <v>14</v>
      </c>
      <c r="F44" s="21">
        <v>43184345</v>
      </c>
      <c r="G44" s="21"/>
      <c r="H44" s="22">
        <v>1476525</v>
      </c>
      <c r="I44" s="22">
        <v>0</v>
      </c>
      <c r="J44" s="22">
        <v>0</v>
      </c>
      <c r="K44" s="23">
        <v>1476525</v>
      </c>
      <c r="L44" s="23"/>
      <c r="M44" s="24"/>
      <c r="N44" s="25" t="str">
        <f>IFERROR(VLOOKUP(F44,Back!C:F,4,0),"NO")</f>
        <v>NO</v>
      </c>
      <c r="O44" s="26">
        <v>25</v>
      </c>
      <c r="P44" s="27" t="str">
        <f>IFERROR(VLOOKUP(F44,Back!C:E,3,0),"")</f>
        <v/>
      </c>
      <c r="Q44" s="27" t="str">
        <f>IFERROR(VLOOKUP(P44,Back!M:N,2,0),"")</f>
        <v/>
      </c>
      <c r="R44" s="27" t="str">
        <f>IF(N44="Si",IFERROR(VLOOKUP(F44,'TD Cumpl'!B:AB,27,0),"No Aplica"),"No Aplica")</f>
        <v>No Aplica</v>
      </c>
      <c r="S44" s="38"/>
      <c r="T44" s="36"/>
      <c r="Y44" s="54">
        <f t="shared" si="1"/>
        <v>1476525</v>
      </c>
    </row>
    <row r="45" spans="1:25" x14ac:dyDescent="0.25">
      <c r="A45" s="20">
        <f>+VLOOKUP(D45,Back!Q:R,2,0)</f>
        <v>2</v>
      </c>
      <c r="B45" s="20" t="str">
        <f t="shared" si="0"/>
        <v>2016 FEB</v>
      </c>
      <c r="C45" s="20">
        <v>2016</v>
      </c>
      <c r="D45" s="21" t="s">
        <v>138</v>
      </c>
      <c r="E45" s="21" t="s">
        <v>59</v>
      </c>
      <c r="F45" s="21">
        <v>1030634664</v>
      </c>
      <c r="G45" s="21" t="s">
        <v>58</v>
      </c>
      <c r="H45" s="22">
        <v>39908241</v>
      </c>
      <c r="I45" s="22">
        <v>821040</v>
      </c>
      <c r="J45" s="22">
        <v>3608708</v>
      </c>
      <c r="K45" s="23">
        <v>35478493</v>
      </c>
      <c r="L45" s="23">
        <v>32000000</v>
      </c>
      <c r="M45" s="24">
        <v>1.10870290625</v>
      </c>
      <c r="N45" s="25" t="str">
        <f>IFERROR(VLOOKUP(F45,Back!C:F,4,0),"NO")</f>
        <v>NO</v>
      </c>
      <c r="O45" s="26">
        <v>25</v>
      </c>
      <c r="P45" s="27" t="str">
        <f>IFERROR(VLOOKUP(F45,Back!C:E,3,0),"")</f>
        <v/>
      </c>
      <c r="Q45" s="27" t="str">
        <f>IFERROR(VLOOKUP(P45,Back!M:N,2,0),"")</f>
        <v/>
      </c>
      <c r="R45" s="27" t="str">
        <f>IF(N45="Si",IFERROR(VLOOKUP(F45,'TD Cumpl'!B:AB,27,0),"No Aplica"),"No Aplica")</f>
        <v>No Aplica</v>
      </c>
      <c r="S45" s="38"/>
      <c r="T45" s="36"/>
      <c r="Y45" s="54">
        <f t="shared" si="1"/>
        <v>39908241</v>
      </c>
    </row>
    <row r="46" spans="1:25" x14ac:dyDescent="0.25">
      <c r="A46" s="20">
        <f>+VLOOKUP(D46,Back!Q:R,2,0)</f>
        <v>2</v>
      </c>
      <c r="B46" s="20" t="str">
        <f t="shared" si="0"/>
        <v>2016 FEB</v>
      </c>
      <c r="C46" s="20">
        <v>2016</v>
      </c>
      <c r="D46" s="21" t="s">
        <v>138</v>
      </c>
      <c r="E46" s="21" t="s">
        <v>34</v>
      </c>
      <c r="F46" s="21">
        <v>43554403</v>
      </c>
      <c r="G46" s="21" t="s">
        <v>35</v>
      </c>
      <c r="H46" s="22">
        <v>47859109</v>
      </c>
      <c r="I46" s="22">
        <v>2682100</v>
      </c>
      <c r="J46" s="22">
        <v>3147942</v>
      </c>
      <c r="K46" s="23">
        <v>42029067</v>
      </c>
      <c r="L46" s="23">
        <v>40000000</v>
      </c>
      <c r="M46" s="24">
        <v>1.0507266749999999</v>
      </c>
      <c r="N46" s="25" t="str">
        <f>IFERROR(VLOOKUP(F46,Back!C:F,4,0),"NO")</f>
        <v>Si</v>
      </c>
      <c r="O46" s="26">
        <v>25</v>
      </c>
      <c r="P46" s="27" t="str">
        <f>IFERROR(VLOOKUP(F46,Back!C:E,3,0),"")</f>
        <v>IPS Pto De Vista Centro</v>
      </c>
      <c r="Q46" s="27" t="str">
        <f>IFERROR(VLOOKUP(P46,Back!M:N,2,0),"")</f>
        <v>Antioquia</v>
      </c>
      <c r="R46" s="27" t="str">
        <f>IF(N46="Si",IFERROR(VLOOKUP(F46,'TD Cumpl'!B:AB,27,0),"No Aplica"),"No Aplica")</f>
        <v>Siempre Cumple</v>
      </c>
      <c r="S46" s="38"/>
      <c r="T46" s="36"/>
      <c r="Y46" s="54">
        <f t="shared" si="1"/>
        <v>47859109</v>
      </c>
    </row>
    <row r="47" spans="1:25" x14ac:dyDescent="0.25">
      <c r="A47" s="20">
        <f>+VLOOKUP(D47,Back!Q:R,2,0)</f>
        <v>2</v>
      </c>
      <c r="B47" s="20" t="str">
        <f t="shared" si="0"/>
        <v>2016 FEB</v>
      </c>
      <c r="C47" s="20">
        <v>2016</v>
      </c>
      <c r="D47" s="21" t="s">
        <v>138</v>
      </c>
      <c r="E47" s="21" t="s">
        <v>1</v>
      </c>
      <c r="F47" s="21">
        <v>23857915</v>
      </c>
      <c r="G47" s="21" t="s">
        <v>116</v>
      </c>
      <c r="H47" s="22">
        <v>31926979</v>
      </c>
      <c r="I47" s="22">
        <v>1684200</v>
      </c>
      <c r="J47" s="22">
        <v>1476449</v>
      </c>
      <c r="K47" s="23">
        <v>28766330</v>
      </c>
      <c r="L47" s="23">
        <v>26000000</v>
      </c>
      <c r="M47" s="24">
        <v>1.1063973076923077</v>
      </c>
      <c r="N47" s="25" t="str">
        <f>IFERROR(VLOOKUP(F47,Back!C:F,4,0),"NO")</f>
        <v>NO</v>
      </c>
      <c r="O47" s="26">
        <v>25</v>
      </c>
      <c r="P47" s="27" t="str">
        <f>IFERROR(VLOOKUP(F47,Back!C:E,3,0),"")</f>
        <v/>
      </c>
      <c r="Q47" s="27" t="str">
        <f>IFERROR(VLOOKUP(P47,Back!M:N,2,0),"")</f>
        <v/>
      </c>
      <c r="R47" s="27" t="str">
        <f>IF(N47="Si",IFERROR(VLOOKUP(F47,'TD Cumpl'!B:AB,27,0),"No Aplica"),"No Aplica")</f>
        <v>No Aplica</v>
      </c>
      <c r="S47" s="38"/>
      <c r="T47" s="36"/>
      <c r="Y47" s="54">
        <f t="shared" si="1"/>
        <v>31926979</v>
      </c>
    </row>
    <row r="48" spans="1:25" x14ac:dyDescent="0.25">
      <c r="A48" s="20">
        <f>+VLOOKUP(D48,Back!Q:R,2,0)</f>
        <v>2</v>
      </c>
      <c r="B48" s="20" t="str">
        <f t="shared" si="0"/>
        <v>2016 FEB</v>
      </c>
      <c r="C48" s="20">
        <v>2016</v>
      </c>
      <c r="D48" s="21" t="s">
        <v>138</v>
      </c>
      <c r="E48" s="21" t="s">
        <v>3</v>
      </c>
      <c r="F48" s="21">
        <v>52725011</v>
      </c>
      <c r="G48" s="21" t="s">
        <v>42</v>
      </c>
      <c r="H48" s="22">
        <v>15483856</v>
      </c>
      <c r="I48" s="22">
        <v>669800</v>
      </c>
      <c r="J48" s="22">
        <v>688436</v>
      </c>
      <c r="K48" s="23">
        <v>14125620</v>
      </c>
      <c r="L48" s="23">
        <v>21000000</v>
      </c>
      <c r="M48" s="24">
        <v>0.67264857142857137</v>
      </c>
      <c r="N48" s="25" t="str">
        <f>IFERROR(VLOOKUP(F48,Back!C:F,4,0),"NO")</f>
        <v>Si</v>
      </c>
      <c r="O48" s="26">
        <v>25</v>
      </c>
      <c r="P48" s="27" t="str">
        <f>IFERROR(VLOOKUP(F48,Back!C:E,3,0),"")</f>
        <v>IPS Pto De Vista Olaya</v>
      </c>
      <c r="Q48" s="27" t="str">
        <f>IFERROR(VLOOKUP(P48,Back!M:N,2,0),"")</f>
        <v>Centro</v>
      </c>
      <c r="R48" s="27" t="str">
        <f>IF(N48="Si",IFERROR(VLOOKUP(F48,'TD Cumpl'!B:AB,27,0),"No Aplica"),"No Aplica")</f>
        <v>Fluctúa</v>
      </c>
      <c r="S48" s="38"/>
      <c r="T48" s="36"/>
      <c r="Y48" s="54">
        <f t="shared" si="1"/>
        <v>15483856</v>
      </c>
    </row>
    <row r="49" spans="1:25" x14ac:dyDescent="0.25">
      <c r="A49" s="20">
        <f>+VLOOKUP(D49,Back!Q:R,2,0)</f>
        <v>2</v>
      </c>
      <c r="B49" s="20" t="str">
        <f t="shared" si="0"/>
        <v>2016 FEB</v>
      </c>
      <c r="C49" s="20">
        <v>2016</v>
      </c>
      <c r="D49" s="21" t="s">
        <v>138</v>
      </c>
      <c r="E49" s="21" t="s">
        <v>25</v>
      </c>
      <c r="F49" s="21">
        <v>1040030764</v>
      </c>
      <c r="G49" s="21" t="s">
        <v>43</v>
      </c>
      <c r="H49" s="22">
        <v>42399343</v>
      </c>
      <c r="I49" s="22">
        <v>2415400</v>
      </c>
      <c r="J49" s="22">
        <v>2519268</v>
      </c>
      <c r="K49" s="23">
        <v>37464675</v>
      </c>
      <c r="L49" s="23">
        <v>30000000</v>
      </c>
      <c r="M49" s="24">
        <v>1.2488224999999999</v>
      </c>
      <c r="N49" s="25" t="str">
        <f>IFERROR(VLOOKUP(F49,Back!C:F,4,0),"NO")</f>
        <v>Si</v>
      </c>
      <c r="O49" s="26">
        <v>25</v>
      </c>
      <c r="P49" s="27" t="str">
        <f>IFERROR(VLOOKUP(F49,Back!C:E,3,0),"")</f>
        <v>IPS Pto De Vista Rionegro</v>
      </c>
      <c r="Q49" s="27" t="str">
        <f>IFERROR(VLOOKUP(P49,Back!M:N,2,0),"")</f>
        <v>Antioquia</v>
      </c>
      <c r="R49" s="27" t="str">
        <f>IF(N49="Si",IFERROR(VLOOKUP(F49,'TD Cumpl'!B:AB,27,0),"No Aplica"),"No Aplica")</f>
        <v>Cumple</v>
      </c>
      <c r="S49" s="38"/>
      <c r="T49" s="36"/>
      <c r="Y49" s="54">
        <f t="shared" si="1"/>
        <v>42399343</v>
      </c>
    </row>
    <row r="50" spans="1:25" x14ac:dyDescent="0.25">
      <c r="A50" s="20">
        <f>+VLOOKUP(D50,Back!Q:R,2,0)</f>
        <v>2</v>
      </c>
      <c r="B50" s="20" t="str">
        <f t="shared" si="0"/>
        <v>2016 FEB</v>
      </c>
      <c r="C50" s="20">
        <v>2016</v>
      </c>
      <c r="D50" s="21" t="s">
        <v>138</v>
      </c>
      <c r="E50" s="21" t="s">
        <v>33</v>
      </c>
      <c r="F50" s="21">
        <v>31307503</v>
      </c>
      <c r="G50" s="21" t="s">
        <v>36</v>
      </c>
      <c r="H50" s="22">
        <v>29248608</v>
      </c>
      <c r="I50" s="22">
        <v>409770</v>
      </c>
      <c r="J50" s="22">
        <v>0</v>
      </c>
      <c r="K50" s="23">
        <v>28838838</v>
      </c>
      <c r="L50" s="23">
        <v>30100000</v>
      </c>
      <c r="M50" s="24">
        <v>0.95810093023255816</v>
      </c>
      <c r="N50" s="25" t="str">
        <f>IFERROR(VLOOKUP(F50,Back!C:F,4,0),"NO")</f>
        <v>NO</v>
      </c>
      <c r="O50" s="26">
        <v>25</v>
      </c>
      <c r="P50" s="27" t="str">
        <f>IFERROR(VLOOKUP(F50,Back!C:E,3,0),"")</f>
        <v/>
      </c>
      <c r="Q50" s="27" t="str">
        <f>IFERROR(VLOOKUP(P50,Back!M:N,2,0),"")</f>
        <v/>
      </c>
      <c r="R50" s="27" t="str">
        <f>IF(N50="Si",IFERROR(VLOOKUP(F50,'TD Cumpl'!B:AB,27,0),"No Aplica"),"No Aplica")</f>
        <v>No Aplica</v>
      </c>
      <c r="S50" s="38"/>
      <c r="T50" s="36"/>
      <c r="Y50" s="54">
        <f t="shared" si="1"/>
        <v>29248608</v>
      </c>
    </row>
    <row r="51" spans="1:25" x14ac:dyDescent="0.25">
      <c r="A51" s="20">
        <f>+VLOOKUP(D51,Back!Q:R,2,0)</f>
        <v>2</v>
      </c>
      <c r="B51" s="20" t="str">
        <f t="shared" si="0"/>
        <v>2016 FEB</v>
      </c>
      <c r="C51" s="20">
        <v>2016</v>
      </c>
      <c r="D51" s="21" t="s">
        <v>138</v>
      </c>
      <c r="E51" s="21" t="s">
        <v>22</v>
      </c>
      <c r="F51" s="21">
        <v>42164020</v>
      </c>
      <c r="G51" s="21" t="s">
        <v>105</v>
      </c>
      <c r="H51" s="22">
        <v>46133231</v>
      </c>
      <c r="I51" s="22">
        <v>3046600</v>
      </c>
      <c r="J51" s="22">
        <v>2757486</v>
      </c>
      <c r="K51" s="23">
        <v>40329145</v>
      </c>
      <c r="L51" s="23">
        <v>36000000</v>
      </c>
      <c r="M51" s="24">
        <v>1.1202540277777777</v>
      </c>
      <c r="N51" s="25" t="str">
        <f>IFERROR(VLOOKUP(F51,Back!C:F,4,0),"NO")</f>
        <v>Si</v>
      </c>
      <c r="O51" s="26">
        <v>25</v>
      </c>
      <c r="P51" s="27" t="str">
        <f>IFERROR(VLOOKUP(F51,Back!C:E,3,0),"")</f>
        <v>IPS Pto De Vista Molinos</v>
      </c>
      <c r="Q51" s="27" t="str">
        <f>IFERROR(VLOOKUP(P51,Back!M:N,2,0),"")</f>
        <v>Antioquia</v>
      </c>
      <c r="R51" s="27" t="str">
        <f>IF(N51="Si",IFERROR(VLOOKUP(F51,'TD Cumpl'!B:AB,27,0),"No Aplica"),"No Aplica")</f>
        <v>Siempre Cumple</v>
      </c>
      <c r="S51" s="38"/>
      <c r="T51" s="36"/>
      <c r="Y51" s="54">
        <f t="shared" si="1"/>
        <v>46133231</v>
      </c>
    </row>
    <row r="52" spans="1:25" x14ac:dyDescent="0.25">
      <c r="A52" s="20">
        <f>+VLOOKUP(D52,Back!Q:R,2,0)</f>
        <v>2</v>
      </c>
      <c r="B52" s="20" t="str">
        <f t="shared" si="0"/>
        <v>2016 FEB</v>
      </c>
      <c r="C52" s="20">
        <v>2016</v>
      </c>
      <c r="D52" s="21" t="s">
        <v>138</v>
      </c>
      <c r="E52" s="21" t="s">
        <v>21</v>
      </c>
      <c r="F52" s="21">
        <v>1035417626</v>
      </c>
      <c r="G52" s="21" t="s">
        <v>80</v>
      </c>
      <c r="H52" s="22">
        <v>53215956</v>
      </c>
      <c r="I52" s="22">
        <v>4569240</v>
      </c>
      <c r="J52" s="22">
        <v>3334261</v>
      </c>
      <c r="K52" s="23">
        <v>45312455</v>
      </c>
      <c r="L52" s="23">
        <v>36000000</v>
      </c>
      <c r="M52" s="24">
        <v>1.2586793055555556</v>
      </c>
      <c r="N52" s="25" t="str">
        <f>IFERROR(VLOOKUP(F52,Back!C:F,4,0),"NO")</f>
        <v>Si</v>
      </c>
      <c r="O52" s="26">
        <v>25</v>
      </c>
      <c r="P52" s="27" t="str">
        <f>IFERROR(VLOOKUP(F52,Back!C:E,3,0),"")</f>
        <v>IPS Pto De Vista Unicentro</v>
      </c>
      <c r="Q52" s="27" t="str">
        <f>IFERROR(VLOOKUP(P52,Back!M:N,2,0),"")</f>
        <v>Antioquia</v>
      </c>
      <c r="R52" s="27" t="str">
        <f>IF(N52="Si",IFERROR(VLOOKUP(F52,'TD Cumpl'!B:AB,27,0),"No Aplica"),"No Aplica")</f>
        <v>Cumple</v>
      </c>
      <c r="S52" s="38"/>
      <c r="T52" s="36"/>
      <c r="Y52" s="54">
        <f t="shared" si="1"/>
        <v>53215956</v>
      </c>
    </row>
    <row r="53" spans="1:25" x14ac:dyDescent="0.25">
      <c r="A53" s="20">
        <f>+VLOOKUP(D53,Back!Q:R,2,0)</f>
        <v>2</v>
      </c>
      <c r="B53" s="20" t="str">
        <f t="shared" si="0"/>
        <v>2016 FEB</v>
      </c>
      <c r="C53" s="20">
        <v>2016</v>
      </c>
      <c r="D53" s="21" t="s">
        <v>138</v>
      </c>
      <c r="E53" s="21" t="s">
        <v>57</v>
      </c>
      <c r="F53" s="21">
        <v>43874518</v>
      </c>
      <c r="G53" s="21" t="s">
        <v>60</v>
      </c>
      <c r="H53" s="22">
        <v>42595601</v>
      </c>
      <c r="I53" s="22">
        <v>1298200</v>
      </c>
      <c r="J53" s="22">
        <v>2789090</v>
      </c>
      <c r="K53" s="23">
        <v>38508311</v>
      </c>
      <c r="L53" s="23">
        <v>36000000</v>
      </c>
      <c r="M53" s="24">
        <v>1.0696753055555555</v>
      </c>
      <c r="N53" s="25" t="str">
        <f>IFERROR(VLOOKUP(F53,Back!C:F,4,0),"NO")</f>
        <v>Si</v>
      </c>
      <c r="O53" s="26">
        <v>25</v>
      </c>
      <c r="P53" s="27" t="str">
        <f>IFERROR(VLOOKUP(F53,Back!C:E,3,0),"")</f>
        <v>IPS Pto De Vista Punto Clave</v>
      </c>
      <c r="Q53" s="27" t="str">
        <f>IFERROR(VLOOKUP(P53,Back!M:N,2,0),"")</f>
        <v>Antioquia</v>
      </c>
      <c r="R53" s="27" t="str">
        <f>IF(N53="Si",IFERROR(VLOOKUP(F53,'TD Cumpl'!B:AB,27,0),"No Aplica"),"No Aplica")</f>
        <v>Fluctúa</v>
      </c>
      <c r="S53" s="38"/>
      <c r="T53" s="36"/>
      <c r="Y53" s="54">
        <f t="shared" si="1"/>
        <v>42595601</v>
      </c>
    </row>
    <row r="54" spans="1:25" x14ac:dyDescent="0.25">
      <c r="A54" s="20">
        <f>+VLOOKUP(D54,Back!Q:R,2,0)</f>
        <v>2</v>
      </c>
      <c r="B54" s="20" t="str">
        <f t="shared" si="0"/>
        <v>2016 FEB</v>
      </c>
      <c r="C54" s="20">
        <v>2016</v>
      </c>
      <c r="D54" s="21" t="s">
        <v>138</v>
      </c>
      <c r="E54" s="21" t="s">
        <v>2</v>
      </c>
      <c r="F54" s="21">
        <v>52260671</v>
      </c>
      <c r="G54" s="21" t="s">
        <v>26</v>
      </c>
      <c r="H54" s="22">
        <v>15360111</v>
      </c>
      <c r="I54" s="22">
        <v>762200</v>
      </c>
      <c r="J54" s="22">
        <v>1122509</v>
      </c>
      <c r="K54" s="23">
        <v>13475402</v>
      </c>
      <c r="L54" s="23">
        <v>26000000</v>
      </c>
      <c r="M54" s="24">
        <v>0.51828469230769236</v>
      </c>
      <c r="N54" s="25" t="str">
        <f>IFERROR(VLOOKUP(F54,Back!C:F,4,0),"NO")</f>
        <v>Si</v>
      </c>
      <c r="O54" s="26">
        <v>25</v>
      </c>
      <c r="P54" s="27" t="str">
        <f>IFERROR(VLOOKUP(F54,Back!C:E,3,0),"")</f>
        <v>IPS Pto De Vista Santa Bárbara</v>
      </c>
      <c r="Q54" s="27" t="str">
        <f>IFERROR(VLOOKUP(P54,Back!M:N,2,0),"")</f>
        <v>Centro</v>
      </c>
      <c r="R54" s="27" t="str">
        <f>IF(N54="Si",IFERROR(VLOOKUP(F54,'TD Cumpl'!B:AB,27,0),"No Aplica"),"No Aplica")</f>
        <v>Siempre Cumple</v>
      </c>
      <c r="S54" s="38"/>
      <c r="T54" s="36"/>
      <c r="Y54" s="54">
        <f t="shared" si="1"/>
        <v>15360111</v>
      </c>
    </row>
    <row r="55" spans="1:25" x14ac:dyDescent="0.25">
      <c r="A55" s="20">
        <f>+VLOOKUP(D55,Back!Q:R,2,0)</f>
        <v>2</v>
      </c>
      <c r="B55" s="20" t="str">
        <f t="shared" si="0"/>
        <v>2016 FEB</v>
      </c>
      <c r="C55" s="20">
        <v>2016</v>
      </c>
      <c r="D55" s="21" t="s">
        <v>138</v>
      </c>
      <c r="E55" s="21" t="s">
        <v>37</v>
      </c>
      <c r="F55" s="21">
        <v>1036779770</v>
      </c>
      <c r="G55" s="21" t="s">
        <v>52</v>
      </c>
      <c r="H55" s="22">
        <v>38708424</v>
      </c>
      <c r="I55" s="22">
        <v>2470000</v>
      </c>
      <c r="J55" s="22">
        <v>2244919</v>
      </c>
      <c r="K55" s="23">
        <v>33993505</v>
      </c>
      <c r="L55" s="23">
        <v>30000000</v>
      </c>
      <c r="M55" s="24">
        <v>1.1331168333333332</v>
      </c>
      <c r="N55" s="25" t="str">
        <f>IFERROR(VLOOKUP(F55,Back!C:F,4,0),"NO")</f>
        <v>No</v>
      </c>
      <c r="O55" s="26">
        <v>25</v>
      </c>
      <c r="P55" s="27" t="str">
        <f>IFERROR(VLOOKUP(F55,Back!C:E,3,0),"")</f>
        <v>IPS Pto De Vista Rionegro</v>
      </c>
      <c r="Q55" s="27" t="str">
        <f>IFERROR(VLOOKUP(P55,Back!M:N,2,0),"")</f>
        <v>Antioquia</v>
      </c>
      <c r="R55" s="27" t="str">
        <f>IF(N55="Si",IFERROR(VLOOKUP(F55,'TD Cumpl'!B:AB,27,0),"No Aplica"),"No Aplica")</f>
        <v>No Aplica</v>
      </c>
      <c r="S55" s="38"/>
      <c r="T55" s="36"/>
      <c r="Y55" s="54">
        <f t="shared" si="1"/>
        <v>38708424</v>
      </c>
    </row>
    <row r="56" spans="1:25" x14ac:dyDescent="0.25">
      <c r="A56" s="20">
        <f>+VLOOKUP(D56,Back!Q:R,2,0)</f>
        <v>2</v>
      </c>
      <c r="B56" s="20" t="str">
        <f t="shared" si="0"/>
        <v>2016 FEB</v>
      </c>
      <c r="C56" s="20">
        <v>2016</v>
      </c>
      <c r="D56" s="21" t="s">
        <v>138</v>
      </c>
      <c r="E56" s="21" t="s">
        <v>20</v>
      </c>
      <c r="F56" s="21">
        <v>1017141451</v>
      </c>
      <c r="G56" s="21" t="s">
        <v>44</v>
      </c>
      <c r="H56" s="22">
        <v>51983115</v>
      </c>
      <c r="I56" s="22">
        <v>2539450</v>
      </c>
      <c r="J56" s="22">
        <v>4138584</v>
      </c>
      <c r="K56" s="23">
        <v>45305081</v>
      </c>
      <c r="L56" s="23">
        <v>36000000</v>
      </c>
      <c r="M56" s="24">
        <v>1.2584744722222223</v>
      </c>
      <c r="N56" s="25" t="str">
        <f>IFERROR(VLOOKUP(F56,Back!C:F,4,0),"NO")</f>
        <v>Si</v>
      </c>
      <c r="O56" s="26">
        <v>25</v>
      </c>
      <c r="P56" s="27" t="str">
        <f>IFERROR(VLOOKUP(F56,Back!C:E,3,0),"")</f>
        <v>IPS Pto De Vista Molinos</v>
      </c>
      <c r="Q56" s="27" t="str">
        <f>IFERROR(VLOOKUP(P56,Back!M:N,2,0),"")</f>
        <v>Antioquia</v>
      </c>
      <c r="R56" s="27" t="str">
        <f>IF(N56="Si",IFERROR(VLOOKUP(F56,'TD Cumpl'!B:AB,27,0),"No Aplica"),"No Aplica")</f>
        <v>Siempre Cumple</v>
      </c>
      <c r="S56" s="38"/>
      <c r="T56" s="36"/>
      <c r="Y56" s="54">
        <f t="shared" si="1"/>
        <v>51983115</v>
      </c>
    </row>
    <row r="57" spans="1:25" x14ac:dyDescent="0.25">
      <c r="A57" s="20">
        <f>+VLOOKUP(D57,Back!Q:R,2,0)</f>
        <v>2</v>
      </c>
      <c r="B57" s="20" t="str">
        <f t="shared" si="0"/>
        <v>2016 FEB</v>
      </c>
      <c r="C57" s="20">
        <v>2016</v>
      </c>
      <c r="D57" s="21" t="s">
        <v>138</v>
      </c>
      <c r="E57" s="21" t="s">
        <v>19</v>
      </c>
      <c r="F57" s="21">
        <v>43343234</v>
      </c>
      <c r="G57" s="21" t="s">
        <v>477</v>
      </c>
      <c r="H57" s="22">
        <v>45143428</v>
      </c>
      <c r="I57" s="22">
        <v>2007930</v>
      </c>
      <c r="J57" s="22">
        <v>2707411</v>
      </c>
      <c r="K57" s="23">
        <v>40428087</v>
      </c>
      <c r="L57" s="23">
        <v>40000000</v>
      </c>
      <c r="M57" s="24">
        <v>1.010702175</v>
      </c>
      <c r="N57" s="25" t="str">
        <f>IFERROR(VLOOKUP(F57,Back!C:F,4,0),"NO")</f>
        <v>NO</v>
      </c>
      <c r="O57" s="26">
        <v>25</v>
      </c>
      <c r="P57" s="27" t="str">
        <f>IFERROR(VLOOKUP(F57,Back!C:E,3,0),"")</f>
        <v/>
      </c>
      <c r="Q57" s="27" t="str">
        <f>IFERROR(VLOOKUP(P57,Back!M:N,2,0),"")</f>
        <v/>
      </c>
      <c r="R57" s="27" t="str">
        <f>IF(N57="Si",IFERROR(VLOOKUP(F57,'TD Cumpl'!B:AB,27,0),"No Aplica"),"No Aplica")</f>
        <v>No Aplica</v>
      </c>
      <c r="S57" s="38"/>
      <c r="T57" s="36"/>
      <c r="Y57" s="54">
        <f t="shared" si="1"/>
        <v>45143428</v>
      </c>
    </row>
    <row r="58" spans="1:25" x14ac:dyDescent="0.25">
      <c r="A58" s="20">
        <f>+VLOOKUP(D58,Back!Q:R,2,0)</f>
        <v>2</v>
      </c>
      <c r="B58" s="20" t="str">
        <f t="shared" si="0"/>
        <v>2016 FEB</v>
      </c>
      <c r="C58" s="20">
        <v>2016</v>
      </c>
      <c r="D58" s="21" t="s">
        <v>138</v>
      </c>
      <c r="E58" s="21" t="s">
        <v>38</v>
      </c>
      <c r="F58" s="21">
        <v>43745192</v>
      </c>
      <c r="G58" s="21" t="s">
        <v>45</v>
      </c>
      <c r="H58" s="22">
        <v>25566331</v>
      </c>
      <c r="I58" s="22">
        <v>0</v>
      </c>
      <c r="J58" s="22">
        <v>0</v>
      </c>
      <c r="K58" s="23">
        <v>25566331</v>
      </c>
      <c r="L58" s="23">
        <v>21000000</v>
      </c>
      <c r="M58" s="24">
        <v>1.2174443333333334</v>
      </c>
      <c r="N58" s="25" t="str">
        <f>IFERROR(VLOOKUP(F58,Back!C:F,4,0),"NO")</f>
        <v>Si</v>
      </c>
      <c r="O58" s="26">
        <v>25</v>
      </c>
      <c r="P58" s="27" t="str">
        <f>IFERROR(VLOOKUP(F58,Back!C:E,3,0),"")</f>
        <v>IPS Punto de Vista Mayorca</v>
      </c>
      <c r="Q58" s="27" t="str">
        <f>IFERROR(VLOOKUP(P58,Back!M:N,2,0),"")</f>
        <v>Antioquia</v>
      </c>
      <c r="R58" s="27" t="str">
        <f>IF(N58="Si",IFERROR(VLOOKUP(F58,'TD Cumpl'!B:AB,27,0),"No Aplica"),"No Aplica")</f>
        <v>Cumple</v>
      </c>
      <c r="S58" s="38"/>
      <c r="T58" s="36"/>
      <c r="Y58" s="54">
        <f t="shared" si="1"/>
        <v>25566331</v>
      </c>
    </row>
    <row r="59" spans="1:25" x14ac:dyDescent="0.25">
      <c r="A59" s="20">
        <f>+VLOOKUP(D59,Back!Q:R,2,0)</f>
        <v>2</v>
      </c>
      <c r="B59" s="20" t="str">
        <f t="shared" si="0"/>
        <v>2016 FEB</v>
      </c>
      <c r="C59" s="20">
        <v>2016</v>
      </c>
      <c r="D59" s="21" t="s">
        <v>138</v>
      </c>
      <c r="E59" s="21" t="s">
        <v>13</v>
      </c>
      <c r="F59" s="21">
        <v>43866877</v>
      </c>
      <c r="G59" s="21" t="s">
        <v>46</v>
      </c>
      <c r="H59" s="22">
        <v>48338355</v>
      </c>
      <c r="I59" s="22">
        <v>468700</v>
      </c>
      <c r="J59" s="22">
        <v>4322599</v>
      </c>
      <c r="K59" s="23">
        <v>43547056</v>
      </c>
      <c r="L59" s="23">
        <v>40000000</v>
      </c>
      <c r="M59" s="24">
        <v>1.0886764</v>
      </c>
      <c r="N59" s="25" t="str">
        <f>IFERROR(VLOOKUP(F59,Back!C:F,4,0),"NO")</f>
        <v>Si</v>
      </c>
      <c r="O59" s="26">
        <v>25</v>
      </c>
      <c r="P59" s="27" t="str">
        <f>IFERROR(VLOOKUP(F59,Back!C:E,3,0),"")</f>
        <v>IPS Pto De Vista Centro</v>
      </c>
      <c r="Q59" s="27" t="str">
        <f>IFERROR(VLOOKUP(P59,Back!M:N,2,0),"")</f>
        <v>Antioquia</v>
      </c>
      <c r="R59" s="27" t="str">
        <f>IF(N59="Si",IFERROR(VLOOKUP(F59,'TD Cumpl'!B:AB,27,0),"No Aplica"),"No Aplica")</f>
        <v>Siempre Cumple</v>
      </c>
      <c r="S59" s="38"/>
      <c r="T59" s="36"/>
      <c r="Y59" s="54">
        <f t="shared" si="1"/>
        <v>48338355</v>
      </c>
    </row>
    <row r="60" spans="1:25" x14ac:dyDescent="0.25">
      <c r="A60" s="20">
        <f>+VLOOKUP(D60,Back!Q:R,2,0)</f>
        <v>2</v>
      </c>
      <c r="B60" s="20" t="str">
        <f t="shared" si="0"/>
        <v>2016 FEB</v>
      </c>
      <c r="C60" s="20">
        <v>2016</v>
      </c>
      <c r="D60" s="21" t="s">
        <v>138</v>
      </c>
      <c r="E60" s="21" t="s">
        <v>17</v>
      </c>
      <c r="F60" s="21">
        <v>43113640</v>
      </c>
      <c r="G60" s="21" t="s">
        <v>47</v>
      </c>
      <c r="H60" s="22">
        <v>55550</v>
      </c>
      <c r="I60" s="22">
        <v>0</v>
      </c>
      <c r="J60" s="22">
        <v>0</v>
      </c>
      <c r="K60" s="23">
        <v>55550</v>
      </c>
      <c r="L60" s="23">
        <v>40000000</v>
      </c>
      <c r="M60" s="24">
        <v>1.38875E-3</v>
      </c>
      <c r="N60" s="25" t="str">
        <f>IFERROR(VLOOKUP(F60,Back!C:F,4,0),"NO")</f>
        <v>Si</v>
      </c>
      <c r="O60" s="26">
        <v>25</v>
      </c>
      <c r="P60" s="27" t="str">
        <f>IFERROR(VLOOKUP(F60,Back!C:E,3,0),"")</f>
        <v>IPS Pto De Vista San Diego</v>
      </c>
      <c r="Q60" s="27" t="str">
        <f>IFERROR(VLOOKUP(P60,Back!M:N,2,0),"")</f>
        <v>Antioquia</v>
      </c>
      <c r="R60" s="27" t="str">
        <f>IF(N60="Si",IFERROR(VLOOKUP(F60,'TD Cumpl'!B:AB,27,0),"No Aplica"),"No Aplica")</f>
        <v>Cumple</v>
      </c>
      <c r="S60" s="38"/>
      <c r="T60" s="36"/>
      <c r="Y60" s="54">
        <f t="shared" si="1"/>
        <v>55550</v>
      </c>
    </row>
    <row r="61" spans="1:25" x14ac:dyDescent="0.25">
      <c r="A61" s="20">
        <f>+VLOOKUP(D61,Back!Q:R,2,0)</f>
        <v>2</v>
      </c>
      <c r="B61" s="20" t="str">
        <f t="shared" si="0"/>
        <v>2016 FEB</v>
      </c>
      <c r="C61" s="20">
        <v>2016</v>
      </c>
      <c r="D61" s="21" t="s">
        <v>138</v>
      </c>
      <c r="E61" s="21" t="s">
        <v>24</v>
      </c>
      <c r="F61" s="21">
        <v>39448823</v>
      </c>
      <c r="G61" s="21" t="s">
        <v>48</v>
      </c>
      <c r="H61" s="22">
        <v>15673663</v>
      </c>
      <c r="I61" s="22">
        <v>285400</v>
      </c>
      <c r="J61" s="22">
        <v>1514830</v>
      </c>
      <c r="K61" s="23">
        <v>13873433</v>
      </c>
      <c r="L61" s="23">
        <v>8400000</v>
      </c>
      <c r="M61" s="24">
        <v>1.6515991666666667</v>
      </c>
      <c r="N61" s="25" t="str">
        <f>IFERROR(VLOOKUP(F61,Back!C:F,4,0),"NO")</f>
        <v>Si</v>
      </c>
      <c r="O61" s="26">
        <v>25</v>
      </c>
      <c r="P61" s="27" t="str">
        <f>IFERROR(VLOOKUP(F61,Back!C:E,3,0),"")</f>
        <v>IPS Pto De Vista Rionegro</v>
      </c>
      <c r="Q61" s="27" t="str">
        <f>IFERROR(VLOOKUP(P61,Back!M:N,2,0),"")</f>
        <v>Antioquia</v>
      </c>
      <c r="R61" s="27" t="str">
        <f>IF(N61="Si",IFERROR(VLOOKUP(F61,'TD Cumpl'!B:AB,27,0),"No Aplica"),"No Aplica")</f>
        <v>Siempre Cumple</v>
      </c>
      <c r="S61" s="38"/>
      <c r="T61" s="36"/>
      <c r="Y61" s="54">
        <f t="shared" si="1"/>
        <v>15673663</v>
      </c>
    </row>
    <row r="62" spans="1:25" x14ac:dyDescent="0.25">
      <c r="A62" s="20">
        <f>+VLOOKUP(D62,Back!Q:R,2,0)</f>
        <v>2</v>
      </c>
      <c r="B62" s="20" t="str">
        <f t="shared" si="0"/>
        <v>2016 FEB</v>
      </c>
      <c r="C62" s="20">
        <v>2016</v>
      </c>
      <c r="D62" s="21" t="s">
        <v>138</v>
      </c>
      <c r="E62" s="21" t="s">
        <v>10</v>
      </c>
      <c r="F62" s="21">
        <v>43109744</v>
      </c>
      <c r="G62" s="21" t="s">
        <v>53</v>
      </c>
      <c r="H62" s="22">
        <v>11628511</v>
      </c>
      <c r="I62" s="22">
        <v>389800</v>
      </c>
      <c r="J62" s="22">
        <v>0</v>
      </c>
      <c r="K62" s="23">
        <v>11238711</v>
      </c>
      <c r="L62" s="23">
        <v>40100000</v>
      </c>
      <c r="M62" s="24">
        <v>0.28026710723192022</v>
      </c>
      <c r="N62" s="25" t="str">
        <f>IFERROR(VLOOKUP(F62,Back!C:F,4,0),"NO")</f>
        <v>NO</v>
      </c>
      <c r="O62" s="26">
        <v>25</v>
      </c>
      <c r="P62" s="27" t="str">
        <f>IFERROR(VLOOKUP(F62,Back!C:E,3,0),"")</f>
        <v/>
      </c>
      <c r="Q62" s="27" t="str">
        <f>IFERROR(VLOOKUP(P62,Back!M:N,2,0),"")</f>
        <v/>
      </c>
      <c r="R62" s="27" t="str">
        <f>IF(N62="Si",IFERROR(VLOOKUP(F62,'TD Cumpl'!B:AB,27,0),"No Aplica"),"No Aplica")</f>
        <v>No Aplica</v>
      </c>
      <c r="S62" s="38"/>
      <c r="T62" s="36"/>
      <c r="Y62" s="54">
        <f t="shared" si="1"/>
        <v>11628511</v>
      </c>
    </row>
    <row r="63" spans="1:25" x14ac:dyDescent="0.25">
      <c r="A63" s="20">
        <f>+VLOOKUP(D63,Back!Q:R,2,0)</f>
        <v>2</v>
      </c>
      <c r="B63" s="20" t="str">
        <f t="shared" si="0"/>
        <v>2016 FEB</v>
      </c>
      <c r="C63" s="20">
        <v>2016</v>
      </c>
      <c r="D63" s="21" t="s">
        <v>138</v>
      </c>
      <c r="E63" s="21" t="s">
        <v>16</v>
      </c>
      <c r="F63" s="21">
        <v>43599983</v>
      </c>
      <c r="G63" s="21" t="s">
        <v>478</v>
      </c>
      <c r="H63" s="22">
        <v>31061715</v>
      </c>
      <c r="I63" s="22">
        <v>1041800</v>
      </c>
      <c r="J63" s="22">
        <v>1923536</v>
      </c>
      <c r="K63" s="23">
        <v>28096379</v>
      </c>
      <c r="L63" s="23">
        <v>40000000</v>
      </c>
      <c r="M63" s="24">
        <v>0.70240947499999995</v>
      </c>
      <c r="N63" s="25" t="str">
        <f>IFERROR(VLOOKUP(F63,Back!C:F,4,0),"NO")</f>
        <v>NO</v>
      </c>
      <c r="O63" s="26">
        <v>25</v>
      </c>
      <c r="P63" s="27" t="str">
        <f>IFERROR(VLOOKUP(F63,Back!C:E,3,0),"")</f>
        <v/>
      </c>
      <c r="Q63" s="27" t="str">
        <f>IFERROR(VLOOKUP(P63,Back!M:N,2,0),"")</f>
        <v/>
      </c>
      <c r="R63" s="27" t="str">
        <f>IF(N63="Si",IFERROR(VLOOKUP(F63,'TD Cumpl'!B:AB,27,0),"No Aplica"),"No Aplica")</f>
        <v>No Aplica</v>
      </c>
      <c r="S63" s="38"/>
      <c r="T63" s="36"/>
      <c r="Y63" s="54">
        <f t="shared" si="1"/>
        <v>31061715</v>
      </c>
    </row>
    <row r="64" spans="1:25" x14ac:dyDescent="0.25">
      <c r="A64" s="20">
        <f>+VLOOKUP(D64,Back!Q:R,2,0)</f>
        <v>2</v>
      </c>
      <c r="B64" s="20" t="str">
        <f t="shared" si="0"/>
        <v>2016 FEB</v>
      </c>
      <c r="C64" s="20">
        <v>2016</v>
      </c>
      <c r="D64" s="21" t="s">
        <v>138</v>
      </c>
      <c r="E64" s="21" t="s">
        <v>15</v>
      </c>
      <c r="F64" s="21">
        <v>42689970</v>
      </c>
      <c r="G64" s="21" t="s">
        <v>29</v>
      </c>
      <c r="H64" s="22">
        <v>42720050</v>
      </c>
      <c r="I64" s="22">
        <v>2857800</v>
      </c>
      <c r="J64" s="22">
        <v>1785110</v>
      </c>
      <c r="K64" s="23">
        <v>38077140</v>
      </c>
      <c r="L64" s="23">
        <v>38400000</v>
      </c>
      <c r="M64" s="24">
        <v>0.9915921875</v>
      </c>
      <c r="N64" s="25" t="str">
        <f>IFERROR(VLOOKUP(F64,Back!C:F,4,0),"NO")</f>
        <v>NO</v>
      </c>
      <c r="O64" s="26">
        <v>25</v>
      </c>
      <c r="P64" s="27" t="str">
        <f>IFERROR(VLOOKUP(F64,Back!C:E,3,0),"")</f>
        <v/>
      </c>
      <c r="Q64" s="27" t="str">
        <f>IFERROR(VLOOKUP(P64,Back!M:N,2,0),"")</f>
        <v/>
      </c>
      <c r="R64" s="27" t="str">
        <f>IF(N64="Si",IFERROR(VLOOKUP(F64,'TD Cumpl'!B:AB,27,0),"No Aplica"),"No Aplica")</f>
        <v>No Aplica</v>
      </c>
      <c r="S64" s="38"/>
      <c r="T64" s="36"/>
      <c r="Y64" s="54">
        <f t="shared" si="1"/>
        <v>42720050</v>
      </c>
    </row>
    <row r="65" spans="1:25" x14ac:dyDescent="0.25">
      <c r="A65" s="20">
        <f>+VLOOKUP(D65,Back!Q:R,2,0)</f>
        <v>2</v>
      </c>
      <c r="B65" s="20" t="str">
        <f t="shared" si="0"/>
        <v>2016 FEB</v>
      </c>
      <c r="C65" s="20">
        <v>2016</v>
      </c>
      <c r="D65" s="21" t="s">
        <v>138</v>
      </c>
      <c r="E65" s="21" t="s">
        <v>23</v>
      </c>
      <c r="F65" s="21">
        <v>43907427</v>
      </c>
      <c r="G65" s="21" t="s">
        <v>144</v>
      </c>
      <c r="H65" s="22">
        <v>54909036</v>
      </c>
      <c r="I65" s="22">
        <v>1183480</v>
      </c>
      <c r="J65" s="22">
        <v>721656</v>
      </c>
      <c r="K65" s="23">
        <v>53003900</v>
      </c>
      <c r="L65" s="23">
        <v>36000000</v>
      </c>
      <c r="M65" s="24">
        <v>1.4723305555555555</v>
      </c>
      <c r="N65" s="25" t="str">
        <f>IFERROR(VLOOKUP(F65,Back!C:F,4,0),"NO")</f>
        <v>Si</v>
      </c>
      <c r="O65" s="26">
        <v>25</v>
      </c>
      <c r="P65" s="27" t="str">
        <f>IFERROR(VLOOKUP(F65,Back!C:E,3,0),"")</f>
        <v>IPS Pto De Vista Industriales</v>
      </c>
      <c r="Q65" s="27" t="str">
        <f>IFERROR(VLOOKUP(P65,Back!M:N,2,0),"")</f>
        <v>Antioquia</v>
      </c>
      <c r="R65" s="27" t="str">
        <f>IF(N65="Si",IFERROR(VLOOKUP(F65,'TD Cumpl'!B:AB,27,0),"No Aplica"),"No Aplica")</f>
        <v>Siempre Cumple</v>
      </c>
      <c r="S65" s="38"/>
      <c r="T65" s="36"/>
      <c r="Y65" s="54">
        <f t="shared" si="1"/>
        <v>54909036</v>
      </c>
    </row>
    <row r="66" spans="1:25" x14ac:dyDescent="0.25">
      <c r="A66" s="20">
        <f>+VLOOKUP(D66,Back!Q:R,2,0)</f>
        <v>2</v>
      </c>
      <c r="B66" s="20" t="str">
        <f t="shared" ref="B66:B129" si="2">MID(UPPER(C66&amp;" "&amp;D66),1,8)</f>
        <v>2016 FEB</v>
      </c>
      <c r="C66" s="20">
        <v>2016</v>
      </c>
      <c r="D66" s="21" t="s">
        <v>138</v>
      </c>
      <c r="E66" s="21" t="s">
        <v>12</v>
      </c>
      <c r="F66" s="21">
        <v>91511871</v>
      </c>
      <c r="G66" s="21" t="s">
        <v>49</v>
      </c>
      <c r="H66" s="22">
        <v>28520063</v>
      </c>
      <c r="I66" s="22">
        <v>1520930</v>
      </c>
      <c r="J66" s="22">
        <v>4235676</v>
      </c>
      <c r="K66" s="23">
        <v>22763457</v>
      </c>
      <c r="L66" s="23">
        <v>26000000</v>
      </c>
      <c r="M66" s="24">
        <v>0.87551757692307697</v>
      </c>
      <c r="N66" s="25" t="str">
        <f>IFERROR(VLOOKUP(F66,Back!C:F,4,0),"NO")</f>
        <v>NO</v>
      </c>
      <c r="O66" s="26">
        <v>25</v>
      </c>
      <c r="P66" s="27" t="str">
        <f>IFERROR(VLOOKUP(F66,Back!C:E,3,0),"")</f>
        <v/>
      </c>
      <c r="Q66" s="27" t="str">
        <f>IFERROR(VLOOKUP(P66,Back!M:N,2,0),"")</f>
        <v/>
      </c>
      <c r="R66" s="27" t="str">
        <f>IF(N66="Si",IFERROR(VLOOKUP(F66,'TD Cumpl'!B:AB,27,0),"No Aplica"),"No Aplica")</f>
        <v>No Aplica</v>
      </c>
      <c r="S66" s="38"/>
      <c r="T66" s="36"/>
      <c r="Y66" s="54">
        <f t="shared" ref="Y66:Y129" si="3">+H66-X66-V66-T66</f>
        <v>28520063</v>
      </c>
    </row>
    <row r="67" spans="1:25" x14ac:dyDescent="0.25">
      <c r="A67" s="20">
        <f>+VLOOKUP(D67,Back!Q:R,2,0)</f>
        <v>2</v>
      </c>
      <c r="B67" s="20" t="str">
        <f t="shared" si="2"/>
        <v>2016 FEB</v>
      </c>
      <c r="C67" s="20">
        <v>2016</v>
      </c>
      <c r="D67" s="21" t="s">
        <v>138</v>
      </c>
      <c r="E67" s="21" t="s">
        <v>4</v>
      </c>
      <c r="F67" s="21">
        <v>79701425</v>
      </c>
      <c r="G67" s="21" t="s">
        <v>27</v>
      </c>
      <c r="H67" s="22">
        <v>25056058</v>
      </c>
      <c r="I67" s="22">
        <v>389800</v>
      </c>
      <c r="J67" s="22">
        <v>1098916</v>
      </c>
      <c r="K67" s="23">
        <v>23567342</v>
      </c>
      <c r="L67" s="23">
        <v>21000000</v>
      </c>
      <c r="M67" s="24">
        <v>1.1222543809523811</v>
      </c>
      <c r="N67" s="25" t="str">
        <f>IFERROR(VLOOKUP(F67,Back!C:F,4,0),"NO")</f>
        <v>No</v>
      </c>
      <c r="O67" s="26">
        <v>25</v>
      </c>
      <c r="P67" s="27" t="str">
        <f>IFERROR(VLOOKUP(F67,Back!C:E,3,0),"")</f>
        <v>IPS Pto De Vista Olaya</v>
      </c>
      <c r="Q67" s="27" t="str">
        <f>IFERROR(VLOOKUP(P67,Back!M:N,2,0),"")</f>
        <v>Centro</v>
      </c>
      <c r="R67" s="27" t="str">
        <f>IF(N67="Si",IFERROR(VLOOKUP(F67,'TD Cumpl'!B:AB,27,0),"No Aplica"),"No Aplica")</f>
        <v>No Aplica</v>
      </c>
      <c r="S67" s="38"/>
      <c r="T67" s="36"/>
      <c r="Y67" s="54">
        <f t="shared" si="3"/>
        <v>25056058</v>
      </c>
    </row>
    <row r="68" spans="1:25" x14ac:dyDescent="0.25">
      <c r="A68" s="20">
        <f>+VLOOKUP(D68,Back!Q:R,2,0)</f>
        <v>2</v>
      </c>
      <c r="B68" s="20" t="str">
        <f t="shared" si="2"/>
        <v>2016 FEB</v>
      </c>
      <c r="C68" s="20">
        <v>2016</v>
      </c>
      <c r="D68" s="21" t="s">
        <v>138</v>
      </c>
      <c r="E68" s="21" t="s">
        <v>5</v>
      </c>
      <c r="F68" s="21">
        <v>34542470</v>
      </c>
      <c r="G68" s="21" t="s">
        <v>28</v>
      </c>
      <c r="H68" s="22">
        <v>19810676</v>
      </c>
      <c r="I68" s="22">
        <v>358200</v>
      </c>
      <c r="J68" s="22">
        <v>0</v>
      </c>
      <c r="K68" s="23">
        <v>19452476</v>
      </c>
      <c r="L68" s="23">
        <v>17640000</v>
      </c>
      <c r="M68" s="24">
        <v>1.1027480725623582</v>
      </c>
      <c r="N68" s="25" t="str">
        <f>IFERROR(VLOOKUP(F68,Back!C:F,4,0),"NO")</f>
        <v>Si</v>
      </c>
      <c r="O68" s="26">
        <v>25</v>
      </c>
      <c r="P68" s="27" t="str">
        <f>IFERROR(VLOOKUP(F68,Back!C:E,3,0),"")</f>
        <v>Optica Salud Sura Chipichape</v>
      </c>
      <c r="Q68" s="27" t="str">
        <f>IFERROR(VLOOKUP(P68,Back!M:N,2,0),"")</f>
        <v>Occidente</v>
      </c>
      <c r="R68" s="27" t="str">
        <f>IF(N68="Si",IFERROR(VLOOKUP(F68,'TD Cumpl'!B:AB,27,0),"No Aplica"),"No Aplica")</f>
        <v>Siempre Cumple</v>
      </c>
      <c r="S68" s="38"/>
      <c r="T68" s="36"/>
      <c r="Y68" s="54">
        <f t="shared" si="3"/>
        <v>19810676</v>
      </c>
    </row>
    <row r="69" spans="1:25" x14ac:dyDescent="0.25">
      <c r="A69" s="20">
        <f>+VLOOKUP(D69,Back!Q:R,2,0)</f>
        <v>2</v>
      </c>
      <c r="B69" s="20" t="str">
        <f t="shared" si="2"/>
        <v>2016 FEB</v>
      </c>
      <c r="C69" s="20">
        <v>2016</v>
      </c>
      <c r="D69" s="21" t="s">
        <v>138</v>
      </c>
      <c r="E69" s="21" t="s">
        <v>479</v>
      </c>
      <c r="F69" s="21">
        <v>52730701</v>
      </c>
      <c r="G69" s="21" t="s">
        <v>480</v>
      </c>
      <c r="H69" s="22">
        <v>16015157</v>
      </c>
      <c r="I69" s="22">
        <v>1386200</v>
      </c>
      <c r="J69" s="22">
        <v>828178</v>
      </c>
      <c r="K69" s="23">
        <v>13800779</v>
      </c>
      <c r="L69" s="23">
        <v>26000000</v>
      </c>
      <c r="M69" s="24">
        <v>0.53079919230769235</v>
      </c>
      <c r="N69" s="25" t="str">
        <f>IFERROR(VLOOKUP(F69,Back!C:F,4,0),"NO")</f>
        <v>NO</v>
      </c>
      <c r="O69" s="26">
        <v>25</v>
      </c>
      <c r="P69" s="27" t="str">
        <f>IFERROR(VLOOKUP(F69,Back!C:E,3,0),"")</f>
        <v/>
      </c>
      <c r="Q69" s="27" t="str">
        <f>IFERROR(VLOOKUP(P69,Back!M:N,2,0),"")</f>
        <v/>
      </c>
      <c r="R69" s="27" t="str">
        <f>IF(N69="Si",IFERROR(VLOOKUP(F69,'TD Cumpl'!B:AB,27,0),"No Aplica"),"No Aplica")</f>
        <v>No Aplica</v>
      </c>
      <c r="S69" s="38"/>
      <c r="T69" s="36"/>
      <c r="Y69" s="54">
        <f t="shared" si="3"/>
        <v>16015157</v>
      </c>
    </row>
    <row r="70" spans="1:25" x14ac:dyDescent="0.25">
      <c r="A70" s="20">
        <f>+VLOOKUP(D70,Back!Q:R,2,0)</f>
        <v>2</v>
      </c>
      <c r="B70" s="20" t="str">
        <f t="shared" si="2"/>
        <v>2016 FEB</v>
      </c>
      <c r="C70" s="20">
        <v>2016</v>
      </c>
      <c r="D70" s="21" t="s">
        <v>138</v>
      </c>
      <c r="E70" s="21" t="s">
        <v>7</v>
      </c>
      <c r="F70" s="21">
        <v>43745952</v>
      </c>
      <c r="G70" s="21" t="s">
        <v>50</v>
      </c>
      <c r="H70" s="22">
        <v>60603293</v>
      </c>
      <c r="I70" s="22">
        <v>989600</v>
      </c>
      <c r="J70" s="22">
        <v>3785190</v>
      </c>
      <c r="K70" s="23">
        <v>55828503</v>
      </c>
      <c r="L70" s="23">
        <v>40000000</v>
      </c>
      <c r="M70" s="24">
        <v>1.3957125749999999</v>
      </c>
      <c r="N70" s="25" t="str">
        <f>IFERROR(VLOOKUP(F70,Back!C:F,4,0),"NO")</f>
        <v>Si</v>
      </c>
      <c r="O70" s="26">
        <v>25</v>
      </c>
      <c r="P70" s="27" t="str">
        <f>IFERROR(VLOOKUP(F70,Back!C:E,3,0),"")</f>
        <v>IPS Pto De Vista Unicentro</v>
      </c>
      <c r="Q70" s="27" t="str">
        <f>IFERROR(VLOOKUP(P70,Back!M:N,2,0),"")</f>
        <v>Antioquia</v>
      </c>
      <c r="R70" s="27" t="str">
        <f>IF(N70="Si",IFERROR(VLOOKUP(F70,'TD Cumpl'!B:AB,27,0),"No Aplica"),"No Aplica")</f>
        <v>Siempre Cumple</v>
      </c>
      <c r="S70" s="38"/>
      <c r="T70" s="36"/>
      <c r="Y70" s="54">
        <f t="shared" si="3"/>
        <v>60603293</v>
      </c>
    </row>
    <row r="71" spans="1:25" x14ac:dyDescent="0.25">
      <c r="A71" s="20">
        <f>+VLOOKUP(D71,Back!Q:R,2,0)</f>
        <v>2</v>
      </c>
      <c r="B71" s="20" t="str">
        <f t="shared" si="2"/>
        <v>2016 FEB</v>
      </c>
      <c r="C71" s="20">
        <v>2016</v>
      </c>
      <c r="D71" s="21" t="s">
        <v>138</v>
      </c>
      <c r="E71" s="21" t="s">
        <v>8</v>
      </c>
      <c r="F71" s="21">
        <v>43259130</v>
      </c>
      <c r="G71" s="21" t="s">
        <v>51</v>
      </c>
      <c r="H71" s="22">
        <v>45042771</v>
      </c>
      <c r="I71" s="22">
        <v>3925400</v>
      </c>
      <c r="J71" s="22">
        <v>3158549</v>
      </c>
      <c r="K71" s="23">
        <v>37958822</v>
      </c>
      <c r="L71" s="23">
        <v>28800000</v>
      </c>
      <c r="M71" s="24">
        <v>1.3180146527777779</v>
      </c>
      <c r="N71" s="25" t="str">
        <f>IFERROR(VLOOKUP(F71,Back!C:F,4,0),"NO")</f>
        <v>Si</v>
      </c>
      <c r="O71" s="26">
        <v>25</v>
      </c>
      <c r="P71" s="27" t="str">
        <f>IFERROR(VLOOKUP(F71,Back!C:E,3,0),"")</f>
        <v>IPS Pto De Vista Molinos</v>
      </c>
      <c r="Q71" s="27" t="str">
        <f>IFERROR(VLOOKUP(P71,Back!M:N,2,0),"")</f>
        <v>Antioquia</v>
      </c>
      <c r="R71" s="27" t="str">
        <f>IF(N71="Si",IFERROR(VLOOKUP(F71,'TD Cumpl'!B:AB,27,0),"No Aplica"),"No Aplica")</f>
        <v>Fluctúa</v>
      </c>
      <c r="S71" s="38"/>
      <c r="T71" s="36"/>
      <c r="Y71" s="54">
        <f t="shared" si="3"/>
        <v>45042771</v>
      </c>
    </row>
    <row r="72" spans="1:25" x14ac:dyDescent="0.25">
      <c r="A72" s="20">
        <f>+VLOOKUP(D72,Back!Q:R,2,0)</f>
        <v>3</v>
      </c>
      <c r="B72" s="20" t="str">
        <f t="shared" si="2"/>
        <v>2016 MAR</v>
      </c>
      <c r="C72" s="20">
        <v>2016</v>
      </c>
      <c r="D72" s="21" t="s">
        <v>139</v>
      </c>
      <c r="E72" s="21" t="s">
        <v>475</v>
      </c>
      <c r="F72" s="21">
        <v>43920870</v>
      </c>
      <c r="G72" s="21" t="s">
        <v>481</v>
      </c>
      <c r="H72" s="22">
        <v>38604219</v>
      </c>
      <c r="I72" s="22">
        <v>2299200</v>
      </c>
      <c r="J72" s="22">
        <v>2149416</v>
      </c>
      <c r="K72" s="23">
        <v>34155603</v>
      </c>
      <c r="L72" s="23">
        <v>34960000</v>
      </c>
      <c r="M72" s="24">
        <v>0.97699093249427915</v>
      </c>
      <c r="N72" s="25" t="str">
        <f>IFERROR(VLOOKUP(F72,Back!C:F,4,0),"NO")</f>
        <v>NO</v>
      </c>
      <c r="O72" s="26">
        <v>25</v>
      </c>
      <c r="P72" s="27" t="str">
        <f>IFERROR(VLOOKUP(F72,Back!C:E,3,0),"")</f>
        <v/>
      </c>
      <c r="Q72" s="27" t="str">
        <f>IFERROR(VLOOKUP(P72,Back!M:N,2,0),"")</f>
        <v/>
      </c>
      <c r="R72" s="27" t="str">
        <f>IF(N72="Si",IFERROR(VLOOKUP(F72,'TD Cumpl'!B:AB,27,0),"No Aplica"),"No Aplica")</f>
        <v>No Aplica</v>
      </c>
      <c r="S72" s="38"/>
      <c r="T72" s="36"/>
      <c r="Y72" s="54">
        <f t="shared" si="3"/>
        <v>38604219</v>
      </c>
    </row>
    <row r="73" spans="1:25" x14ac:dyDescent="0.25">
      <c r="A73" s="20">
        <f>+VLOOKUP(D73,Back!Q:R,2,0)</f>
        <v>3</v>
      </c>
      <c r="B73" s="20" t="str">
        <f t="shared" si="2"/>
        <v>2016 MAR</v>
      </c>
      <c r="C73" s="20">
        <v>2016</v>
      </c>
      <c r="D73" s="21" t="s">
        <v>139</v>
      </c>
      <c r="E73" s="21" t="s">
        <v>9</v>
      </c>
      <c r="F73" s="21">
        <v>43169964</v>
      </c>
      <c r="G73" s="21" t="s">
        <v>155</v>
      </c>
      <c r="H73" s="22">
        <v>27408362</v>
      </c>
      <c r="I73" s="22">
        <v>352700</v>
      </c>
      <c r="J73" s="22">
        <v>2908277</v>
      </c>
      <c r="K73" s="23">
        <v>24147385</v>
      </c>
      <c r="L73" s="23">
        <v>26000000</v>
      </c>
      <c r="M73" s="24">
        <v>0.92874557692307691</v>
      </c>
      <c r="N73" s="25" t="str">
        <f>IFERROR(VLOOKUP(F73,Back!C:F,4,0),"NO")</f>
        <v>Si</v>
      </c>
      <c r="O73" s="26">
        <v>25</v>
      </c>
      <c r="P73" s="27" t="str">
        <f>IFERROR(VLOOKUP(F73,Back!C:E,3,0),"")</f>
        <v>IPS Pto De Vista Molinos</v>
      </c>
      <c r="Q73" s="27" t="str">
        <f>IFERROR(VLOOKUP(P73,Back!M:N,2,0),"")</f>
        <v>Antioquia</v>
      </c>
      <c r="R73" s="27" t="str">
        <f>IF(N73="Si",IFERROR(VLOOKUP(F73,'TD Cumpl'!B:AB,27,0),"No Aplica"),"No Aplica")</f>
        <v>Cumple</v>
      </c>
      <c r="S73" s="38"/>
      <c r="T73" s="36"/>
      <c r="Y73" s="54">
        <f t="shared" si="3"/>
        <v>27408362</v>
      </c>
    </row>
    <row r="74" spans="1:25" x14ac:dyDescent="0.25">
      <c r="A74" s="20">
        <f>+VLOOKUP(D74,Back!Q:R,2,0)</f>
        <v>3</v>
      </c>
      <c r="B74" s="20" t="str">
        <f t="shared" si="2"/>
        <v>2016 MAR</v>
      </c>
      <c r="C74" s="20">
        <v>2016</v>
      </c>
      <c r="D74" s="21" t="s">
        <v>139</v>
      </c>
      <c r="E74" s="21" t="s">
        <v>11</v>
      </c>
      <c r="F74" s="21">
        <v>43253531</v>
      </c>
      <c r="G74" s="21" t="s">
        <v>39</v>
      </c>
      <c r="H74" s="22">
        <v>36144833</v>
      </c>
      <c r="I74" s="22">
        <v>1071200</v>
      </c>
      <c r="J74" s="22">
        <v>2713839</v>
      </c>
      <c r="K74" s="23">
        <v>32359794</v>
      </c>
      <c r="L74" s="23">
        <v>33920000</v>
      </c>
      <c r="M74" s="24">
        <v>0.95400336084905657</v>
      </c>
      <c r="N74" s="25" t="str">
        <f>IFERROR(VLOOKUP(F74,Back!C:F,4,0),"NO")</f>
        <v>Si</v>
      </c>
      <c r="O74" s="26">
        <v>25</v>
      </c>
      <c r="P74" s="27" t="str">
        <f>IFERROR(VLOOKUP(F74,Back!C:E,3,0),"")</f>
        <v>IPS Punto de Vista Bello</v>
      </c>
      <c r="Q74" s="27" t="str">
        <f>IFERROR(VLOOKUP(P74,Back!M:N,2,0),"")</f>
        <v>Antioquia</v>
      </c>
      <c r="R74" s="27" t="str">
        <f>IF(N74="Si",IFERROR(VLOOKUP(F74,'TD Cumpl'!B:AB,27,0),"No Aplica"),"No Aplica")</f>
        <v>Cumple</v>
      </c>
      <c r="S74" s="38"/>
      <c r="T74" s="36"/>
      <c r="Y74" s="54">
        <f t="shared" si="3"/>
        <v>36144833</v>
      </c>
    </row>
    <row r="75" spans="1:25" x14ac:dyDescent="0.25">
      <c r="A75" s="20">
        <f>+VLOOKUP(D75,Back!Q:R,2,0)</f>
        <v>3</v>
      </c>
      <c r="B75" s="20" t="str">
        <f t="shared" si="2"/>
        <v>2016 MAR</v>
      </c>
      <c r="C75" s="20">
        <v>2016</v>
      </c>
      <c r="D75" s="21" t="s">
        <v>139</v>
      </c>
      <c r="E75" s="21" t="s">
        <v>6</v>
      </c>
      <c r="F75" s="21">
        <v>43821410</v>
      </c>
      <c r="G75" s="21" t="s">
        <v>40</v>
      </c>
      <c r="H75" s="22">
        <v>54569045</v>
      </c>
      <c r="I75" s="22">
        <v>285400</v>
      </c>
      <c r="J75" s="22">
        <v>3458843</v>
      </c>
      <c r="K75" s="23">
        <v>50824802</v>
      </c>
      <c r="L75" s="23">
        <v>35087500</v>
      </c>
      <c r="M75" s="24">
        <v>1.4485159102244389</v>
      </c>
      <c r="N75" s="25" t="str">
        <f>IFERROR(VLOOKUP(F75,Back!C:F,4,0),"NO")</f>
        <v>Si</v>
      </c>
      <c r="O75" s="26">
        <v>25</v>
      </c>
      <c r="P75" s="27" t="str">
        <f>IFERROR(VLOOKUP(F75,Back!C:E,3,0),"")</f>
        <v>IPS Pto De Vista Unicentro</v>
      </c>
      <c r="Q75" s="27" t="str">
        <f>IFERROR(VLOOKUP(P75,Back!M:N,2,0),"")</f>
        <v>Antioquia</v>
      </c>
      <c r="R75" s="27" t="str">
        <f>IF(N75="Si",IFERROR(VLOOKUP(F75,'TD Cumpl'!B:AB,27,0),"No Aplica"),"No Aplica")</f>
        <v>Siempre Cumple</v>
      </c>
      <c r="S75" s="38"/>
      <c r="T75" s="36"/>
      <c r="Y75" s="54">
        <f t="shared" si="3"/>
        <v>54569045</v>
      </c>
    </row>
    <row r="76" spans="1:25" x14ac:dyDescent="0.25">
      <c r="A76" s="20">
        <f>+VLOOKUP(D76,Back!Q:R,2,0)</f>
        <v>3</v>
      </c>
      <c r="B76" s="20" t="str">
        <f t="shared" si="2"/>
        <v>2016 MAR</v>
      </c>
      <c r="C76" s="20">
        <v>2016</v>
      </c>
      <c r="D76" s="21" t="s">
        <v>139</v>
      </c>
      <c r="E76" s="21" t="s">
        <v>18</v>
      </c>
      <c r="F76" s="21">
        <v>39442617</v>
      </c>
      <c r="G76" s="21" t="s">
        <v>41</v>
      </c>
      <c r="H76" s="22">
        <v>14335565</v>
      </c>
      <c r="I76" s="22">
        <v>1019000</v>
      </c>
      <c r="J76" s="22">
        <v>744600</v>
      </c>
      <c r="K76" s="23">
        <v>12571965</v>
      </c>
      <c r="L76" s="23">
        <v>8333333.333333334</v>
      </c>
      <c r="M76" s="24">
        <v>1.5086358</v>
      </c>
      <c r="N76" s="25" t="str">
        <f>IFERROR(VLOOKUP(F76,Back!C:F,4,0),"NO")</f>
        <v>Si</v>
      </c>
      <c r="O76" s="26">
        <v>25</v>
      </c>
      <c r="P76" s="27" t="str">
        <f>IFERROR(VLOOKUP(F76,Back!C:E,3,0),"")</f>
        <v>IPS Pto De Vista San Diego</v>
      </c>
      <c r="Q76" s="27" t="str">
        <f>IFERROR(VLOOKUP(P76,Back!M:N,2,0),"")</f>
        <v>Antioquia</v>
      </c>
      <c r="R76" s="27" t="str">
        <f>IF(N76="Si",IFERROR(VLOOKUP(F76,'TD Cumpl'!B:AB,27,0),"No Aplica"),"No Aplica")</f>
        <v>Cumple</v>
      </c>
      <c r="S76" s="38"/>
      <c r="T76" s="36"/>
      <c r="Y76" s="54">
        <f t="shared" si="3"/>
        <v>14335565</v>
      </c>
    </row>
    <row r="77" spans="1:25" x14ac:dyDescent="0.25">
      <c r="A77" s="20">
        <f>+VLOOKUP(D77,Back!Q:R,2,0)</f>
        <v>3</v>
      </c>
      <c r="B77" s="20" t="str">
        <f t="shared" si="2"/>
        <v>2016 MAR</v>
      </c>
      <c r="C77" s="20">
        <v>2016</v>
      </c>
      <c r="D77" s="21" t="s">
        <v>139</v>
      </c>
      <c r="E77" s="21" t="s">
        <v>54</v>
      </c>
      <c r="F77" s="21">
        <v>1013628003</v>
      </c>
      <c r="G77" s="21" t="s">
        <v>55</v>
      </c>
      <c r="H77" s="22">
        <v>30353</v>
      </c>
      <c r="I77" s="22">
        <v>0</v>
      </c>
      <c r="J77" s="22">
        <v>30353</v>
      </c>
      <c r="K77" s="23">
        <v>0</v>
      </c>
      <c r="L77" s="23">
        <v>6125000</v>
      </c>
      <c r="M77" s="24">
        <v>0</v>
      </c>
      <c r="N77" s="25" t="str">
        <f>IFERROR(VLOOKUP(F77,Back!C:F,4,0),"NO")</f>
        <v>NO</v>
      </c>
      <c r="O77" s="26">
        <v>25</v>
      </c>
      <c r="P77" s="27" t="str">
        <f>IFERROR(VLOOKUP(F77,Back!C:E,3,0),"")</f>
        <v/>
      </c>
      <c r="Q77" s="27" t="str">
        <f>IFERROR(VLOOKUP(P77,Back!M:N,2,0),"")</f>
        <v/>
      </c>
      <c r="R77" s="27" t="str">
        <f>IF(N77="Si",IFERROR(VLOOKUP(F77,'TD Cumpl'!B:AB,27,0),"No Aplica"),"No Aplica")</f>
        <v>No Aplica</v>
      </c>
      <c r="S77" s="38"/>
      <c r="T77" s="36"/>
      <c r="Y77" s="54">
        <f t="shared" si="3"/>
        <v>30353</v>
      </c>
    </row>
    <row r="78" spans="1:25" x14ac:dyDescent="0.25">
      <c r="A78" s="20">
        <f>+VLOOKUP(D78,Back!Q:R,2,0)</f>
        <v>3</v>
      </c>
      <c r="B78" s="20" t="str">
        <f t="shared" si="2"/>
        <v>2016 MAR</v>
      </c>
      <c r="C78" s="20">
        <v>2016</v>
      </c>
      <c r="D78" s="21" t="s">
        <v>139</v>
      </c>
      <c r="E78" s="21" t="s">
        <v>56</v>
      </c>
      <c r="F78" s="21">
        <v>43971430</v>
      </c>
      <c r="G78" s="21" t="s">
        <v>142</v>
      </c>
      <c r="H78" s="22">
        <v>43085950</v>
      </c>
      <c r="I78" s="22">
        <v>495400</v>
      </c>
      <c r="J78" s="22">
        <v>4533725</v>
      </c>
      <c r="K78" s="23">
        <v>38056825</v>
      </c>
      <c r="L78" s="23">
        <v>40000000</v>
      </c>
      <c r="M78" s="24">
        <v>0.95142062500000002</v>
      </c>
      <c r="N78" s="25" t="str">
        <f>IFERROR(VLOOKUP(F78,Back!C:F,4,0),"NO")</f>
        <v>Si</v>
      </c>
      <c r="O78" s="26">
        <v>25</v>
      </c>
      <c r="P78" s="27" t="str">
        <f>IFERROR(VLOOKUP(F78,Back!C:E,3,0),"")</f>
        <v>IPS Pto De Vista Centro</v>
      </c>
      <c r="Q78" s="27" t="str">
        <f>IFERROR(VLOOKUP(P78,Back!M:N,2,0),"")</f>
        <v>Antioquia</v>
      </c>
      <c r="R78" s="27" t="str">
        <f>IF(N78="Si",IFERROR(VLOOKUP(F78,'TD Cumpl'!B:AB,27,0),"No Aplica"),"No Aplica")</f>
        <v>Siempre Cumple</v>
      </c>
      <c r="S78" s="38"/>
      <c r="T78" s="36"/>
      <c r="Y78" s="54">
        <f t="shared" si="3"/>
        <v>43085950</v>
      </c>
    </row>
    <row r="79" spans="1:25" x14ac:dyDescent="0.25">
      <c r="A79" s="20">
        <f>+VLOOKUP(D79,Back!Q:R,2,0)</f>
        <v>3</v>
      </c>
      <c r="B79" s="20" t="str">
        <f t="shared" si="2"/>
        <v>2016 MAR</v>
      </c>
      <c r="C79" s="20">
        <v>2016</v>
      </c>
      <c r="D79" s="21" t="s">
        <v>139</v>
      </c>
      <c r="E79" s="21" t="s">
        <v>14</v>
      </c>
      <c r="F79" s="21">
        <v>43184345</v>
      </c>
      <c r="G79" s="21"/>
      <c r="H79" s="22">
        <v>219337</v>
      </c>
      <c r="I79" s="22">
        <v>0</v>
      </c>
      <c r="J79" s="22">
        <v>0</v>
      </c>
      <c r="K79" s="23">
        <v>219337</v>
      </c>
      <c r="L79" s="23"/>
      <c r="M79" s="24"/>
      <c r="N79" s="25" t="str">
        <f>IFERROR(VLOOKUP(F79,Back!C:F,4,0),"NO")</f>
        <v>NO</v>
      </c>
      <c r="O79" s="26">
        <v>25</v>
      </c>
      <c r="P79" s="27" t="str">
        <f>IFERROR(VLOOKUP(F79,Back!C:E,3,0),"")</f>
        <v/>
      </c>
      <c r="Q79" s="27" t="str">
        <f>IFERROR(VLOOKUP(P79,Back!M:N,2,0),"")</f>
        <v/>
      </c>
      <c r="R79" s="27" t="str">
        <f>IF(N79="Si",IFERROR(VLOOKUP(F79,'TD Cumpl'!B:AB,27,0),"No Aplica"),"No Aplica")</f>
        <v>No Aplica</v>
      </c>
      <c r="S79" s="38"/>
      <c r="T79" s="36"/>
      <c r="Y79" s="54">
        <f t="shared" si="3"/>
        <v>219337</v>
      </c>
    </row>
    <row r="80" spans="1:25" x14ac:dyDescent="0.25">
      <c r="A80" s="20">
        <f>+VLOOKUP(D80,Back!Q:R,2,0)</f>
        <v>3</v>
      </c>
      <c r="B80" s="20" t="str">
        <f t="shared" si="2"/>
        <v>2016 MAR</v>
      </c>
      <c r="C80" s="20">
        <v>2016</v>
      </c>
      <c r="D80" s="21" t="s">
        <v>139</v>
      </c>
      <c r="E80" s="21" t="s">
        <v>59</v>
      </c>
      <c r="F80" s="21">
        <v>1030634664</v>
      </c>
      <c r="G80" s="21" t="s">
        <v>58</v>
      </c>
      <c r="H80" s="22">
        <v>44741175</v>
      </c>
      <c r="I80" s="22">
        <v>1137420</v>
      </c>
      <c r="J80" s="22">
        <v>3568635</v>
      </c>
      <c r="K80" s="23">
        <v>40035120</v>
      </c>
      <c r="L80" s="23">
        <v>40000000</v>
      </c>
      <c r="M80" s="24">
        <v>1.0008779999999999</v>
      </c>
      <c r="N80" s="25" t="str">
        <f>IFERROR(VLOOKUP(F80,Back!C:F,4,0),"NO")</f>
        <v>NO</v>
      </c>
      <c r="O80" s="26">
        <v>25</v>
      </c>
      <c r="P80" s="27" t="str">
        <f>IFERROR(VLOOKUP(F80,Back!C:E,3,0),"")</f>
        <v/>
      </c>
      <c r="Q80" s="27" t="str">
        <f>IFERROR(VLOOKUP(P80,Back!M:N,2,0),"")</f>
        <v/>
      </c>
      <c r="R80" s="27" t="str">
        <f>IF(N80="Si",IFERROR(VLOOKUP(F80,'TD Cumpl'!B:AB,27,0),"No Aplica"),"No Aplica")</f>
        <v>No Aplica</v>
      </c>
      <c r="S80" s="38"/>
      <c r="T80" s="36"/>
      <c r="Y80" s="54">
        <f t="shared" si="3"/>
        <v>44741175</v>
      </c>
    </row>
    <row r="81" spans="1:25" x14ac:dyDescent="0.25">
      <c r="A81" s="20">
        <f>+VLOOKUP(D81,Back!Q:R,2,0)</f>
        <v>3</v>
      </c>
      <c r="B81" s="20" t="str">
        <f t="shared" si="2"/>
        <v>2016 MAR</v>
      </c>
      <c r="C81" s="20">
        <v>2016</v>
      </c>
      <c r="D81" s="21" t="s">
        <v>139</v>
      </c>
      <c r="E81" s="21" t="s">
        <v>34</v>
      </c>
      <c r="F81" s="21">
        <v>43554403</v>
      </c>
      <c r="G81" s="21" t="s">
        <v>35</v>
      </c>
      <c r="H81" s="22">
        <v>48609633</v>
      </c>
      <c r="I81" s="22">
        <v>1182600</v>
      </c>
      <c r="J81" s="22">
        <v>3801835</v>
      </c>
      <c r="K81" s="23">
        <v>43625198</v>
      </c>
      <c r="L81" s="23">
        <v>40000000</v>
      </c>
      <c r="M81" s="24">
        <v>1.0906299500000001</v>
      </c>
      <c r="N81" s="25" t="str">
        <f>IFERROR(VLOOKUP(F81,Back!C:F,4,0),"NO")</f>
        <v>Si</v>
      </c>
      <c r="O81" s="26">
        <v>25</v>
      </c>
      <c r="P81" s="27" t="str">
        <f>IFERROR(VLOOKUP(F81,Back!C:E,3,0),"")</f>
        <v>IPS Pto De Vista Centro</v>
      </c>
      <c r="Q81" s="27" t="str">
        <f>IFERROR(VLOOKUP(P81,Back!M:N,2,0),"")</f>
        <v>Antioquia</v>
      </c>
      <c r="R81" s="27" t="str">
        <f>IF(N81="Si",IFERROR(VLOOKUP(F81,'TD Cumpl'!B:AB,27,0),"No Aplica"),"No Aplica")</f>
        <v>Siempre Cumple</v>
      </c>
      <c r="S81" s="38"/>
      <c r="T81" s="36"/>
      <c r="Y81" s="54">
        <f t="shared" si="3"/>
        <v>48609633</v>
      </c>
    </row>
    <row r="82" spans="1:25" x14ac:dyDescent="0.25">
      <c r="A82" s="20">
        <f>+VLOOKUP(D82,Back!Q:R,2,0)</f>
        <v>3</v>
      </c>
      <c r="B82" s="20" t="str">
        <f t="shared" si="2"/>
        <v>2016 MAR</v>
      </c>
      <c r="C82" s="20">
        <v>2016</v>
      </c>
      <c r="D82" s="21" t="s">
        <v>139</v>
      </c>
      <c r="E82" s="21" t="s">
        <v>1</v>
      </c>
      <c r="F82" s="21">
        <v>23857915</v>
      </c>
      <c r="G82" s="21" t="s">
        <v>116</v>
      </c>
      <c r="H82" s="22">
        <v>29079535</v>
      </c>
      <c r="I82" s="22">
        <v>272000</v>
      </c>
      <c r="J82" s="22">
        <v>941951</v>
      </c>
      <c r="K82" s="23">
        <v>27865584</v>
      </c>
      <c r="L82" s="23">
        <v>23833333.333333332</v>
      </c>
      <c r="M82" s="24">
        <v>1.1691853426573426</v>
      </c>
      <c r="N82" s="25" t="str">
        <f>IFERROR(VLOOKUP(F82,Back!C:F,4,0),"NO")</f>
        <v>NO</v>
      </c>
      <c r="O82" s="26">
        <v>25</v>
      </c>
      <c r="P82" s="27" t="str">
        <f>IFERROR(VLOOKUP(F82,Back!C:E,3,0),"")</f>
        <v/>
      </c>
      <c r="Q82" s="27" t="str">
        <f>IFERROR(VLOOKUP(P82,Back!M:N,2,0),"")</f>
        <v/>
      </c>
      <c r="R82" s="27" t="str">
        <f>IF(N82="Si",IFERROR(VLOOKUP(F82,'TD Cumpl'!B:AB,27,0),"No Aplica"),"No Aplica")</f>
        <v>No Aplica</v>
      </c>
      <c r="S82" s="38"/>
      <c r="T82" s="36"/>
      <c r="Y82" s="54">
        <f t="shared" si="3"/>
        <v>29079535</v>
      </c>
    </row>
    <row r="83" spans="1:25" x14ac:dyDescent="0.25">
      <c r="A83" s="20">
        <f>+VLOOKUP(D83,Back!Q:R,2,0)</f>
        <v>3</v>
      </c>
      <c r="B83" s="20" t="str">
        <f t="shared" si="2"/>
        <v>2016 MAR</v>
      </c>
      <c r="C83" s="20">
        <v>2016</v>
      </c>
      <c r="D83" s="21" t="s">
        <v>139</v>
      </c>
      <c r="E83" s="21" t="s">
        <v>3</v>
      </c>
      <c r="F83" s="21">
        <v>52725011</v>
      </c>
      <c r="G83" s="21" t="s">
        <v>42</v>
      </c>
      <c r="H83" s="22">
        <v>23729140</v>
      </c>
      <c r="I83" s="22">
        <v>0</v>
      </c>
      <c r="J83" s="22">
        <v>1202340</v>
      </c>
      <c r="K83" s="23">
        <v>22526800</v>
      </c>
      <c r="L83" s="23">
        <v>21000000</v>
      </c>
      <c r="M83" s="24">
        <v>1.0727047619047618</v>
      </c>
      <c r="N83" s="25" t="str">
        <f>IFERROR(VLOOKUP(F83,Back!C:F,4,0),"NO")</f>
        <v>Si</v>
      </c>
      <c r="O83" s="26">
        <v>25</v>
      </c>
      <c r="P83" s="27" t="str">
        <f>IFERROR(VLOOKUP(F83,Back!C:E,3,0),"")</f>
        <v>IPS Pto De Vista Olaya</v>
      </c>
      <c r="Q83" s="27" t="str">
        <f>IFERROR(VLOOKUP(P83,Back!M:N,2,0),"")</f>
        <v>Centro</v>
      </c>
      <c r="R83" s="27" t="str">
        <f>IF(N83="Si",IFERROR(VLOOKUP(F83,'TD Cumpl'!B:AB,27,0),"No Aplica"),"No Aplica")</f>
        <v>Fluctúa</v>
      </c>
      <c r="S83" s="38"/>
      <c r="T83" s="36"/>
      <c r="Y83" s="54">
        <f t="shared" si="3"/>
        <v>23729140</v>
      </c>
    </row>
    <row r="84" spans="1:25" x14ac:dyDescent="0.25">
      <c r="A84" s="20">
        <f>+VLOOKUP(D84,Back!Q:R,2,0)</f>
        <v>3</v>
      </c>
      <c r="B84" s="20" t="str">
        <f t="shared" si="2"/>
        <v>2016 MAR</v>
      </c>
      <c r="C84" s="20">
        <v>2016</v>
      </c>
      <c r="D84" s="21" t="s">
        <v>139</v>
      </c>
      <c r="E84" s="21" t="s">
        <v>25</v>
      </c>
      <c r="F84" s="21">
        <v>1040030764</v>
      </c>
      <c r="G84" s="21" t="s">
        <v>43</v>
      </c>
      <c r="H84" s="22">
        <v>38468590</v>
      </c>
      <c r="I84" s="22">
        <v>3076830</v>
      </c>
      <c r="J84" s="22">
        <v>1741670</v>
      </c>
      <c r="K84" s="23">
        <v>33650090</v>
      </c>
      <c r="L84" s="23">
        <v>30100000</v>
      </c>
      <c r="M84" s="24">
        <v>1.1179431893687708</v>
      </c>
      <c r="N84" s="25" t="str">
        <f>IFERROR(VLOOKUP(F84,Back!C:F,4,0),"NO")</f>
        <v>Si</v>
      </c>
      <c r="O84" s="26">
        <v>25</v>
      </c>
      <c r="P84" s="27" t="str">
        <f>IFERROR(VLOOKUP(F84,Back!C:E,3,0),"")</f>
        <v>IPS Pto De Vista Rionegro</v>
      </c>
      <c r="Q84" s="27" t="str">
        <f>IFERROR(VLOOKUP(P84,Back!M:N,2,0),"")</f>
        <v>Antioquia</v>
      </c>
      <c r="R84" s="27" t="str">
        <f>IF(N84="Si",IFERROR(VLOOKUP(F84,'TD Cumpl'!B:AB,27,0),"No Aplica"),"No Aplica")</f>
        <v>Cumple</v>
      </c>
      <c r="S84" s="38"/>
      <c r="T84" s="36"/>
      <c r="Y84" s="54">
        <f t="shared" si="3"/>
        <v>38468590</v>
      </c>
    </row>
    <row r="85" spans="1:25" x14ac:dyDescent="0.25">
      <c r="A85" s="20">
        <f>+VLOOKUP(D85,Back!Q:R,2,0)</f>
        <v>3</v>
      </c>
      <c r="B85" s="20" t="str">
        <f t="shared" si="2"/>
        <v>2016 MAR</v>
      </c>
      <c r="C85" s="20">
        <v>2016</v>
      </c>
      <c r="D85" s="21" t="s">
        <v>139</v>
      </c>
      <c r="E85" s="21" t="s">
        <v>33</v>
      </c>
      <c r="F85" s="21">
        <v>31307503</v>
      </c>
      <c r="G85" s="21" t="s">
        <v>36</v>
      </c>
      <c r="H85" s="22">
        <v>4915265</v>
      </c>
      <c r="I85" s="22">
        <v>0</v>
      </c>
      <c r="J85" s="22">
        <v>0</v>
      </c>
      <c r="K85" s="23">
        <v>4915265</v>
      </c>
      <c r="L85" s="23">
        <v>30100000</v>
      </c>
      <c r="M85" s="24">
        <v>0.16329784053156146</v>
      </c>
      <c r="N85" s="25" t="str">
        <f>IFERROR(VLOOKUP(F85,Back!C:F,4,0),"NO")</f>
        <v>NO</v>
      </c>
      <c r="O85" s="26">
        <v>25</v>
      </c>
      <c r="P85" s="27" t="str">
        <f>IFERROR(VLOOKUP(F85,Back!C:E,3,0),"")</f>
        <v/>
      </c>
      <c r="Q85" s="27" t="str">
        <f>IFERROR(VLOOKUP(P85,Back!M:N,2,0),"")</f>
        <v/>
      </c>
      <c r="R85" s="27" t="str">
        <f>IF(N85="Si",IFERROR(VLOOKUP(F85,'TD Cumpl'!B:AB,27,0),"No Aplica"),"No Aplica")</f>
        <v>No Aplica</v>
      </c>
      <c r="S85" s="38"/>
      <c r="T85" s="36"/>
      <c r="Y85" s="54">
        <f t="shared" si="3"/>
        <v>4915265</v>
      </c>
    </row>
    <row r="86" spans="1:25" x14ac:dyDescent="0.25">
      <c r="A86" s="20">
        <f>+VLOOKUP(D86,Back!Q:R,2,0)</f>
        <v>3</v>
      </c>
      <c r="B86" s="20" t="str">
        <f t="shared" si="2"/>
        <v>2016 MAR</v>
      </c>
      <c r="C86" s="20">
        <v>2016</v>
      </c>
      <c r="D86" s="21" t="s">
        <v>139</v>
      </c>
      <c r="E86" s="21" t="s">
        <v>22</v>
      </c>
      <c r="F86" s="21">
        <v>42164020</v>
      </c>
      <c r="G86" s="21" t="s">
        <v>105</v>
      </c>
      <c r="H86" s="22">
        <v>39802207</v>
      </c>
      <c r="I86" s="22">
        <v>2447300</v>
      </c>
      <c r="J86" s="22">
        <v>2441894</v>
      </c>
      <c r="K86" s="23">
        <v>34913013</v>
      </c>
      <c r="L86" s="23">
        <v>36000000</v>
      </c>
      <c r="M86" s="24">
        <v>0.96980591666666671</v>
      </c>
      <c r="N86" s="25" t="str">
        <f>IFERROR(VLOOKUP(F86,Back!C:F,4,0),"NO")</f>
        <v>Si</v>
      </c>
      <c r="O86" s="26">
        <v>25</v>
      </c>
      <c r="P86" s="27" t="str">
        <f>IFERROR(VLOOKUP(F86,Back!C:E,3,0),"")</f>
        <v>IPS Pto De Vista Molinos</v>
      </c>
      <c r="Q86" s="27" t="str">
        <f>IFERROR(VLOOKUP(P86,Back!M:N,2,0),"")</f>
        <v>Antioquia</v>
      </c>
      <c r="R86" s="27" t="str">
        <f>IF(N86="Si",IFERROR(VLOOKUP(F86,'TD Cumpl'!B:AB,27,0),"No Aplica"),"No Aplica")</f>
        <v>Siempre Cumple</v>
      </c>
      <c r="S86" s="38"/>
      <c r="T86" s="36"/>
      <c r="Y86" s="54">
        <f t="shared" si="3"/>
        <v>39802207</v>
      </c>
    </row>
    <row r="87" spans="1:25" x14ac:dyDescent="0.25">
      <c r="A87" s="20">
        <f>+VLOOKUP(D87,Back!Q:R,2,0)</f>
        <v>3</v>
      </c>
      <c r="B87" s="20" t="str">
        <f t="shared" si="2"/>
        <v>2016 MAR</v>
      </c>
      <c r="C87" s="20">
        <v>2016</v>
      </c>
      <c r="D87" s="21" t="s">
        <v>139</v>
      </c>
      <c r="E87" s="21" t="s">
        <v>21</v>
      </c>
      <c r="F87" s="21">
        <v>1035417626</v>
      </c>
      <c r="G87" s="21" t="s">
        <v>80</v>
      </c>
      <c r="H87" s="22">
        <v>47225266</v>
      </c>
      <c r="I87" s="22">
        <v>1095200</v>
      </c>
      <c r="J87" s="22">
        <v>4275520</v>
      </c>
      <c r="K87" s="23">
        <v>41854546</v>
      </c>
      <c r="L87" s="23">
        <v>36000000</v>
      </c>
      <c r="M87" s="24">
        <v>1.1626262777777778</v>
      </c>
      <c r="N87" s="25" t="str">
        <f>IFERROR(VLOOKUP(F87,Back!C:F,4,0),"NO")</f>
        <v>Si</v>
      </c>
      <c r="O87" s="26">
        <v>25</v>
      </c>
      <c r="P87" s="27" t="str">
        <f>IFERROR(VLOOKUP(F87,Back!C:E,3,0),"")</f>
        <v>IPS Pto De Vista Unicentro</v>
      </c>
      <c r="Q87" s="27" t="str">
        <f>IFERROR(VLOOKUP(P87,Back!M:N,2,0),"")</f>
        <v>Antioquia</v>
      </c>
      <c r="R87" s="27" t="str">
        <f>IF(N87="Si",IFERROR(VLOOKUP(F87,'TD Cumpl'!B:AB,27,0),"No Aplica"),"No Aplica")</f>
        <v>Cumple</v>
      </c>
      <c r="S87" s="38"/>
      <c r="T87" s="36"/>
      <c r="Y87" s="54">
        <f t="shared" si="3"/>
        <v>47225266</v>
      </c>
    </row>
    <row r="88" spans="1:25" x14ac:dyDescent="0.25">
      <c r="A88" s="20">
        <f>+VLOOKUP(D88,Back!Q:R,2,0)</f>
        <v>3</v>
      </c>
      <c r="B88" s="20" t="str">
        <f t="shared" si="2"/>
        <v>2016 MAR</v>
      </c>
      <c r="C88" s="20">
        <v>2016</v>
      </c>
      <c r="D88" s="21" t="s">
        <v>139</v>
      </c>
      <c r="E88" s="21" t="s">
        <v>57</v>
      </c>
      <c r="F88" s="21">
        <v>43874518</v>
      </c>
      <c r="G88" s="21" t="s">
        <v>60</v>
      </c>
      <c r="H88" s="22">
        <v>43833949</v>
      </c>
      <c r="I88" s="22">
        <v>2093300</v>
      </c>
      <c r="J88" s="22">
        <v>2736053</v>
      </c>
      <c r="K88" s="23">
        <v>39004596</v>
      </c>
      <c r="L88" s="23">
        <v>40000000</v>
      </c>
      <c r="M88" s="24">
        <v>0.97511490000000001</v>
      </c>
      <c r="N88" s="25" t="str">
        <f>IFERROR(VLOOKUP(F88,Back!C:F,4,0),"NO")</f>
        <v>Si</v>
      </c>
      <c r="O88" s="26">
        <v>25</v>
      </c>
      <c r="P88" s="27" t="str">
        <f>IFERROR(VLOOKUP(F88,Back!C:E,3,0),"")</f>
        <v>IPS Pto De Vista Punto Clave</v>
      </c>
      <c r="Q88" s="27" t="str">
        <f>IFERROR(VLOOKUP(P88,Back!M:N,2,0),"")</f>
        <v>Antioquia</v>
      </c>
      <c r="R88" s="27" t="str">
        <f>IF(N88="Si",IFERROR(VLOOKUP(F88,'TD Cumpl'!B:AB,27,0),"No Aplica"),"No Aplica")</f>
        <v>Fluctúa</v>
      </c>
      <c r="S88" s="38"/>
      <c r="T88" s="36"/>
      <c r="Y88" s="54">
        <f t="shared" si="3"/>
        <v>43833949</v>
      </c>
    </row>
    <row r="89" spans="1:25" x14ac:dyDescent="0.25">
      <c r="A89" s="20">
        <f>+VLOOKUP(D89,Back!Q:R,2,0)</f>
        <v>3</v>
      </c>
      <c r="B89" s="20" t="str">
        <f t="shared" si="2"/>
        <v>2016 MAR</v>
      </c>
      <c r="C89" s="20">
        <v>2016</v>
      </c>
      <c r="D89" s="21" t="s">
        <v>139</v>
      </c>
      <c r="E89" s="21" t="s">
        <v>2</v>
      </c>
      <c r="F89" s="21">
        <v>52260671</v>
      </c>
      <c r="G89" s="21" t="s">
        <v>26</v>
      </c>
      <c r="H89" s="22">
        <v>25291621</v>
      </c>
      <c r="I89" s="22">
        <v>384000</v>
      </c>
      <c r="J89" s="22">
        <v>1208254</v>
      </c>
      <c r="K89" s="23">
        <v>23699367</v>
      </c>
      <c r="L89" s="23">
        <v>23833333.333333332</v>
      </c>
      <c r="M89" s="24">
        <v>0.99437903496503499</v>
      </c>
      <c r="N89" s="25" t="str">
        <f>IFERROR(VLOOKUP(F89,Back!C:F,4,0),"NO")</f>
        <v>Si</v>
      </c>
      <c r="O89" s="26">
        <v>25</v>
      </c>
      <c r="P89" s="27" t="str">
        <f>IFERROR(VLOOKUP(F89,Back!C:E,3,0),"")</f>
        <v>IPS Pto De Vista Santa Bárbara</v>
      </c>
      <c r="Q89" s="27" t="str">
        <f>IFERROR(VLOOKUP(P89,Back!M:N,2,0),"")</f>
        <v>Centro</v>
      </c>
      <c r="R89" s="27" t="str">
        <f>IF(N89="Si",IFERROR(VLOOKUP(F89,'TD Cumpl'!B:AB,27,0),"No Aplica"),"No Aplica")</f>
        <v>Siempre Cumple</v>
      </c>
      <c r="S89" s="38"/>
      <c r="T89" s="36"/>
      <c r="Y89" s="54">
        <f t="shared" si="3"/>
        <v>25291621</v>
      </c>
    </row>
    <row r="90" spans="1:25" x14ac:dyDescent="0.25">
      <c r="A90" s="20">
        <f>+VLOOKUP(D90,Back!Q:R,2,0)</f>
        <v>3</v>
      </c>
      <c r="B90" s="20" t="str">
        <f t="shared" si="2"/>
        <v>2016 MAR</v>
      </c>
      <c r="C90" s="20">
        <v>2016</v>
      </c>
      <c r="D90" s="21" t="s">
        <v>139</v>
      </c>
      <c r="E90" s="21" t="s">
        <v>37</v>
      </c>
      <c r="F90" s="21">
        <v>1036779770</v>
      </c>
      <c r="G90" s="21" t="s">
        <v>52</v>
      </c>
      <c r="H90" s="22">
        <v>35942694</v>
      </c>
      <c r="I90" s="22">
        <v>3894900</v>
      </c>
      <c r="J90" s="22">
        <v>1629713</v>
      </c>
      <c r="K90" s="23">
        <v>30418081</v>
      </c>
      <c r="L90" s="23">
        <v>30100000</v>
      </c>
      <c r="M90" s="24">
        <v>1.0105674750830564</v>
      </c>
      <c r="N90" s="25" t="str">
        <f>IFERROR(VLOOKUP(F90,Back!C:F,4,0),"NO")</f>
        <v>No</v>
      </c>
      <c r="O90" s="26">
        <v>25</v>
      </c>
      <c r="P90" s="27" t="str">
        <f>IFERROR(VLOOKUP(F90,Back!C:E,3,0),"")</f>
        <v>IPS Pto De Vista Rionegro</v>
      </c>
      <c r="Q90" s="27" t="str">
        <f>IFERROR(VLOOKUP(P90,Back!M:N,2,0),"")</f>
        <v>Antioquia</v>
      </c>
      <c r="R90" s="27" t="str">
        <f>IF(N90="Si",IFERROR(VLOOKUP(F90,'TD Cumpl'!B:AB,27,0),"No Aplica"),"No Aplica")</f>
        <v>No Aplica</v>
      </c>
      <c r="S90" s="38"/>
      <c r="T90" s="36"/>
      <c r="Y90" s="54">
        <f t="shared" si="3"/>
        <v>35942694</v>
      </c>
    </row>
    <row r="91" spans="1:25" x14ac:dyDescent="0.25">
      <c r="A91" s="20">
        <f>+VLOOKUP(D91,Back!Q:R,2,0)</f>
        <v>3</v>
      </c>
      <c r="B91" s="20" t="str">
        <f t="shared" si="2"/>
        <v>2016 MAR</v>
      </c>
      <c r="C91" s="20">
        <v>2016</v>
      </c>
      <c r="D91" s="21" t="s">
        <v>139</v>
      </c>
      <c r="E91" s="21" t="s">
        <v>20</v>
      </c>
      <c r="F91" s="21">
        <v>1017141451</v>
      </c>
      <c r="G91" s="21" t="s">
        <v>44</v>
      </c>
      <c r="H91" s="22">
        <v>47595758</v>
      </c>
      <c r="I91" s="22">
        <v>4065100</v>
      </c>
      <c r="J91" s="22">
        <v>2807918</v>
      </c>
      <c r="K91" s="23">
        <v>40722740</v>
      </c>
      <c r="L91" s="23">
        <v>40100000</v>
      </c>
      <c r="M91" s="24">
        <v>1.0155296758104737</v>
      </c>
      <c r="N91" s="25" t="str">
        <f>IFERROR(VLOOKUP(F91,Back!C:F,4,0),"NO")</f>
        <v>Si</v>
      </c>
      <c r="O91" s="26">
        <v>25</v>
      </c>
      <c r="P91" s="27" t="str">
        <f>IFERROR(VLOOKUP(F91,Back!C:E,3,0),"")</f>
        <v>IPS Pto De Vista Molinos</v>
      </c>
      <c r="Q91" s="27" t="str">
        <f>IFERROR(VLOOKUP(P91,Back!M:N,2,0),"")</f>
        <v>Antioquia</v>
      </c>
      <c r="R91" s="27" t="str">
        <f>IF(N91="Si",IFERROR(VLOOKUP(F91,'TD Cumpl'!B:AB,27,0),"No Aplica"),"No Aplica")</f>
        <v>Siempre Cumple</v>
      </c>
      <c r="S91" s="38"/>
      <c r="T91" s="36"/>
      <c r="Y91" s="54">
        <f t="shared" si="3"/>
        <v>47595758</v>
      </c>
    </row>
    <row r="92" spans="1:25" x14ac:dyDescent="0.25">
      <c r="A92" s="20">
        <f>+VLOOKUP(D92,Back!Q:R,2,0)</f>
        <v>3</v>
      </c>
      <c r="B92" s="20" t="str">
        <f t="shared" si="2"/>
        <v>2016 MAR</v>
      </c>
      <c r="C92" s="20">
        <v>2016</v>
      </c>
      <c r="D92" s="21" t="s">
        <v>139</v>
      </c>
      <c r="E92" s="21" t="s">
        <v>19</v>
      </c>
      <c r="F92" s="21">
        <v>43343234</v>
      </c>
      <c r="G92" s="21" t="s">
        <v>477</v>
      </c>
      <c r="H92" s="22">
        <v>39110319</v>
      </c>
      <c r="I92" s="22">
        <v>2373700</v>
      </c>
      <c r="J92" s="22">
        <v>3015725</v>
      </c>
      <c r="K92" s="23">
        <v>33720894</v>
      </c>
      <c r="L92" s="23">
        <v>40000000</v>
      </c>
      <c r="M92" s="24">
        <v>0.84302235000000003</v>
      </c>
      <c r="N92" s="25" t="str">
        <f>IFERROR(VLOOKUP(F92,Back!C:F,4,0),"NO")</f>
        <v>NO</v>
      </c>
      <c r="O92" s="26">
        <v>25</v>
      </c>
      <c r="P92" s="27" t="str">
        <f>IFERROR(VLOOKUP(F92,Back!C:E,3,0),"")</f>
        <v/>
      </c>
      <c r="Q92" s="27" t="str">
        <f>IFERROR(VLOOKUP(P92,Back!M:N,2,0),"")</f>
        <v/>
      </c>
      <c r="R92" s="27" t="str">
        <f>IF(N92="Si",IFERROR(VLOOKUP(F92,'TD Cumpl'!B:AB,27,0),"No Aplica"),"No Aplica")</f>
        <v>No Aplica</v>
      </c>
      <c r="S92" s="38"/>
      <c r="T92" s="36"/>
      <c r="Y92" s="54">
        <f t="shared" si="3"/>
        <v>39110319</v>
      </c>
    </row>
    <row r="93" spans="1:25" x14ac:dyDescent="0.25">
      <c r="A93" s="20">
        <f>+VLOOKUP(D93,Back!Q:R,2,0)</f>
        <v>3</v>
      </c>
      <c r="B93" s="20" t="str">
        <f t="shared" si="2"/>
        <v>2016 MAR</v>
      </c>
      <c r="C93" s="20">
        <v>2016</v>
      </c>
      <c r="D93" s="21" t="s">
        <v>139</v>
      </c>
      <c r="E93" s="21" t="s">
        <v>38</v>
      </c>
      <c r="F93" s="21">
        <v>43745192</v>
      </c>
      <c r="G93" s="21" t="s">
        <v>45</v>
      </c>
      <c r="H93" s="22">
        <v>21114117</v>
      </c>
      <c r="I93" s="22">
        <v>0</v>
      </c>
      <c r="J93" s="22">
        <v>0</v>
      </c>
      <c r="K93" s="23">
        <v>21114117</v>
      </c>
      <c r="L93" s="23">
        <v>21000000</v>
      </c>
      <c r="M93" s="24">
        <v>1.0054341428571429</v>
      </c>
      <c r="N93" s="25" t="str">
        <f>IFERROR(VLOOKUP(F93,Back!C:F,4,0),"NO")</f>
        <v>Si</v>
      </c>
      <c r="O93" s="26">
        <v>25</v>
      </c>
      <c r="P93" s="27" t="str">
        <f>IFERROR(VLOOKUP(F93,Back!C:E,3,0),"")</f>
        <v>IPS Punto de Vista Mayorca</v>
      </c>
      <c r="Q93" s="27" t="str">
        <f>IFERROR(VLOOKUP(P93,Back!M:N,2,0),"")</f>
        <v>Antioquia</v>
      </c>
      <c r="R93" s="27" t="str">
        <f>IF(N93="Si",IFERROR(VLOOKUP(F93,'TD Cumpl'!B:AB,27,0),"No Aplica"),"No Aplica")</f>
        <v>Cumple</v>
      </c>
      <c r="S93" s="38"/>
      <c r="T93" s="36"/>
      <c r="Y93" s="54">
        <f t="shared" si="3"/>
        <v>21114117</v>
      </c>
    </row>
    <row r="94" spans="1:25" x14ac:dyDescent="0.25">
      <c r="A94" s="20">
        <f>+VLOOKUP(D94,Back!Q:R,2,0)</f>
        <v>3</v>
      </c>
      <c r="B94" s="20" t="str">
        <f t="shared" si="2"/>
        <v>2016 MAR</v>
      </c>
      <c r="C94" s="20">
        <v>2016</v>
      </c>
      <c r="D94" s="21" t="s">
        <v>139</v>
      </c>
      <c r="E94" s="21" t="s">
        <v>13</v>
      </c>
      <c r="F94" s="21">
        <v>43866877</v>
      </c>
      <c r="G94" s="21" t="s">
        <v>46</v>
      </c>
      <c r="H94" s="22">
        <v>45106993</v>
      </c>
      <c r="I94" s="22">
        <v>960600</v>
      </c>
      <c r="J94" s="22">
        <v>3963531</v>
      </c>
      <c r="K94" s="23">
        <v>40182862</v>
      </c>
      <c r="L94" s="23">
        <v>40000000</v>
      </c>
      <c r="M94" s="24">
        <v>1.0045715500000001</v>
      </c>
      <c r="N94" s="25" t="str">
        <f>IFERROR(VLOOKUP(F94,Back!C:F,4,0),"NO")</f>
        <v>Si</v>
      </c>
      <c r="O94" s="26">
        <v>25</v>
      </c>
      <c r="P94" s="27" t="str">
        <f>IFERROR(VLOOKUP(F94,Back!C:E,3,0),"")</f>
        <v>IPS Pto De Vista Centro</v>
      </c>
      <c r="Q94" s="27" t="str">
        <f>IFERROR(VLOOKUP(P94,Back!M:N,2,0),"")</f>
        <v>Antioquia</v>
      </c>
      <c r="R94" s="27" t="str">
        <f>IF(N94="Si",IFERROR(VLOOKUP(F94,'TD Cumpl'!B:AB,27,0),"No Aplica"),"No Aplica")</f>
        <v>Siempre Cumple</v>
      </c>
      <c r="S94" s="38"/>
      <c r="T94" s="36"/>
      <c r="Y94" s="54">
        <f t="shared" si="3"/>
        <v>45106993</v>
      </c>
    </row>
    <row r="95" spans="1:25" x14ac:dyDescent="0.25">
      <c r="A95" s="20">
        <f>+VLOOKUP(D95,Back!Q:R,2,0)</f>
        <v>3</v>
      </c>
      <c r="B95" s="20" t="str">
        <f t="shared" si="2"/>
        <v>2016 MAR</v>
      </c>
      <c r="C95" s="20">
        <v>2016</v>
      </c>
      <c r="D95" s="21" t="s">
        <v>139</v>
      </c>
      <c r="E95" s="21" t="s">
        <v>17</v>
      </c>
      <c r="F95" s="21">
        <v>43113640</v>
      </c>
      <c r="G95" s="21" t="s">
        <v>47</v>
      </c>
      <c r="H95" s="22">
        <v>43791271</v>
      </c>
      <c r="I95" s="22">
        <v>1496000</v>
      </c>
      <c r="J95" s="22">
        <v>2553439</v>
      </c>
      <c r="K95" s="23">
        <v>39741832</v>
      </c>
      <c r="L95" s="23">
        <v>36666666.666666672</v>
      </c>
      <c r="M95" s="24">
        <v>1.0838681454545454</v>
      </c>
      <c r="N95" s="25" t="str">
        <f>IFERROR(VLOOKUP(F95,Back!C:F,4,0),"NO")</f>
        <v>Si</v>
      </c>
      <c r="O95" s="26">
        <v>25</v>
      </c>
      <c r="P95" s="27" t="str">
        <f>IFERROR(VLOOKUP(F95,Back!C:E,3,0),"")</f>
        <v>IPS Pto De Vista San Diego</v>
      </c>
      <c r="Q95" s="27" t="str">
        <f>IFERROR(VLOOKUP(P95,Back!M:N,2,0),"")</f>
        <v>Antioquia</v>
      </c>
      <c r="R95" s="27" t="str">
        <f>IF(N95="Si",IFERROR(VLOOKUP(F95,'TD Cumpl'!B:AB,27,0),"No Aplica"),"No Aplica")</f>
        <v>Cumple</v>
      </c>
      <c r="S95" s="38"/>
      <c r="T95" s="36"/>
      <c r="Y95" s="54">
        <f t="shared" si="3"/>
        <v>43791271</v>
      </c>
    </row>
    <row r="96" spans="1:25" x14ac:dyDescent="0.25">
      <c r="A96" s="20">
        <f>+VLOOKUP(D96,Back!Q:R,2,0)</f>
        <v>3</v>
      </c>
      <c r="B96" s="20" t="str">
        <f t="shared" si="2"/>
        <v>2016 MAR</v>
      </c>
      <c r="C96" s="20">
        <v>2016</v>
      </c>
      <c r="D96" s="21" t="s">
        <v>139</v>
      </c>
      <c r="E96" s="21" t="s">
        <v>24</v>
      </c>
      <c r="F96" s="21">
        <v>39448823</v>
      </c>
      <c r="G96" s="21" t="s">
        <v>48</v>
      </c>
      <c r="H96" s="22">
        <v>35410752</v>
      </c>
      <c r="I96" s="22">
        <v>1922400</v>
      </c>
      <c r="J96" s="22">
        <v>2031302</v>
      </c>
      <c r="K96" s="23">
        <v>31457050</v>
      </c>
      <c r="L96" s="23">
        <v>30100000</v>
      </c>
      <c r="M96" s="24">
        <v>1.0450847176079734</v>
      </c>
      <c r="N96" s="25" t="str">
        <f>IFERROR(VLOOKUP(F96,Back!C:F,4,0),"NO")</f>
        <v>Si</v>
      </c>
      <c r="O96" s="26">
        <v>25</v>
      </c>
      <c r="P96" s="27" t="str">
        <f>IFERROR(VLOOKUP(F96,Back!C:E,3,0),"")</f>
        <v>IPS Pto De Vista Rionegro</v>
      </c>
      <c r="Q96" s="27" t="str">
        <f>IFERROR(VLOOKUP(P96,Back!M:N,2,0),"")</f>
        <v>Antioquia</v>
      </c>
      <c r="R96" s="27" t="str">
        <f>IF(N96="Si",IFERROR(VLOOKUP(F96,'TD Cumpl'!B:AB,27,0),"No Aplica"),"No Aplica")</f>
        <v>Siempre Cumple</v>
      </c>
      <c r="S96" s="38"/>
      <c r="T96" s="36"/>
      <c r="Y96" s="54">
        <f t="shared" si="3"/>
        <v>35410752</v>
      </c>
    </row>
    <row r="97" spans="1:25" x14ac:dyDescent="0.25">
      <c r="A97" s="20">
        <f>+VLOOKUP(D97,Back!Q:R,2,0)</f>
        <v>3</v>
      </c>
      <c r="B97" s="20" t="str">
        <f t="shared" si="2"/>
        <v>2016 MAR</v>
      </c>
      <c r="C97" s="20">
        <v>2016</v>
      </c>
      <c r="D97" s="21" t="s">
        <v>139</v>
      </c>
      <c r="E97" s="21" t="s">
        <v>10</v>
      </c>
      <c r="F97" s="21">
        <v>43109744</v>
      </c>
      <c r="G97" s="21" t="s">
        <v>53</v>
      </c>
      <c r="H97" s="22">
        <v>33001399</v>
      </c>
      <c r="I97" s="22">
        <v>92340</v>
      </c>
      <c r="J97" s="22">
        <v>2015832</v>
      </c>
      <c r="K97" s="23">
        <v>30893227</v>
      </c>
      <c r="L97" s="23">
        <v>40100000</v>
      </c>
      <c r="M97" s="24">
        <v>0.77040466334164592</v>
      </c>
      <c r="N97" s="25" t="str">
        <f>IFERROR(VLOOKUP(F97,Back!C:F,4,0),"NO")</f>
        <v>NO</v>
      </c>
      <c r="O97" s="26">
        <v>25</v>
      </c>
      <c r="P97" s="27" t="str">
        <f>IFERROR(VLOOKUP(F97,Back!C:E,3,0),"")</f>
        <v/>
      </c>
      <c r="Q97" s="27" t="str">
        <f>IFERROR(VLOOKUP(P97,Back!M:N,2,0),"")</f>
        <v/>
      </c>
      <c r="R97" s="27" t="str">
        <f>IF(N97="Si",IFERROR(VLOOKUP(F97,'TD Cumpl'!B:AB,27,0),"No Aplica"),"No Aplica")</f>
        <v>No Aplica</v>
      </c>
      <c r="S97" s="38"/>
      <c r="T97" s="36"/>
      <c r="Y97" s="54">
        <f t="shared" si="3"/>
        <v>33001399</v>
      </c>
    </row>
    <row r="98" spans="1:25" x14ac:dyDescent="0.25">
      <c r="A98" s="20">
        <f>+VLOOKUP(D98,Back!Q:R,2,0)</f>
        <v>3</v>
      </c>
      <c r="B98" s="20" t="str">
        <f t="shared" si="2"/>
        <v>2016 MAR</v>
      </c>
      <c r="C98" s="20">
        <v>2016</v>
      </c>
      <c r="D98" s="21" t="s">
        <v>139</v>
      </c>
      <c r="E98" s="21" t="s">
        <v>16</v>
      </c>
      <c r="F98" s="21">
        <v>43599983</v>
      </c>
      <c r="G98" s="21" t="s">
        <v>478</v>
      </c>
      <c r="H98" s="22">
        <v>47387348</v>
      </c>
      <c r="I98" s="22">
        <v>0</v>
      </c>
      <c r="J98" s="22">
        <v>3891777</v>
      </c>
      <c r="K98" s="23">
        <v>43495571</v>
      </c>
      <c r="L98" s="23">
        <v>40000000</v>
      </c>
      <c r="M98" s="24">
        <v>1.087389275</v>
      </c>
      <c r="N98" s="25" t="str">
        <f>IFERROR(VLOOKUP(F98,Back!C:F,4,0),"NO")</f>
        <v>NO</v>
      </c>
      <c r="O98" s="26">
        <v>25</v>
      </c>
      <c r="P98" s="27" t="str">
        <f>IFERROR(VLOOKUP(F98,Back!C:E,3,0),"")</f>
        <v/>
      </c>
      <c r="Q98" s="27" t="str">
        <f>IFERROR(VLOOKUP(P98,Back!M:N,2,0),"")</f>
        <v/>
      </c>
      <c r="R98" s="27" t="str">
        <f>IF(N98="Si",IFERROR(VLOOKUP(F98,'TD Cumpl'!B:AB,27,0),"No Aplica"),"No Aplica")</f>
        <v>No Aplica</v>
      </c>
      <c r="S98" s="38"/>
      <c r="T98" s="36"/>
      <c r="Y98" s="54">
        <f t="shared" si="3"/>
        <v>47387348</v>
      </c>
    </row>
    <row r="99" spans="1:25" x14ac:dyDescent="0.25">
      <c r="A99" s="20">
        <f>+VLOOKUP(D99,Back!Q:R,2,0)</f>
        <v>3</v>
      </c>
      <c r="B99" s="20" t="str">
        <f t="shared" si="2"/>
        <v>2016 MAR</v>
      </c>
      <c r="C99" s="20">
        <v>2016</v>
      </c>
      <c r="D99" s="21" t="s">
        <v>139</v>
      </c>
      <c r="E99" s="21" t="s">
        <v>15</v>
      </c>
      <c r="F99" s="21">
        <v>42689970</v>
      </c>
      <c r="G99" s="21" t="s">
        <v>29</v>
      </c>
      <c r="H99" s="22">
        <v>49474337</v>
      </c>
      <c r="I99" s="22">
        <v>1410800</v>
      </c>
      <c r="J99" s="22">
        <v>3689399</v>
      </c>
      <c r="K99" s="23">
        <v>44374138</v>
      </c>
      <c r="L99" s="23">
        <v>40000000</v>
      </c>
      <c r="M99" s="24">
        <v>1.10935345</v>
      </c>
      <c r="N99" s="25" t="str">
        <f>IFERROR(VLOOKUP(F99,Back!C:F,4,0),"NO")</f>
        <v>NO</v>
      </c>
      <c r="O99" s="26">
        <v>25</v>
      </c>
      <c r="P99" s="27" t="str">
        <f>IFERROR(VLOOKUP(F99,Back!C:E,3,0),"")</f>
        <v/>
      </c>
      <c r="Q99" s="27" t="str">
        <f>IFERROR(VLOOKUP(P99,Back!M:N,2,0),"")</f>
        <v/>
      </c>
      <c r="R99" s="27" t="str">
        <f>IF(N99="Si",IFERROR(VLOOKUP(F99,'TD Cumpl'!B:AB,27,0),"No Aplica"),"No Aplica")</f>
        <v>No Aplica</v>
      </c>
      <c r="S99" s="38"/>
      <c r="T99" s="36"/>
      <c r="Y99" s="54">
        <f t="shared" si="3"/>
        <v>49474337</v>
      </c>
    </row>
    <row r="100" spans="1:25" x14ac:dyDescent="0.25">
      <c r="A100" s="20">
        <f>+VLOOKUP(D100,Back!Q:R,2,0)</f>
        <v>3</v>
      </c>
      <c r="B100" s="20" t="str">
        <f t="shared" si="2"/>
        <v>2016 MAR</v>
      </c>
      <c r="C100" s="20">
        <v>2016</v>
      </c>
      <c r="D100" s="21" t="s">
        <v>139</v>
      </c>
      <c r="E100" s="21" t="s">
        <v>23</v>
      </c>
      <c r="F100" s="21">
        <v>43907427</v>
      </c>
      <c r="G100" s="21" t="s">
        <v>144</v>
      </c>
      <c r="H100" s="22">
        <v>36567008</v>
      </c>
      <c r="I100" s="22">
        <v>352800</v>
      </c>
      <c r="J100" s="22">
        <v>493987</v>
      </c>
      <c r="K100" s="23">
        <v>35720221</v>
      </c>
      <c r="L100" s="23">
        <v>36000000</v>
      </c>
      <c r="M100" s="24">
        <v>0.99222836111111112</v>
      </c>
      <c r="N100" s="25" t="str">
        <f>IFERROR(VLOOKUP(F100,Back!C:F,4,0),"NO")</f>
        <v>Si</v>
      </c>
      <c r="O100" s="26">
        <v>25</v>
      </c>
      <c r="P100" s="27" t="str">
        <f>IFERROR(VLOOKUP(F100,Back!C:E,3,0),"")</f>
        <v>IPS Pto De Vista Industriales</v>
      </c>
      <c r="Q100" s="27" t="str">
        <f>IFERROR(VLOOKUP(P100,Back!M:N,2,0),"")</f>
        <v>Antioquia</v>
      </c>
      <c r="R100" s="27" t="str">
        <f>IF(N100="Si",IFERROR(VLOOKUP(F100,'TD Cumpl'!B:AB,27,0),"No Aplica"),"No Aplica")</f>
        <v>Siempre Cumple</v>
      </c>
      <c r="S100" s="38"/>
      <c r="T100" s="36"/>
      <c r="Y100" s="54">
        <f t="shared" si="3"/>
        <v>36567008</v>
      </c>
    </row>
    <row r="101" spans="1:25" x14ac:dyDescent="0.25">
      <c r="A101" s="20">
        <f>+VLOOKUP(D101,Back!Q:R,2,0)</f>
        <v>3</v>
      </c>
      <c r="B101" s="20" t="str">
        <f t="shared" si="2"/>
        <v>2016 MAR</v>
      </c>
      <c r="C101" s="20">
        <v>2016</v>
      </c>
      <c r="D101" s="21" t="s">
        <v>139</v>
      </c>
      <c r="E101" s="21" t="s">
        <v>12</v>
      </c>
      <c r="F101" s="21">
        <v>91511871</v>
      </c>
      <c r="G101" s="21" t="s">
        <v>49</v>
      </c>
      <c r="H101" s="22">
        <v>18312088</v>
      </c>
      <c r="I101" s="22">
        <v>420000</v>
      </c>
      <c r="J101" s="22">
        <v>2050873</v>
      </c>
      <c r="K101" s="23">
        <v>15841215</v>
      </c>
      <c r="L101" s="23">
        <v>12480000</v>
      </c>
      <c r="M101" s="24">
        <v>1.2693281249999999</v>
      </c>
      <c r="N101" s="25" t="str">
        <f>IFERROR(VLOOKUP(F101,Back!C:F,4,0),"NO")</f>
        <v>NO</v>
      </c>
      <c r="O101" s="26">
        <v>25</v>
      </c>
      <c r="P101" s="27" t="str">
        <f>IFERROR(VLOOKUP(F101,Back!C:E,3,0),"")</f>
        <v/>
      </c>
      <c r="Q101" s="27" t="str">
        <f>IFERROR(VLOOKUP(P101,Back!M:N,2,0),"")</f>
        <v/>
      </c>
      <c r="R101" s="27" t="str">
        <f>IF(N101="Si",IFERROR(VLOOKUP(F101,'TD Cumpl'!B:AB,27,0),"No Aplica"),"No Aplica")</f>
        <v>No Aplica</v>
      </c>
      <c r="S101" s="38"/>
      <c r="T101" s="36"/>
      <c r="Y101" s="54">
        <f t="shared" si="3"/>
        <v>18312088</v>
      </c>
    </row>
    <row r="102" spans="1:25" x14ac:dyDescent="0.25">
      <c r="A102" s="20">
        <f>+VLOOKUP(D102,Back!Q:R,2,0)</f>
        <v>3</v>
      </c>
      <c r="B102" s="20" t="str">
        <f t="shared" si="2"/>
        <v>2016 MAR</v>
      </c>
      <c r="C102" s="20">
        <v>2016</v>
      </c>
      <c r="D102" s="21" t="s">
        <v>139</v>
      </c>
      <c r="E102" s="21" t="s">
        <v>4</v>
      </c>
      <c r="F102" s="21">
        <v>79701425</v>
      </c>
      <c r="G102" s="21" t="s">
        <v>27</v>
      </c>
      <c r="H102" s="22">
        <v>17596352</v>
      </c>
      <c r="I102" s="22">
        <v>544800</v>
      </c>
      <c r="J102" s="22">
        <v>1208509</v>
      </c>
      <c r="K102" s="23">
        <v>15843043</v>
      </c>
      <c r="L102" s="23">
        <v>14875000</v>
      </c>
      <c r="M102" s="24">
        <v>1.0650785210084033</v>
      </c>
      <c r="N102" s="25" t="str">
        <f>IFERROR(VLOOKUP(F102,Back!C:F,4,0),"NO")</f>
        <v>No</v>
      </c>
      <c r="O102" s="26">
        <v>25</v>
      </c>
      <c r="P102" s="27" t="str">
        <f>IFERROR(VLOOKUP(F102,Back!C:E,3,0),"")</f>
        <v>IPS Pto De Vista Olaya</v>
      </c>
      <c r="Q102" s="27" t="str">
        <f>IFERROR(VLOOKUP(P102,Back!M:N,2,0),"")</f>
        <v>Centro</v>
      </c>
      <c r="R102" s="27" t="str">
        <f>IF(N102="Si",IFERROR(VLOOKUP(F102,'TD Cumpl'!B:AB,27,0),"No Aplica"),"No Aplica")</f>
        <v>No Aplica</v>
      </c>
      <c r="S102" s="38"/>
      <c r="T102" s="36"/>
      <c r="Y102" s="54">
        <f t="shared" si="3"/>
        <v>17596352</v>
      </c>
    </row>
    <row r="103" spans="1:25" x14ac:dyDescent="0.25">
      <c r="A103" s="20">
        <f>+VLOOKUP(D103,Back!Q:R,2,0)</f>
        <v>3</v>
      </c>
      <c r="B103" s="20" t="str">
        <f t="shared" si="2"/>
        <v>2016 MAR</v>
      </c>
      <c r="C103" s="20">
        <v>2016</v>
      </c>
      <c r="D103" s="21" t="s">
        <v>139</v>
      </c>
      <c r="E103" s="21" t="s">
        <v>5</v>
      </c>
      <c r="F103" s="21">
        <v>34542470</v>
      </c>
      <c r="G103" s="21" t="s">
        <v>28</v>
      </c>
      <c r="H103" s="22">
        <v>23280166</v>
      </c>
      <c r="I103" s="22">
        <v>743940</v>
      </c>
      <c r="J103" s="22">
        <v>0</v>
      </c>
      <c r="K103" s="23">
        <v>22536226</v>
      </c>
      <c r="L103" s="23">
        <v>21000000</v>
      </c>
      <c r="M103" s="24">
        <v>1.073153619047619</v>
      </c>
      <c r="N103" s="25" t="str">
        <f>IFERROR(VLOOKUP(F103,Back!C:F,4,0),"NO")</f>
        <v>Si</v>
      </c>
      <c r="O103" s="26">
        <v>25</v>
      </c>
      <c r="P103" s="27" t="str">
        <f>IFERROR(VLOOKUP(F103,Back!C:E,3,0),"")</f>
        <v>Optica Salud Sura Chipichape</v>
      </c>
      <c r="Q103" s="27" t="str">
        <f>IFERROR(VLOOKUP(P103,Back!M:N,2,0),"")</f>
        <v>Occidente</v>
      </c>
      <c r="R103" s="27" t="str">
        <f>IF(N103="Si",IFERROR(VLOOKUP(F103,'TD Cumpl'!B:AB,27,0),"No Aplica"),"No Aplica")</f>
        <v>Siempre Cumple</v>
      </c>
      <c r="S103" s="38"/>
      <c r="T103" s="36"/>
      <c r="Y103" s="54">
        <f t="shared" si="3"/>
        <v>23280166</v>
      </c>
    </row>
    <row r="104" spans="1:25" x14ac:dyDescent="0.25">
      <c r="A104" s="20">
        <f>+VLOOKUP(D104,Back!Q:R,2,0)</f>
        <v>3</v>
      </c>
      <c r="B104" s="20" t="str">
        <f t="shared" si="2"/>
        <v>2016 MAR</v>
      </c>
      <c r="C104" s="20">
        <v>2016</v>
      </c>
      <c r="D104" s="21" t="s">
        <v>139</v>
      </c>
      <c r="E104" s="21" t="s">
        <v>479</v>
      </c>
      <c r="F104" s="21">
        <v>52730701</v>
      </c>
      <c r="G104" s="21"/>
      <c r="H104" s="22">
        <v>3944893</v>
      </c>
      <c r="I104" s="22">
        <v>779600</v>
      </c>
      <c r="J104" s="22">
        <v>34334</v>
      </c>
      <c r="K104" s="23">
        <v>3130959</v>
      </c>
      <c r="L104" s="23"/>
      <c r="M104" s="24"/>
      <c r="N104" s="25" t="str">
        <f>IFERROR(VLOOKUP(F104,Back!C:F,4,0),"NO")</f>
        <v>NO</v>
      </c>
      <c r="O104" s="26">
        <v>25</v>
      </c>
      <c r="P104" s="27" t="str">
        <f>IFERROR(VLOOKUP(F104,Back!C:E,3,0),"")</f>
        <v/>
      </c>
      <c r="Q104" s="27" t="str">
        <f>IFERROR(VLOOKUP(P104,Back!M:N,2,0),"")</f>
        <v/>
      </c>
      <c r="R104" s="27" t="str">
        <f>IF(N104="Si",IFERROR(VLOOKUP(F104,'TD Cumpl'!B:AB,27,0),"No Aplica"),"No Aplica")</f>
        <v>No Aplica</v>
      </c>
      <c r="S104" s="38"/>
      <c r="T104" s="36"/>
      <c r="Y104" s="54">
        <f t="shared" si="3"/>
        <v>3944893</v>
      </c>
    </row>
    <row r="105" spans="1:25" x14ac:dyDescent="0.25">
      <c r="A105" s="20">
        <f>+VLOOKUP(D105,Back!Q:R,2,0)</f>
        <v>3</v>
      </c>
      <c r="B105" s="20" t="str">
        <f t="shared" si="2"/>
        <v>2016 MAR</v>
      </c>
      <c r="C105" s="20">
        <v>2016</v>
      </c>
      <c r="D105" s="21" t="s">
        <v>139</v>
      </c>
      <c r="E105" s="21" t="s">
        <v>7</v>
      </c>
      <c r="F105" s="21">
        <v>43745952</v>
      </c>
      <c r="G105" s="21" t="s">
        <v>50</v>
      </c>
      <c r="H105" s="22">
        <v>67357247</v>
      </c>
      <c r="I105" s="22">
        <v>2512900</v>
      </c>
      <c r="J105" s="22">
        <v>4695846</v>
      </c>
      <c r="K105" s="23">
        <v>60148501</v>
      </c>
      <c r="L105" s="23">
        <v>40100000</v>
      </c>
      <c r="M105" s="24">
        <v>1.4999626184538652</v>
      </c>
      <c r="N105" s="25" t="str">
        <f>IFERROR(VLOOKUP(F105,Back!C:F,4,0),"NO")</f>
        <v>Si</v>
      </c>
      <c r="O105" s="26">
        <v>25</v>
      </c>
      <c r="P105" s="27" t="str">
        <f>IFERROR(VLOOKUP(F105,Back!C:E,3,0),"")</f>
        <v>IPS Pto De Vista Unicentro</v>
      </c>
      <c r="Q105" s="27" t="str">
        <f>IFERROR(VLOOKUP(P105,Back!M:N,2,0),"")</f>
        <v>Antioquia</v>
      </c>
      <c r="R105" s="27" t="str">
        <f>IF(N105="Si",IFERROR(VLOOKUP(F105,'TD Cumpl'!B:AB,27,0),"No Aplica"),"No Aplica")</f>
        <v>Siempre Cumple</v>
      </c>
      <c r="S105" s="38"/>
      <c r="T105" s="36"/>
      <c r="Y105" s="54">
        <f t="shared" si="3"/>
        <v>67357247</v>
      </c>
    </row>
    <row r="106" spans="1:25" x14ac:dyDescent="0.25">
      <c r="A106" s="20">
        <f>+VLOOKUP(D106,Back!Q:R,2,0)</f>
        <v>3</v>
      </c>
      <c r="B106" s="20" t="str">
        <f t="shared" si="2"/>
        <v>2016 MAR</v>
      </c>
      <c r="C106" s="20">
        <v>2016</v>
      </c>
      <c r="D106" s="21" t="s">
        <v>139</v>
      </c>
      <c r="E106" s="21" t="s">
        <v>8</v>
      </c>
      <c r="F106" s="21">
        <v>43259130</v>
      </c>
      <c r="G106" s="21" t="s">
        <v>51</v>
      </c>
      <c r="H106" s="22">
        <v>9155770</v>
      </c>
      <c r="I106" s="22">
        <v>285400</v>
      </c>
      <c r="J106" s="22">
        <v>843129</v>
      </c>
      <c r="K106" s="23">
        <v>8027241</v>
      </c>
      <c r="L106" s="23">
        <v>21000000</v>
      </c>
      <c r="M106" s="24">
        <v>0.38224957142857141</v>
      </c>
      <c r="N106" s="25" t="str">
        <f>IFERROR(VLOOKUP(F106,Back!C:F,4,0),"NO")</f>
        <v>Si</v>
      </c>
      <c r="O106" s="26">
        <v>25</v>
      </c>
      <c r="P106" s="27" t="str">
        <f>IFERROR(VLOOKUP(F106,Back!C:E,3,0),"")</f>
        <v>IPS Pto De Vista Molinos</v>
      </c>
      <c r="Q106" s="27" t="str">
        <f>IFERROR(VLOOKUP(P106,Back!M:N,2,0),"")</f>
        <v>Antioquia</v>
      </c>
      <c r="R106" s="27" t="str">
        <f>IF(N106="Si",IFERROR(VLOOKUP(F106,'TD Cumpl'!B:AB,27,0),"No Aplica"),"No Aplica")</f>
        <v>Fluctúa</v>
      </c>
      <c r="S106" s="38"/>
      <c r="T106" s="36"/>
      <c r="Y106" s="54">
        <f t="shared" si="3"/>
        <v>9155770</v>
      </c>
    </row>
    <row r="107" spans="1:25" x14ac:dyDescent="0.25">
      <c r="A107" s="20">
        <f>+VLOOKUP(D107,Back!Q:R,2,0)</f>
        <v>4</v>
      </c>
      <c r="B107" s="20" t="str">
        <f t="shared" si="2"/>
        <v>2016 ABR</v>
      </c>
      <c r="C107" s="20">
        <v>2016</v>
      </c>
      <c r="D107" s="21" t="s">
        <v>140</v>
      </c>
      <c r="E107" s="21" t="s">
        <v>475</v>
      </c>
      <c r="F107" s="21">
        <v>43920870</v>
      </c>
      <c r="G107" s="21" t="s">
        <v>481</v>
      </c>
      <c r="H107" s="22">
        <v>6514145</v>
      </c>
      <c r="I107" s="22">
        <v>816000</v>
      </c>
      <c r="J107" s="22">
        <v>1270649</v>
      </c>
      <c r="K107" s="23">
        <v>4427496</v>
      </c>
      <c r="L107" s="23">
        <v>4153846.1538461535</v>
      </c>
      <c r="M107" s="24">
        <v>1.0658786666666666</v>
      </c>
      <c r="N107" s="25" t="str">
        <f>IFERROR(VLOOKUP(F107,Back!C:F,4,0),"NO")</f>
        <v>NO</v>
      </c>
      <c r="O107" s="26">
        <v>24</v>
      </c>
      <c r="P107" s="27" t="str">
        <f>IFERROR(VLOOKUP(F107,Back!C:E,3,0),"")</f>
        <v/>
      </c>
      <c r="Q107" s="27" t="str">
        <f>IFERROR(VLOOKUP(P107,Back!M:N,2,0),"")</f>
        <v/>
      </c>
      <c r="R107" s="27" t="str">
        <f>IF(N107="Si",IFERROR(VLOOKUP(F107,'TD Cumpl'!B:AB,27,0),"No Aplica"),"No Aplica")</f>
        <v>No Aplica</v>
      </c>
      <c r="S107" s="38"/>
      <c r="T107" s="36"/>
      <c r="Y107" s="54">
        <f t="shared" si="3"/>
        <v>6514145</v>
      </c>
    </row>
    <row r="108" spans="1:25" x14ac:dyDescent="0.25">
      <c r="A108" s="20">
        <f>+VLOOKUP(D108,Back!Q:R,2,0)</f>
        <v>4</v>
      </c>
      <c r="B108" s="20" t="str">
        <f t="shared" si="2"/>
        <v>2016 ABR</v>
      </c>
      <c r="C108" s="20">
        <v>2016</v>
      </c>
      <c r="D108" s="21" t="s">
        <v>140</v>
      </c>
      <c r="E108" s="21" t="s">
        <v>9</v>
      </c>
      <c r="F108" s="21">
        <v>43169964</v>
      </c>
      <c r="G108" s="21" t="s">
        <v>155</v>
      </c>
      <c r="H108" s="22">
        <v>33026151</v>
      </c>
      <c r="I108" s="22">
        <v>1874100</v>
      </c>
      <c r="J108" s="22">
        <v>3774821</v>
      </c>
      <c r="K108" s="23">
        <v>27377230</v>
      </c>
      <c r="L108" s="23">
        <v>26000000</v>
      </c>
      <c r="M108" s="24">
        <v>1.0529703846153846</v>
      </c>
      <c r="N108" s="25" t="str">
        <f>IFERROR(VLOOKUP(F108,Back!C:F,4,0),"NO")</f>
        <v>Si</v>
      </c>
      <c r="O108" s="26">
        <v>24</v>
      </c>
      <c r="P108" s="27" t="str">
        <f>IFERROR(VLOOKUP(F108,Back!C:E,3,0),"")</f>
        <v>IPS Pto De Vista Molinos</v>
      </c>
      <c r="Q108" s="27" t="str">
        <f>IFERROR(VLOOKUP(P108,Back!M:N,2,0),"")</f>
        <v>Antioquia</v>
      </c>
      <c r="R108" s="27" t="str">
        <f>IF(N108="Si",IFERROR(VLOOKUP(F108,'TD Cumpl'!B:AB,27,0),"No Aplica"),"No Aplica")</f>
        <v>Cumple</v>
      </c>
      <c r="S108" s="38"/>
      <c r="T108" s="36"/>
      <c r="Y108" s="54">
        <f t="shared" si="3"/>
        <v>33026151</v>
      </c>
    </row>
    <row r="109" spans="1:25" x14ac:dyDescent="0.25">
      <c r="A109" s="20">
        <f>+VLOOKUP(D109,Back!Q:R,2,0)</f>
        <v>4</v>
      </c>
      <c r="B109" s="20" t="str">
        <f t="shared" si="2"/>
        <v>2016 ABR</v>
      </c>
      <c r="C109" s="20">
        <v>2016</v>
      </c>
      <c r="D109" s="21" t="s">
        <v>140</v>
      </c>
      <c r="E109" s="21" t="s">
        <v>11</v>
      </c>
      <c r="F109" s="21">
        <v>43253531</v>
      </c>
      <c r="G109" s="21" t="s">
        <v>39</v>
      </c>
      <c r="H109" s="22">
        <v>35592944</v>
      </c>
      <c r="I109" s="22">
        <v>3788200</v>
      </c>
      <c r="J109" s="22">
        <v>4205491</v>
      </c>
      <c r="K109" s="23">
        <v>27599253</v>
      </c>
      <c r="L109" s="23">
        <v>29884615.384615384</v>
      </c>
      <c r="M109" s="24">
        <v>0.92352712741312748</v>
      </c>
      <c r="N109" s="25" t="str">
        <f>IFERROR(VLOOKUP(F109,Back!C:F,4,0),"NO")</f>
        <v>Si</v>
      </c>
      <c r="O109" s="26">
        <v>24</v>
      </c>
      <c r="P109" s="27" t="str">
        <f>IFERROR(VLOOKUP(F109,Back!C:E,3,0),"")</f>
        <v>IPS Punto de Vista Bello</v>
      </c>
      <c r="Q109" s="27" t="str">
        <f>IFERROR(VLOOKUP(P109,Back!M:N,2,0),"")</f>
        <v>Antioquia</v>
      </c>
      <c r="R109" s="27" t="str">
        <f>IF(N109="Si",IFERROR(VLOOKUP(F109,'TD Cumpl'!B:AB,27,0),"No Aplica"),"No Aplica")</f>
        <v>Cumple</v>
      </c>
      <c r="S109" s="38"/>
      <c r="T109" s="36"/>
      <c r="Y109" s="54">
        <f t="shared" si="3"/>
        <v>35592944</v>
      </c>
    </row>
    <row r="110" spans="1:25" x14ac:dyDescent="0.25">
      <c r="A110" s="20">
        <f>+VLOOKUP(D110,Back!Q:R,2,0)</f>
        <v>4</v>
      </c>
      <c r="B110" s="20" t="str">
        <f t="shared" si="2"/>
        <v>2016 ABR</v>
      </c>
      <c r="C110" s="20">
        <v>2016</v>
      </c>
      <c r="D110" s="21" t="s">
        <v>140</v>
      </c>
      <c r="E110" s="21" t="s">
        <v>6</v>
      </c>
      <c r="F110" s="21">
        <v>43821410</v>
      </c>
      <c r="G110" s="21" t="s">
        <v>40</v>
      </c>
      <c r="H110" s="22">
        <v>68085280</v>
      </c>
      <c r="I110" s="22">
        <v>975700</v>
      </c>
      <c r="J110" s="22">
        <v>4375941</v>
      </c>
      <c r="K110" s="23">
        <v>62733639</v>
      </c>
      <c r="L110" s="23">
        <v>40100000</v>
      </c>
      <c r="M110" s="24">
        <v>1.5644299002493764</v>
      </c>
      <c r="N110" s="25" t="str">
        <f>IFERROR(VLOOKUP(F110,Back!C:F,4,0),"NO")</f>
        <v>Si</v>
      </c>
      <c r="O110" s="26">
        <v>24</v>
      </c>
      <c r="P110" s="27" t="str">
        <f>IFERROR(VLOOKUP(F110,Back!C:E,3,0),"")</f>
        <v>IPS Pto De Vista Unicentro</v>
      </c>
      <c r="Q110" s="27" t="str">
        <f>IFERROR(VLOOKUP(P110,Back!M:N,2,0),"")</f>
        <v>Antioquia</v>
      </c>
      <c r="R110" s="27" t="str">
        <f>IF(N110="Si",IFERROR(VLOOKUP(F110,'TD Cumpl'!B:AB,27,0),"No Aplica"),"No Aplica")</f>
        <v>Siempre Cumple</v>
      </c>
      <c r="S110" s="38"/>
      <c r="T110" s="36"/>
      <c r="Y110" s="54">
        <f t="shared" si="3"/>
        <v>68085280</v>
      </c>
    </row>
    <row r="111" spans="1:25" x14ac:dyDescent="0.25">
      <c r="A111" s="20">
        <f>+VLOOKUP(D111,Back!Q:R,2,0)</f>
        <v>4</v>
      </c>
      <c r="B111" s="20" t="str">
        <f t="shared" si="2"/>
        <v>2016 ABR</v>
      </c>
      <c r="C111" s="20">
        <v>2016</v>
      </c>
      <c r="D111" s="21" t="s">
        <v>140</v>
      </c>
      <c r="E111" s="21" t="s">
        <v>18</v>
      </c>
      <c r="F111" s="21">
        <v>39442617</v>
      </c>
      <c r="G111" s="21" t="s">
        <v>41</v>
      </c>
      <c r="H111" s="22">
        <v>46065974</v>
      </c>
      <c r="I111" s="22">
        <v>1077400</v>
      </c>
      <c r="J111" s="22">
        <v>4456731</v>
      </c>
      <c r="K111" s="23">
        <v>40531843</v>
      </c>
      <c r="L111" s="23">
        <v>40000000</v>
      </c>
      <c r="M111" s="24">
        <v>1.013296075</v>
      </c>
      <c r="N111" s="25" t="str">
        <f>IFERROR(VLOOKUP(F111,Back!C:F,4,0),"NO")</f>
        <v>Si</v>
      </c>
      <c r="O111" s="26">
        <v>24</v>
      </c>
      <c r="P111" s="27" t="str">
        <f>IFERROR(VLOOKUP(F111,Back!C:E,3,0),"")</f>
        <v>IPS Pto De Vista San Diego</v>
      </c>
      <c r="Q111" s="27" t="str">
        <f>IFERROR(VLOOKUP(P111,Back!M:N,2,0),"")</f>
        <v>Antioquia</v>
      </c>
      <c r="R111" s="27" t="str">
        <f>IF(N111="Si",IFERROR(VLOOKUP(F111,'TD Cumpl'!B:AB,27,0),"No Aplica"),"No Aplica")</f>
        <v>Cumple</v>
      </c>
      <c r="S111" s="38"/>
      <c r="T111" s="36"/>
      <c r="Y111" s="54">
        <f t="shared" si="3"/>
        <v>46065974</v>
      </c>
    </row>
    <row r="112" spans="1:25" x14ac:dyDescent="0.25">
      <c r="A112" s="20">
        <f>+VLOOKUP(D112,Back!Q:R,2,0)</f>
        <v>4</v>
      </c>
      <c r="B112" s="20" t="str">
        <f t="shared" si="2"/>
        <v>2016 ABR</v>
      </c>
      <c r="C112" s="20">
        <v>2016</v>
      </c>
      <c r="D112" s="21" t="s">
        <v>140</v>
      </c>
      <c r="E112" s="21" t="s">
        <v>54</v>
      </c>
      <c r="F112" s="21">
        <v>1013628003</v>
      </c>
      <c r="G112" s="21" t="s">
        <v>55</v>
      </c>
      <c r="H112" s="22">
        <v>5366615</v>
      </c>
      <c r="I112" s="22">
        <v>420000</v>
      </c>
      <c r="J112" s="22">
        <v>515659</v>
      </c>
      <c r="K112" s="23">
        <v>4430956</v>
      </c>
      <c r="L112" s="23">
        <v>23223076.923076924</v>
      </c>
      <c r="M112" s="24">
        <v>0.19079969526333221</v>
      </c>
      <c r="N112" s="25" t="str">
        <f>IFERROR(VLOOKUP(F112,Back!C:F,4,0),"NO")</f>
        <v>NO</v>
      </c>
      <c r="O112" s="26">
        <v>24</v>
      </c>
      <c r="P112" s="27" t="str">
        <f>IFERROR(VLOOKUP(F112,Back!C:E,3,0),"")</f>
        <v/>
      </c>
      <c r="Q112" s="27" t="str">
        <f>IFERROR(VLOOKUP(P112,Back!M:N,2,0),"")</f>
        <v/>
      </c>
      <c r="R112" s="27" t="str">
        <f>IF(N112="Si",IFERROR(VLOOKUP(F112,'TD Cumpl'!B:AB,27,0),"No Aplica"),"No Aplica")</f>
        <v>No Aplica</v>
      </c>
      <c r="S112" s="38"/>
      <c r="T112" s="36"/>
      <c r="Y112" s="54">
        <f t="shared" si="3"/>
        <v>5366615</v>
      </c>
    </row>
    <row r="113" spans="1:25" x14ac:dyDescent="0.25">
      <c r="A113" s="20">
        <f>+VLOOKUP(D113,Back!Q:R,2,0)</f>
        <v>4</v>
      </c>
      <c r="B113" s="20" t="str">
        <f t="shared" si="2"/>
        <v>2016 ABR</v>
      </c>
      <c r="C113" s="20">
        <v>2016</v>
      </c>
      <c r="D113" s="21" t="s">
        <v>140</v>
      </c>
      <c r="E113" s="21" t="s">
        <v>56</v>
      </c>
      <c r="F113" s="21">
        <v>43971430</v>
      </c>
      <c r="G113" s="21" t="s">
        <v>142</v>
      </c>
      <c r="H113" s="22">
        <v>45567259</v>
      </c>
      <c r="I113" s="22">
        <v>1739500</v>
      </c>
      <c r="J113" s="22">
        <v>4162529</v>
      </c>
      <c r="K113" s="23">
        <v>39665230</v>
      </c>
      <c r="L113" s="23">
        <v>40000000</v>
      </c>
      <c r="M113" s="24">
        <v>0.99163075000000001</v>
      </c>
      <c r="N113" s="25" t="str">
        <f>IFERROR(VLOOKUP(F113,Back!C:F,4,0),"NO")</f>
        <v>Si</v>
      </c>
      <c r="O113" s="26">
        <v>24</v>
      </c>
      <c r="P113" s="27" t="str">
        <f>IFERROR(VLOOKUP(F113,Back!C:E,3,0),"")</f>
        <v>IPS Pto De Vista Centro</v>
      </c>
      <c r="Q113" s="27" t="str">
        <f>IFERROR(VLOOKUP(P113,Back!M:N,2,0),"")</f>
        <v>Antioquia</v>
      </c>
      <c r="R113" s="27" t="str">
        <f>IF(N113="Si",IFERROR(VLOOKUP(F113,'TD Cumpl'!B:AB,27,0),"No Aplica"),"No Aplica")</f>
        <v>Siempre Cumple</v>
      </c>
      <c r="S113" s="38"/>
      <c r="T113" s="36"/>
      <c r="Y113" s="54">
        <f t="shared" si="3"/>
        <v>45567259</v>
      </c>
    </row>
    <row r="114" spans="1:25" x14ac:dyDescent="0.25">
      <c r="A114" s="20">
        <f>+VLOOKUP(D114,Back!Q:R,2,0)</f>
        <v>4</v>
      </c>
      <c r="B114" s="20" t="str">
        <f t="shared" si="2"/>
        <v>2016 ABR</v>
      </c>
      <c r="C114" s="20">
        <v>2016</v>
      </c>
      <c r="D114" s="21" t="s">
        <v>140</v>
      </c>
      <c r="E114" s="21" t="s">
        <v>14</v>
      </c>
      <c r="F114" s="21">
        <v>43184345</v>
      </c>
      <c r="G114" s="21"/>
      <c r="H114" s="22">
        <v>207940</v>
      </c>
      <c r="I114" s="22">
        <v>0</v>
      </c>
      <c r="J114" s="22">
        <v>0</v>
      </c>
      <c r="K114" s="23">
        <v>207940</v>
      </c>
      <c r="L114" s="23"/>
      <c r="M114" s="24"/>
      <c r="N114" s="25" t="str">
        <f>IFERROR(VLOOKUP(F114,Back!C:F,4,0),"NO")</f>
        <v>NO</v>
      </c>
      <c r="O114" s="26">
        <v>24</v>
      </c>
      <c r="P114" s="27" t="str">
        <f>IFERROR(VLOOKUP(F114,Back!C:E,3,0),"")</f>
        <v/>
      </c>
      <c r="Q114" s="27" t="str">
        <f>IFERROR(VLOOKUP(P114,Back!M:N,2,0),"")</f>
        <v/>
      </c>
      <c r="R114" s="27" t="str">
        <f>IF(N114="Si",IFERROR(VLOOKUP(F114,'TD Cumpl'!B:AB,27,0),"No Aplica"),"No Aplica")</f>
        <v>No Aplica</v>
      </c>
      <c r="S114" s="38"/>
      <c r="T114" s="36"/>
      <c r="Y114" s="54">
        <f t="shared" si="3"/>
        <v>207940</v>
      </c>
    </row>
    <row r="115" spans="1:25" x14ac:dyDescent="0.25">
      <c r="A115" s="20">
        <f>+VLOOKUP(D115,Back!Q:R,2,0)</f>
        <v>4</v>
      </c>
      <c r="B115" s="20" t="str">
        <f t="shared" si="2"/>
        <v>2016 ABR</v>
      </c>
      <c r="C115" s="20">
        <v>2016</v>
      </c>
      <c r="D115" s="21" t="s">
        <v>140</v>
      </c>
      <c r="E115" s="21" t="s">
        <v>59</v>
      </c>
      <c r="F115" s="21">
        <v>1030634664</v>
      </c>
      <c r="G115" s="21" t="s">
        <v>58</v>
      </c>
      <c r="H115" s="22">
        <v>46519168</v>
      </c>
      <c r="I115" s="22">
        <v>2865600</v>
      </c>
      <c r="J115" s="22">
        <v>4939347</v>
      </c>
      <c r="K115" s="23">
        <v>38714221</v>
      </c>
      <c r="L115" s="23">
        <v>40000000</v>
      </c>
      <c r="M115" s="24">
        <v>0.96785552500000005</v>
      </c>
      <c r="N115" s="25" t="str">
        <f>IFERROR(VLOOKUP(F115,Back!C:F,4,0),"NO")</f>
        <v>NO</v>
      </c>
      <c r="O115" s="26">
        <v>24</v>
      </c>
      <c r="P115" s="27" t="str">
        <f>IFERROR(VLOOKUP(F115,Back!C:E,3,0),"")</f>
        <v/>
      </c>
      <c r="Q115" s="27" t="str">
        <f>IFERROR(VLOOKUP(P115,Back!M:N,2,0),"")</f>
        <v/>
      </c>
      <c r="R115" s="27" t="str">
        <f>IF(N115="Si",IFERROR(VLOOKUP(F115,'TD Cumpl'!B:AB,27,0),"No Aplica"),"No Aplica")</f>
        <v>No Aplica</v>
      </c>
      <c r="S115" s="38"/>
      <c r="T115" s="36"/>
      <c r="Y115" s="54">
        <f t="shared" si="3"/>
        <v>46519168</v>
      </c>
    </row>
    <row r="116" spans="1:25" x14ac:dyDescent="0.25">
      <c r="A116" s="20">
        <f>+VLOOKUP(D116,Back!Q:R,2,0)</f>
        <v>4</v>
      </c>
      <c r="B116" s="20" t="str">
        <f t="shared" si="2"/>
        <v>2016 ABR</v>
      </c>
      <c r="C116" s="20">
        <v>2016</v>
      </c>
      <c r="D116" s="21" t="s">
        <v>140</v>
      </c>
      <c r="E116" s="21" t="s">
        <v>34</v>
      </c>
      <c r="F116" s="21">
        <v>43554403</v>
      </c>
      <c r="G116" s="21" t="s">
        <v>35</v>
      </c>
      <c r="H116" s="22">
        <v>57439514</v>
      </c>
      <c r="I116" s="22">
        <v>1386800</v>
      </c>
      <c r="J116" s="22">
        <v>4242035</v>
      </c>
      <c r="K116" s="23">
        <v>51810679</v>
      </c>
      <c r="L116" s="23">
        <v>40000000</v>
      </c>
      <c r="M116" s="24">
        <v>1.2952669750000001</v>
      </c>
      <c r="N116" s="25" t="str">
        <f>IFERROR(VLOOKUP(F116,Back!C:F,4,0),"NO")</f>
        <v>Si</v>
      </c>
      <c r="O116" s="26">
        <v>24</v>
      </c>
      <c r="P116" s="27" t="str">
        <f>IFERROR(VLOOKUP(F116,Back!C:E,3,0),"")</f>
        <v>IPS Pto De Vista Centro</v>
      </c>
      <c r="Q116" s="27" t="str">
        <f>IFERROR(VLOOKUP(P116,Back!M:N,2,0),"")</f>
        <v>Antioquia</v>
      </c>
      <c r="R116" s="27" t="str">
        <f>IF(N116="Si",IFERROR(VLOOKUP(F116,'TD Cumpl'!B:AB,27,0),"No Aplica"),"No Aplica")</f>
        <v>Siempre Cumple</v>
      </c>
      <c r="S116" s="38"/>
      <c r="T116" s="36"/>
      <c r="Y116" s="54">
        <f t="shared" si="3"/>
        <v>57439514</v>
      </c>
    </row>
    <row r="117" spans="1:25" x14ac:dyDescent="0.25">
      <c r="A117" s="20">
        <f>+VLOOKUP(D117,Back!Q:R,2,0)</f>
        <v>4</v>
      </c>
      <c r="B117" s="20" t="str">
        <f t="shared" si="2"/>
        <v>2016 ABR</v>
      </c>
      <c r="C117" s="20">
        <v>2016</v>
      </c>
      <c r="D117" s="21" t="s">
        <v>140</v>
      </c>
      <c r="E117" s="21" t="s">
        <v>1</v>
      </c>
      <c r="F117" s="21">
        <v>23857915</v>
      </c>
      <c r="G117" s="21" t="s">
        <v>116</v>
      </c>
      <c r="H117" s="22">
        <v>14821319</v>
      </c>
      <c r="I117" s="22">
        <v>774600</v>
      </c>
      <c r="J117" s="22">
        <v>1427370</v>
      </c>
      <c r="K117" s="23">
        <v>12619349</v>
      </c>
      <c r="L117" s="23">
        <v>26000000</v>
      </c>
      <c r="M117" s="24">
        <v>0.48535957692307691</v>
      </c>
      <c r="N117" s="25" t="str">
        <f>IFERROR(VLOOKUP(F117,Back!C:F,4,0),"NO")</f>
        <v>NO</v>
      </c>
      <c r="O117" s="26">
        <v>24</v>
      </c>
      <c r="P117" s="27" t="str">
        <f>IFERROR(VLOOKUP(F117,Back!C:E,3,0),"")</f>
        <v/>
      </c>
      <c r="Q117" s="27" t="str">
        <f>IFERROR(VLOOKUP(P117,Back!M:N,2,0),"")</f>
        <v/>
      </c>
      <c r="R117" s="27" t="str">
        <f>IF(N117="Si",IFERROR(VLOOKUP(F117,'TD Cumpl'!B:AB,27,0),"No Aplica"),"No Aplica")</f>
        <v>No Aplica</v>
      </c>
      <c r="S117" s="38"/>
      <c r="T117" s="36"/>
      <c r="Y117" s="54">
        <f t="shared" si="3"/>
        <v>14821319</v>
      </c>
    </row>
    <row r="118" spans="1:25" x14ac:dyDescent="0.25">
      <c r="A118" s="20">
        <f>+VLOOKUP(D118,Back!Q:R,2,0)</f>
        <v>4</v>
      </c>
      <c r="B118" s="20" t="str">
        <f t="shared" si="2"/>
        <v>2016 ABR</v>
      </c>
      <c r="C118" s="20">
        <v>2016</v>
      </c>
      <c r="D118" s="21" t="s">
        <v>140</v>
      </c>
      <c r="E118" s="21" t="s">
        <v>3</v>
      </c>
      <c r="F118" s="21">
        <v>52725011</v>
      </c>
      <c r="G118" s="21" t="s">
        <v>42</v>
      </c>
      <c r="H118" s="22">
        <v>22862466</v>
      </c>
      <c r="I118" s="22">
        <v>210000</v>
      </c>
      <c r="J118" s="22">
        <v>1777667</v>
      </c>
      <c r="K118" s="23">
        <v>20874799</v>
      </c>
      <c r="L118" s="23">
        <v>21000000</v>
      </c>
      <c r="M118" s="24">
        <v>0.99403804761904757</v>
      </c>
      <c r="N118" s="25" t="str">
        <f>IFERROR(VLOOKUP(F118,Back!C:F,4,0),"NO")</f>
        <v>Si</v>
      </c>
      <c r="O118" s="26">
        <v>24</v>
      </c>
      <c r="P118" s="27" t="str">
        <f>IFERROR(VLOOKUP(F118,Back!C:E,3,0),"")</f>
        <v>IPS Pto De Vista Olaya</v>
      </c>
      <c r="Q118" s="27" t="str">
        <f>IFERROR(VLOOKUP(P118,Back!M:N,2,0),"")</f>
        <v>Centro</v>
      </c>
      <c r="R118" s="27" t="str">
        <f>IF(N118="Si",IFERROR(VLOOKUP(F118,'TD Cumpl'!B:AB,27,0),"No Aplica"),"No Aplica")</f>
        <v>Fluctúa</v>
      </c>
      <c r="S118" s="38"/>
      <c r="T118" s="36"/>
      <c r="Y118" s="54">
        <f t="shared" si="3"/>
        <v>22862466</v>
      </c>
    </row>
    <row r="119" spans="1:25" x14ac:dyDescent="0.25">
      <c r="A119" s="20">
        <f>+VLOOKUP(D119,Back!Q:R,2,0)</f>
        <v>4</v>
      </c>
      <c r="B119" s="20" t="str">
        <f t="shared" si="2"/>
        <v>2016 ABR</v>
      </c>
      <c r="C119" s="20">
        <v>2016</v>
      </c>
      <c r="D119" s="21" t="s">
        <v>140</v>
      </c>
      <c r="E119" s="21" t="s">
        <v>25</v>
      </c>
      <c r="F119" s="21">
        <v>1040030764</v>
      </c>
      <c r="G119" s="21" t="s">
        <v>43</v>
      </c>
      <c r="H119" s="22">
        <v>17899720</v>
      </c>
      <c r="I119" s="22">
        <v>198000</v>
      </c>
      <c r="J119" s="22">
        <v>1339293</v>
      </c>
      <c r="K119" s="23">
        <v>16362427</v>
      </c>
      <c r="L119" s="23">
        <v>6946153.846153846</v>
      </c>
      <c r="M119" s="24">
        <v>2.3556096456256923</v>
      </c>
      <c r="N119" s="25" t="str">
        <f>IFERROR(VLOOKUP(F119,Back!C:F,4,0),"NO")</f>
        <v>Si</v>
      </c>
      <c r="O119" s="26">
        <v>24</v>
      </c>
      <c r="P119" s="27" t="str">
        <f>IFERROR(VLOOKUP(F119,Back!C:E,3,0),"")</f>
        <v>IPS Pto De Vista Rionegro</v>
      </c>
      <c r="Q119" s="27" t="str">
        <f>IFERROR(VLOOKUP(P119,Back!M:N,2,0),"")</f>
        <v>Antioquia</v>
      </c>
      <c r="R119" s="27" t="str">
        <f>IF(N119="Si",IFERROR(VLOOKUP(F119,'TD Cumpl'!B:AB,27,0),"No Aplica"),"No Aplica")</f>
        <v>Cumple</v>
      </c>
      <c r="S119" s="38"/>
      <c r="T119" s="36"/>
      <c r="Y119" s="54">
        <f t="shared" si="3"/>
        <v>17899720</v>
      </c>
    </row>
    <row r="120" spans="1:25" x14ac:dyDescent="0.25">
      <c r="A120" s="20">
        <f>+VLOOKUP(D120,Back!Q:R,2,0)</f>
        <v>4</v>
      </c>
      <c r="B120" s="20" t="str">
        <f t="shared" si="2"/>
        <v>2016 ABR</v>
      </c>
      <c r="C120" s="20">
        <v>2016</v>
      </c>
      <c r="D120" s="21" t="s">
        <v>140</v>
      </c>
      <c r="E120" s="21" t="s">
        <v>33</v>
      </c>
      <c r="F120" s="21">
        <v>31307503</v>
      </c>
      <c r="G120" s="21" t="s">
        <v>36</v>
      </c>
      <c r="H120" s="22">
        <v>14772532</v>
      </c>
      <c r="I120" s="22">
        <v>0</v>
      </c>
      <c r="J120" s="22">
        <v>0</v>
      </c>
      <c r="K120" s="23">
        <v>14772532</v>
      </c>
      <c r="L120" s="23">
        <v>30100000</v>
      </c>
      <c r="M120" s="24">
        <v>0.49078179401993355</v>
      </c>
      <c r="N120" s="25" t="str">
        <f>IFERROR(VLOOKUP(F120,Back!C:F,4,0),"NO")</f>
        <v>NO</v>
      </c>
      <c r="O120" s="26">
        <v>24</v>
      </c>
      <c r="P120" s="27" t="str">
        <f>IFERROR(VLOOKUP(F120,Back!C:E,3,0),"")</f>
        <v/>
      </c>
      <c r="Q120" s="27" t="str">
        <f>IFERROR(VLOOKUP(P120,Back!M:N,2,0),"")</f>
        <v/>
      </c>
      <c r="R120" s="27" t="str">
        <f>IF(N120="Si",IFERROR(VLOOKUP(F120,'TD Cumpl'!B:AB,27,0),"No Aplica"),"No Aplica")</f>
        <v>No Aplica</v>
      </c>
      <c r="S120" s="38"/>
      <c r="T120" s="36"/>
      <c r="Y120" s="54">
        <f t="shared" si="3"/>
        <v>14772532</v>
      </c>
    </row>
    <row r="121" spans="1:25" x14ac:dyDescent="0.25">
      <c r="A121" s="20">
        <f>+VLOOKUP(D121,Back!Q:R,2,0)</f>
        <v>4</v>
      </c>
      <c r="B121" s="20" t="str">
        <f t="shared" si="2"/>
        <v>2016 ABR</v>
      </c>
      <c r="C121" s="20">
        <v>2016</v>
      </c>
      <c r="D121" s="21" t="s">
        <v>140</v>
      </c>
      <c r="E121" s="21" t="s">
        <v>22</v>
      </c>
      <c r="F121" s="21">
        <v>42164020</v>
      </c>
      <c r="G121" s="21" t="s">
        <v>105</v>
      </c>
      <c r="H121" s="22">
        <v>44586694</v>
      </c>
      <c r="I121" s="22">
        <v>1521400</v>
      </c>
      <c r="J121" s="22">
        <v>3385711</v>
      </c>
      <c r="K121" s="23">
        <v>39679583</v>
      </c>
      <c r="L121" s="23">
        <v>40000000</v>
      </c>
      <c r="M121" s="24">
        <v>0.99198957499999996</v>
      </c>
      <c r="N121" s="25" t="str">
        <f>IFERROR(VLOOKUP(F121,Back!C:F,4,0),"NO")</f>
        <v>Si</v>
      </c>
      <c r="O121" s="26">
        <v>24</v>
      </c>
      <c r="P121" s="27" t="str">
        <f>IFERROR(VLOOKUP(F121,Back!C:E,3,0),"")</f>
        <v>IPS Pto De Vista Molinos</v>
      </c>
      <c r="Q121" s="27" t="str">
        <f>IFERROR(VLOOKUP(P121,Back!M:N,2,0),"")</f>
        <v>Antioquia</v>
      </c>
      <c r="R121" s="27" t="str">
        <f>IF(N121="Si",IFERROR(VLOOKUP(F121,'TD Cumpl'!B:AB,27,0),"No Aplica"),"No Aplica")</f>
        <v>Siempre Cumple</v>
      </c>
      <c r="S121" s="38"/>
      <c r="T121" s="36"/>
      <c r="Y121" s="54">
        <f t="shared" si="3"/>
        <v>44586694</v>
      </c>
    </row>
    <row r="122" spans="1:25" x14ac:dyDescent="0.25">
      <c r="A122" s="20">
        <f>+VLOOKUP(D122,Back!Q:R,2,0)</f>
        <v>4</v>
      </c>
      <c r="B122" s="20" t="str">
        <f t="shared" si="2"/>
        <v>2016 ABR</v>
      </c>
      <c r="C122" s="20">
        <v>2016</v>
      </c>
      <c r="D122" s="21" t="s">
        <v>140</v>
      </c>
      <c r="E122" s="21" t="s">
        <v>21</v>
      </c>
      <c r="F122" s="21">
        <v>1035417626</v>
      </c>
      <c r="G122" s="21" t="s">
        <v>80</v>
      </c>
      <c r="H122" s="22">
        <v>45025377</v>
      </c>
      <c r="I122" s="22">
        <v>1260000</v>
      </c>
      <c r="J122" s="22">
        <v>3181059</v>
      </c>
      <c r="K122" s="23">
        <v>40584318</v>
      </c>
      <c r="L122" s="23">
        <v>31846153.846153844</v>
      </c>
      <c r="M122" s="24">
        <v>1.2743867971014493</v>
      </c>
      <c r="N122" s="25" t="str">
        <f>IFERROR(VLOOKUP(F122,Back!C:F,4,0),"NO")</f>
        <v>Si</v>
      </c>
      <c r="O122" s="26">
        <v>24</v>
      </c>
      <c r="P122" s="27" t="str">
        <f>IFERROR(VLOOKUP(F122,Back!C:E,3,0),"")</f>
        <v>IPS Pto De Vista Unicentro</v>
      </c>
      <c r="Q122" s="27" t="str">
        <f>IFERROR(VLOOKUP(P122,Back!M:N,2,0),"")</f>
        <v>Antioquia</v>
      </c>
      <c r="R122" s="27" t="str">
        <f>IF(N122="Si",IFERROR(VLOOKUP(F122,'TD Cumpl'!B:AB,27,0),"No Aplica"),"No Aplica")</f>
        <v>Cumple</v>
      </c>
      <c r="S122" s="38"/>
      <c r="T122" s="36"/>
      <c r="Y122" s="54">
        <f t="shared" si="3"/>
        <v>45025377</v>
      </c>
    </row>
    <row r="123" spans="1:25" x14ac:dyDescent="0.25">
      <c r="A123" s="20">
        <f>+VLOOKUP(D123,Back!Q:R,2,0)</f>
        <v>4</v>
      </c>
      <c r="B123" s="20" t="str">
        <f t="shared" si="2"/>
        <v>2016 ABR</v>
      </c>
      <c r="C123" s="20">
        <v>2016</v>
      </c>
      <c r="D123" s="21" t="s">
        <v>140</v>
      </c>
      <c r="E123" s="21" t="s">
        <v>57</v>
      </c>
      <c r="F123" s="21">
        <v>43874518</v>
      </c>
      <c r="G123" s="21" t="s">
        <v>60</v>
      </c>
      <c r="H123" s="22">
        <v>50035088</v>
      </c>
      <c r="I123" s="22">
        <v>1531400</v>
      </c>
      <c r="J123" s="22">
        <v>3337848</v>
      </c>
      <c r="K123" s="23">
        <v>45165840</v>
      </c>
      <c r="L123" s="23">
        <v>39692307.692307696</v>
      </c>
      <c r="M123" s="24">
        <v>1.1378990697674418</v>
      </c>
      <c r="N123" s="25" t="str">
        <f>IFERROR(VLOOKUP(F123,Back!C:F,4,0),"NO")</f>
        <v>Si</v>
      </c>
      <c r="O123" s="26">
        <v>24</v>
      </c>
      <c r="P123" s="27" t="str">
        <f>IFERROR(VLOOKUP(F123,Back!C:E,3,0),"")</f>
        <v>IPS Pto De Vista Punto Clave</v>
      </c>
      <c r="Q123" s="27" t="str">
        <f>IFERROR(VLOOKUP(P123,Back!M:N,2,0),"")</f>
        <v>Antioquia</v>
      </c>
      <c r="R123" s="27" t="str">
        <f>IF(N123="Si",IFERROR(VLOOKUP(F123,'TD Cumpl'!B:AB,27,0),"No Aplica"),"No Aplica")</f>
        <v>Fluctúa</v>
      </c>
      <c r="S123" s="38"/>
      <c r="T123" s="36"/>
      <c r="Y123" s="54">
        <f t="shared" si="3"/>
        <v>50035088</v>
      </c>
    </row>
    <row r="124" spans="1:25" x14ac:dyDescent="0.25">
      <c r="A124" s="20">
        <f>+VLOOKUP(D124,Back!Q:R,2,0)</f>
        <v>4</v>
      </c>
      <c r="B124" s="20" t="str">
        <f t="shared" si="2"/>
        <v>2016 ABR</v>
      </c>
      <c r="C124" s="20">
        <v>2016</v>
      </c>
      <c r="D124" s="21" t="s">
        <v>140</v>
      </c>
      <c r="E124" s="21" t="s">
        <v>2</v>
      </c>
      <c r="F124" s="21">
        <v>52260671</v>
      </c>
      <c r="G124" s="21" t="s">
        <v>26</v>
      </c>
      <c r="H124" s="22">
        <v>31291530</v>
      </c>
      <c r="I124" s="22">
        <v>1492000</v>
      </c>
      <c r="J124" s="22">
        <v>1478784</v>
      </c>
      <c r="K124" s="23">
        <v>28320746</v>
      </c>
      <c r="L124" s="23">
        <v>26000000</v>
      </c>
      <c r="M124" s="24">
        <v>1.0892594615384616</v>
      </c>
      <c r="N124" s="25" t="str">
        <f>IFERROR(VLOOKUP(F124,Back!C:F,4,0),"NO")</f>
        <v>Si</v>
      </c>
      <c r="O124" s="26">
        <v>24</v>
      </c>
      <c r="P124" s="27" t="str">
        <f>IFERROR(VLOOKUP(F124,Back!C:E,3,0),"")</f>
        <v>IPS Pto De Vista Santa Bárbara</v>
      </c>
      <c r="Q124" s="27" t="str">
        <f>IFERROR(VLOOKUP(P124,Back!M:N,2,0),"")</f>
        <v>Centro</v>
      </c>
      <c r="R124" s="27" t="str">
        <f>IF(N124="Si",IFERROR(VLOOKUP(F124,'TD Cumpl'!B:AB,27,0),"No Aplica"),"No Aplica")</f>
        <v>Siempre Cumple</v>
      </c>
      <c r="S124" s="38"/>
      <c r="T124" s="36"/>
      <c r="Y124" s="54">
        <f t="shared" si="3"/>
        <v>31291530</v>
      </c>
    </row>
    <row r="125" spans="1:25" x14ac:dyDescent="0.25">
      <c r="A125" s="20">
        <f>+VLOOKUP(D125,Back!Q:R,2,0)</f>
        <v>4</v>
      </c>
      <c r="B125" s="20" t="str">
        <f t="shared" si="2"/>
        <v>2016 ABR</v>
      </c>
      <c r="C125" s="20">
        <v>2016</v>
      </c>
      <c r="D125" s="21" t="s">
        <v>140</v>
      </c>
      <c r="E125" s="21" t="s">
        <v>37</v>
      </c>
      <c r="F125" s="21">
        <v>1036779770</v>
      </c>
      <c r="G125" s="21" t="s">
        <v>52</v>
      </c>
      <c r="H125" s="22">
        <v>34134978</v>
      </c>
      <c r="I125" s="22">
        <v>1679500</v>
      </c>
      <c r="J125" s="22">
        <v>2891764</v>
      </c>
      <c r="K125" s="23">
        <v>29563714</v>
      </c>
      <c r="L125" s="23">
        <v>30100000</v>
      </c>
      <c r="M125" s="24">
        <v>0.9821831893687708</v>
      </c>
      <c r="N125" s="25" t="str">
        <f>IFERROR(VLOOKUP(F125,Back!C:F,4,0),"NO")</f>
        <v>No</v>
      </c>
      <c r="O125" s="26">
        <v>24</v>
      </c>
      <c r="P125" s="27" t="str">
        <f>IFERROR(VLOOKUP(F125,Back!C:E,3,0),"")</f>
        <v>IPS Pto De Vista Rionegro</v>
      </c>
      <c r="Q125" s="27" t="str">
        <f>IFERROR(VLOOKUP(P125,Back!M:N,2,0),"")</f>
        <v>Antioquia</v>
      </c>
      <c r="R125" s="27" t="str">
        <f>IF(N125="Si",IFERROR(VLOOKUP(F125,'TD Cumpl'!B:AB,27,0),"No Aplica"),"No Aplica")</f>
        <v>No Aplica</v>
      </c>
      <c r="S125" s="38"/>
      <c r="T125" s="36"/>
      <c r="Y125" s="54">
        <f t="shared" si="3"/>
        <v>34134978</v>
      </c>
    </row>
    <row r="126" spans="1:25" x14ac:dyDescent="0.25">
      <c r="A126" s="20">
        <f>+VLOOKUP(D126,Back!Q:R,2,0)</f>
        <v>4</v>
      </c>
      <c r="B126" s="20" t="str">
        <f t="shared" si="2"/>
        <v>2016 ABR</v>
      </c>
      <c r="C126" s="20">
        <v>2016</v>
      </c>
      <c r="D126" s="21" t="s">
        <v>140</v>
      </c>
      <c r="E126" s="21" t="s">
        <v>20</v>
      </c>
      <c r="F126" s="21">
        <v>1017141451</v>
      </c>
      <c r="G126" s="21" t="s">
        <v>44</v>
      </c>
      <c r="H126" s="22">
        <v>52683299</v>
      </c>
      <c r="I126" s="22">
        <v>2168400</v>
      </c>
      <c r="J126" s="22">
        <v>4297020</v>
      </c>
      <c r="K126" s="23">
        <v>46217879</v>
      </c>
      <c r="L126" s="23">
        <v>40100000</v>
      </c>
      <c r="M126" s="24">
        <v>1.1525655610972569</v>
      </c>
      <c r="N126" s="25" t="str">
        <f>IFERROR(VLOOKUP(F126,Back!C:F,4,0),"NO")</f>
        <v>Si</v>
      </c>
      <c r="O126" s="26">
        <v>24</v>
      </c>
      <c r="P126" s="27" t="str">
        <f>IFERROR(VLOOKUP(F126,Back!C:E,3,0),"")</f>
        <v>IPS Pto De Vista Molinos</v>
      </c>
      <c r="Q126" s="27" t="str">
        <f>IFERROR(VLOOKUP(P126,Back!M:N,2,0),"")</f>
        <v>Antioquia</v>
      </c>
      <c r="R126" s="27" t="str">
        <f>IF(N126="Si",IFERROR(VLOOKUP(F126,'TD Cumpl'!B:AB,27,0),"No Aplica"),"No Aplica")</f>
        <v>Siempre Cumple</v>
      </c>
      <c r="S126" s="38"/>
      <c r="T126" s="36"/>
      <c r="Y126" s="54">
        <f t="shared" si="3"/>
        <v>52683299</v>
      </c>
    </row>
    <row r="127" spans="1:25" x14ac:dyDescent="0.25">
      <c r="A127" s="20">
        <f>+VLOOKUP(D127,Back!Q:R,2,0)</f>
        <v>4</v>
      </c>
      <c r="B127" s="20" t="str">
        <f t="shared" si="2"/>
        <v>2016 ABR</v>
      </c>
      <c r="C127" s="20">
        <v>2016</v>
      </c>
      <c r="D127" s="21" t="s">
        <v>140</v>
      </c>
      <c r="E127" s="21" t="s">
        <v>19</v>
      </c>
      <c r="F127" s="21">
        <v>43343234</v>
      </c>
      <c r="G127" s="21" t="s">
        <v>477</v>
      </c>
      <c r="H127" s="22">
        <v>42804816</v>
      </c>
      <c r="I127" s="22">
        <v>1543400</v>
      </c>
      <c r="J127" s="22">
        <v>3550906</v>
      </c>
      <c r="K127" s="23">
        <v>37710510</v>
      </c>
      <c r="L127" s="23">
        <v>38530769.230769232</v>
      </c>
      <c r="M127" s="24">
        <v>0.97871157915751639</v>
      </c>
      <c r="N127" s="25" t="str">
        <f>IFERROR(VLOOKUP(F127,Back!C:F,4,0),"NO")</f>
        <v>NO</v>
      </c>
      <c r="O127" s="26">
        <v>24</v>
      </c>
      <c r="P127" s="27" t="str">
        <f>IFERROR(VLOOKUP(F127,Back!C:E,3,0),"")</f>
        <v/>
      </c>
      <c r="Q127" s="27" t="str">
        <f>IFERROR(VLOOKUP(P127,Back!M:N,2,0),"")</f>
        <v/>
      </c>
      <c r="R127" s="27" t="str">
        <f>IF(N127="Si",IFERROR(VLOOKUP(F127,'TD Cumpl'!B:AB,27,0),"No Aplica"),"No Aplica")</f>
        <v>No Aplica</v>
      </c>
      <c r="S127" s="38"/>
      <c r="T127" s="36"/>
      <c r="Y127" s="54">
        <f t="shared" si="3"/>
        <v>42804816</v>
      </c>
    </row>
    <row r="128" spans="1:25" x14ac:dyDescent="0.25">
      <c r="A128" s="20">
        <f>+VLOOKUP(D128,Back!Q:R,2,0)</f>
        <v>4</v>
      </c>
      <c r="B128" s="20" t="str">
        <f t="shared" si="2"/>
        <v>2016 ABR</v>
      </c>
      <c r="C128" s="20">
        <v>2016</v>
      </c>
      <c r="D128" s="21" t="s">
        <v>140</v>
      </c>
      <c r="E128" s="21" t="s">
        <v>38</v>
      </c>
      <c r="F128" s="21">
        <v>43745192</v>
      </c>
      <c r="G128" s="21" t="s">
        <v>45</v>
      </c>
      <c r="H128" s="22">
        <v>31461000</v>
      </c>
      <c r="I128" s="22">
        <v>178200</v>
      </c>
      <c r="J128" s="22">
        <v>0</v>
      </c>
      <c r="K128" s="23">
        <v>31282800</v>
      </c>
      <c r="L128" s="23">
        <v>21000000</v>
      </c>
      <c r="M128" s="24">
        <v>1.4896571428571428</v>
      </c>
      <c r="N128" s="25" t="str">
        <f>IFERROR(VLOOKUP(F128,Back!C:F,4,0),"NO")</f>
        <v>Si</v>
      </c>
      <c r="O128" s="26">
        <v>24</v>
      </c>
      <c r="P128" s="27" t="str">
        <f>IFERROR(VLOOKUP(F128,Back!C:E,3,0),"")</f>
        <v>IPS Punto de Vista Mayorca</v>
      </c>
      <c r="Q128" s="27" t="str">
        <f>IFERROR(VLOOKUP(P128,Back!M:N,2,0),"")</f>
        <v>Antioquia</v>
      </c>
      <c r="R128" s="27" t="str">
        <f>IF(N128="Si",IFERROR(VLOOKUP(F128,'TD Cumpl'!B:AB,27,0),"No Aplica"),"No Aplica")</f>
        <v>Cumple</v>
      </c>
      <c r="S128" s="38"/>
      <c r="T128" s="36"/>
      <c r="Y128" s="54">
        <f t="shared" si="3"/>
        <v>31461000</v>
      </c>
    </row>
    <row r="129" spans="1:25" x14ac:dyDescent="0.25">
      <c r="A129" s="20">
        <f>+VLOOKUP(D129,Back!Q:R,2,0)</f>
        <v>4</v>
      </c>
      <c r="B129" s="20" t="str">
        <f t="shared" si="2"/>
        <v>2016 ABR</v>
      </c>
      <c r="C129" s="20">
        <v>2016</v>
      </c>
      <c r="D129" s="21" t="s">
        <v>140</v>
      </c>
      <c r="E129" s="21" t="s">
        <v>13</v>
      </c>
      <c r="F129" s="21">
        <v>43866877</v>
      </c>
      <c r="G129" s="21" t="s">
        <v>46</v>
      </c>
      <c r="H129" s="22">
        <v>52888680</v>
      </c>
      <c r="I129" s="22">
        <v>2514200</v>
      </c>
      <c r="J129" s="22">
        <v>5015816</v>
      </c>
      <c r="K129" s="23">
        <v>45358664</v>
      </c>
      <c r="L129" s="23">
        <v>40000000</v>
      </c>
      <c r="M129" s="24">
        <v>1.1339665999999999</v>
      </c>
      <c r="N129" s="25" t="str">
        <f>IFERROR(VLOOKUP(F129,Back!C:F,4,0),"NO")</f>
        <v>Si</v>
      </c>
      <c r="O129" s="26">
        <v>24</v>
      </c>
      <c r="P129" s="27" t="str">
        <f>IFERROR(VLOOKUP(F129,Back!C:E,3,0),"")</f>
        <v>IPS Pto De Vista Centro</v>
      </c>
      <c r="Q129" s="27" t="str">
        <f>IFERROR(VLOOKUP(P129,Back!M:N,2,0),"")</f>
        <v>Antioquia</v>
      </c>
      <c r="R129" s="27" t="str">
        <f>IF(N129="Si",IFERROR(VLOOKUP(F129,'TD Cumpl'!B:AB,27,0),"No Aplica"),"No Aplica")</f>
        <v>Siempre Cumple</v>
      </c>
      <c r="S129" s="38"/>
      <c r="T129" s="36"/>
      <c r="Y129" s="54">
        <f t="shared" si="3"/>
        <v>52888680</v>
      </c>
    </row>
    <row r="130" spans="1:25" x14ac:dyDescent="0.25">
      <c r="A130" s="20">
        <f>+VLOOKUP(D130,Back!Q:R,2,0)</f>
        <v>4</v>
      </c>
      <c r="B130" s="20" t="str">
        <f t="shared" ref="B130:B193" si="4">MID(UPPER(C130&amp;" "&amp;D130),1,8)</f>
        <v>2016 ABR</v>
      </c>
      <c r="C130" s="20">
        <v>2016</v>
      </c>
      <c r="D130" s="21" t="s">
        <v>140</v>
      </c>
      <c r="E130" s="21" t="s">
        <v>17</v>
      </c>
      <c r="F130" s="21">
        <v>43113640</v>
      </c>
      <c r="G130" s="21" t="s">
        <v>47</v>
      </c>
      <c r="H130" s="22">
        <v>47584735</v>
      </c>
      <c r="I130" s="22">
        <v>2476200</v>
      </c>
      <c r="J130" s="22">
        <v>3748906</v>
      </c>
      <c r="K130" s="23">
        <v>41359629</v>
      </c>
      <c r="L130" s="23">
        <v>36000000</v>
      </c>
      <c r="M130" s="24">
        <v>1.1488785833333333</v>
      </c>
      <c r="N130" s="25" t="str">
        <f>IFERROR(VLOOKUP(F130,Back!C:F,4,0),"NO")</f>
        <v>Si</v>
      </c>
      <c r="O130" s="26">
        <v>24</v>
      </c>
      <c r="P130" s="27" t="str">
        <f>IFERROR(VLOOKUP(F130,Back!C:E,3,0),"")</f>
        <v>IPS Pto De Vista San Diego</v>
      </c>
      <c r="Q130" s="27" t="str">
        <f>IFERROR(VLOOKUP(P130,Back!M:N,2,0),"")</f>
        <v>Antioquia</v>
      </c>
      <c r="R130" s="27" t="str">
        <f>IF(N130="Si",IFERROR(VLOOKUP(F130,'TD Cumpl'!B:AB,27,0),"No Aplica"),"No Aplica")</f>
        <v>Cumple</v>
      </c>
      <c r="S130" s="38"/>
      <c r="T130" s="36"/>
      <c r="Y130" s="54">
        <f t="shared" ref="Y130:Y193" si="5">+H130-X130-V130-T130</f>
        <v>47584735</v>
      </c>
    </row>
    <row r="131" spans="1:25" x14ac:dyDescent="0.25">
      <c r="A131" s="20">
        <f>+VLOOKUP(D131,Back!Q:R,2,0)</f>
        <v>4</v>
      </c>
      <c r="B131" s="20" t="str">
        <f t="shared" si="4"/>
        <v>2016 ABR</v>
      </c>
      <c r="C131" s="20">
        <v>2016</v>
      </c>
      <c r="D131" s="21" t="s">
        <v>140</v>
      </c>
      <c r="E131" s="21" t="s">
        <v>24</v>
      </c>
      <c r="F131" s="21">
        <v>39448823</v>
      </c>
      <c r="G131" s="21" t="s">
        <v>48</v>
      </c>
      <c r="H131" s="22">
        <v>39780484</v>
      </c>
      <c r="I131" s="22">
        <v>1763500</v>
      </c>
      <c r="J131" s="22">
        <v>3293599</v>
      </c>
      <c r="K131" s="23">
        <v>34723385</v>
      </c>
      <c r="L131" s="23">
        <v>30100000</v>
      </c>
      <c r="M131" s="24">
        <v>1.153600830564784</v>
      </c>
      <c r="N131" s="25" t="str">
        <f>IFERROR(VLOOKUP(F131,Back!C:F,4,0),"NO")</f>
        <v>Si</v>
      </c>
      <c r="O131" s="26">
        <v>24</v>
      </c>
      <c r="P131" s="27" t="str">
        <f>IFERROR(VLOOKUP(F131,Back!C:E,3,0),"")</f>
        <v>IPS Pto De Vista Rionegro</v>
      </c>
      <c r="Q131" s="27" t="str">
        <f>IFERROR(VLOOKUP(P131,Back!M:N,2,0),"")</f>
        <v>Antioquia</v>
      </c>
      <c r="R131" s="27" t="str">
        <f>IF(N131="Si",IFERROR(VLOOKUP(F131,'TD Cumpl'!B:AB,27,0),"No Aplica"),"No Aplica")</f>
        <v>Siempre Cumple</v>
      </c>
      <c r="S131" s="38"/>
      <c r="T131" s="36"/>
      <c r="Y131" s="54">
        <f t="shared" si="5"/>
        <v>39780484</v>
      </c>
    </row>
    <row r="132" spans="1:25" x14ac:dyDescent="0.25">
      <c r="A132" s="20">
        <f>+VLOOKUP(D132,Back!Q:R,2,0)</f>
        <v>4</v>
      </c>
      <c r="B132" s="20" t="str">
        <f t="shared" si="4"/>
        <v>2016 ABR</v>
      </c>
      <c r="C132" s="20">
        <v>2016</v>
      </c>
      <c r="D132" s="21" t="s">
        <v>140</v>
      </c>
      <c r="E132" s="21" t="s">
        <v>10</v>
      </c>
      <c r="F132" s="21">
        <v>43109744</v>
      </c>
      <c r="G132" s="21" t="s">
        <v>53</v>
      </c>
      <c r="H132" s="22">
        <v>45303292</v>
      </c>
      <c r="I132" s="22">
        <v>396000</v>
      </c>
      <c r="J132" s="22">
        <v>2623957</v>
      </c>
      <c r="K132" s="23">
        <v>42283335</v>
      </c>
      <c r="L132" s="23">
        <v>40000000</v>
      </c>
      <c r="M132" s="24">
        <v>1.0570833749999999</v>
      </c>
      <c r="N132" s="25" t="str">
        <f>IFERROR(VLOOKUP(F132,Back!C:F,4,0),"NO")</f>
        <v>NO</v>
      </c>
      <c r="O132" s="26">
        <v>24</v>
      </c>
      <c r="P132" s="27" t="str">
        <f>IFERROR(VLOOKUP(F132,Back!C:E,3,0),"")</f>
        <v/>
      </c>
      <c r="Q132" s="27" t="str">
        <f>IFERROR(VLOOKUP(P132,Back!M:N,2,0),"")</f>
        <v/>
      </c>
      <c r="R132" s="27" t="str">
        <f>IF(N132="Si",IFERROR(VLOOKUP(F132,'TD Cumpl'!B:AB,27,0),"No Aplica"),"No Aplica")</f>
        <v>No Aplica</v>
      </c>
      <c r="S132" s="38"/>
      <c r="T132" s="36"/>
      <c r="Y132" s="54">
        <f t="shared" si="5"/>
        <v>45303292</v>
      </c>
    </row>
    <row r="133" spans="1:25" x14ac:dyDescent="0.25">
      <c r="A133" s="20">
        <f>+VLOOKUP(D133,Back!Q:R,2,0)</f>
        <v>4</v>
      </c>
      <c r="B133" s="20" t="str">
        <f t="shared" si="4"/>
        <v>2016 ABR</v>
      </c>
      <c r="C133" s="20">
        <v>2016</v>
      </c>
      <c r="D133" s="21" t="s">
        <v>140</v>
      </c>
      <c r="E133" s="21" t="s">
        <v>16</v>
      </c>
      <c r="F133" s="21">
        <v>43599983</v>
      </c>
      <c r="G133" s="21" t="s">
        <v>478</v>
      </c>
      <c r="H133" s="22">
        <v>36742910</v>
      </c>
      <c r="I133" s="22">
        <v>0</v>
      </c>
      <c r="J133" s="22">
        <v>2677772</v>
      </c>
      <c r="K133" s="23">
        <v>34065138</v>
      </c>
      <c r="L133" s="23">
        <v>40000000</v>
      </c>
      <c r="M133" s="24">
        <v>0.85162844999999998</v>
      </c>
      <c r="N133" s="25" t="str">
        <f>IFERROR(VLOOKUP(F133,Back!C:F,4,0),"NO")</f>
        <v>NO</v>
      </c>
      <c r="O133" s="26">
        <v>24</v>
      </c>
      <c r="P133" s="27" t="str">
        <f>IFERROR(VLOOKUP(F133,Back!C:E,3,0),"")</f>
        <v/>
      </c>
      <c r="Q133" s="27" t="str">
        <f>IFERROR(VLOOKUP(P133,Back!M:N,2,0),"")</f>
        <v/>
      </c>
      <c r="R133" s="27" t="str">
        <f>IF(N133="Si",IFERROR(VLOOKUP(F133,'TD Cumpl'!B:AB,27,0),"No Aplica"),"No Aplica")</f>
        <v>No Aplica</v>
      </c>
      <c r="S133" s="38"/>
      <c r="T133" s="36"/>
      <c r="Y133" s="54">
        <f t="shared" si="5"/>
        <v>36742910</v>
      </c>
    </row>
    <row r="134" spans="1:25" x14ac:dyDescent="0.25">
      <c r="A134" s="20">
        <f>+VLOOKUP(D134,Back!Q:R,2,0)</f>
        <v>4</v>
      </c>
      <c r="B134" s="20" t="str">
        <f t="shared" si="4"/>
        <v>2016 ABR</v>
      </c>
      <c r="C134" s="20">
        <v>2016</v>
      </c>
      <c r="D134" s="21" t="s">
        <v>140</v>
      </c>
      <c r="E134" s="21" t="s">
        <v>15</v>
      </c>
      <c r="F134" s="21">
        <v>42689970</v>
      </c>
      <c r="G134" s="21" t="s">
        <v>29</v>
      </c>
      <c r="H134" s="22">
        <v>50821274</v>
      </c>
      <c r="I134" s="22">
        <v>2407400</v>
      </c>
      <c r="J134" s="22">
        <v>4019753</v>
      </c>
      <c r="K134" s="23">
        <v>44394121</v>
      </c>
      <c r="L134" s="23">
        <v>40000000</v>
      </c>
      <c r="M134" s="24">
        <v>1.109853025</v>
      </c>
      <c r="N134" s="25" t="str">
        <f>IFERROR(VLOOKUP(F134,Back!C:F,4,0),"NO")</f>
        <v>NO</v>
      </c>
      <c r="O134" s="26">
        <v>24</v>
      </c>
      <c r="P134" s="27" t="str">
        <f>IFERROR(VLOOKUP(F134,Back!C:E,3,0),"")</f>
        <v/>
      </c>
      <c r="Q134" s="27" t="str">
        <f>IFERROR(VLOOKUP(P134,Back!M:N,2,0),"")</f>
        <v/>
      </c>
      <c r="R134" s="27" t="str">
        <f>IF(N134="Si",IFERROR(VLOOKUP(F134,'TD Cumpl'!B:AB,27,0),"No Aplica"),"No Aplica")</f>
        <v>No Aplica</v>
      </c>
      <c r="S134" s="38"/>
      <c r="T134" s="36"/>
      <c r="Y134" s="54">
        <f t="shared" si="5"/>
        <v>50821274</v>
      </c>
    </row>
    <row r="135" spans="1:25" x14ac:dyDescent="0.25">
      <c r="A135" s="20">
        <f>+VLOOKUP(D135,Back!Q:R,2,0)</f>
        <v>4</v>
      </c>
      <c r="B135" s="20" t="str">
        <f t="shared" si="4"/>
        <v>2016 ABR</v>
      </c>
      <c r="C135" s="20">
        <v>2016</v>
      </c>
      <c r="D135" s="21" t="s">
        <v>140</v>
      </c>
      <c r="E135" s="21" t="s">
        <v>23</v>
      </c>
      <c r="F135" s="21">
        <v>43907427</v>
      </c>
      <c r="G135" s="21" t="s">
        <v>144</v>
      </c>
      <c r="H135" s="22">
        <v>44020568</v>
      </c>
      <c r="I135" s="22">
        <v>535500</v>
      </c>
      <c r="J135" s="22">
        <v>891113</v>
      </c>
      <c r="K135" s="23">
        <v>42593955</v>
      </c>
      <c r="L135" s="23">
        <v>33230769.230769228</v>
      </c>
      <c r="M135" s="24">
        <v>1.2817625347222223</v>
      </c>
      <c r="N135" s="25" t="str">
        <f>IFERROR(VLOOKUP(F135,Back!C:F,4,0),"NO")</f>
        <v>Si</v>
      </c>
      <c r="O135" s="26">
        <v>24</v>
      </c>
      <c r="P135" s="27" t="str">
        <f>IFERROR(VLOOKUP(F135,Back!C:E,3,0),"")</f>
        <v>IPS Pto De Vista Industriales</v>
      </c>
      <c r="Q135" s="27" t="str">
        <f>IFERROR(VLOOKUP(P135,Back!M:N,2,0),"")</f>
        <v>Antioquia</v>
      </c>
      <c r="R135" s="27" t="str">
        <f>IF(N135="Si",IFERROR(VLOOKUP(F135,'TD Cumpl'!B:AB,27,0),"No Aplica"),"No Aplica")</f>
        <v>Siempre Cumple</v>
      </c>
      <c r="S135" s="38"/>
      <c r="T135" s="36"/>
      <c r="Y135" s="54">
        <f t="shared" si="5"/>
        <v>44020568</v>
      </c>
    </row>
    <row r="136" spans="1:25" x14ac:dyDescent="0.25">
      <c r="A136" s="20">
        <f>+VLOOKUP(D136,Back!Q:R,2,0)</f>
        <v>4</v>
      </c>
      <c r="B136" s="20" t="str">
        <f t="shared" si="4"/>
        <v>2016 ABR</v>
      </c>
      <c r="C136" s="20">
        <v>2016</v>
      </c>
      <c r="D136" s="21" t="s">
        <v>140</v>
      </c>
      <c r="E136" s="21" t="s">
        <v>12</v>
      </c>
      <c r="F136" s="21">
        <v>91511871</v>
      </c>
      <c r="G136" s="21" t="s">
        <v>49</v>
      </c>
      <c r="H136" s="22">
        <v>21384643</v>
      </c>
      <c r="I136" s="22">
        <v>1461000</v>
      </c>
      <c r="J136" s="22">
        <v>1863156</v>
      </c>
      <c r="K136" s="23">
        <v>18060487</v>
      </c>
      <c r="L136" s="23">
        <v>20000000</v>
      </c>
      <c r="M136" s="24">
        <v>0.90302435000000003</v>
      </c>
      <c r="N136" s="25" t="str">
        <f>IFERROR(VLOOKUP(F136,Back!C:F,4,0),"NO")</f>
        <v>NO</v>
      </c>
      <c r="O136" s="26">
        <v>24</v>
      </c>
      <c r="P136" s="27" t="str">
        <f>IFERROR(VLOOKUP(F136,Back!C:E,3,0),"")</f>
        <v/>
      </c>
      <c r="Q136" s="27" t="str">
        <f>IFERROR(VLOOKUP(P136,Back!M:N,2,0),"")</f>
        <v/>
      </c>
      <c r="R136" s="27" t="str">
        <f>IF(N136="Si",IFERROR(VLOOKUP(F136,'TD Cumpl'!B:AB,27,0),"No Aplica"),"No Aplica")</f>
        <v>No Aplica</v>
      </c>
      <c r="S136" s="38"/>
      <c r="T136" s="36"/>
      <c r="Y136" s="54">
        <f t="shared" si="5"/>
        <v>21384643</v>
      </c>
    </row>
    <row r="137" spans="1:25" x14ac:dyDescent="0.25">
      <c r="A137" s="20">
        <f>+VLOOKUP(D137,Back!Q:R,2,0)</f>
        <v>4</v>
      </c>
      <c r="B137" s="20" t="str">
        <f t="shared" si="4"/>
        <v>2016 ABR</v>
      </c>
      <c r="C137" s="20">
        <v>2016</v>
      </c>
      <c r="D137" s="21" t="s">
        <v>140</v>
      </c>
      <c r="E137" s="21" t="s">
        <v>62</v>
      </c>
      <c r="F137" s="21">
        <v>32256379</v>
      </c>
      <c r="G137" s="21" t="s">
        <v>61</v>
      </c>
      <c r="H137" s="22">
        <v>54080769</v>
      </c>
      <c r="I137" s="22">
        <v>0</v>
      </c>
      <c r="J137" s="22">
        <v>1816899</v>
      </c>
      <c r="K137" s="23">
        <v>52263870</v>
      </c>
      <c r="L137" s="23">
        <v>32080000</v>
      </c>
      <c r="M137" s="24">
        <v>1.6291730049875313</v>
      </c>
      <c r="N137" s="25" t="str">
        <f>IFERROR(VLOOKUP(F137,Back!C:F,4,0),"NO")</f>
        <v>Si</v>
      </c>
      <c r="O137" s="26">
        <v>24</v>
      </c>
      <c r="P137" s="27" t="str">
        <f>IFERROR(VLOOKUP(F137,Back!C:E,3,0),"")</f>
        <v>Ferias Empresariales Antioquia</v>
      </c>
      <c r="Q137" s="27" t="str">
        <f>IFERROR(VLOOKUP(P137,Back!M:N,2,0),"")</f>
        <v>Antioquia</v>
      </c>
      <c r="R137" s="27" t="str">
        <f>IF(N137="Si",IFERROR(VLOOKUP(F137,'TD Cumpl'!B:AB,27,0),"No Aplica"),"No Aplica")</f>
        <v>Fluctúa</v>
      </c>
      <c r="S137" s="38"/>
      <c r="T137" s="36"/>
      <c r="Y137" s="54">
        <f t="shared" si="5"/>
        <v>54080769</v>
      </c>
    </row>
    <row r="138" spans="1:25" x14ac:dyDescent="0.25">
      <c r="A138" s="20">
        <f>+VLOOKUP(D138,Back!Q:R,2,0)</f>
        <v>4</v>
      </c>
      <c r="B138" s="20" t="str">
        <f t="shared" si="4"/>
        <v>2016 ABR</v>
      </c>
      <c r="C138" s="20">
        <v>2016</v>
      </c>
      <c r="D138" s="21" t="s">
        <v>140</v>
      </c>
      <c r="E138" s="21" t="s">
        <v>4</v>
      </c>
      <c r="F138" s="21">
        <v>79701425</v>
      </c>
      <c r="G138" s="21" t="s">
        <v>27</v>
      </c>
      <c r="H138" s="22">
        <v>9828271</v>
      </c>
      <c r="I138" s="22">
        <v>285400</v>
      </c>
      <c r="J138" s="22">
        <v>568545</v>
      </c>
      <c r="K138" s="23">
        <v>8974326</v>
      </c>
      <c r="L138" s="23">
        <v>18576923.07692308</v>
      </c>
      <c r="M138" s="24">
        <v>0.48309001242236016</v>
      </c>
      <c r="N138" s="25" t="str">
        <f>IFERROR(VLOOKUP(F138,Back!C:F,4,0),"NO")</f>
        <v>No</v>
      </c>
      <c r="O138" s="26">
        <v>24</v>
      </c>
      <c r="P138" s="27" t="str">
        <f>IFERROR(VLOOKUP(F138,Back!C:E,3,0),"")</f>
        <v>IPS Pto De Vista Olaya</v>
      </c>
      <c r="Q138" s="27" t="str">
        <f>IFERROR(VLOOKUP(P138,Back!M:N,2,0),"")</f>
        <v>Centro</v>
      </c>
      <c r="R138" s="27" t="str">
        <f>IF(N138="Si",IFERROR(VLOOKUP(F138,'TD Cumpl'!B:AB,27,0),"No Aplica"),"No Aplica")</f>
        <v>No Aplica</v>
      </c>
      <c r="S138" s="38"/>
      <c r="T138" s="36"/>
      <c r="Y138" s="54">
        <f t="shared" si="5"/>
        <v>9828271</v>
      </c>
    </row>
    <row r="139" spans="1:25" x14ac:dyDescent="0.25">
      <c r="A139" s="20">
        <f>+VLOOKUP(D139,Back!Q:R,2,0)</f>
        <v>4</v>
      </c>
      <c r="B139" s="20" t="str">
        <f t="shared" si="4"/>
        <v>2016 ABR</v>
      </c>
      <c r="C139" s="20">
        <v>2016</v>
      </c>
      <c r="D139" s="21" t="s">
        <v>140</v>
      </c>
      <c r="E139" s="21" t="s">
        <v>5</v>
      </c>
      <c r="F139" s="21">
        <v>34542470</v>
      </c>
      <c r="G139" s="21" t="s">
        <v>28</v>
      </c>
      <c r="H139" s="22">
        <v>29489503</v>
      </c>
      <c r="I139" s="22">
        <v>689400</v>
      </c>
      <c r="J139" s="22">
        <v>0</v>
      </c>
      <c r="K139" s="23">
        <v>28800103</v>
      </c>
      <c r="L139" s="23">
        <v>21000000</v>
      </c>
      <c r="M139" s="24">
        <v>1.3714334761904763</v>
      </c>
      <c r="N139" s="25" t="str">
        <f>IFERROR(VLOOKUP(F139,Back!C:F,4,0),"NO")</f>
        <v>Si</v>
      </c>
      <c r="O139" s="26">
        <v>24</v>
      </c>
      <c r="P139" s="27" t="str">
        <f>IFERROR(VLOOKUP(F139,Back!C:E,3,0),"")</f>
        <v>Optica Salud Sura Chipichape</v>
      </c>
      <c r="Q139" s="27" t="str">
        <f>IFERROR(VLOOKUP(P139,Back!M:N,2,0),"")</f>
        <v>Occidente</v>
      </c>
      <c r="R139" s="27" t="str">
        <f>IF(N139="Si",IFERROR(VLOOKUP(F139,'TD Cumpl'!B:AB,27,0),"No Aplica"),"No Aplica")</f>
        <v>Siempre Cumple</v>
      </c>
      <c r="S139" s="38"/>
      <c r="T139" s="36"/>
      <c r="Y139" s="54">
        <f t="shared" si="5"/>
        <v>29489503</v>
      </c>
    </row>
    <row r="140" spans="1:25" x14ac:dyDescent="0.25">
      <c r="A140" s="20">
        <f>+VLOOKUP(D140,Back!Q:R,2,0)</f>
        <v>4</v>
      </c>
      <c r="B140" s="20" t="str">
        <f t="shared" si="4"/>
        <v>2016 ABR</v>
      </c>
      <c r="C140" s="20">
        <v>2016</v>
      </c>
      <c r="D140" s="21" t="s">
        <v>140</v>
      </c>
      <c r="E140" s="21" t="s">
        <v>7</v>
      </c>
      <c r="F140" s="21">
        <v>43745952</v>
      </c>
      <c r="G140" s="21" t="s">
        <v>50</v>
      </c>
      <c r="H140" s="22">
        <v>28056895</v>
      </c>
      <c r="I140" s="22">
        <v>1254800</v>
      </c>
      <c r="J140" s="22">
        <v>2522971</v>
      </c>
      <c r="K140" s="23">
        <v>24279124</v>
      </c>
      <c r="L140" s="23">
        <v>12338461.538461538</v>
      </c>
      <c r="M140" s="24">
        <v>1.9677594264339153</v>
      </c>
      <c r="N140" s="25" t="str">
        <f>IFERROR(VLOOKUP(F140,Back!C:F,4,0),"NO")</f>
        <v>Si</v>
      </c>
      <c r="O140" s="26">
        <v>24</v>
      </c>
      <c r="P140" s="27" t="str">
        <f>IFERROR(VLOOKUP(F140,Back!C:E,3,0),"")</f>
        <v>IPS Pto De Vista Unicentro</v>
      </c>
      <c r="Q140" s="27" t="str">
        <f>IFERROR(VLOOKUP(P140,Back!M:N,2,0),"")</f>
        <v>Antioquia</v>
      </c>
      <c r="R140" s="27" t="str">
        <f>IF(N140="Si",IFERROR(VLOOKUP(F140,'TD Cumpl'!B:AB,27,0),"No Aplica"),"No Aplica")</f>
        <v>Siempre Cumple</v>
      </c>
      <c r="S140" s="38"/>
      <c r="T140" s="36"/>
      <c r="Y140" s="54">
        <f t="shared" si="5"/>
        <v>28056895</v>
      </c>
    </row>
    <row r="141" spans="1:25" x14ac:dyDescent="0.25">
      <c r="A141" s="20">
        <f>+VLOOKUP(D141,Back!Q:R,2,0)</f>
        <v>4</v>
      </c>
      <c r="B141" s="20" t="str">
        <f t="shared" si="4"/>
        <v>2016 ABR</v>
      </c>
      <c r="C141" s="20">
        <v>2016</v>
      </c>
      <c r="D141" s="21" t="s">
        <v>140</v>
      </c>
      <c r="E141" s="21" t="s">
        <v>8</v>
      </c>
      <c r="F141" s="21">
        <v>43259130</v>
      </c>
      <c r="G141" s="21" t="s">
        <v>51</v>
      </c>
      <c r="H141" s="22">
        <v>58511425</v>
      </c>
      <c r="I141" s="22">
        <v>2577500</v>
      </c>
      <c r="J141" s="22">
        <v>4183897</v>
      </c>
      <c r="K141" s="23">
        <v>51750028</v>
      </c>
      <c r="L141" s="23">
        <v>36000000</v>
      </c>
      <c r="M141" s="24">
        <v>1.4375007777777777</v>
      </c>
      <c r="N141" s="25" t="str">
        <f>IFERROR(VLOOKUP(F141,Back!C:F,4,0),"NO")</f>
        <v>Si</v>
      </c>
      <c r="O141" s="26">
        <v>24</v>
      </c>
      <c r="P141" s="27" t="str">
        <f>IFERROR(VLOOKUP(F141,Back!C:E,3,0),"")</f>
        <v>IPS Pto De Vista Molinos</v>
      </c>
      <c r="Q141" s="27" t="str">
        <f>IFERROR(VLOOKUP(P141,Back!M:N,2,0),"")</f>
        <v>Antioquia</v>
      </c>
      <c r="R141" s="27" t="str">
        <f>IF(N141="Si",IFERROR(VLOOKUP(F141,'TD Cumpl'!B:AB,27,0),"No Aplica"),"No Aplica")</f>
        <v>Fluctúa</v>
      </c>
      <c r="S141" s="38"/>
      <c r="T141" s="36"/>
      <c r="Y141" s="54">
        <f t="shared" si="5"/>
        <v>58511425</v>
      </c>
    </row>
    <row r="142" spans="1:25" x14ac:dyDescent="0.25">
      <c r="A142" s="20">
        <f>+VLOOKUP(D142,Back!Q:R,2,0)</f>
        <v>5</v>
      </c>
      <c r="B142" s="20" t="str">
        <f t="shared" si="4"/>
        <v>2016 MAY</v>
      </c>
      <c r="C142" s="20">
        <v>2016</v>
      </c>
      <c r="D142" s="21" t="s">
        <v>141</v>
      </c>
      <c r="E142" s="21" t="s">
        <v>9</v>
      </c>
      <c r="F142" s="21">
        <v>43169964</v>
      </c>
      <c r="G142" s="21" t="s">
        <v>155</v>
      </c>
      <c r="H142" s="22">
        <v>42249481</v>
      </c>
      <c r="I142" s="22">
        <v>1586000</v>
      </c>
      <c r="J142" s="22">
        <v>10452862</v>
      </c>
      <c r="K142" s="23">
        <v>30210619</v>
      </c>
      <c r="L142" s="23">
        <v>24916666.666666664</v>
      </c>
      <c r="M142" s="24">
        <v>1.2124663143812711</v>
      </c>
      <c r="N142" s="25" t="str">
        <f>IFERROR(VLOOKUP(F142,Back!C:F,4,0),"NO")</f>
        <v>Si</v>
      </c>
      <c r="O142" s="26">
        <v>24</v>
      </c>
      <c r="P142" s="27" t="str">
        <f>IFERROR(VLOOKUP(F142,Back!C:E,3,0),"")</f>
        <v>IPS Pto De Vista Molinos</v>
      </c>
      <c r="Q142" s="27" t="str">
        <f>IFERROR(VLOOKUP(P142,Back!M:N,2,0),"")</f>
        <v>Antioquia</v>
      </c>
      <c r="R142" s="27" t="str">
        <f>IF(N142="Si",IFERROR(VLOOKUP(F142,'TD Cumpl'!B:AB,27,0),"No Aplica"),"No Aplica")</f>
        <v>Cumple</v>
      </c>
      <c r="S142" s="38"/>
      <c r="T142" s="36"/>
      <c r="Y142" s="54">
        <f t="shared" si="5"/>
        <v>42249481</v>
      </c>
    </row>
    <row r="143" spans="1:25" x14ac:dyDescent="0.25">
      <c r="A143" s="20">
        <f>+VLOOKUP(D143,Back!Q:R,2,0)</f>
        <v>5</v>
      </c>
      <c r="B143" s="20" t="str">
        <f t="shared" si="4"/>
        <v>2016 MAY</v>
      </c>
      <c r="C143" s="20">
        <v>2016</v>
      </c>
      <c r="D143" s="21" t="s">
        <v>141</v>
      </c>
      <c r="E143" s="21" t="s">
        <v>11</v>
      </c>
      <c r="F143" s="21">
        <v>43253531</v>
      </c>
      <c r="G143" s="21" t="s">
        <v>39</v>
      </c>
      <c r="H143" s="22">
        <v>56480775</v>
      </c>
      <c r="I143" s="22">
        <v>2096100</v>
      </c>
      <c r="J143" s="22">
        <v>11903238</v>
      </c>
      <c r="K143" s="23">
        <v>42481437</v>
      </c>
      <c r="L143" s="23">
        <v>40000000</v>
      </c>
      <c r="M143" s="24">
        <v>1.062035925</v>
      </c>
      <c r="N143" s="25" t="str">
        <f>IFERROR(VLOOKUP(F143,Back!C:F,4,0),"NO")</f>
        <v>Si</v>
      </c>
      <c r="O143" s="26">
        <v>24</v>
      </c>
      <c r="P143" s="27" t="str">
        <f>IFERROR(VLOOKUP(F143,Back!C:E,3,0),"")</f>
        <v>IPS Punto de Vista Bello</v>
      </c>
      <c r="Q143" s="27" t="str">
        <f>IFERROR(VLOOKUP(P143,Back!M:N,2,0),"")</f>
        <v>Antioquia</v>
      </c>
      <c r="R143" s="27" t="str">
        <f>IF(N143="Si",IFERROR(VLOOKUP(F143,'TD Cumpl'!B:AB,27,0),"No Aplica"),"No Aplica")</f>
        <v>Cumple</v>
      </c>
      <c r="S143" s="38"/>
      <c r="T143" s="36"/>
      <c r="Y143" s="54">
        <f t="shared" si="5"/>
        <v>56480775</v>
      </c>
    </row>
    <row r="144" spans="1:25" x14ac:dyDescent="0.25">
      <c r="A144" s="20">
        <f>+VLOOKUP(D144,Back!Q:R,2,0)</f>
        <v>5</v>
      </c>
      <c r="B144" s="20" t="str">
        <f t="shared" si="4"/>
        <v>2016 MAY</v>
      </c>
      <c r="C144" s="20">
        <v>2016</v>
      </c>
      <c r="D144" s="21" t="s">
        <v>141</v>
      </c>
      <c r="E144" s="21" t="s">
        <v>66</v>
      </c>
      <c r="F144" s="21">
        <v>3438422</v>
      </c>
      <c r="G144" s="21" t="s">
        <v>71</v>
      </c>
      <c r="H144" s="22">
        <v>21305523</v>
      </c>
      <c r="I144" s="22">
        <v>0</v>
      </c>
      <c r="J144" s="22">
        <v>7439356</v>
      </c>
      <c r="K144" s="23">
        <v>13866167</v>
      </c>
      <c r="L144" s="23">
        <v>24080000</v>
      </c>
      <c r="M144" s="24">
        <v>0.5758375</v>
      </c>
      <c r="N144" s="25" t="str">
        <f>IFERROR(VLOOKUP(F144,Back!C:F,4,0),"NO")</f>
        <v>Si</v>
      </c>
      <c r="O144" s="26">
        <v>24</v>
      </c>
      <c r="P144" s="27" t="str">
        <f>IFERROR(VLOOKUP(F144,Back!C:E,3,0),"")</f>
        <v>IPS Pto De Vista Punto Clave</v>
      </c>
      <c r="Q144" s="27" t="str">
        <f>IFERROR(VLOOKUP(P144,Back!M:N,2,0),"")</f>
        <v>Antioquia</v>
      </c>
      <c r="R144" s="27" t="str">
        <f>IF(N144="Si",IFERROR(VLOOKUP(F144,'TD Cumpl'!B:AB,27,0),"No Aplica"),"No Aplica")</f>
        <v>Fluctúa</v>
      </c>
      <c r="S144" s="38"/>
      <c r="T144" s="36"/>
      <c r="Y144" s="54">
        <f t="shared" si="5"/>
        <v>21305523</v>
      </c>
    </row>
    <row r="145" spans="1:25" x14ac:dyDescent="0.25">
      <c r="A145" s="20">
        <f>+VLOOKUP(D145,Back!Q:R,2,0)</f>
        <v>5</v>
      </c>
      <c r="B145" s="20" t="str">
        <f t="shared" si="4"/>
        <v>2016 MAY</v>
      </c>
      <c r="C145" s="20">
        <v>2016</v>
      </c>
      <c r="D145" s="21" t="s">
        <v>141</v>
      </c>
      <c r="E145" s="21" t="s">
        <v>6</v>
      </c>
      <c r="F145" s="21">
        <v>43821410</v>
      </c>
      <c r="G145" s="21" t="s">
        <v>40</v>
      </c>
      <c r="H145" s="22">
        <v>19747742</v>
      </c>
      <c r="I145" s="22">
        <v>420000</v>
      </c>
      <c r="J145" s="22">
        <v>2276974</v>
      </c>
      <c r="K145" s="23">
        <v>17050768</v>
      </c>
      <c r="L145" s="23">
        <v>10025000</v>
      </c>
      <c r="M145" s="24">
        <v>1.7008247381546135</v>
      </c>
      <c r="N145" s="25" t="str">
        <f>IFERROR(VLOOKUP(F145,Back!C:F,4,0),"NO")</f>
        <v>Si</v>
      </c>
      <c r="O145" s="26">
        <v>24</v>
      </c>
      <c r="P145" s="27" t="str">
        <f>IFERROR(VLOOKUP(F145,Back!C:E,3,0),"")</f>
        <v>IPS Pto De Vista Unicentro</v>
      </c>
      <c r="Q145" s="27" t="str">
        <f>IFERROR(VLOOKUP(P145,Back!M:N,2,0),"")</f>
        <v>Antioquia</v>
      </c>
      <c r="R145" s="27" t="str">
        <f>IF(N145="Si",IFERROR(VLOOKUP(F145,'TD Cumpl'!B:AB,27,0),"No Aplica"),"No Aplica")</f>
        <v>Siempre Cumple</v>
      </c>
      <c r="S145" s="38"/>
      <c r="T145" s="36"/>
      <c r="Y145" s="54">
        <f t="shared" si="5"/>
        <v>19747742</v>
      </c>
    </row>
    <row r="146" spans="1:25" x14ac:dyDescent="0.25">
      <c r="A146" s="20">
        <f>+VLOOKUP(D146,Back!Q:R,2,0)</f>
        <v>5</v>
      </c>
      <c r="B146" s="20" t="str">
        <f t="shared" si="4"/>
        <v>2016 MAY</v>
      </c>
      <c r="C146" s="20">
        <v>2016</v>
      </c>
      <c r="D146" s="21" t="s">
        <v>141</v>
      </c>
      <c r="E146" s="21" t="s">
        <v>86</v>
      </c>
      <c r="F146" s="21"/>
      <c r="G146" s="21"/>
      <c r="H146" s="22">
        <v>273053</v>
      </c>
      <c r="I146" s="22">
        <v>0</v>
      </c>
      <c r="J146" s="22">
        <v>273053</v>
      </c>
      <c r="K146" s="23">
        <v>0</v>
      </c>
      <c r="L146" s="23"/>
      <c r="M146" s="24"/>
      <c r="N146" s="25" t="str">
        <f>IFERROR(VLOOKUP(F146,Back!C:F,4,0),"NO")</f>
        <v>NO</v>
      </c>
      <c r="O146" s="26">
        <v>24</v>
      </c>
      <c r="P146" s="27" t="str">
        <f>IFERROR(VLOOKUP(F146,Back!C:E,3,0),"")</f>
        <v/>
      </c>
      <c r="Q146" s="27" t="str">
        <f>IFERROR(VLOOKUP(P146,Back!M:N,2,0),"")</f>
        <v/>
      </c>
      <c r="R146" s="27" t="str">
        <f>IF(N146="Si",IFERROR(VLOOKUP(F146,'TD Cumpl'!B:AB,27,0),"No Aplica"),"No Aplica")</f>
        <v>No Aplica</v>
      </c>
      <c r="S146" s="38"/>
      <c r="T146" s="36"/>
      <c r="Y146" s="54">
        <f t="shared" si="5"/>
        <v>273053</v>
      </c>
    </row>
    <row r="147" spans="1:25" x14ac:dyDescent="0.25">
      <c r="A147" s="20">
        <f>+VLOOKUP(D147,Back!Q:R,2,0)</f>
        <v>5</v>
      </c>
      <c r="B147" s="20" t="str">
        <f t="shared" si="4"/>
        <v>2016 MAY</v>
      </c>
      <c r="C147" s="20">
        <v>2016</v>
      </c>
      <c r="D147" s="21" t="s">
        <v>141</v>
      </c>
      <c r="E147" s="21" t="s">
        <v>18</v>
      </c>
      <c r="F147" s="21">
        <v>39442617</v>
      </c>
      <c r="G147" s="21" t="s">
        <v>41</v>
      </c>
      <c r="H147" s="22">
        <v>52111297</v>
      </c>
      <c r="I147" s="22">
        <v>1089400</v>
      </c>
      <c r="J147" s="22">
        <v>14474545</v>
      </c>
      <c r="K147" s="23">
        <v>36547352</v>
      </c>
      <c r="L147" s="23">
        <v>37937500</v>
      </c>
      <c r="M147" s="24">
        <v>0.96335688962108734</v>
      </c>
      <c r="N147" s="25" t="str">
        <f>IFERROR(VLOOKUP(F147,Back!C:F,4,0),"NO")</f>
        <v>Si</v>
      </c>
      <c r="O147" s="26">
        <v>24</v>
      </c>
      <c r="P147" s="27" t="str">
        <f>IFERROR(VLOOKUP(F147,Back!C:E,3,0),"")</f>
        <v>IPS Pto De Vista San Diego</v>
      </c>
      <c r="Q147" s="27" t="str">
        <f>IFERROR(VLOOKUP(P147,Back!M:N,2,0),"")</f>
        <v>Antioquia</v>
      </c>
      <c r="R147" s="27" t="str">
        <f>IF(N147="Si",IFERROR(VLOOKUP(F147,'TD Cumpl'!B:AB,27,0),"No Aplica"),"No Aplica")</f>
        <v>Cumple</v>
      </c>
      <c r="S147" s="38"/>
      <c r="T147" s="36"/>
      <c r="Y147" s="54">
        <f t="shared" si="5"/>
        <v>52111297</v>
      </c>
    </row>
    <row r="148" spans="1:25" x14ac:dyDescent="0.25">
      <c r="A148" s="20">
        <f>+VLOOKUP(D148,Back!Q:R,2,0)</f>
        <v>5</v>
      </c>
      <c r="B148" s="20" t="str">
        <f t="shared" si="4"/>
        <v>2016 MAY</v>
      </c>
      <c r="C148" s="20">
        <v>2016</v>
      </c>
      <c r="D148" s="21" t="s">
        <v>141</v>
      </c>
      <c r="E148" s="21" t="s">
        <v>54</v>
      </c>
      <c r="F148" s="21">
        <v>1013628003</v>
      </c>
      <c r="G148" s="21" t="s">
        <v>55</v>
      </c>
      <c r="H148" s="22">
        <v>1654152</v>
      </c>
      <c r="I148" s="22">
        <v>356400</v>
      </c>
      <c r="J148" s="22">
        <v>278839</v>
      </c>
      <c r="K148" s="23">
        <v>1018913</v>
      </c>
      <c r="L148" s="23">
        <v>5416666.666666666</v>
      </c>
      <c r="M148" s="24">
        <v>0.18810701538461541</v>
      </c>
      <c r="N148" s="25" t="str">
        <f>IFERROR(VLOOKUP(F148,Back!C:F,4,0),"NO")</f>
        <v>NO</v>
      </c>
      <c r="O148" s="26">
        <v>24</v>
      </c>
      <c r="P148" s="27" t="str">
        <f>IFERROR(VLOOKUP(F148,Back!C:E,3,0),"")</f>
        <v/>
      </c>
      <c r="Q148" s="27" t="str">
        <f>IFERROR(VLOOKUP(P148,Back!M:N,2,0),"")</f>
        <v/>
      </c>
      <c r="R148" s="27" t="str">
        <f>IF(N148="Si",IFERROR(VLOOKUP(F148,'TD Cumpl'!B:AB,27,0),"No Aplica"),"No Aplica")</f>
        <v>No Aplica</v>
      </c>
      <c r="S148" s="38"/>
      <c r="T148" s="36"/>
      <c r="Y148" s="54">
        <f t="shared" si="5"/>
        <v>1654152</v>
      </c>
    </row>
    <row r="149" spans="1:25" x14ac:dyDescent="0.25">
      <c r="A149" s="20">
        <f>+VLOOKUP(D149,Back!Q:R,2,0)</f>
        <v>5</v>
      </c>
      <c r="B149" s="20" t="str">
        <f t="shared" si="4"/>
        <v>2016 MAY</v>
      </c>
      <c r="C149" s="20">
        <v>2016</v>
      </c>
      <c r="D149" s="21" t="s">
        <v>141</v>
      </c>
      <c r="E149" s="21" t="s">
        <v>482</v>
      </c>
      <c r="F149" s="21"/>
      <c r="G149" s="21"/>
      <c r="H149" s="22">
        <v>304060</v>
      </c>
      <c r="I149" s="22">
        <v>0</v>
      </c>
      <c r="J149" s="22">
        <v>0</v>
      </c>
      <c r="K149" s="23">
        <v>304060</v>
      </c>
      <c r="L149" s="23"/>
      <c r="M149" s="24"/>
      <c r="N149" s="25" t="str">
        <f>IFERROR(VLOOKUP(F149,Back!C:F,4,0),"NO")</f>
        <v>NO</v>
      </c>
      <c r="O149" s="26">
        <v>24</v>
      </c>
      <c r="P149" s="27" t="str">
        <f>IFERROR(VLOOKUP(F149,Back!C:E,3,0),"")</f>
        <v/>
      </c>
      <c r="Q149" s="27" t="str">
        <f>IFERROR(VLOOKUP(P149,Back!M:N,2,0),"")</f>
        <v/>
      </c>
      <c r="R149" s="27" t="str">
        <f>IF(N149="Si",IFERROR(VLOOKUP(F149,'TD Cumpl'!B:AB,27,0),"No Aplica"),"No Aplica")</f>
        <v>No Aplica</v>
      </c>
      <c r="S149" s="38"/>
      <c r="T149" s="36"/>
      <c r="Y149" s="54">
        <f t="shared" si="5"/>
        <v>304060</v>
      </c>
    </row>
    <row r="150" spans="1:25" x14ac:dyDescent="0.25">
      <c r="A150" s="20">
        <f>+VLOOKUP(D150,Back!Q:R,2,0)</f>
        <v>5</v>
      </c>
      <c r="B150" s="20" t="str">
        <f t="shared" si="4"/>
        <v>2016 MAY</v>
      </c>
      <c r="C150" s="20">
        <v>2016</v>
      </c>
      <c r="D150" s="21" t="s">
        <v>141</v>
      </c>
      <c r="E150" s="21" t="s">
        <v>56</v>
      </c>
      <c r="F150" s="21">
        <v>43971430</v>
      </c>
      <c r="G150" s="21" t="s">
        <v>142</v>
      </c>
      <c r="H150" s="22">
        <v>55515851</v>
      </c>
      <c r="I150" s="22">
        <v>1923400</v>
      </c>
      <c r="J150" s="22">
        <v>11094684</v>
      </c>
      <c r="K150" s="23">
        <v>42497767</v>
      </c>
      <c r="L150" s="23">
        <v>40000000</v>
      </c>
      <c r="M150" s="24">
        <v>1.062444175</v>
      </c>
      <c r="N150" s="25" t="str">
        <f>IFERROR(VLOOKUP(F150,Back!C:F,4,0),"NO")</f>
        <v>Si</v>
      </c>
      <c r="O150" s="26">
        <v>24</v>
      </c>
      <c r="P150" s="27" t="str">
        <f>IFERROR(VLOOKUP(F150,Back!C:E,3,0),"")</f>
        <v>IPS Pto De Vista Centro</v>
      </c>
      <c r="Q150" s="27" t="str">
        <f>IFERROR(VLOOKUP(P150,Back!M:N,2,0),"")</f>
        <v>Antioquia</v>
      </c>
      <c r="R150" s="27" t="str">
        <f>IF(N150="Si",IFERROR(VLOOKUP(F150,'TD Cumpl'!B:AB,27,0),"No Aplica"),"No Aplica")</f>
        <v>Siempre Cumple</v>
      </c>
      <c r="S150" s="38"/>
      <c r="T150" s="36"/>
      <c r="Y150" s="54">
        <f t="shared" si="5"/>
        <v>55515851</v>
      </c>
    </row>
    <row r="151" spans="1:25" x14ac:dyDescent="0.25">
      <c r="A151" s="20">
        <f>+VLOOKUP(D151,Back!Q:R,2,0)</f>
        <v>5</v>
      </c>
      <c r="B151" s="20" t="str">
        <f t="shared" si="4"/>
        <v>2016 MAY</v>
      </c>
      <c r="C151" s="20">
        <v>2016</v>
      </c>
      <c r="D151" s="21" t="s">
        <v>141</v>
      </c>
      <c r="E151" s="21" t="s">
        <v>59</v>
      </c>
      <c r="F151" s="21">
        <v>1030634664</v>
      </c>
      <c r="G151" s="21" t="s">
        <v>58</v>
      </c>
      <c r="H151" s="22">
        <v>52189801</v>
      </c>
      <c r="I151" s="22">
        <v>998900</v>
      </c>
      <c r="J151" s="22">
        <v>10177312</v>
      </c>
      <c r="K151" s="23">
        <v>41013589</v>
      </c>
      <c r="L151" s="23">
        <v>40000000</v>
      </c>
      <c r="M151" s="24">
        <v>1.025339725</v>
      </c>
      <c r="N151" s="25" t="str">
        <f>IFERROR(VLOOKUP(F151,Back!C:F,4,0),"NO")</f>
        <v>NO</v>
      </c>
      <c r="O151" s="26">
        <v>24</v>
      </c>
      <c r="P151" s="27" t="str">
        <f>IFERROR(VLOOKUP(F151,Back!C:E,3,0),"")</f>
        <v/>
      </c>
      <c r="Q151" s="27" t="str">
        <f>IFERROR(VLOOKUP(P151,Back!M:N,2,0),"")</f>
        <v/>
      </c>
      <c r="R151" s="27" t="str">
        <f>IF(N151="Si",IFERROR(VLOOKUP(F151,'TD Cumpl'!B:AB,27,0),"No Aplica"),"No Aplica")</f>
        <v>No Aplica</v>
      </c>
      <c r="S151" s="38"/>
      <c r="T151" s="36"/>
      <c r="Y151" s="54">
        <f t="shared" si="5"/>
        <v>52189801</v>
      </c>
    </row>
    <row r="152" spans="1:25" x14ac:dyDescent="0.25">
      <c r="A152" s="20">
        <f>+VLOOKUP(D152,Back!Q:R,2,0)</f>
        <v>5</v>
      </c>
      <c r="B152" s="20" t="str">
        <f t="shared" si="4"/>
        <v>2016 MAY</v>
      </c>
      <c r="C152" s="20">
        <v>2016</v>
      </c>
      <c r="D152" s="21" t="s">
        <v>141</v>
      </c>
      <c r="E152" s="21" t="s">
        <v>34</v>
      </c>
      <c r="F152" s="21">
        <v>43554403</v>
      </c>
      <c r="G152" s="21" t="s">
        <v>35</v>
      </c>
      <c r="H152" s="22">
        <v>60217905</v>
      </c>
      <c r="I152" s="22">
        <v>420000</v>
      </c>
      <c r="J152" s="22">
        <v>11910402</v>
      </c>
      <c r="K152" s="23">
        <v>47887503</v>
      </c>
      <c r="L152" s="23">
        <v>40000000</v>
      </c>
      <c r="M152" s="24">
        <v>1.1971875750000001</v>
      </c>
      <c r="N152" s="25" t="str">
        <f>IFERROR(VLOOKUP(F152,Back!C:F,4,0),"NO")</f>
        <v>Si</v>
      </c>
      <c r="O152" s="26">
        <v>24</v>
      </c>
      <c r="P152" s="27" t="str">
        <f>IFERROR(VLOOKUP(F152,Back!C:E,3,0),"")</f>
        <v>IPS Pto De Vista Centro</v>
      </c>
      <c r="Q152" s="27" t="str">
        <f>IFERROR(VLOOKUP(P152,Back!M:N,2,0),"")</f>
        <v>Antioquia</v>
      </c>
      <c r="R152" s="27" t="str">
        <f>IF(N152="Si",IFERROR(VLOOKUP(F152,'TD Cumpl'!B:AB,27,0),"No Aplica"),"No Aplica")</f>
        <v>Siempre Cumple</v>
      </c>
      <c r="S152" s="38"/>
      <c r="T152" s="36"/>
      <c r="Y152" s="54">
        <f t="shared" si="5"/>
        <v>60217905</v>
      </c>
    </row>
    <row r="153" spans="1:25" x14ac:dyDescent="0.25">
      <c r="A153" s="20">
        <f>+VLOOKUP(D153,Back!Q:R,2,0)</f>
        <v>5</v>
      </c>
      <c r="B153" s="20" t="str">
        <f t="shared" si="4"/>
        <v>2016 MAY</v>
      </c>
      <c r="C153" s="20">
        <v>2016</v>
      </c>
      <c r="D153" s="21" t="s">
        <v>141</v>
      </c>
      <c r="E153" s="21" t="s">
        <v>1</v>
      </c>
      <c r="F153" s="21">
        <v>23857915</v>
      </c>
      <c r="G153" s="21" t="s">
        <v>116</v>
      </c>
      <c r="H153" s="22">
        <v>17405268</v>
      </c>
      <c r="I153" s="22">
        <v>1138000</v>
      </c>
      <c r="J153" s="22">
        <v>2637503</v>
      </c>
      <c r="K153" s="23">
        <v>13629765</v>
      </c>
      <c r="L153" s="23">
        <v>20583333.333333332</v>
      </c>
      <c r="M153" s="24">
        <v>0.66217481781376519</v>
      </c>
      <c r="N153" s="25" t="str">
        <f>IFERROR(VLOOKUP(F153,Back!C:F,4,0),"NO")</f>
        <v>NO</v>
      </c>
      <c r="O153" s="26">
        <v>24</v>
      </c>
      <c r="P153" s="27" t="str">
        <f>IFERROR(VLOOKUP(F153,Back!C:E,3,0),"")</f>
        <v/>
      </c>
      <c r="Q153" s="27" t="str">
        <f>IFERROR(VLOOKUP(P153,Back!M:N,2,0),"")</f>
        <v/>
      </c>
      <c r="R153" s="27" t="str">
        <f>IF(N153="Si",IFERROR(VLOOKUP(F153,'TD Cumpl'!B:AB,27,0),"No Aplica"),"No Aplica")</f>
        <v>No Aplica</v>
      </c>
      <c r="S153" s="38"/>
      <c r="T153" s="36"/>
      <c r="Y153" s="54">
        <f t="shared" si="5"/>
        <v>17405268</v>
      </c>
    </row>
    <row r="154" spans="1:25" x14ac:dyDescent="0.25">
      <c r="A154" s="20">
        <f>+VLOOKUP(D154,Back!Q:R,2,0)</f>
        <v>5</v>
      </c>
      <c r="B154" s="20" t="str">
        <f t="shared" si="4"/>
        <v>2016 MAY</v>
      </c>
      <c r="C154" s="20">
        <v>2016</v>
      </c>
      <c r="D154" s="21" t="s">
        <v>141</v>
      </c>
      <c r="E154" s="21" t="s">
        <v>3</v>
      </c>
      <c r="F154" s="21">
        <v>52725011</v>
      </c>
      <c r="G154" s="21" t="s">
        <v>42</v>
      </c>
      <c r="H154" s="22">
        <v>20176198</v>
      </c>
      <c r="I154" s="22">
        <v>1047800</v>
      </c>
      <c r="J154" s="22">
        <v>3797051</v>
      </c>
      <c r="K154" s="23">
        <v>15331347</v>
      </c>
      <c r="L154" s="23">
        <v>21000000</v>
      </c>
      <c r="M154" s="24">
        <v>0.73006414285714283</v>
      </c>
      <c r="N154" s="25" t="str">
        <f>IFERROR(VLOOKUP(F154,Back!C:F,4,0),"NO")</f>
        <v>Si</v>
      </c>
      <c r="O154" s="26">
        <v>24</v>
      </c>
      <c r="P154" s="27" t="str">
        <f>IFERROR(VLOOKUP(F154,Back!C:E,3,0),"")</f>
        <v>IPS Pto De Vista Olaya</v>
      </c>
      <c r="Q154" s="27" t="str">
        <f>IFERROR(VLOOKUP(P154,Back!M:N,2,0),"")</f>
        <v>Centro</v>
      </c>
      <c r="R154" s="27" t="str">
        <f>IF(N154="Si",IFERROR(VLOOKUP(F154,'TD Cumpl'!B:AB,27,0),"No Aplica"),"No Aplica")</f>
        <v>Fluctúa</v>
      </c>
      <c r="S154" s="38"/>
      <c r="T154" s="36"/>
      <c r="Y154" s="54">
        <f t="shared" si="5"/>
        <v>20176198</v>
      </c>
    </row>
    <row r="155" spans="1:25" x14ac:dyDescent="0.25">
      <c r="A155" s="20">
        <f>+VLOOKUP(D155,Back!Q:R,2,0)</f>
        <v>5</v>
      </c>
      <c r="B155" s="20" t="str">
        <f t="shared" si="4"/>
        <v>2016 MAY</v>
      </c>
      <c r="C155" s="20">
        <v>2016</v>
      </c>
      <c r="D155" s="21" t="s">
        <v>141</v>
      </c>
      <c r="E155" s="21" t="s">
        <v>25</v>
      </c>
      <c r="F155" s="21">
        <v>1040030764</v>
      </c>
      <c r="G155" s="21" t="s">
        <v>43</v>
      </c>
      <c r="H155" s="22">
        <v>25002323</v>
      </c>
      <c r="I155" s="22">
        <v>1058100</v>
      </c>
      <c r="J155" s="22">
        <v>2584230</v>
      </c>
      <c r="K155" s="23">
        <v>21359993</v>
      </c>
      <c r="L155" s="23">
        <v>30100000</v>
      </c>
      <c r="M155" s="24">
        <v>0.70963431893687712</v>
      </c>
      <c r="N155" s="25" t="str">
        <f>IFERROR(VLOOKUP(F155,Back!C:F,4,0),"NO")</f>
        <v>Si</v>
      </c>
      <c r="O155" s="26">
        <v>24</v>
      </c>
      <c r="P155" s="27" t="str">
        <f>IFERROR(VLOOKUP(F155,Back!C:E,3,0),"")</f>
        <v>IPS Pto De Vista Rionegro</v>
      </c>
      <c r="Q155" s="27" t="str">
        <f>IFERROR(VLOOKUP(P155,Back!M:N,2,0),"")</f>
        <v>Antioquia</v>
      </c>
      <c r="R155" s="27" t="str">
        <f>IF(N155="Si",IFERROR(VLOOKUP(F155,'TD Cumpl'!B:AB,27,0),"No Aplica"),"No Aplica")</f>
        <v>Cumple</v>
      </c>
      <c r="S155" s="38"/>
      <c r="T155" s="36"/>
      <c r="Y155" s="54">
        <f t="shared" si="5"/>
        <v>25002323</v>
      </c>
    </row>
    <row r="156" spans="1:25" x14ac:dyDescent="0.25">
      <c r="A156" s="20">
        <f>+VLOOKUP(D156,Back!Q:R,2,0)</f>
        <v>5</v>
      </c>
      <c r="B156" s="20" t="str">
        <f t="shared" si="4"/>
        <v>2016 MAY</v>
      </c>
      <c r="C156" s="20">
        <v>2016</v>
      </c>
      <c r="D156" s="21" t="s">
        <v>141</v>
      </c>
      <c r="E156" s="21" t="s">
        <v>33</v>
      </c>
      <c r="F156" s="21">
        <v>31307503</v>
      </c>
      <c r="G156" s="21" t="s">
        <v>36</v>
      </c>
      <c r="H156" s="22">
        <v>24439162</v>
      </c>
      <c r="I156" s="22">
        <v>0</v>
      </c>
      <c r="J156" s="22">
        <v>0</v>
      </c>
      <c r="K156" s="23">
        <v>24439162</v>
      </c>
      <c r="L156" s="23">
        <v>30100000</v>
      </c>
      <c r="M156" s="24">
        <v>0.81193229235880404</v>
      </c>
      <c r="N156" s="25" t="str">
        <f>IFERROR(VLOOKUP(F156,Back!C:F,4,0),"NO")</f>
        <v>NO</v>
      </c>
      <c r="O156" s="26">
        <v>24</v>
      </c>
      <c r="P156" s="27" t="str">
        <f>IFERROR(VLOOKUP(F156,Back!C:E,3,0),"")</f>
        <v/>
      </c>
      <c r="Q156" s="27" t="str">
        <f>IFERROR(VLOOKUP(P156,Back!M:N,2,0),"")</f>
        <v/>
      </c>
      <c r="R156" s="27" t="str">
        <f>IF(N156="Si",IFERROR(VLOOKUP(F156,'TD Cumpl'!B:AB,27,0),"No Aplica"),"No Aplica")</f>
        <v>No Aplica</v>
      </c>
      <c r="S156" s="38"/>
      <c r="T156" s="36"/>
      <c r="Y156" s="54">
        <f t="shared" si="5"/>
        <v>24439162</v>
      </c>
    </row>
    <row r="157" spans="1:25" x14ac:dyDescent="0.25">
      <c r="A157" s="20">
        <f>+VLOOKUP(D157,Back!Q:R,2,0)</f>
        <v>5</v>
      </c>
      <c r="B157" s="20" t="str">
        <f t="shared" si="4"/>
        <v>2016 MAY</v>
      </c>
      <c r="C157" s="20">
        <v>2016</v>
      </c>
      <c r="D157" s="21" t="s">
        <v>141</v>
      </c>
      <c r="E157" s="21" t="s">
        <v>22</v>
      </c>
      <c r="F157" s="21">
        <v>42164020</v>
      </c>
      <c r="G157" s="21" t="s">
        <v>105</v>
      </c>
      <c r="H157" s="22">
        <v>42807644</v>
      </c>
      <c r="I157" s="22">
        <v>0</v>
      </c>
      <c r="J157" s="22">
        <v>12075166</v>
      </c>
      <c r="K157" s="23">
        <v>30732478</v>
      </c>
      <c r="L157" s="23">
        <v>28333333.333333336</v>
      </c>
      <c r="M157" s="24">
        <v>1.084675694117647</v>
      </c>
      <c r="N157" s="25" t="str">
        <f>IFERROR(VLOOKUP(F157,Back!C:F,4,0),"NO")</f>
        <v>Si</v>
      </c>
      <c r="O157" s="26">
        <v>24</v>
      </c>
      <c r="P157" s="27" t="str">
        <f>IFERROR(VLOOKUP(F157,Back!C:E,3,0),"")</f>
        <v>IPS Pto De Vista Molinos</v>
      </c>
      <c r="Q157" s="27" t="str">
        <f>IFERROR(VLOOKUP(P157,Back!M:N,2,0),"")</f>
        <v>Antioquia</v>
      </c>
      <c r="R157" s="27" t="str">
        <f>IF(N157="Si",IFERROR(VLOOKUP(F157,'TD Cumpl'!B:AB,27,0),"No Aplica"),"No Aplica")</f>
        <v>Siempre Cumple</v>
      </c>
      <c r="S157" s="38"/>
      <c r="T157" s="36"/>
      <c r="Y157" s="54">
        <f t="shared" si="5"/>
        <v>42807644</v>
      </c>
    </row>
    <row r="158" spans="1:25" x14ac:dyDescent="0.25">
      <c r="A158" s="20">
        <f>+VLOOKUP(D158,Back!Q:R,2,0)</f>
        <v>5</v>
      </c>
      <c r="B158" s="20" t="str">
        <f t="shared" si="4"/>
        <v>2016 MAY</v>
      </c>
      <c r="C158" s="20">
        <v>2016</v>
      </c>
      <c r="D158" s="21" t="s">
        <v>141</v>
      </c>
      <c r="E158" s="21" t="s">
        <v>21</v>
      </c>
      <c r="F158" s="21">
        <v>1035417626</v>
      </c>
      <c r="G158" s="21" t="s">
        <v>80</v>
      </c>
      <c r="H158" s="22">
        <v>12747561</v>
      </c>
      <c r="I158" s="22">
        <v>285400</v>
      </c>
      <c r="J158" s="22">
        <v>1806410</v>
      </c>
      <c r="K158" s="23">
        <v>10655751</v>
      </c>
      <c r="L158" s="23">
        <v>10500000</v>
      </c>
      <c r="M158" s="24">
        <v>1.0148334285714287</v>
      </c>
      <c r="N158" s="25" t="str">
        <f>IFERROR(VLOOKUP(F158,Back!C:F,4,0),"NO")</f>
        <v>Si</v>
      </c>
      <c r="O158" s="26">
        <v>24</v>
      </c>
      <c r="P158" s="27" t="str">
        <f>IFERROR(VLOOKUP(F158,Back!C:E,3,0),"")</f>
        <v>IPS Pto De Vista Unicentro</v>
      </c>
      <c r="Q158" s="27" t="str">
        <f>IFERROR(VLOOKUP(P158,Back!M:N,2,0),"")</f>
        <v>Antioquia</v>
      </c>
      <c r="R158" s="27" t="str">
        <f>IF(N158="Si",IFERROR(VLOOKUP(F158,'TD Cumpl'!B:AB,27,0),"No Aplica"),"No Aplica")</f>
        <v>Cumple</v>
      </c>
      <c r="S158" s="38"/>
      <c r="T158" s="36"/>
      <c r="Y158" s="54">
        <f t="shared" si="5"/>
        <v>12747561</v>
      </c>
    </row>
    <row r="159" spans="1:25" x14ac:dyDescent="0.25">
      <c r="A159" s="20">
        <f>+VLOOKUP(D159,Back!Q:R,2,0)</f>
        <v>5</v>
      </c>
      <c r="B159" s="20" t="str">
        <f t="shared" si="4"/>
        <v>2016 MAY</v>
      </c>
      <c r="C159" s="20">
        <v>2016</v>
      </c>
      <c r="D159" s="21" t="s">
        <v>141</v>
      </c>
      <c r="E159" s="21" t="s">
        <v>57</v>
      </c>
      <c r="F159" s="21">
        <v>43874518</v>
      </c>
      <c r="G159" s="21" t="s">
        <v>60</v>
      </c>
      <c r="H159" s="22">
        <v>45635536</v>
      </c>
      <c r="I159" s="22">
        <v>702700</v>
      </c>
      <c r="J159" s="22">
        <v>8863927</v>
      </c>
      <c r="K159" s="23">
        <v>36068909</v>
      </c>
      <c r="L159" s="23">
        <v>40000000</v>
      </c>
      <c r="M159" s="24">
        <v>0.90172272499999995</v>
      </c>
      <c r="N159" s="25" t="str">
        <f>IFERROR(VLOOKUP(F159,Back!C:F,4,0),"NO")</f>
        <v>Si</v>
      </c>
      <c r="O159" s="26">
        <v>24</v>
      </c>
      <c r="P159" s="27" t="str">
        <f>IFERROR(VLOOKUP(F159,Back!C:E,3,0),"")</f>
        <v>IPS Pto De Vista Punto Clave</v>
      </c>
      <c r="Q159" s="27" t="str">
        <f>IFERROR(VLOOKUP(P159,Back!M:N,2,0),"")</f>
        <v>Antioquia</v>
      </c>
      <c r="R159" s="27" t="str">
        <f>IF(N159="Si",IFERROR(VLOOKUP(F159,'TD Cumpl'!B:AB,27,0),"No Aplica"),"No Aplica")</f>
        <v>Fluctúa</v>
      </c>
      <c r="S159" s="38"/>
      <c r="T159" s="36"/>
      <c r="Y159" s="54">
        <f t="shared" si="5"/>
        <v>45635536</v>
      </c>
    </row>
    <row r="160" spans="1:25" x14ac:dyDescent="0.25">
      <c r="A160" s="20">
        <f>+VLOOKUP(D160,Back!Q:R,2,0)</f>
        <v>5</v>
      </c>
      <c r="B160" s="20" t="str">
        <f t="shared" si="4"/>
        <v>2016 MAY</v>
      </c>
      <c r="C160" s="20">
        <v>2016</v>
      </c>
      <c r="D160" s="21" t="s">
        <v>141</v>
      </c>
      <c r="E160" s="21" t="s">
        <v>2</v>
      </c>
      <c r="F160" s="21">
        <v>52260671</v>
      </c>
      <c r="G160" s="21" t="s">
        <v>26</v>
      </c>
      <c r="H160" s="22">
        <v>12618158</v>
      </c>
      <c r="I160" s="22">
        <v>1306000</v>
      </c>
      <c r="J160" s="22">
        <v>2437232</v>
      </c>
      <c r="K160" s="23">
        <v>8874926</v>
      </c>
      <c r="L160" s="23">
        <v>26000000</v>
      </c>
      <c r="M160" s="24">
        <v>0.3413433076923077</v>
      </c>
      <c r="N160" s="25" t="str">
        <f>IFERROR(VLOOKUP(F160,Back!C:F,4,0),"NO")</f>
        <v>Si</v>
      </c>
      <c r="O160" s="26">
        <v>24</v>
      </c>
      <c r="P160" s="27" t="str">
        <f>IFERROR(VLOOKUP(F160,Back!C:E,3,0),"")</f>
        <v>IPS Pto De Vista Santa Bárbara</v>
      </c>
      <c r="Q160" s="27" t="str">
        <f>IFERROR(VLOOKUP(P160,Back!M:N,2,0),"")</f>
        <v>Centro</v>
      </c>
      <c r="R160" s="27" t="str">
        <f>IF(N160="Si",IFERROR(VLOOKUP(F160,'TD Cumpl'!B:AB,27,0),"No Aplica"),"No Aplica")</f>
        <v>Siempre Cumple</v>
      </c>
      <c r="S160" s="38"/>
      <c r="T160" s="36"/>
      <c r="Y160" s="54">
        <f t="shared" si="5"/>
        <v>12618158</v>
      </c>
    </row>
    <row r="161" spans="1:25" x14ac:dyDescent="0.25">
      <c r="A161" s="20">
        <f>+VLOOKUP(D161,Back!Q:R,2,0)</f>
        <v>5</v>
      </c>
      <c r="B161" s="20" t="str">
        <f t="shared" si="4"/>
        <v>2016 MAY</v>
      </c>
      <c r="C161" s="20">
        <v>2016</v>
      </c>
      <c r="D161" s="21" t="s">
        <v>141</v>
      </c>
      <c r="E161" s="21" t="s">
        <v>37</v>
      </c>
      <c r="F161" s="21">
        <v>1036779770</v>
      </c>
      <c r="G161" s="21" t="s">
        <v>52</v>
      </c>
      <c r="H161" s="22">
        <v>32504174</v>
      </c>
      <c r="I161" s="22">
        <v>2527200</v>
      </c>
      <c r="J161" s="22">
        <v>3471546</v>
      </c>
      <c r="K161" s="23">
        <v>26505428</v>
      </c>
      <c r="L161" s="23">
        <v>30100000</v>
      </c>
      <c r="M161" s="24">
        <v>0.88057900332225914</v>
      </c>
      <c r="N161" s="25" t="str">
        <f>IFERROR(VLOOKUP(F161,Back!C:F,4,0),"NO")</f>
        <v>No</v>
      </c>
      <c r="O161" s="26">
        <v>24</v>
      </c>
      <c r="P161" s="27" t="str">
        <f>IFERROR(VLOOKUP(F161,Back!C:E,3,0),"")</f>
        <v>IPS Pto De Vista Rionegro</v>
      </c>
      <c r="Q161" s="27" t="str">
        <f>IFERROR(VLOOKUP(P161,Back!M:N,2,0),"")</f>
        <v>Antioquia</v>
      </c>
      <c r="R161" s="27" t="str">
        <f>IF(N161="Si",IFERROR(VLOOKUP(F161,'TD Cumpl'!B:AB,27,0),"No Aplica"),"No Aplica")</f>
        <v>No Aplica</v>
      </c>
      <c r="S161" s="38"/>
      <c r="T161" s="36"/>
      <c r="Y161" s="54">
        <f t="shared" si="5"/>
        <v>32504174</v>
      </c>
    </row>
    <row r="162" spans="1:25" x14ac:dyDescent="0.25">
      <c r="A162" s="20">
        <f>+VLOOKUP(D162,Back!Q:R,2,0)</f>
        <v>5</v>
      </c>
      <c r="B162" s="20" t="str">
        <f t="shared" si="4"/>
        <v>2016 MAY</v>
      </c>
      <c r="C162" s="20">
        <v>2016</v>
      </c>
      <c r="D162" s="21" t="s">
        <v>141</v>
      </c>
      <c r="E162" s="21" t="s">
        <v>68</v>
      </c>
      <c r="F162" s="21">
        <v>1017207399</v>
      </c>
      <c r="G162" s="21" t="s">
        <v>70</v>
      </c>
      <c r="H162" s="22">
        <v>30910682</v>
      </c>
      <c r="I162" s="22">
        <v>0</v>
      </c>
      <c r="J162" s="22">
        <v>9985478</v>
      </c>
      <c r="K162" s="23">
        <v>20925204</v>
      </c>
      <c r="L162" s="23">
        <v>30746666.666666668</v>
      </c>
      <c r="M162" s="24">
        <v>0.68056821335646134</v>
      </c>
      <c r="N162" s="25" t="str">
        <f>IFERROR(VLOOKUP(F162,Back!C:F,4,0),"NO")</f>
        <v>NO</v>
      </c>
      <c r="O162" s="26">
        <v>24</v>
      </c>
      <c r="P162" s="27" t="str">
        <f>IFERROR(VLOOKUP(F162,Back!C:E,3,0),"")</f>
        <v/>
      </c>
      <c r="Q162" s="27" t="str">
        <f>IFERROR(VLOOKUP(P162,Back!M:N,2,0),"")</f>
        <v/>
      </c>
      <c r="R162" s="27" t="str">
        <f>IF(N162="Si",IFERROR(VLOOKUP(F162,'TD Cumpl'!B:AB,27,0),"No Aplica"),"No Aplica")</f>
        <v>No Aplica</v>
      </c>
      <c r="S162" s="38"/>
      <c r="T162" s="36"/>
      <c r="Y162" s="54">
        <f t="shared" si="5"/>
        <v>30910682</v>
      </c>
    </row>
    <row r="163" spans="1:25" x14ac:dyDescent="0.25">
      <c r="A163" s="20">
        <f>+VLOOKUP(D163,Back!Q:R,2,0)</f>
        <v>5</v>
      </c>
      <c r="B163" s="20" t="str">
        <f t="shared" si="4"/>
        <v>2016 MAY</v>
      </c>
      <c r="C163" s="20">
        <v>2016</v>
      </c>
      <c r="D163" s="21" t="s">
        <v>141</v>
      </c>
      <c r="E163" s="21" t="s">
        <v>64</v>
      </c>
      <c r="F163" s="21">
        <v>1036598360</v>
      </c>
      <c r="G163" s="21" t="s">
        <v>146</v>
      </c>
      <c r="H163" s="22">
        <v>49511959</v>
      </c>
      <c r="I163" s="22">
        <v>2432900</v>
      </c>
      <c r="J163" s="22">
        <v>12166794</v>
      </c>
      <c r="K163" s="23">
        <v>34912265</v>
      </c>
      <c r="L163" s="23">
        <v>26133333.333333336</v>
      </c>
      <c r="M163" s="24">
        <v>1.3359285076530611</v>
      </c>
      <c r="N163" s="25" t="str">
        <f>IFERROR(VLOOKUP(F163,Back!C:F,4,0),"NO")</f>
        <v>Si</v>
      </c>
      <c r="O163" s="26">
        <v>24</v>
      </c>
      <c r="P163" s="27" t="str">
        <f>IFERROR(VLOOKUP(F163,Back!C:E,3,0),"")</f>
        <v>IPS Pto De Vista Punto Clave</v>
      </c>
      <c r="Q163" s="27" t="str">
        <f>IFERROR(VLOOKUP(P163,Back!M:N,2,0),"")</f>
        <v>Antioquia</v>
      </c>
      <c r="R163" s="27" t="str">
        <f>IF(N163="Si",IFERROR(VLOOKUP(F163,'TD Cumpl'!B:AB,27,0),"No Aplica"),"No Aplica")</f>
        <v>Fluctúa</v>
      </c>
      <c r="S163" s="38"/>
      <c r="T163" s="36"/>
      <c r="Y163" s="54">
        <f t="shared" si="5"/>
        <v>49511959</v>
      </c>
    </row>
    <row r="164" spans="1:25" x14ac:dyDescent="0.25">
      <c r="A164" s="20">
        <f>+VLOOKUP(D164,Back!Q:R,2,0)</f>
        <v>5</v>
      </c>
      <c r="B164" s="20" t="str">
        <f t="shared" si="4"/>
        <v>2016 MAY</v>
      </c>
      <c r="C164" s="20">
        <v>2016</v>
      </c>
      <c r="D164" s="21" t="s">
        <v>141</v>
      </c>
      <c r="E164" s="21" t="s">
        <v>20</v>
      </c>
      <c r="F164" s="21">
        <v>1017141451</v>
      </c>
      <c r="G164" s="21" t="s">
        <v>44</v>
      </c>
      <c r="H164" s="22">
        <v>54872248</v>
      </c>
      <c r="I164" s="22">
        <v>1284230</v>
      </c>
      <c r="J164" s="22">
        <v>11684285</v>
      </c>
      <c r="K164" s="23">
        <v>41903733</v>
      </c>
      <c r="L164" s="23">
        <v>36000000</v>
      </c>
      <c r="M164" s="24">
        <v>1.1639925833333333</v>
      </c>
      <c r="N164" s="25" t="str">
        <f>IFERROR(VLOOKUP(F164,Back!C:F,4,0),"NO")</f>
        <v>Si</v>
      </c>
      <c r="O164" s="26">
        <v>24</v>
      </c>
      <c r="P164" s="27" t="str">
        <f>IFERROR(VLOOKUP(F164,Back!C:E,3,0),"")</f>
        <v>IPS Pto De Vista Molinos</v>
      </c>
      <c r="Q164" s="27" t="str">
        <f>IFERROR(VLOOKUP(P164,Back!M:N,2,0),"")</f>
        <v>Antioquia</v>
      </c>
      <c r="R164" s="27" t="str">
        <f>IF(N164="Si",IFERROR(VLOOKUP(F164,'TD Cumpl'!B:AB,27,0),"No Aplica"),"No Aplica")</f>
        <v>Siempre Cumple</v>
      </c>
      <c r="S164" s="38"/>
      <c r="T164" s="36"/>
      <c r="Y164" s="54">
        <f t="shared" si="5"/>
        <v>54872248</v>
      </c>
    </row>
    <row r="165" spans="1:25" x14ac:dyDescent="0.25">
      <c r="A165" s="20">
        <f>+VLOOKUP(D165,Back!Q:R,2,0)</f>
        <v>5</v>
      </c>
      <c r="B165" s="20" t="str">
        <f t="shared" si="4"/>
        <v>2016 MAY</v>
      </c>
      <c r="C165" s="20">
        <v>2016</v>
      </c>
      <c r="D165" s="21" t="s">
        <v>141</v>
      </c>
      <c r="E165" s="21" t="s">
        <v>67</v>
      </c>
      <c r="F165" s="21">
        <v>43758991</v>
      </c>
      <c r="G165" s="21" t="s">
        <v>69</v>
      </c>
      <c r="H165" s="22">
        <v>19323149</v>
      </c>
      <c r="I165" s="22">
        <v>0</v>
      </c>
      <c r="J165" s="22">
        <v>5918700</v>
      </c>
      <c r="K165" s="23">
        <v>13404449</v>
      </c>
      <c r="L165" s="23">
        <v>24080000</v>
      </c>
      <c r="M165" s="24">
        <v>0.55666316445182729</v>
      </c>
      <c r="N165" s="25" t="str">
        <f>IFERROR(VLOOKUP(F165,Back!C:F,4,0),"NO")</f>
        <v>NO</v>
      </c>
      <c r="O165" s="26">
        <v>24</v>
      </c>
      <c r="P165" s="27" t="str">
        <f>IFERROR(VLOOKUP(F165,Back!C:E,3,0),"")</f>
        <v/>
      </c>
      <c r="Q165" s="27" t="str">
        <f>IFERROR(VLOOKUP(P165,Back!M:N,2,0),"")</f>
        <v/>
      </c>
      <c r="R165" s="27" t="str">
        <f>IF(N165="Si",IFERROR(VLOOKUP(F165,'TD Cumpl'!B:AB,27,0),"No Aplica"),"No Aplica")</f>
        <v>No Aplica</v>
      </c>
      <c r="S165" s="38"/>
      <c r="T165" s="36"/>
      <c r="Y165" s="54">
        <f t="shared" si="5"/>
        <v>19323149</v>
      </c>
    </row>
    <row r="166" spans="1:25" x14ac:dyDescent="0.25">
      <c r="A166" s="20">
        <f>+VLOOKUP(D166,Back!Q:R,2,0)</f>
        <v>5</v>
      </c>
      <c r="B166" s="20" t="str">
        <f t="shared" si="4"/>
        <v>2016 MAY</v>
      </c>
      <c r="C166" s="20">
        <v>2016</v>
      </c>
      <c r="D166" s="21" t="s">
        <v>141</v>
      </c>
      <c r="E166" s="21" t="s">
        <v>19</v>
      </c>
      <c r="F166" s="21">
        <v>43343234</v>
      </c>
      <c r="G166" s="21" t="s">
        <v>477</v>
      </c>
      <c r="H166" s="22">
        <v>33681412</v>
      </c>
      <c r="I166" s="22">
        <v>1165530</v>
      </c>
      <c r="J166" s="22">
        <v>6176598</v>
      </c>
      <c r="K166" s="23">
        <v>26339284</v>
      </c>
      <c r="L166" s="23">
        <v>29904166.666666664</v>
      </c>
      <c r="M166" s="24">
        <v>0.88078976731224756</v>
      </c>
      <c r="N166" s="25" t="str">
        <f>IFERROR(VLOOKUP(F166,Back!C:F,4,0),"NO")</f>
        <v>NO</v>
      </c>
      <c r="O166" s="26">
        <v>24</v>
      </c>
      <c r="P166" s="27" t="str">
        <f>IFERROR(VLOOKUP(F166,Back!C:E,3,0),"")</f>
        <v/>
      </c>
      <c r="Q166" s="27" t="str">
        <f>IFERROR(VLOOKUP(P166,Back!M:N,2,0),"")</f>
        <v/>
      </c>
      <c r="R166" s="27" t="str">
        <f>IF(N166="Si",IFERROR(VLOOKUP(F166,'TD Cumpl'!B:AB,27,0),"No Aplica"),"No Aplica")</f>
        <v>No Aplica</v>
      </c>
      <c r="S166" s="38"/>
      <c r="T166" s="36"/>
      <c r="Y166" s="54">
        <f t="shared" si="5"/>
        <v>33681412</v>
      </c>
    </row>
    <row r="167" spans="1:25" x14ac:dyDescent="0.25">
      <c r="A167" s="20">
        <f>+VLOOKUP(D167,Back!Q:R,2,0)</f>
        <v>5</v>
      </c>
      <c r="B167" s="20" t="str">
        <f t="shared" si="4"/>
        <v>2016 MAY</v>
      </c>
      <c r="C167" s="20">
        <v>2016</v>
      </c>
      <c r="D167" s="21" t="s">
        <v>141</v>
      </c>
      <c r="E167" s="21" t="s">
        <v>38</v>
      </c>
      <c r="F167" s="21">
        <v>43745192</v>
      </c>
      <c r="G167" s="21" t="s">
        <v>45</v>
      </c>
      <c r="H167" s="22">
        <v>29786095</v>
      </c>
      <c r="I167" s="22">
        <v>663030</v>
      </c>
      <c r="J167" s="22">
        <v>0</v>
      </c>
      <c r="K167" s="23">
        <v>29123065</v>
      </c>
      <c r="L167" s="23">
        <v>21000000</v>
      </c>
      <c r="M167" s="24">
        <v>1.3868126190476191</v>
      </c>
      <c r="N167" s="25" t="str">
        <f>IFERROR(VLOOKUP(F167,Back!C:F,4,0),"NO")</f>
        <v>Si</v>
      </c>
      <c r="O167" s="26">
        <v>24</v>
      </c>
      <c r="P167" s="27" t="str">
        <f>IFERROR(VLOOKUP(F167,Back!C:E,3,0),"")</f>
        <v>IPS Punto de Vista Mayorca</v>
      </c>
      <c r="Q167" s="27" t="str">
        <f>IFERROR(VLOOKUP(P167,Back!M:N,2,0),"")</f>
        <v>Antioquia</v>
      </c>
      <c r="R167" s="27" t="str">
        <f>IF(N167="Si",IFERROR(VLOOKUP(F167,'TD Cumpl'!B:AB,27,0),"No Aplica"),"No Aplica")</f>
        <v>Cumple</v>
      </c>
      <c r="S167" s="38"/>
      <c r="T167" s="36"/>
      <c r="Y167" s="54">
        <f t="shared" si="5"/>
        <v>29786095</v>
      </c>
    </row>
    <row r="168" spans="1:25" x14ac:dyDescent="0.25">
      <c r="A168" s="20">
        <f>+VLOOKUP(D168,Back!Q:R,2,0)</f>
        <v>5</v>
      </c>
      <c r="B168" s="20" t="str">
        <f t="shared" si="4"/>
        <v>2016 MAY</v>
      </c>
      <c r="C168" s="20">
        <v>2016</v>
      </c>
      <c r="D168" s="21" t="s">
        <v>141</v>
      </c>
      <c r="E168" s="21" t="s">
        <v>13</v>
      </c>
      <c r="F168" s="21">
        <v>43866877</v>
      </c>
      <c r="G168" s="21" t="s">
        <v>46</v>
      </c>
      <c r="H168" s="22">
        <v>55537686</v>
      </c>
      <c r="I168" s="22">
        <v>684000</v>
      </c>
      <c r="J168" s="22">
        <v>11456572</v>
      </c>
      <c r="K168" s="23">
        <v>43397114</v>
      </c>
      <c r="L168" s="23">
        <v>40000000</v>
      </c>
      <c r="M168" s="24">
        <v>1.0849278499999999</v>
      </c>
      <c r="N168" s="25" t="str">
        <f>IFERROR(VLOOKUP(F168,Back!C:F,4,0),"NO")</f>
        <v>Si</v>
      </c>
      <c r="O168" s="26">
        <v>24</v>
      </c>
      <c r="P168" s="27" t="str">
        <f>IFERROR(VLOOKUP(F168,Back!C:E,3,0),"")</f>
        <v>IPS Pto De Vista Centro</v>
      </c>
      <c r="Q168" s="27" t="str">
        <f>IFERROR(VLOOKUP(P168,Back!M:N,2,0),"")</f>
        <v>Antioquia</v>
      </c>
      <c r="R168" s="27" t="str">
        <f>IF(N168="Si",IFERROR(VLOOKUP(F168,'TD Cumpl'!B:AB,27,0),"No Aplica"),"No Aplica")</f>
        <v>Siempre Cumple</v>
      </c>
      <c r="S168" s="38"/>
      <c r="T168" s="36"/>
      <c r="Y168" s="54">
        <f t="shared" si="5"/>
        <v>55537686</v>
      </c>
    </row>
    <row r="169" spans="1:25" x14ac:dyDescent="0.25">
      <c r="A169" s="20">
        <f>+VLOOKUP(D169,Back!Q:R,2,0)</f>
        <v>5</v>
      </c>
      <c r="B169" s="20" t="str">
        <f t="shared" si="4"/>
        <v>2016 MAY</v>
      </c>
      <c r="C169" s="20">
        <v>2016</v>
      </c>
      <c r="D169" s="21" t="s">
        <v>141</v>
      </c>
      <c r="E169" s="21" t="s">
        <v>17</v>
      </c>
      <c r="F169" s="21">
        <v>43113640</v>
      </c>
      <c r="G169" s="21" t="s">
        <v>47</v>
      </c>
      <c r="H169" s="22">
        <v>42966417</v>
      </c>
      <c r="I169" s="22">
        <v>0</v>
      </c>
      <c r="J169" s="22">
        <v>10085155</v>
      </c>
      <c r="K169" s="23">
        <v>32881262</v>
      </c>
      <c r="L169" s="23">
        <v>33000000</v>
      </c>
      <c r="M169" s="24">
        <v>0.99640187878787878</v>
      </c>
      <c r="N169" s="25" t="str">
        <f>IFERROR(VLOOKUP(F169,Back!C:F,4,0),"NO")</f>
        <v>Si</v>
      </c>
      <c r="O169" s="26">
        <v>24</v>
      </c>
      <c r="P169" s="27" t="str">
        <f>IFERROR(VLOOKUP(F169,Back!C:E,3,0),"")</f>
        <v>IPS Pto De Vista San Diego</v>
      </c>
      <c r="Q169" s="27" t="str">
        <f>IFERROR(VLOOKUP(P169,Back!M:N,2,0),"")</f>
        <v>Antioquia</v>
      </c>
      <c r="R169" s="27" t="str">
        <f>IF(N169="Si",IFERROR(VLOOKUP(F169,'TD Cumpl'!B:AB,27,0),"No Aplica"),"No Aplica")</f>
        <v>Cumple</v>
      </c>
      <c r="S169" s="38"/>
      <c r="T169" s="36"/>
      <c r="Y169" s="54">
        <f t="shared" si="5"/>
        <v>42966417</v>
      </c>
    </row>
    <row r="170" spans="1:25" x14ac:dyDescent="0.25">
      <c r="A170" s="20">
        <f>+VLOOKUP(D170,Back!Q:R,2,0)</f>
        <v>5</v>
      </c>
      <c r="B170" s="20" t="str">
        <f t="shared" si="4"/>
        <v>2016 MAY</v>
      </c>
      <c r="C170" s="20">
        <v>2016</v>
      </c>
      <c r="D170" s="21" t="s">
        <v>141</v>
      </c>
      <c r="E170" s="21" t="s">
        <v>24</v>
      </c>
      <c r="F170" s="21">
        <v>39448823</v>
      </c>
      <c r="G170" s="21" t="s">
        <v>48</v>
      </c>
      <c r="H170" s="22">
        <v>33183982</v>
      </c>
      <c r="I170" s="22">
        <v>1378700</v>
      </c>
      <c r="J170" s="22">
        <v>4184652</v>
      </c>
      <c r="K170" s="23">
        <v>27620630</v>
      </c>
      <c r="L170" s="23">
        <v>23829166.666666668</v>
      </c>
      <c r="M170" s="24">
        <v>1.1591101940898758</v>
      </c>
      <c r="N170" s="25" t="str">
        <f>IFERROR(VLOOKUP(F170,Back!C:F,4,0),"NO")</f>
        <v>Si</v>
      </c>
      <c r="O170" s="26">
        <v>24</v>
      </c>
      <c r="P170" s="27" t="str">
        <f>IFERROR(VLOOKUP(F170,Back!C:E,3,0),"")</f>
        <v>IPS Pto De Vista Rionegro</v>
      </c>
      <c r="Q170" s="27" t="str">
        <f>IFERROR(VLOOKUP(P170,Back!M:N,2,0),"")</f>
        <v>Antioquia</v>
      </c>
      <c r="R170" s="27" t="str">
        <f>IF(N170="Si",IFERROR(VLOOKUP(F170,'TD Cumpl'!B:AB,27,0),"No Aplica"),"No Aplica")</f>
        <v>Siempre Cumple</v>
      </c>
      <c r="S170" s="38"/>
      <c r="T170" s="36"/>
      <c r="Y170" s="54">
        <f t="shared" si="5"/>
        <v>33183982</v>
      </c>
    </row>
    <row r="171" spans="1:25" x14ac:dyDescent="0.25">
      <c r="A171" s="20">
        <f>+VLOOKUP(D171,Back!Q:R,2,0)</f>
        <v>5</v>
      </c>
      <c r="B171" s="20" t="str">
        <f t="shared" si="4"/>
        <v>2016 MAY</v>
      </c>
      <c r="C171" s="20">
        <v>2016</v>
      </c>
      <c r="D171" s="21" t="s">
        <v>141</v>
      </c>
      <c r="E171" s="21" t="s">
        <v>10</v>
      </c>
      <c r="F171" s="21">
        <v>43109744</v>
      </c>
      <c r="G171" s="21" t="s">
        <v>53</v>
      </c>
      <c r="H171" s="22">
        <v>35234581</v>
      </c>
      <c r="I171" s="22">
        <v>2614700</v>
      </c>
      <c r="J171" s="22">
        <v>10320320</v>
      </c>
      <c r="K171" s="23">
        <v>22299561</v>
      </c>
      <c r="L171" s="23">
        <v>26666666.666666668</v>
      </c>
      <c r="M171" s="24">
        <v>0.83623353749999996</v>
      </c>
      <c r="N171" s="25" t="str">
        <f>IFERROR(VLOOKUP(F171,Back!C:F,4,0),"NO")</f>
        <v>NO</v>
      </c>
      <c r="O171" s="26">
        <v>24</v>
      </c>
      <c r="P171" s="27" t="str">
        <f>IFERROR(VLOOKUP(F171,Back!C:E,3,0),"")</f>
        <v/>
      </c>
      <c r="Q171" s="27" t="str">
        <f>IFERROR(VLOOKUP(P171,Back!M:N,2,0),"")</f>
        <v/>
      </c>
      <c r="R171" s="27" t="str">
        <f>IF(N171="Si",IFERROR(VLOOKUP(F171,'TD Cumpl'!B:AB,27,0),"No Aplica"),"No Aplica")</f>
        <v>No Aplica</v>
      </c>
      <c r="S171" s="38"/>
      <c r="T171" s="36"/>
      <c r="Y171" s="54">
        <f t="shared" si="5"/>
        <v>35234581</v>
      </c>
    </row>
    <row r="172" spans="1:25" x14ac:dyDescent="0.25">
      <c r="A172" s="20">
        <f>+VLOOKUP(D172,Back!Q:R,2,0)</f>
        <v>5</v>
      </c>
      <c r="B172" s="20" t="str">
        <f t="shared" si="4"/>
        <v>2016 MAY</v>
      </c>
      <c r="C172" s="20">
        <v>2016</v>
      </c>
      <c r="D172" s="21" t="s">
        <v>141</v>
      </c>
      <c r="E172" s="21" t="s">
        <v>63</v>
      </c>
      <c r="F172" s="21">
        <v>21113054</v>
      </c>
      <c r="G172" s="21" t="s">
        <v>65</v>
      </c>
      <c r="H172" s="22">
        <v>15759300</v>
      </c>
      <c r="I172" s="22">
        <v>474000</v>
      </c>
      <c r="J172" s="22">
        <v>3348119</v>
      </c>
      <c r="K172" s="23">
        <v>11937181</v>
      </c>
      <c r="L172" s="23">
        <v>20800000</v>
      </c>
      <c r="M172" s="24">
        <v>0.57390293269230774</v>
      </c>
      <c r="N172" s="25" t="str">
        <f>IFERROR(VLOOKUP(F172,Back!C:F,4,0),"NO")</f>
        <v>NO</v>
      </c>
      <c r="O172" s="26">
        <v>24</v>
      </c>
      <c r="P172" s="27" t="str">
        <f>IFERROR(VLOOKUP(F172,Back!C:E,3,0),"")</f>
        <v/>
      </c>
      <c r="Q172" s="27" t="str">
        <f>IFERROR(VLOOKUP(P172,Back!M:N,2,0),"")</f>
        <v/>
      </c>
      <c r="R172" s="27" t="str">
        <f>IF(N172="Si",IFERROR(VLOOKUP(F172,'TD Cumpl'!B:AB,27,0),"No Aplica"),"No Aplica")</f>
        <v>No Aplica</v>
      </c>
      <c r="S172" s="38"/>
      <c r="T172" s="36"/>
      <c r="Y172" s="54">
        <f t="shared" si="5"/>
        <v>15759300</v>
      </c>
    </row>
    <row r="173" spans="1:25" x14ac:dyDescent="0.25">
      <c r="A173" s="20">
        <f>+VLOOKUP(D173,Back!Q:R,2,0)</f>
        <v>5</v>
      </c>
      <c r="B173" s="20" t="str">
        <f t="shared" si="4"/>
        <v>2016 MAY</v>
      </c>
      <c r="C173" s="20">
        <v>2016</v>
      </c>
      <c r="D173" s="21" t="s">
        <v>141</v>
      </c>
      <c r="E173" s="21" t="s">
        <v>16</v>
      </c>
      <c r="F173" s="21">
        <v>43599983</v>
      </c>
      <c r="G173" s="21" t="s">
        <v>478</v>
      </c>
      <c r="H173" s="22">
        <v>42979690</v>
      </c>
      <c r="I173" s="22">
        <v>418000</v>
      </c>
      <c r="J173" s="22">
        <v>10662699</v>
      </c>
      <c r="K173" s="23">
        <v>31898991</v>
      </c>
      <c r="L173" s="23">
        <v>40000000</v>
      </c>
      <c r="M173" s="24">
        <v>0.79747477499999997</v>
      </c>
      <c r="N173" s="25" t="str">
        <f>IFERROR(VLOOKUP(F173,Back!C:F,4,0),"NO")</f>
        <v>NO</v>
      </c>
      <c r="O173" s="26">
        <v>24</v>
      </c>
      <c r="P173" s="27" t="str">
        <f>IFERROR(VLOOKUP(F173,Back!C:E,3,0),"")</f>
        <v/>
      </c>
      <c r="Q173" s="27" t="str">
        <f>IFERROR(VLOOKUP(P173,Back!M:N,2,0),"")</f>
        <v/>
      </c>
      <c r="R173" s="27" t="str">
        <f>IF(N173="Si",IFERROR(VLOOKUP(F173,'TD Cumpl'!B:AB,27,0),"No Aplica"),"No Aplica")</f>
        <v>No Aplica</v>
      </c>
      <c r="S173" s="38"/>
      <c r="T173" s="36"/>
      <c r="Y173" s="54">
        <f t="shared" si="5"/>
        <v>42979690</v>
      </c>
    </row>
    <row r="174" spans="1:25" x14ac:dyDescent="0.25">
      <c r="A174" s="20">
        <f>+VLOOKUP(D174,Back!Q:R,2,0)</f>
        <v>5</v>
      </c>
      <c r="B174" s="20" t="str">
        <f t="shared" si="4"/>
        <v>2016 MAY</v>
      </c>
      <c r="C174" s="20">
        <v>2016</v>
      </c>
      <c r="D174" s="21" t="s">
        <v>141</v>
      </c>
      <c r="E174" s="21" t="s">
        <v>15</v>
      </c>
      <c r="F174" s="21">
        <v>42689970</v>
      </c>
      <c r="G174" s="21" t="s">
        <v>29</v>
      </c>
      <c r="H174" s="22">
        <v>57578906</v>
      </c>
      <c r="I174" s="22">
        <v>816000</v>
      </c>
      <c r="J174" s="22">
        <v>11657564</v>
      </c>
      <c r="K174" s="23">
        <v>45105342</v>
      </c>
      <c r="L174" s="23">
        <v>40000000</v>
      </c>
      <c r="M174" s="24">
        <v>1.1276335500000001</v>
      </c>
      <c r="N174" s="25" t="str">
        <f>IFERROR(VLOOKUP(F174,Back!C:F,4,0),"NO")</f>
        <v>NO</v>
      </c>
      <c r="O174" s="26">
        <v>24</v>
      </c>
      <c r="P174" s="27" t="str">
        <f>IFERROR(VLOOKUP(F174,Back!C:E,3,0),"")</f>
        <v/>
      </c>
      <c r="Q174" s="27" t="str">
        <f>IFERROR(VLOOKUP(P174,Back!M:N,2,0),"")</f>
        <v/>
      </c>
      <c r="R174" s="27" t="str">
        <f>IF(N174="Si",IFERROR(VLOOKUP(F174,'TD Cumpl'!B:AB,27,0),"No Aplica"),"No Aplica")</f>
        <v>No Aplica</v>
      </c>
      <c r="S174" s="38"/>
      <c r="T174" s="36"/>
      <c r="Y174" s="54">
        <f t="shared" si="5"/>
        <v>57578906</v>
      </c>
    </row>
    <row r="175" spans="1:25" x14ac:dyDescent="0.25">
      <c r="A175" s="20">
        <f>+VLOOKUP(D175,Back!Q:R,2,0)</f>
        <v>5</v>
      </c>
      <c r="B175" s="20" t="str">
        <f t="shared" si="4"/>
        <v>2016 MAY</v>
      </c>
      <c r="C175" s="20">
        <v>2016</v>
      </c>
      <c r="D175" s="21" t="s">
        <v>141</v>
      </c>
      <c r="E175" s="21" t="s">
        <v>23</v>
      </c>
      <c r="F175" s="21">
        <v>43907427</v>
      </c>
      <c r="G175" s="21" t="s">
        <v>144</v>
      </c>
      <c r="H175" s="22">
        <v>45254387</v>
      </c>
      <c r="I175" s="22">
        <v>256860</v>
      </c>
      <c r="J175" s="22">
        <v>565862</v>
      </c>
      <c r="K175" s="23">
        <v>44431665</v>
      </c>
      <c r="L175" s="23">
        <v>36000000</v>
      </c>
      <c r="M175" s="24">
        <v>1.2342129166666667</v>
      </c>
      <c r="N175" s="25" t="str">
        <f>IFERROR(VLOOKUP(F175,Back!C:F,4,0),"NO")</f>
        <v>Si</v>
      </c>
      <c r="O175" s="26">
        <v>24</v>
      </c>
      <c r="P175" s="27" t="str">
        <f>IFERROR(VLOOKUP(F175,Back!C:E,3,0),"")</f>
        <v>IPS Pto De Vista Industriales</v>
      </c>
      <c r="Q175" s="27" t="str">
        <f>IFERROR(VLOOKUP(P175,Back!M:N,2,0),"")</f>
        <v>Antioquia</v>
      </c>
      <c r="R175" s="27" t="str">
        <f>IF(N175="Si",IFERROR(VLOOKUP(F175,'TD Cumpl'!B:AB,27,0),"No Aplica"),"No Aplica")</f>
        <v>Siempre Cumple</v>
      </c>
      <c r="S175" s="38"/>
      <c r="T175" s="36"/>
      <c r="Y175" s="54">
        <f t="shared" si="5"/>
        <v>45254387</v>
      </c>
    </row>
    <row r="176" spans="1:25" x14ac:dyDescent="0.25">
      <c r="A176" s="20">
        <f>+VLOOKUP(D176,Back!Q:R,2,0)</f>
        <v>5</v>
      </c>
      <c r="B176" s="20" t="str">
        <f t="shared" si="4"/>
        <v>2016 MAY</v>
      </c>
      <c r="C176" s="20">
        <v>2016</v>
      </c>
      <c r="D176" s="21" t="s">
        <v>141</v>
      </c>
      <c r="E176" s="21" t="s">
        <v>12</v>
      </c>
      <c r="F176" s="21">
        <v>91511871</v>
      </c>
      <c r="G176" s="21" t="s">
        <v>49</v>
      </c>
      <c r="H176" s="22">
        <v>31246463</v>
      </c>
      <c r="I176" s="22">
        <v>1311400</v>
      </c>
      <c r="J176" s="22">
        <v>10877416</v>
      </c>
      <c r="K176" s="23">
        <v>19057647</v>
      </c>
      <c r="L176" s="23">
        <v>26000000</v>
      </c>
      <c r="M176" s="24">
        <v>0.73298642307692308</v>
      </c>
      <c r="N176" s="25" t="str">
        <f>IFERROR(VLOOKUP(F176,Back!C:F,4,0),"NO")</f>
        <v>NO</v>
      </c>
      <c r="O176" s="26">
        <v>24</v>
      </c>
      <c r="P176" s="27" t="str">
        <f>IFERROR(VLOOKUP(F176,Back!C:E,3,0),"")</f>
        <v/>
      </c>
      <c r="Q176" s="27" t="str">
        <f>IFERROR(VLOOKUP(P176,Back!M:N,2,0),"")</f>
        <v/>
      </c>
      <c r="R176" s="27" t="str">
        <f>IF(N176="Si",IFERROR(VLOOKUP(F176,'TD Cumpl'!B:AB,27,0),"No Aplica"),"No Aplica")</f>
        <v>No Aplica</v>
      </c>
      <c r="S176" s="38"/>
      <c r="T176" s="36"/>
      <c r="Y176" s="54">
        <f t="shared" si="5"/>
        <v>31246463</v>
      </c>
    </row>
    <row r="177" spans="1:25" x14ac:dyDescent="0.25">
      <c r="A177" s="20">
        <f>+VLOOKUP(D177,Back!Q:R,2,0)</f>
        <v>5</v>
      </c>
      <c r="B177" s="20" t="str">
        <f t="shared" si="4"/>
        <v>2016 MAY</v>
      </c>
      <c r="C177" s="20">
        <v>2016</v>
      </c>
      <c r="D177" s="21" t="s">
        <v>141</v>
      </c>
      <c r="E177" s="21" t="s">
        <v>168</v>
      </c>
      <c r="F177" s="21"/>
      <c r="G177" s="21"/>
      <c r="H177" s="22">
        <v>44000</v>
      </c>
      <c r="I177" s="22">
        <v>0</v>
      </c>
      <c r="J177" s="22">
        <v>44000</v>
      </c>
      <c r="K177" s="23">
        <v>0</v>
      </c>
      <c r="L177" s="23"/>
      <c r="M177" s="24"/>
      <c r="N177" s="25" t="str">
        <f>IFERROR(VLOOKUP(F177,Back!C:F,4,0),"NO")</f>
        <v>NO</v>
      </c>
      <c r="O177" s="26">
        <v>24</v>
      </c>
      <c r="P177" s="27" t="str">
        <f>IFERROR(VLOOKUP(F177,Back!C:E,3,0),"")</f>
        <v/>
      </c>
      <c r="Q177" s="27" t="str">
        <f>IFERROR(VLOOKUP(P177,Back!M:N,2,0),"")</f>
        <v/>
      </c>
      <c r="R177" s="27" t="str">
        <f>IF(N177="Si",IFERROR(VLOOKUP(F177,'TD Cumpl'!B:AB,27,0),"No Aplica"),"No Aplica")</f>
        <v>No Aplica</v>
      </c>
      <c r="S177" s="38"/>
      <c r="T177" s="36"/>
      <c r="Y177" s="54">
        <f t="shared" si="5"/>
        <v>44000</v>
      </c>
    </row>
    <row r="178" spans="1:25" x14ac:dyDescent="0.25">
      <c r="A178" s="20">
        <f>+VLOOKUP(D178,Back!Q:R,2,0)</f>
        <v>5</v>
      </c>
      <c r="B178" s="20" t="str">
        <f t="shared" si="4"/>
        <v>2016 MAY</v>
      </c>
      <c r="C178" s="20">
        <v>2016</v>
      </c>
      <c r="D178" s="21" t="s">
        <v>141</v>
      </c>
      <c r="E178" s="21" t="s">
        <v>62</v>
      </c>
      <c r="F178" s="21">
        <v>32256379</v>
      </c>
      <c r="G178" s="21" t="s">
        <v>61</v>
      </c>
      <c r="H178" s="22">
        <v>71311962</v>
      </c>
      <c r="I178" s="22">
        <v>0</v>
      </c>
      <c r="J178" s="22">
        <v>10330401</v>
      </c>
      <c r="K178" s="23">
        <v>60981561</v>
      </c>
      <c r="L178" s="23">
        <v>32080000</v>
      </c>
      <c r="M178" s="24">
        <v>1.9009214775561096</v>
      </c>
      <c r="N178" s="25" t="str">
        <f>IFERROR(VLOOKUP(F178,Back!C:F,4,0),"NO")</f>
        <v>Si</v>
      </c>
      <c r="O178" s="26">
        <v>24</v>
      </c>
      <c r="P178" s="27" t="str">
        <f>IFERROR(VLOOKUP(F178,Back!C:E,3,0),"")</f>
        <v>Ferias Empresariales Antioquia</v>
      </c>
      <c r="Q178" s="27" t="str">
        <f>IFERROR(VLOOKUP(P178,Back!M:N,2,0),"")</f>
        <v>Antioquia</v>
      </c>
      <c r="R178" s="27" t="str">
        <f>IF(N178="Si",IFERROR(VLOOKUP(F178,'TD Cumpl'!B:AB,27,0),"No Aplica"),"No Aplica")</f>
        <v>Fluctúa</v>
      </c>
      <c r="S178" s="38"/>
      <c r="T178" s="36"/>
      <c r="Y178" s="54">
        <f t="shared" si="5"/>
        <v>71311962</v>
      </c>
    </row>
    <row r="179" spans="1:25" x14ac:dyDescent="0.25">
      <c r="A179" s="20">
        <f>+VLOOKUP(D179,Back!Q:R,2,0)</f>
        <v>5</v>
      </c>
      <c r="B179" s="20" t="str">
        <f t="shared" si="4"/>
        <v>2016 MAY</v>
      </c>
      <c r="C179" s="20">
        <v>2016</v>
      </c>
      <c r="D179" s="21" t="s">
        <v>141</v>
      </c>
      <c r="E179" s="21" t="s">
        <v>4</v>
      </c>
      <c r="F179" s="21">
        <v>79701425</v>
      </c>
      <c r="G179" s="21" t="s">
        <v>27</v>
      </c>
      <c r="H179" s="22">
        <v>21591778</v>
      </c>
      <c r="I179" s="22">
        <v>0</v>
      </c>
      <c r="J179" s="22">
        <v>3739040</v>
      </c>
      <c r="K179" s="23">
        <v>17852738</v>
      </c>
      <c r="L179" s="23">
        <v>21000000</v>
      </c>
      <c r="M179" s="24">
        <v>0.85013038095238092</v>
      </c>
      <c r="N179" s="25" t="str">
        <f>IFERROR(VLOOKUP(F179,Back!C:F,4,0),"NO")</f>
        <v>No</v>
      </c>
      <c r="O179" s="26">
        <v>24</v>
      </c>
      <c r="P179" s="27" t="str">
        <f>IFERROR(VLOOKUP(F179,Back!C:E,3,0),"")</f>
        <v>IPS Pto De Vista Olaya</v>
      </c>
      <c r="Q179" s="27" t="str">
        <f>IFERROR(VLOOKUP(P179,Back!M:N,2,0),"")</f>
        <v>Centro</v>
      </c>
      <c r="R179" s="27" t="str">
        <f>IF(N179="Si",IFERROR(VLOOKUP(F179,'TD Cumpl'!B:AB,27,0),"No Aplica"),"No Aplica")</f>
        <v>No Aplica</v>
      </c>
      <c r="S179" s="38"/>
      <c r="T179" s="36"/>
      <c r="Y179" s="54">
        <f t="shared" si="5"/>
        <v>21591778</v>
      </c>
    </row>
    <row r="180" spans="1:25" x14ac:dyDescent="0.25">
      <c r="A180" s="20">
        <f>+VLOOKUP(D180,Back!Q:R,2,0)</f>
        <v>5</v>
      </c>
      <c r="B180" s="20" t="str">
        <f t="shared" si="4"/>
        <v>2016 MAY</v>
      </c>
      <c r="C180" s="20">
        <v>2016</v>
      </c>
      <c r="D180" s="21" t="s">
        <v>141</v>
      </c>
      <c r="E180" s="21" t="s">
        <v>5</v>
      </c>
      <c r="F180" s="21">
        <v>34542470</v>
      </c>
      <c r="G180" s="21" t="s">
        <v>28</v>
      </c>
      <c r="H180" s="22">
        <v>27102271</v>
      </c>
      <c r="I180" s="22">
        <v>838800</v>
      </c>
      <c r="J180" s="22">
        <v>0</v>
      </c>
      <c r="K180" s="23">
        <v>26263471</v>
      </c>
      <c r="L180" s="23">
        <v>21000000</v>
      </c>
      <c r="M180" s="24">
        <v>1.2506414761904763</v>
      </c>
      <c r="N180" s="25" t="str">
        <f>IFERROR(VLOOKUP(F180,Back!C:F,4,0),"NO")</f>
        <v>Si</v>
      </c>
      <c r="O180" s="26">
        <v>24</v>
      </c>
      <c r="P180" s="27" t="str">
        <f>IFERROR(VLOOKUP(F180,Back!C:E,3,0),"")</f>
        <v>Optica Salud Sura Chipichape</v>
      </c>
      <c r="Q180" s="27" t="str">
        <f>IFERROR(VLOOKUP(P180,Back!M:N,2,0),"")</f>
        <v>Occidente</v>
      </c>
      <c r="R180" s="27" t="str">
        <f>IF(N180="Si",IFERROR(VLOOKUP(F180,'TD Cumpl'!B:AB,27,0),"No Aplica"),"No Aplica")</f>
        <v>Siempre Cumple</v>
      </c>
      <c r="S180" s="38"/>
      <c r="T180" s="36"/>
      <c r="Y180" s="54">
        <f t="shared" si="5"/>
        <v>27102271</v>
      </c>
    </row>
    <row r="181" spans="1:25" x14ac:dyDescent="0.25">
      <c r="A181" s="20">
        <f>+VLOOKUP(D181,Back!Q:R,2,0)</f>
        <v>5</v>
      </c>
      <c r="B181" s="20" t="str">
        <f t="shared" si="4"/>
        <v>2016 MAY</v>
      </c>
      <c r="C181" s="20">
        <v>2016</v>
      </c>
      <c r="D181" s="21" t="s">
        <v>141</v>
      </c>
      <c r="E181" s="21" t="s">
        <v>479</v>
      </c>
      <c r="F181" s="21">
        <v>52730701</v>
      </c>
      <c r="G181" s="21"/>
      <c r="H181" s="22">
        <v>186473</v>
      </c>
      <c r="I181" s="22">
        <v>0</v>
      </c>
      <c r="J181" s="22">
        <v>0</v>
      </c>
      <c r="K181" s="23">
        <v>186473</v>
      </c>
      <c r="L181" s="23"/>
      <c r="M181" s="24"/>
      <c r="N181" s="25" t="str">
        <f>IFERROR(VLOOKUP(F181,Back!C:F,4,0),"NO")</f>
        <v>NO</v>
      </c>
      <c r="O181" s="26">
        <v>24</v>
      </c>
      <c r="P181" s="27" t="str">
        <f>IFERROR(VLOOKUP(F181,Back!C:E,3,0),"")</f>
        <v/>
      </c>
      <c r="Q181" s="27" t="str">
        <f>IFERROR(VLOOKUP(P181,Back!M:N,2,0),"")</f>
        <v/>
      </c>
      <c r="R181" s="27" t="str">
        <f>IF(N181="Si",IFERROR(VLOOKUP(F181,'TD Cumpl'!B:AB,27,0),"No Aplica"),"No Aplica")</f>
        <v>No Aplica</v>
      </c>
      <c r="S181" s="38"/>
      <c r="T181" s="36"/>
      <c r="Y181" s="54">
        <f t="shared" si="5"/>
        <v>186473</v>
      </c>
    </row>
    <row r="182" spans="1:25" x14ac:dyDescent="0.25">
      <c r="A182" s="20">
        <f>+VLOOKUP(D182,Back!Q:R,2,0)</f>
        <v>5</v>
      </c>
      <c r="B182" s="20" t="str">
        <f t="shared" si="4"/>
        <v>2016 MAY</v>
      </c>
      <c r="C182" s="20">
        <v>2016</v>
      </c>
      <c r="D182" s="21" t="s">
        <v>141</v>
      </c>
      <c r="E182" s="21" t="s">
        <v>72</v>
      </c>
      <c r="F182" s="21">
        <v>43636530</v>
      </c>
      <c r="G182" s="21"/>
      <c r="H182" s="22">
        <v>7976896</v>
      </c>
      <c r="I182" s="22">
        <v>0</v>
      </c>
      <c r="J182" s="22">
        <v>3976000</v>
      </c>
      <c r="K182" s="23">
        <v>4000896</v>
      </c>
      <c r="L182" s="23"/>
      <c r="M182" s="24"/>
      <c r="N182" s="25" t="str">
        <f>IFERROR(VLOOKUP(F182,Back!C:F,4,0),"NO")</f>
        <v>NO</v>
      </c>
      <c r="O182" s="26">
        <v>24</v>
      </c>
      <c r="P182" s="27" t="str">
        <f>IFERROR(VLOOKUP(F182,Back!C:E,3,0),"")</f>
        <v/>
      </c>
      <c r="Q182" s="27" t="str">
        <f>IFERROR(VLOOKUP(P182,Back!M:N,2,0),"")</f>
        <v/>
      </c>
      <c r="R182" s="27" t="str">
        <f>IF(N182="Si",IFERROR(VLOOKUP(F182,'TD Cumpl'!B:AB,27,0),"No Aplica"),"No Aplica")</f>
        <v>No Aplica</v>
      </c>
      <c r="S182" s="38"/>
      <c r="T182" s="36"/>
      <c r="Y182" s="54">
        <f t="shared" si="5"/>
        <v>7976896</v>
      </c>
    </row>
    <row r="183" spans="1:25" x14ac:dyDescent="0.25">
      <c r="A183" s="20">
        <f>+VLOOKUP(D183,Back!Q:R,2,0)</f>
        <v>5</v>
      </c>
      <c r="B183" s="20" t="str">
        <f t="shared" si="4"/>
        <v>2016 MAY</v>
      </c>
      <c r="C183" s="20">
        <v>2016</v>
      </c>
      <c r="D183" s="21" t="s">
        <v>141</v>
      </c>
      <c r="E183" s="21" t="s">
        <v>7</v>
      </c>
      <c r="F183" s="21">
        <v>43745952</v>
      </c>
      <c r="G183" s="21" t="s">
        <v>50</v>
      </c>
      <c r="H183" s="22">
        <v>60578613</v>
      </c>
      <c r="I183" s="22">
        <v>483400</v>
      </c>
      <c r="J183" s="22">
        <v>13501100</v>
      </c>
      <c r="K183" s="23">
        <v>46594113</v>
      </c>
      <c r="L183" s="23">
        <v>40100000</v>
      </c>
      <c r="M183" s="24">
        <v>1.1619479551122194</v>
      </c>
      <c r="N183" s="25" t="str">
        <f>IFERROR(VLOOKUP(F183,Back!C:F,4,0),"NO")</f>
        <v>Si</v>
      </c>
      <c r="O183" s="26">
        <v>24</v>
      </c>
      <c r="P183" s="27" t="str">
        <f>IFERROR(VLOOKUP(F183,Back!C:E,3,0),"")</f>
        <v>IPS Pto De Vista Unicentro</v>
      </c>
      <c r="Q183" s="27" t="str">
        <f>IFERROR(VLOOKUP(P183,Back!M:N,2,0),"")</f>
        <v>Antioquia</v>
      </c>
      <c r="R183" s="27" t="str">
        <f>IF(N183="Si",IFERROR(VLOOKUP(F183,'TD Cumpl'!B:AB,27,0),"No Aplica"),"No Aplica")</f>
        <v>Siempre Cumple</v>
      </c>
      <c r="S183" s="38"/>
      <c r="T183" s="36"/>
      <c r="Y183" s="54">
        <f t="shared" si="5"/>
        <v>60578613</v>
      </c>
    </row>
    <row r="184" spans="1:25" x14ac:dyDescent="0.25">
      <c r="A184" s="20">
        <f>+VLOOKUP(D184,Back!Q:R,2,0)</f>
        <v>5</v>
      </c>
      <c r="B184" s="20" t="str">
        <f t="shared" si="4"/>
        <v>2016 MAY</v>
      </c>
      <c r="C184" s="20">
        <v>2016</v>
      </c>
      <c r="D184" s="21" t="s">
        <v>141</v>
      </c>
      <c r="E184" s="21" t="s">
        <v>8</v>
      </c>
      <c r="F184" s="21">
        <v>43259130</v>
      </c>
      <c r="G184" s="21" t="s">
        <v>51</v>
      </c>
      <c r="H184" s="22">
        <v>62768743</v>
      </c>
      <c r="I184" s="22">
        <v>2724700</v>
      </c>
      <c r="J184" s="22">
        <v>14292572</v>
      </c>
      <c r="K184" s="23">
        <v>45751471</v>
      </c>
      <c r="L184" s="23">
        <v>40100000</v>
      </c>
      <c r="M184" s="24">
        <v>1.1409344389027432</v>
      </c>
      <c r="N184" s="25" t="str">
        <f>IFERROR(VLOOKUP(F184,Back!C:F,4,0),"NO")</f>
        <v>Si</v>
      </c>
      <c r="O184" s="26">
        <v>24</v>
      </c>
      <c r="P184" s="27" t="str">
        <f>IFERROR(VLOOKUP(F184,Back!C:E,3,0),"")</f>
        <v>IPS Pto De Vista Molinos</v>
      </c>
      <c r="Q184" s="27" t="str">
        <f>IFERROR(VLOOKUP(P184,Back!M:N,2,0),"")</f>
        <v>Antioquia</v>
      </c>
      <c r="R184" s="27" t="str">
        <f>IF(N184="Si",IFERROR(VLOOKUP(F184,'TD Cumpl'!B:AB,27,0),"No Aplica"),"No Aplica")</f>
        <v>Fluctúa</v>
      </c>
      <c r="S184" s="38"/>
      <c r="T184" s="36"/>
      <c r="Y184" s="54">
        <f t="shared" si="5"/>
        <v>62768743</v>
      </c>
    </row>
    <row r="185" spans="1:25" x14ac:dyDescent="0.25">
      <c r="A185" s="20">
        <f>+VLOOKUP(D185,Back!Q:R,2,0)</f>
        <v>6</v>
      </c>
      <c r="B185" s="20" t="str">
        <f t="shared" si="4"/>
        <v>2016 JUN</v>
      </c>
      <c r="C185" s="20">
        <v>2016</v>
      </c>
      <c r="D185" s="21" t="s">
        <v>153</v>
      </c>
      <c r="E185" s="21" t="s">
        <v>475</v>
      </c>
      <c r="F185" s="21">
        <v>43920870</v>
      </c>
      <c r="G185" s="21"/>
      <c r="H185" s="22">
        <v>219657</v>
      </c>
      <c r="I185" s="22">
        <v>0</v>
      </c>
      <c r="J185" s="22">
        <v>41678</v>
      </c>
      <c r="K185" s="23">
        <v>177979</v>
      </c>
      <c r="L185" s="23"/>
      <c r="M185" s="24"/>
      <c r="N185" s="25" t="str">
        <f>IFERROR(VLOOKUP(F185,Back!C:F,4,0),"NO")</f>
        <v>NO</v>
      </c>
      <c r="O185" s="26">
        <v>25</v>
      </c>
      <c r="P185" s="27" t="str">
        <f>IFERROR(VLOOKUP(F185,Back!C:E,3,0),"")</f>
        <v/>
      </c>
      <c r="Q185" s="27" t="str">
        <f>IFERROR(VLOOKUP(P185,Back!M:N,2,0),"")</f>
        <v/>
      </c>
      <c r="R185" s="27" t="str">
        <f>IF(N185="Si",IFERROR(VLOOKUP(F185,'TD Cumpl'!B:AB,27,0),"No Aplica"),"No Aplica")</f>
        <v>No Aplica</v>
      </c>
      <c r="S185" s="38"/>
      <c r="T185" s="36"/>
      <c r="Y185" s="54">
        <f t="shared" si="5"/>
        <v>219657</v>
      </c>
    </row>
    <row r="186" spans="1:25" x14ac:dyDescent="0.25">
      <c r="A186" s="20">
        <f>+VLOOKUP(D186,Back!Q:R,2,0)</f>
        <v>6</v>
      </c>
      <c r="B186" s="20" t="str">
        <f t="shared" si="4"/>
        <v>2016 JUN</v>
      </c>
      <c r="C186" s="20">
        <v>2016</v>
      </c>
      <c r="D186" s="21" t="s">
        <v>153</v>
      </c>
      <c r="E186" s="21" t="s">
        <v>9</v>
      </c>
      <c r="F186" s="21">
        <v>43169964</v>
      </c>
      <c r="G186" s="21" t="s">
        <v>155</v>
      </c>
      <c r="H186" s="22">
        <v>46550776</v>
      </c>
      <c r="I186" s="22">
        <v>940800</v>
      </c>
      <c r="J186" s="22">
        <v>15445862</v>
      </c>
      <c r="K186" s="23">
        <v>30164114</v>
      </c>
      <c r="L186" s="23">
        <v>27670833.333333332</v>
      </c>
      <c r="M186" s="24">
        <v>1.0901050082818853</v>
      </c>
      <c r="N186" s="25" t="str">
        <f>IFERROR(VLOOKUP(F186,Back!C:F,4,0),"NO")</f>
        <v>Si</v>
      </c>
      <c r="O186" s="26">
        <v>25</v>
      </c>
      <c r="P186" s="27" t="str">
        <f>IFERROR(VLOOKUP(F186,Back!C:E,3,0),"")</f>
        <v>IPS Pto De Vista Molinos</v>
      </c>
      <c r="Q186" s="27" t="str">
        <f>IFERROR(VLOOKUP(P186,Back!M:N,2,0),"")</f>
        <v>Antioquia</v>
      </c>
      <c r="R186" s="27" t="str">
        <f>IF(N186="Si",IFERROR(VLOOKUP(F186,'TD Cumpl'!B:AB,27,0),"No Aplica"),"No Aplica")</f>
        <v>Cumple</v>
      </c>
      <c r="S186" s="38"/>
      <c r="T186" s="36"/>
      <c r="Y186" s="54">
        <f t="shared" si="5"/>
        <v>46550776</v>
      </c>
    </row>
    <row r="187" spans="1:25" x14ac:dyDescent="0.25">
      <c r="A187" s="20">
        <f>+VLOOKUP(D187,Back!Q:R,2,0)</f>
        <v>6</v>
      </c>
      <c r="B187" s="20" t="str">
        <f t="shared" si="4"/>
        <v>2016 JUN</v>
      </c>
      <c r="C187" s="20">
        <v>2016</v>
      </c>
      <c r="D187" s="21" t="s">
        <v>153</v>
      </c>
      <c r="E187" s="21" t="s">
        <v>11</v>
      </c>
      <c r="F187" s="21">
        <v>43253531</v>
      </c>
      <c r="G187" s="21" t="s">
        <v>39</v>
      </c>
      <c r="H187" s="22">
        <v>46347776</v>
      </c>
      <c r="I187" s="22">
        <v>1410800</v>
      </c>
      <c r="J187" s="22">
        <v>12431471</v>
      </c>
      <c r="K187" s="23">
        <v>32505505</v>
      </c>
      <c r="L187" s="23">
        <v>40000000</v>
      </c>
      <c r="M187" s="24">
        <v>0.81263762500000003</v>
      </c>
      <c r="N187" s="25" t="str">
        <f>IFERROR(VLOOKUP(F187,Back!C:F,4,0),"NO")</f>
        <v>Si</v>
      </c>
      <c r="O187" s="26">
        <v>25</v>
      </c>
      <c r="P187" s="27" t="str">
        <f>IFERROR(VLOOKUP(F187,Back!C:E,3,0),"")</f>
        <v>IPS Punto de Vista Bello</v>
      </c>
      <c r="Q187" s="27" t="str">
        <f>IFERROR(VLOOKUP(P187,Back!M:N,2,0),"")</f>
        <v>Antioquia</v>
      </c>
      <c r="R187" s="27" t="str">
        <f>IF(N187="Si",IFERROR(VLOOKUP(F187,'TD Cumpl'!B:AB,27,0),"No Aplica"),"No Aplica")</f>
        <v>Cumple</v>
      </c>
      <c r="S187" s="38"/>
      <c r="T187" s="36"/>
      <c r="Y187" s="54">
        <f t="shared" si="5"/>
        <v>46347776</v>
      </c>
    </row>
    <row r="188" spans="1:25" x14ac:dyDescent="0.25">
      <c r="A188" s="20">
        <f>+VLOOKUP(D188,Back!Q:R,2,0)</f>
        <v>6</v>
      </c>
      <c r="B188" s="20" t="str">
        <f t="shared" si="4"/>
        <v>2016 JUN</v>
      </c>
      <c r="C188" s="20">
        <v>2016</v>
      </c>
      <c r="D188" s="21" t="s">
        <v>153</v>
      </c>
      <c r="E188" s="21" t="s">
        <v>66</v>
      </c>
      <c r="F188" s="21">
        <v>3438422</v>
      </c>
      <c r="G188" s="21" t="s">
        <v>71</v>
      </c>
      <c r="H188" s="22">
        <v>35573711</v>
      </c>
      <c r="I188" s="22">
        <v>0</v>
      </c>
      <c r="J188" s="22">
        <v>13283778</v>
      </c>
      <c r="K188" s="23">
        <v>22289933</v>
      </c>
      <c r="L188" s="23">
        <v>27090000</v>
      </c>
      <c r="M188" s="24">
        <v>0.82281037283130309</v>
      </c>
      <c r="N188" s="25" t="str">
        <f>IFERROR(VLOOKUP(F188,Back!C:F,4,0),"NO")</f>
        <v>Si</v>
      </c>
      <c r="O188" s="26">
        <v>25</v>
      </c>
      <c r="P188" s="27" t="str">
        <f>IFERROR(VLOOKUP(F188,Back!C:E,3,0),"")</f>
        <v>IPS Pto De Vista Punto Clave</v>
      </c>
      <c r="Q188" s="27" t="str">
        <f>IFERROR(VLOOKUP(P188,Back!M:N,2,0),"")</f>
        <v>Antioquia</v>
      </c>
      <c r="R188" s="27" t="str">
        <f>IF(N188="Si",IFERROR(VLOOKUP(F188,'TD Cumpl'!B:AB,27,0),"No Aplica"),"No Aplica")</f>
        <v>Fluctúa</v>
      </c>
      <c r="S188" s="38"/>
      <c r="T188" s="36"/>
      <c r="Y188" s="54">
        <f t="shared" si="5"/>
        <v>35573711</v>
      </c>
    </row>
    <row r="189" spans="1:25" x14ac:dyDescent="0.25">
      <c r="A189" s="20">
        <f>+VLOOKUP(D189,Back!Q:R,2,0)</f>
        <v>6</v>
      </c>
      <c r="B189" s="20" t="str">
        <f t="shared" si="4"/>
        <v>2016 JUN</v>
      </c>
      <c r="C189" s="20">
        <v>2016</v>
      </c>
      <c r="D189" s="21" t="s">
        <v>153</v>
      </c>
      <c r="E189" s="21" t="s">
        <v>6</v>
      </c>
      <c r="F189" s="21">
        <v>43821410</v>
      </c>
      <c r="G189" s="21" t="s">
        <v>40</v>
      </c>
      <c r="H189" s="22">
        <v>71870923</v>
      </c>
      <c r="I189" s="22">
        <v>638100</v>
      </c>
      <c r="J189" s="22">
        <v>12288200</v>
      </c>
      <c r="K189" s="23">
        <v>58944623</v>
      </c>
      <c r="L189" s="23">
        <v>40100000</v>
      </c>
      <c r="M189" s="24">
        <v>1.4699407231920198</v>
      </c>
      <c r="N189" s="25" t="str">
        <f>IFERROR(VLOOKUP(F189,Back!C:F,4,0),"NO")</f>
        <v>Si</v>
      </c>
      <c r="O189" s="26">
        <v>25</v>
      </c>
      <c r="P189" s="27" t="str">
        <f>IFERROR(VLOOKUP(F189,Back!C:E,3,0),"")</f>
        <v>IPS Pto De Vista Unicentro</v>
      </c>
      <c r="Q189" s="27" t="str">
        <f>IFERROR(VLOOKUP(P189,Back!M:N,2,0),"")</f>
        <v>Antioquia</v>
      </c>
      <c r="R189" s="27" t="str">
        <f>IF(N189="Si",IFERROR(VLOOKUP(F189,'TD Cumpl'!B:AB,27,0),"No Aplica"),"No Aplica")</f>
        <v>Siempre Cumple</v>
      </c>
      <c r="S189" s="38"/>
      <c r="T189" s="36"/>
      <c r="Y189" s="54">
        <f t="shared" si="5"/>
        <v>71870923</v>
      </c>
    </row>
    <row r="190" spans="1:25" x14ac:dyDescent="0.25">
      <c r="A190" s="20">
        <f>+VLOOKUP(D190,Back!Q:R,2,0)</f>
        <v>6</v>
      </c>
      <c r="B190" s="20" t="str">
        <f t="shared" si="4"/>
        <v>2016 JUN</v>
      </c>
      <c r="C190" s="20">
        <v>2016</v>
      </c>
      <c r="D190" s="21" t="s">
        <v>153</v>
      </c>
      <c r="E190" s="21" t="s">
        <v>86</v>
      </c>
      <c r="F190" s="21"/>
      <c r="G190" s="21"/>
      <c r="H190" s="22">
        <v>83000</v>
      </c>
      <c r="I190" s="22">
        <v>0</v>
      </c>
      <c r="J190" s="22">
        <v>83000</v>
      </c>
      <c r="K190" s="23">
        <v>0</v>
      </c>
      <c r="L190" s="23"/>
      <c r="M190" s="24"/>
      <c r="N190" s="25" t="str">
        <f>IFERROR(VLOOKUP(F190,Back!C:F,4,0),"NO")</f>
        <v>NO</v>
      </c>
      <c r="O190" s="26">
        <v>25</v>
      </c>
      <c r="P190" s="27" t="str">
        <f>IFERROR(VLOOKUP(F190,Back!C:E,3,0),"")</f>
        <v/>
      </c>
      <c r="Q190" s="27" t="str">
        <f>IFERROR(VLOOKUP(P190,Back!M:N,2,0),"")</f>
        <v/>
      </c>
      <c r="R190" s="27" t="str">
        <f>IF(N190="Si",IFERROR(VLOOKUP(F190,'TD Cumpl'!B:AB,27,0),"No Aplica"),"No Aplica")</f>
        <v>No Aplica</v>
      </c>
      <c r="S190" s="38"/>
      <c r="T190" s="36"/>
      <c r="Y190" s="54">
        <f t="shared" si="5"/>
        <v>83000</v>
      </c>
    </row>
    <row r="191" spans="1:25" x14ac:dyDescent="0.25">
      <c r="A191" s="20">
        <f>+VLOOKUP(D191,Back!Q:R,2,0)</f>
        <v>6</v>
      </c>
      <c r="B191" s="20" t="str">
        <f t="shared" si="4"/>
        <v>2016 JUN</v>
      </c>
      <c r="C191" s="20">
        <v>2016</v>
      </c>
      <c r="D191" s="21" t="s">
        <v>153</v>
      </c>
      <c r="E191" s="21" t="s">
        <v>18</v>
      </c>
      <c r="F191" s="21">
        <v>39442617</v>
      </c>
      <c r="G191" s="21" t="s">
        <v>41</v>
      </c>
      <c r="H191" s="22">
        <v>56118088</v>
      </c>
      <c r="I191" s="22">
        <v>2004000</v>
      </c>
      <c r="J191" s="22">
        <v>13570500</v>
      </c>
      <c r="K191" s="23">
        <v>40543588</v>
      </c>
      <c r="L191" s="23">
        <v>40000000</v>
      </c>
      <c r="M191" s="24">
        <v>1.0135897</v>
      </c>
      <c r="N191" s="25" t="str">
        <f>IFERROR(VLOOKUP(F191,Back!C:F,4,0),"NO")</f>
        <v>Si</v>
      </c>
      <c r="O191" s="26">
        <v>25</v>
      </c>
      <c r="P191" s="27" t="str">
        <f>IFERROR(VLOOKUP(F191,Back!C:E,3,0),"")</f>
        <v>IPS Pto De Vista San Diego</v>
      </c>
      <c r="Q191" s="27" t="str">
        <f>IFERROR(VLOOKUP(P191,Back!M:N,2,0),"")</f>
        <v>Antioquia</v>
      </c>
      <c r="R191" s="27" t="str">
        <f>IF(N191="Si",IFERROR(VLOOKUP(F191,'TD Cumpl'!B:AB,27,0),"No Aplica"),"No Aplica")</f>
        <v>Cumple</v>
      </c>
      <c r="S191" s="38"/>
      <c r="T191" s="36"/>
      <c r="Y191" s="54">
        <f t="shared" si="5"/>
        <v>56118088</v>
      </c>
    </row>
    <row r="192" spans="1:25" x14ac:dyDescent="0.25">
      <c r="A192" s="20">
        <f>+VLOOKUP(D192,Back!Q:R,2,0)</f>
        <v>6</v>
      </c>
      <c r="B192" s="20" t="str">
        <f t="shared" si="4"/>
        <v>2016 JUN</v>
      </c>
      <c r="C192" s="20">
        <v>2016</v>
      </c>
      <c r="D192" s="21" t="s">
        <v>153</v>
      </c>
      <c r="E192" s="21" t="s">
        <v>54</v>
      </c>
      <c r="F192" s="21">
        <v>1013628003</v>
      </c>
      <c r="G192" s="21" t="s">
        <v>55</v>
      </c>
      <c r="H192" s="22">
        <v>17138216</v>
      </c>
      <c r="I192" s="22">
        <v>272000</v>
      </c>
      <c r="J192" s="22">
        <v>3081600</v>
      </c>
      <c r="K192" s="23">
        <v>13784616</v>
      </c>
      <c r="L192" s="23">
        <v>26000000</v>
      </c>
      <c r="M192" s="24">
        <v>0.53017753846153848</v>
      </c>
      <c r="N192" s="25" t="str">
        <f>IFERROR(VLOOKUP(F192,Back!C:F,4,0),"NO")</f>
        <v>NO</v>
      </c>
      <c r="O192" s="26">
        <v>25</v>
      </c>
      <c r="P192" s="27" t="str">
        <f>IFERROR(VLOOKUP(F192,Back!C:E,3,0),"")</f>
        <v/>
      </c>
      <c r="Q192" s="27" t="str">
        <f>IFERROR(VLOOKUP(P192,Back!M:N,2,0),"")</f>
        <v/>
      </c>
      <c r="R192" s="27" t="str">
        <f>IF(N192="Si",IFERROR(VLOOKUP(F192,'TD Cumpl'!B:AB,27,0),"No Aplica"),"No Aplica")</f>
        <v>No Aplica</v>
      </c>
      <c r="S192" s="38"/>
      <c r="T192" s="36"/>
      <c r="Y192" s="54">
        <f t="shared" si="5"/>
        <v>17138216</v>
      </c>
    </row>
    <row r="193" spans="1:25" x14ac:dyDescent="0.25">
      <c r="A193" s="20">
        <f>+VLOOKUP(D193,Back!Q:R,2,0)</f>
        <v>6</v>
      </c>
      <c r="B193" s="20" t="str">
        <f t="shared" si="4"/>
        <v>2016 JUN</v>
      </c>
      <c r="C193" s="20">
        <v>2016</v>
      </c>
      <c r="D193" s="21" t="s">
        <v>153</v>
      </c>
      <c r="E193" s="21" t="s">
        <v>56</v>
      </c>
      <c r="F193" s="21">
        <v>43971430</v>
      </c>
      <c r="G193" s="21" t="s">
        <v>142</v>
      </c>
      <c r="H193" s="22">
        <v>46186436</v>
      </c>
      <c r="I193" s="22">
        <v>1266100</v>
      </c>
      <c r="J193" s="22">
        <v>12648633</v>
      </c>
      <c r="K193" s="23">
        <v>32271703</v>
      </c>
      <c r="L193" s="23">
        <v>40000000</v>
      </c>
      <c r="M193" s="24">
        <v>0.80679257500000001</v>
      </c>
      <c r="N193" s="25" t="str">
        <f>IFERROR(VLOOKUP(F193,Back!C:F,4,0),"NO")</f>
        <v>Si</v>
      </c>
      <c r="O193" s="26">
        <v>25</v>
      </c>
      <c r="P193" s="27" t="str">
        <f>IFERROR(VLOOKUP(F193,Back!C:E,3,0),"")</f>
        <v>IPS Pto De Vista Centro</v>
      </c>
      <c r="Q193" s="27" t="str">
        <f>IFERROR(VLOOKUP(P193,Back!M:N,2,0),"")</f>
        <v>Antioquia</v>
      </c>
      <c r="R193" s="27" t="str">
        <f>IF(N193="Si",IFERROR(VLOOKUP(F193,'TD Cumpl'!B:AB,27,0),"No Aplica"),"No Aplica")</f>
        <v>Siempre Cumple</v>
      </c>
      <c r="S193" s="38"/>
      <c r="T193" s="36"/>
      <c r="Y193" s="54">
        <f t="shared" si="5"/>
        <v>46186436</v>
      </c>
    </row>
    <row r="194" spans="1:25" x14ac:dyDescent="0.25">
      <c r="A194" s="20">
        <f>+VLOOKUP(D194,Back!Q:R,2,0)</f>
        <v>6</v>
      </c>
      <c r="B194" s="20" t="str">
        <f t="shared" ref="B194:B257" si="6">MID(UPPER(C194&amp;" "&amp;D194),1,8)</f>
        <v>2016 JUN</v>
      </c>
      <c r="C194" s="20">
        <v>2016</v>
      </c>
      <c r="D194" s="21" t="s">
        <v>153</v>
      </c>
      <c r="E194" s="21" t="s">
        <v>14</v>
      </c>
      <c r="F194" s="21">
        <v>43184345</v>
      </c>
      <c r="G194" s="21"/>
      <c r="H194" s="22">
        <v>196765</v>
      </c>
      <c r="I194" s="22">
        <v>0</v>
      </c>
      <c r="J194" s="22">
        <v>0</v>
      </c>
      <c r="K194" s="23">
        <v>196765</v>
      </c>
      <c r="L194" s="23"/>
      <c r="M194" s="24"/>
      <c r="N194" s="25" t="str">
        <f>IFERROR(VLOOKUP(F194,Back!C:F,4,0),"NO")</f>
        <v>NO</v>
      </c>
      <c r="O194" s="26">
        <v>25</v>
      </c>
      <c r="P194" s="27" t="str">
        <f>IFERROR(VLOOKUP(F194,Back!C:E,3,0),"")</f>
        <v/>
      </c>
      <c r="Q194" s="27" t="str">
        <f>IFERROR(VLOOKUP(P194,Back!M:N,2,0),"")</f>
        <v/>
      </c>
      <c r="R194" s="27" t="str">
        <f>IF(N194="Si",IFERROR(VLOOKUP(F194,'TD Cumpl'!B:AB,27,0),"No Aplica"),"No Aplica")</f>
        <v>No Aplica</v>
      </c>
      <c r="S194" s="38"/>
      <c r="T194" s="36"/>
      <c r="Y194" s="54">
        <f t="shared" ref="Y194:Y257" si="7">+H194-X194-V194-T194</f>
        <v>196765</v>
      </c>
    </row>
    <row r="195" spans="1:25" x14ac:dyDescent="0.25">
      <c r="A195" s="20">
        <f>+VLOOKUP(D195,Back!Q:R,2,0)</f>
        <v>6</v>
      </c>
      <c r="B195" s="20" t="str">
        <f t="shared" si="6"/>
        <v>2016 JUN</v>
      </c>
      <c r="C195" s="20">
        <v>2016</v>
      </c>
      <c r="D195" s="21" t="s">
        <v>153</v>
      </c>
      <c r="E195" s="21" t="s">
        <v>59</v>
      </c>
      <c r="F195" s="21">
        <v>1030634664</v>
      </c>
      <c r="G195" s="21" t="s">
        <v>58</v>
      </c>
      <c r="H195" s="22">
        <v>50755487</v>
      </c>
      <c r="I195" s="22">
        <v>903400</v>
      </c>
      <c r="J195" s="22">
        <v>13467352</v>
      </c>
      <c r="K195" s="23">
        <v>36384735</v>
      </c>
      <c r="L195" s="23">
        <v>40000000</v>
      </c>
      <c r="M195" s="24">
        <v>0.90961837499999998</v>
      </c>
      <c r="N195" s="25" t="str">
        <f>IFERROR(VLOOKUP(F195,Back!C:F,4,0),"NO")</f>
        <v>NO</v>
      </c>
      <c r="O195" s="26">
        <v>25</v>
      </c>
      <c r="P195" s="27" t="str">
        <f>IFERROR(VLOOKUP(F195,Back!C:E,3,0),"")</f>
        <v/>
      </c>
      <c r="Q195" s="27" t="str">
        <f>IFERROR(VLOOKUP(P195,Back!M:N,2,0),"")</f>
        <v/>
      </c>
      <c r="R195" s="27" t="str">
        <f>IF(N195="Si",IFERROR(VLOOKUP(F195,'TD Cumpl'!B:AB,27,0),"No Aplica"),"No Aplica")</f>
        <v>No Aplica</v>
      </c>
      <c r="S195" s="38"/>
      <c r="T195" s="36"/>
      <c r="Y195" s="54">
        <f t="shared" si="7"/>
        <v>50755487</v>
      </c>
    </row>
    <row r="196" spans="1:25" x14ac:dyDescent="0.25">
      <c r="A196" s="20">
        <f>+VLOOKUP(D196,Back!Q:R,2,0)</f>
        <v>6</v>
      </c>
      <c r="B196" s="20" t="str">
        <f t="shared" si="6"/>
        <v>2016 JUN</v>
      </c>
      <c r="C196" s="20">
        <v>2016</v>
      </c>
      <c r="D196" s="21" t="s">
        <v>153</v>
      </c>
      <c r="E196" s="21" t="s">
        <v>34</v>
      </c>
      <c r="F196" s="21">
        <v>43554403</v>
      </c>
      <c r="G196" s="21" t="s">
        <v>35</v>
      </c>
      <c r="H196" s="22">
        <v>60692956</v>
      </c>
      <c r="I196" s="22">
        <v>1292200</v>
      </c>
      <c r="J196" s="22">
        <v>13387707</v>
      </c>
      <c r="K196" s="23">
        <v>46013049</v>
      </c>
      <c r="L196" s="23">
        <v>40000000</v>
      </c>
      <c r="M196" s="24">
        <v>1.1503262249999999</v>
      </c>
      <c r="N196" s="25" t="str">
        <f>IFERROR(VLOOKUP(F196,Back!C:F,4,0),"NO")</f>
        <v>Si</v>
      </c>
      <c r="O196" s="26">
        <v>25</v>
      </c>
      <c r="P196" s="27" t="str">
        <f>IFERROR(VLOOKUP(F196,Back!C:E,3,0),"")</f>
        <v>IPS Pto De Vista Centro</v>
      </c>
      <c r="Q196" s="27" t="str">
        <f>IFERROR(VLOOKUP(P196,Back!M:N,2,0),"")</f>
        <v>Antioquia</v>
      </c>
      <c r="R196" s="27" t="str">
        <f>IF(N196="Si",IFERROR(VLOOKUP(F196,'TD Cumpl'!B:AB,27,0),"No Aplica"),"No Aplica")</f>
        <v>Siempre Cumple</v>
      </c>
      <c r="S196" s="38"/>
      <c r="T196" s="36"/>
      <c r="Y196" s="54">
        <f t="shared" si="7"/>
        <v>60692956</v>
      </c>
    </row>
    <row r="197" spans="1:25" x14ac:dyDescent="0.25">
      <c r="A197" s="20">
        <f>+VLOOKUP(D197,Back!Q:R,2,0)</f>
        <v>6</v>
      </c>
      <c r="B197" s="20" t="str">
        <f t="shared" si="6"/>
        <v>2016 JUN</v>
      </c>
      <c r="C197" s="20">
        <v>2016</v>
      </c>
      <c r="D197" s="21" t="s">
        <v>153</v>
      </c>
      <c r="E197" s="21" t="s">
        <v>1</v>
      </c>
      <c r="F197" s="21">
        <v>23857915</v>
      </c>
      <c r="G197" s="21" t="s">
        <v>116</v>
      </c>
      <c r="H197" s="22">
        <v>37514479</v>
      </c>
      <c r="I197" s="22">
        <v>388000</v>
      </c>
      <c r="J197" s="22">
        <v>5461900</v>
      </c>
      <c r="K197" s="23">
        <v>31664579</v>
      </c>
      <c r="L197" s="23">
        <v>26000000</v>
      </c>
      <c r="M197" s="24">
        <v>1.217868423076923</v>
      </c>
      <c r="N197" s="25" t="str">
        <f>IFERROR(VLOOKUP(F197,Back!C:F,4,0),"NO")</f>
        <v>NO</v>
      </c>
      <c r="O197" s="26">
        <v>25</v>
      </c>
      <c r="P197" s="27" t="str">
        <f>IFERROR(VLOOKUP(F197,Back!C:E,3,0),"")</f>
        <v/>
      </c>
      <c r="Q197" s="27" t="str">
        <f>IFERROR(VLOOKUP(P197,Back!M:N,2,0),"")</f>
        <v/>
      </c>
      <c r="R197" s="27" t="str">
        <f>IF(N197="Si",IFERROR(VLOOKUP(F197,'TD Cumpl'!B:AB,27,0),"No Aplica"),"No Aplica")</f>
        <v>No Aplica</v>
      </c>
      <c r="S197" s="38"/>
      <c r="T197" s="36"/>
      <c r="Y197" s="54">
        <f t="shared" si="7"/>
        <v>37514479</v>
      </c>
    </row>
    <row r="198" spans="1:25" x14ac:dyDescent="0.25">
      <c r="A198" s="20">
        <f>+VLOOKUP(D198,Back!Q:R,2,0)</f>
        <v>6</v>
      </c>
      <c r="B198" s="20" t="str">
        <f t="shared" si="6"/>
        <v>2016 JUN</v>
      </c>
      <c r="C198" s="20">
        <v>2016</v>
      </c>
      <c r="D198" s="21" t="s">
        <v>153</v>
      </c>
      <c r="E198" s="21" t="s">
        <v>3</v>
      </c>
      <c r="F198" s="21">
        <v>52725011</v>
      </c>
      <c r="G198" s="21" t="s">
        <v>42</v>
      </c>
      <c r="H198" s="22">
        <v>23880175</v>
      </c>
      <c r="I198" s="22">
        <v>816000</v>
      </c>
      <c r="J198" s="22">
        <v>6142697</v>
      </c>
      <c r="K198" s="23">
        <v>16921478</v>
      </c>
      <c r="L198" s="23">
        <v>21000000</v>
      </c>
      <c r="M198" s="24">
        <v>0.8057846666666667</v>
      </c>
      <c r="N198" s="25" t="str">
        <f>IFERROR(VLOOKUP(F198,Back!C:F,4,0),"NO")</f>
        <v>Si</v>
      </c>
      <c r="O198" s="26">
        <v>25</v>
      </c>
      <c r="P198" s="27" t="str">
        <f>IFERROR(VLOOKUP(F198,Back!C:E,3,0),"")</f>
        <v>IPS Pto De Vista Olaya</v>
      </c>
      <c r="Q198" s="27" t="str">
        <f>IFERROR(VLOOKUP(P198,Back!M:N,2,0),"")</f>
        <v>Centro</v>
      </c>
      <c r="R198" s="27" t="str">
        <f>IF(N198="Si",IFERROR(VLOOKUP(F198,'TD Cumpl'!B:AB,27,0),"No Aplica"),"No Aplica")</f>
        <v>Fluctúa</v>
      </c>
      <c r="S198" s="38"/>
      <c r="T198" s="36"/>
      <c r="Y198" s="54">
        <f t="shared" si="7"/>
        <v>23880175</v>
      </c>
    </row>
    <row r="199" spans="1:25" x14ac:dyDescent="0.25">
      <c r="A199" s="20">
        <f>+VLOOKUP(D199,Back!Q:R,2,0)</f>
        <v>6</v>
      </c>
      <c r="B199" s="20" t="str">
        <f t="shared" si="6"/>
        <v>2016 JUN</v>
      </c>
      <c r="C199" s="20">
        <v>2016</v>
      </c>
      <c r="D199" s="21" t="s">
        <v>153</v>
      </c>
      <c r="E199" s="21" t="s">
        <v>25</v>
      </c>
      <c r="F199" s="21">
        <v>1040030764</v>
      </c>
      <c r="G199" s="21" t="s">
        <v>43</v>
      </c>
      <c r="H199" s="22">
        <v>45082621</v>
      </c>
      <c r="I199" s="22">
        <v>1925400</v>
      </c>
      <c r="J199" s="22">
        <v>8215197</v>
      </c>
      <c r="K199" s="23">
        <v>34942024</v>
      </c>
      <c r="L199" s="23">
        <v>30100000</v>
      </c>
      <c r="M199" s="24">
        <v>1.160864584717608</v>
      </c>
      <c r="N199" s="25" t="str">
        <f>IFERROR(VLOOKUP(F199,Back!C:F,4,0),"NO")</f>
        <v>Si</v>
      </c>
      <c r="O199" s="26">
        <v>25</v>
      </c>
      <c r="P199" s="27" t="str">
        <f>IFERROR(VLOOKUP(F199,Back!C:E,3,0),"")</f>
        <v>IPS Pto De Vista Rionegro</v>
      </c>
      <c r="Q199" s="27" t="str">
        <f>IFERROR(VLOOKUP(P199,Back!M:N,2,0),"")</f>
        <v>Antioquia</v>
      </c>
      <c r="R199" s="27" t="str">
        <f>IF(N199="Si",IFERROR(VLOOKUP(F199,'TD Cumpl'!B:AB,27,0),"No Aplica"),"No Aplica")</f>
        <v>Cumple</v>
      </c>
      <c r="S199" s="38"/>
      <c r="T199" s="36"/>
      <c r="Y199" s="54">
        <f t="shared" si="7"/>
        <v>45082621</v>
      </c>
    </row>
    <row r="200" spans="1:25" x14ac:dyDescent="0.25">
      <c r="A200" s="20">
        <f>+VLOOKUP(D200,Back!Q:R,2,0)</f>
        <v>6</v>
      </c>
      <c r="B200" s="20" t="str">
        <f t="shared" si="6"/>
        <v>2016 JUN</v>
      </c>
      <c r="C200" s="20">
        <v>2016</v>
      </c>
      <c r="D200" s="21" t="s">
        <v>153</v>
      </c>
      <c r="E200" s="21" t="s">
        <v>33</v>
      </c>
      <c r="F200" s="21">
        <v>31307503</v>
      </c>
      <c r="G200" s="21" t="s">
        <v>36</v>
      </c>
      <c r="H200" s="22">
        <v>15146478</v>
      </c>
      <c r="I200" s="22">
        <v>256860</v>
      </c>
      <c r="J200" s="22">
        <v>0</v>
      </c>
      <c r="K200" s="23">
        <v>14889618</v>
      </c>
      <c r="L200" s="23">
        <v>30100000</v>
      </c>
      <c r="M200" s="24">
        <v>0.49467169435215946</v>
      </c>
      <c r="N200" s="25" t="str">
        <f>IFERROR(VLOOKUP(F200,Back!C:F,4,0),"NO")</f>
        <v>NO</v>
      </c>
      <c r="O200" s="26">
        <v>25</v>
      </c>
      <c r="P200" s="27" t="str">
        <f>IFERROR(VLOOKUP(F200,Back!C:E,3,0),"")</f>
        <v/>
      </c>
      <c r="Q200" s="27" t="str">
        <f>IFERROR(VLOOKUP(P200,Back!M:N,2,0),"")</f>
        <v/>
      </c>
      <c r="R200" s="27" t="str">
        <f>IF(N200="Si",IFERROR(VLOOKUP(F200,'TD Cumpl'!B:AB,27,0),"No Aplica"),"No Aplica")</f>
        <v>No Aplica</v>
      </c>
      <c r="S200" s="38"/>
      <c r="T200" s="36"/>
      <c r="Y200" s="54">
        <f t="shared" si="7"/>
        <v>15146478</v>
      </c>
    </row>
    <row r="201" spans="1:25" x14ac:dyDescent="0.25">
      <c r="A201" s="20">
        <f>+VLOOKUP(D201,Back!Q:R,2,0)</f>
        <v>6</v>
      </c>
      <c r="B201" s="20" t="str">
        <f t="shared" si="6"/>
        <v>2016 JUN</v>
      </c>
      <c r="C201" s="20">
        <v>2016</v>
      </c>
      <c r="D201" s="21" t="s">
        <v>153</v>
      </c>
      <c r="E201" s="21" t="s">
        <v>22</v>
      </c>
      <c r="F201" s="21">
        <v>42164020</v>
      </c>
      <c r="G201" s="21" t="s">
        <v>105</v>
      </c>
      <c r="H201" s="22">
        <v>25067081</v>
      </c>
      <c r="I201" s="22">
        <v>982700</v>
      </c>
      <c r="J201" s="22">
        <v>3446600</v>
      </c>
      <c r="K201" s="23">
        <v>20637781</v>
      </c>
      <c r="L201" s="23">
        <v>20160000</v>
      </c>
      <c r="M201" s="24">
        <v>1.0236994543650795</v>
      </c>
      <c r="N201" s="25" t="str">
        <f>IFERROR(VLOOKUP(F201,Back!C:F,4,0),"NO")</f>
        <v>Si</v>
      </c>
      <c r="O201" s="26">
        <v>25</v>
      </c>
      <c r="P201" s="27" t="str">
        <f>IFERROR(VLOOKUP(F201,Back!C:E,3,0),"")</f>
        <v>IPS Pto De Vista Molinos</v>
      </c>
      <c r="Q201" s="27" t="str">
        <f>IFERROR(VLOOKUP(P201,Back!M:N,2,0),"")</f>
        <v>Antioquia</v>
      </c>
      <c r="R201" s="27" t="str">
        <f>IF(N201="Si",IFERROR(VLOOKUP(F201,'TD Cumpl'!B:AB,27,0),"No Aplica"),"No Aplica")</f>
        <v>Siempre Cumple</v>
      </c>
      <c r="S201" s="38"/>
      <c r="T201" s="36"/>
      <c r="Y201" s="54">
        <f t="shared" si="7"/>
        <v>25067081</v>
      </c>
    </row>
    <row r="202" spans="1:25" x14ac:dyDescent="0.25">
      <c r="A202" s="20">
        <f>+VLOOKUP(D202,Back!Q:R,2,0)</f>
        <v>6</v>
      </c>
      <c r="B202" s="20" t="str">
        <f t="shared" si="6"/>
        <v>2016 JUN</v>
      </c>
      <c r="C202" s="20">
        <v>2016</v>
      </c>
      <c r="D202" s="21" t="s">
        <v>153</v>
      </c>
      <c r="E202" s="21" t="s">
        <v>312</v>
      </c>
      <c r="F202" s="21"/>
      <c r="G202" s="21"/>
      <c r="H202" s="22">
        <v>159700</v>
      </c>
      <c r="I202" s="22">
        <v>0</v>
      </c>
      <c r="J202" s="22">
        <v>159700</v>
      </c>
      <c r="K202" s="23">
        <v>0</v>
      </c>
      <c r="L202" s="23"/>
      <c r="M202" s="24"/>
      <c r="N202" s="25" t="str">
        <f>IFERROR(VLOOKUP(F202,Back!C:F,4,0),"NO")</f>
        <v>NO</v>
      </c>
      <c r="O202" s="26">
        <v>25</v>
      </c>
      <c r="P202" s="27" t="str">
        <f>IFERROR(VLOOKUP(F202,Back!C:E,3,0),"")</f>
        <v/>
      </c>
      <c r="Q202" s="27" t="str">
        <f>IFERROR(VLOOKUP(P202,Back!M:N,2,0),"")</f>
        <v/>
      </c>
      <c r="R202" s="27" t="str">
        <f>IF(N202="Si",IFERROR(VLOOKUP(F202,'TD Cumpl'!B:AB,27,0),"No Aplica"),"No Aplica")</f>
        <v>No Aplica</v>
      </c>
      <c r="S202" s="38"/>
      <c r="T202" s="36"/>
      <c r="Y202" s="54">
        <f t="shared" si="7"/>
        <v>159700</v>
      </c>
    </row>
    <row r="203" spans="1:25" x14ac:dyDescent="0.25">
      <c r="A203" s="20">
        <f>+VLOOKUP(D203,Back!Q:R,2,0)</f>
        <v>6</v>
      </c>
      <c r="B203" s="20" t="str">
        <f t="shared" si="6"/>
        <v>2016 JUN</v>
      </c>
      <c r="C203" s="20">
        <v>2016</v>
      </c>
      <c r="D203" s="21" t="s">
        <v>153</v>
      </c>
      <c r="E203" s="21" t="s">
        <v>21</v>
      </c>
      <c r="F203" s="21">
        <v>1035417626</v>
      </c>
      <c r="G203" s="21" t="s">
        <v>80</v>
      </c>
      <c r="H203" s="22">
        <v>57277414</v>
      </c>
      <c r="I203" s="22">
        <v>598200</v>
      </c>
      <c r="J203" s="22">
        <v>11267278</v>
      </c>
      <c r="K203" s="23">
        <v>45411936</v>
      </c>
      <c r="L203" s="23">
        <v>36000000</v>
      </c>
      <c r="M203" s="24">
        <v>1.2614426666666667</v>
      </c>
      <c r="N203" s="25" t="str">
        <f>IFERROR(VLOOKUP(F203,Back!C:F,4,0),"NO")</f>
        <v>Si</v>
      </c>
      <c r="O203" s="26">
        <v>25</v>
      </c>
      <c r="P203" s="27" t="str">
        <f>IFERROR(VLOOKUP(F203,Back!C:E,3,0),"")</f>
        <v>IPS Pto De Vista Unicentro</v>
      </c>
      <c r="Q203" s="27" t="str">
        <f>IFERROR(VLOOKUP(P203,Back!M:N,2,0),"")</f>
        <v>Antioquia</v>
      </c>
      <c r="R203" s="27" t="str">
        <f>IF(N203="Si",IFERROR(VLOOKUP(F203,'TD Cumpl'!B:AB,27,0),"No Aplica"),"No Aplica")</f>
        <v>Cumple</v>
      </c>
      <c r="S203" s="38"/>
      <c r="T203" s="36"/>
      <c r="Y203" s="54">
        <f t="shared" si="7"/>
        <v>57277414</v>
      </c>
    </row>
    <row r="204" spans="1:25" x14ac:dyDescent="0.25">
      <c r="A204" s="20">
        <f>+VLOOKUP(D204,Back!Q:R,2,0)</f>
        <v>6</v>
      </c>
      <c r="B204" s="20" t="str">
        <f t="shared" si="6"/>
        <v>2016 JUN</v>
      </c>
      <c r="C204" s="20">
        <v>2016</v>
      </c>
      <c r="D204" s="21" t="s">
        <v>153</v>
      </c>
      <c r="E204" s="21" t="s">
        <v>57</v>
      </c>
      <c r="F204" s="21">
        <v>43874518</v>
      </c>
      <c r="G204" s="21" t="s">
        <v>60</v>
      </c>
      <c r="H204" s="22">
        <v>59789020</v>
      </c>
      <c r="I204" s="22">
        <v>1688100</v>
      </c>
      <c r="J204" s="22">
        <v>13090068</v>
      </c>
      <c r="K204" s="23">
        <v>45010852</v>
      </c>
      <c r="L204" s="23">
        <v>39840000</v>
      </c>
      <c r="M204" s="24">
        <v>1.1297904618473895</v>
      </c>
      <c r="N204" s="25" t="str">
        <f>IFERROR(VLOOKUP(F204,Back!C:F,4,0),"NO")</f>
        <v>Si</v>
      </c>
      <c r="O204" s="26">
        <v>25</v>
      </c>
      <c r="P204" s="27" t="str">
        <f>IFERROR(VLOOKUP(F204,Back!C:E,3,0),"")</f>
        <v>IPS Pto De Vista Punto Clave</v>
      </c>
      <c r="Q204" s="27" t="str">
        <f>IFERROR(VLOOKUP(P204,Back!M:N,2,0),"")</f>
        <v>Antioquia</v>
      </c>
      <c r="R204" s="27" t="str">
        <f>IF(N204="Si",IFERROR(VLOOKUP(F204,'TD Cumpl'!B:AB,27,0),"No Aplica"),"No Aplica")</f>
        <v>Fluctúa</v>
      </c>
      <c r="S204" s="38"/>
      <c r="T204" s="36"/>
      <c r="Y204" s="54">
        <f t="shared" si="7"/>
        <v>59789020</v>
      </c>
    </row>
    <row r="205" spans="1:25" x14ac:dyDescent="0.25">
      <c r="A205" s="20">
        <f>+VLOOKUP(D205,Back!Q:R,2,0)</f>
        <v>6</v>
      </c>
      <c r="B205" s="20" t="str">
        <f t="shared" si="6"/>
        <v>2016 JUN</v>
      </c>
      <c r="C205" s="20">
        <v>2016</v>
      </c>
      <c r="D205" s="21" t="s">
        <v>153</v>
      </c>
      <c r="E205" s="21" t="s">
        <v>2</v>
      </c>
      <c r="F205" s="21">
        <v>52260671</v>
      </c>
      <c r="G205" s="21" t="s">
        <v>26</v>
      </c>
      <c r="H205" s="22">
        <v>16690339</v>
      </c>
      <c r="I205" s="22">
        <v>384000</v>
      </c>
      <c r="J205" s="22">
        <v>3723100</v>
      </c>
      <c r="K205" s="23">
        <v>12583239</v>
      </c>
      <c r="L205" s="23">
        <v>6240000</v>
      </c>
      <c r="M205" s="24">
        <v>2.0165447115384616</v>
      </c>
      <c r="N205" s="25" t="str">
        <f>IFERROR(VLOOKUP(F205,Back!C:F,4,0),"NO")</f>
        <v>Si</v>
      </c>
      <c r="O205" s="26">
        <v>25</v>
      </c>
      <c r="P205" s="27" t="str">
        <f>IFERROR(VLOOKUP(F205,Back!C:E,3,0),"")</f>
        <v>IPS Pto De Vista Santa Bárbara</v>
      </c>
      <c r="Q205" s="27" t="str">
        <f>IFERROR(VLOOKUP(P205,Back!M:N,2,0),"")</f>
        <v>Centro</v>
      </c>
      <c r="R205" s="27" t="str">
        <f>IF(N205="Si",IFERROR(VLOOKUP(F205,'TD Cumpl'!B:AB,27,0),"No Aplica"),"No Aplica")</f>
        <v>Siempre Cumple</v>
      </c>
      <c r="S205" s="38"/>
      <c r="T205" s="36"/>
      <c r="Y205" s="54">
        <f t="shared" si="7"/>
        <v>16690339</v>
      </c>
    </row>
    <row r="206" spans="1:25" x14ac:dyDescent="0.25">
      <c r="A206" s="20">
        <f>+VLOOKUP(D206,Back!Q:R,2,0)</f>
        <v>6</v>
      </c>
      <c r="B206" s="20" t="str">
        <f t="shared" si="6"/>
        <v>2016 JUN</v>
      </c>
      <c r="C206" s="20">
        <v>2016</v>
      </c>
      <c r="D206" s="21" t="s">
        <v>153</v>
      </c>
      <c r="E206" s="21" t="s">
        <v>37</v>
      </c>
      <c r="F206" s="21">
        <v>1036779770</v>
      </c>
      <c r="G206" s="21" t="s">
        <v>52</v>
      </c>
      <c r="H206" s="22">
        <v>39514721</v>
      </c>
      <c r="I206" s="22">
        <v>1323400</v>
      </c>
      <c r="J206" s="22">
        <v>9201439</v>
      </c>
      <c r="K206" s="23">
        <v>28989882</v>
      </c>
      <c r="L206" s="23">
        <v>30100000</v>
      </c>
      <c r="M206" s="24">
        <v>0.96311900332225908</v>
      </c>
      <c r="N206" s="25" t="str">
        <f>IFERROR(VLOOKUP(F206,Back!C:F,4,0),"NO")</f>
        <v>No</v>
      </c>
      <c r="O206" s="26">
        <v>25</v>
      </c>
      <c r="P206" s="27" t="str">
        <f>IFERROR(VLOOKUP(F206,Back!C:E,3,0),"")</f>
        <v>IPS Pto De Vista Rionegro</v>
      </c>
      <c r="Q206" s="27" t="str">
        <f>IFERROR(VLOOKUP(P206,Back!M:N,2,0),"")</f>
        <v>Antioquia</v>
      </c>
      <c r="R206" s="27" t="str">
        <f>IF(N206="Si",IFERROR(VLOOKUP(F206,'TD Cumpl'!B:AB,27,0),"No Aplica"),"No Aplica")</f>
        <v>No Aplica</v>
      </c>
      <c r="S206" s="38"/>
      <c r="T206" s="36"/>
      <c r="Y206" s="54">
        <f t="shared" si="7"/>
        <v>39514721</v>
      </c>
    </row>
    <row r="207" spans="1:25" x14ac:dyDescent="0.25">
      <c r="A207" s="20">
        <f>+VLOOKUP(D207,Back!Q:R,2,0)</f>
        <v>6</v>
      </c>
      <c r="B207" s="20" t="str">
        <f t="shared" si="6"/>
        <v>2016 JUN</v>
      </c>
      <c r="C207" s="20">
        <v>2016</v>
      </c>
      <c r="D207" s="21" t="s">
        <v>153</v>
      </c>
      <c r="E207" s="21" t="s">
        <v>68</v>
      </c>
      <c r="F207" s="21">
        <v>1017207399</v>
      </c>
      <c r="G207" s="21" t="s">
        <v>70</v>
      </c>
      <c r="H207" s="22">
        <v>34292198</v>
      </c>
      <c r="I207" s="22">
        <v>0</v>
      </c>
      <c r="J207" s="22">
        <v>12283900</v>
      </c>
      <c r="K207" s="23">
        <v>22008298</v>
      </c>
      <c r="L207" s="23">
        <v>27090000</v>
      </c>
      <c r="M207" s="24">
        <v>0.81241410114433366</v>
      </c>
      <c r="N207" s="25" t="str">
        <f>IFERROR(VLOOKUP(F207,Back!C:F,4,0),"NO")</f>
        <v>NO</v>
      </c>
      <c r="O207" s="26">
        <v>25</v>
      </c>
      <c r="P207" s="27" t="str">
        <f>IFERROR(VLOOKUP(F207,Back!C:E,3,0),"")</f>
        <v/>
      </c>
      <c r="Q207" s="27" t="str">
        <f>IFERROR(VLOOKUP(P207,Back!M:N,2,0),"")</f>
        <v/>
      </c>
      <c r="R207" s="27" t="str">
        <f>IF(N207="Si",IFERROR(VLOOKUP(F207,'TD Cumpl'!B:AB,27,0),"No Aplica"),"No Aplica")</f>
        <v>No Aplica</v>
      </c>
      <c r="S207" s="38"/>
      <c r="T207" s="36"/>
      <c r="Y207" s="54">
        <f t="shared" si="7"/>
        <v>34292198</v>
      </c>
    </row>
    <row r="208" spans="1:25" x14ac:dyDescent="0.25">
      <c r="A208" s="20">
        <f>+VLOOKUP(D208,Back!Q:R,2,0)</f>
        <v>6</v>
      </c>
      <c r="B208" s="20" t="str">
        <f t="shared" si="6"/>
        <v>2016 JUN</v>
      </c>
      <c r="C208" s="20">
        <v>2016</v>
      </c>
      <c r="D208" s="21" t="s">
        <v>153</v>
      </c>
      <c r="E208" s="21" t="s">
        <v>64</v>
      </c>
      <c r="F208" s="21">
        <v>1036598360</v>
      </c>
      <c r="G208" s="21" t="s">
        <v>146</v>
      </c>
      <c r="H208" s="22">
        <v>65298816</v>
      </c>
      <c r="I208" s="22">
        <v>2298000</v>
      </c>
      <c r="J208" s="22">
        <v>13579633</v>
      </c>
      <c r="K208" s="23">
        <v>49421183</v>
      </c>
      <c r="L208" s="23">
        <v>40000000</v>
      </c>
      <c r="M208" s="24">
        <v>1.2355295749999999</v>
      </c>
      <c r="N208" s="25" t="str">
        <f>IFERROR(VLOOKUP(F208,Back!C:F,4,0),"NO")</f>
        <v>Si</v>
      </c>
      <c r="O208" s="26">
        <v>25</v>
      </c>
      <c r="P208" s="27" t="str">
        <f>IFERROR(VLOOKUP(F208,Back!C:E,3,0),"")</f>
        <v>IPS Pto De Vista Punto Clave</v>
      </c>
      <c r="Q208" s="27" t="str">
        <f>IFERROR(VLOOKUP(P208,Back!M:N,2,0),"")</f>
        <v>Antioquia</v>
      </c>
      <c r="R208" s="27" t="str">
        <f>IF(N208="Si",IFERROR(VLOOKUP(F208,'TD Cumpl'!B:AB,27,0),"No Aplica"),"No Aplica")</f>
        <v>Fluctúa</v>
      </c>
      <c r="S208" s="38"/>
      <c r="T208" s="36"/>
      <c r="Y208" s="54">
        <f t="shared" si="7"/>
        <v>65298816</v>
      </c>
    </row>
    <row r="209" spans="1:25" x14ac:dyDescent="0.25">
      <c r="A209" s="20">
        <f>+VLOOKUP(D209,Back!Q:R,2,0)</f>
        <v>6</v>
      </c>
      <c r="B209" s="20" t="str">
        <f t="shared" si="6"/>
        <v>2016 JUN</v>
      </c>
      <c r="C209" s="20">
        <v>2016</v>
      </c>
      <c r="D209" s="21" t="s">
        <v>153</v>
      </c>
      <c r="E209" s="21" t="s">
        <v>20</v>
      </c>
      <c r="F209" s="21">
        <v>1017141451</v>
      </c>
      <c r="G209" s="21" t="s">
        <v>44</v>
      </c>
      <c r="H209" s="22">
        <v>74273078</v>
      </c>
      <c r="I209" s="22">
        <v>1875660</v>
      </c>
      <c r="J209" s="22">
        <v>17242000</v>
      </c>
      <c r="K209" s="23">
        <v>55155418</v>
      </c>
      <c r="L209" s="23">
        <v>36000000</v>
      </c>
      <c r="M209" s="24">
        <v>1.5320949444444445</v>
      </c>
      <c r="N209" s="25" t="str">
        <f>IFERROR(VLOOKUP(F209,Back!C:F,4,0),"NO")</f>
        <v>Si</v>
      </c>
      <c r="O209" s="26">
        <v>25</v>
      </c>
      <c r="P209" s="27" t="str">
        <f>IFERROR(VLOOKUP(F209,Back!C:E,3,0),"")</f>
        <v>IPS Pto De Vista Molinos</v>
      </c>
      <c r="Q209" s="27" t="str">
        <f>IFERROR(VLOOKUP(P209,Back!M:N,2,0),"")</f>
        <v>Antioquia</v>
      </c>
      <c r="R209" s="27" t="str">
        <f>IF(N209="Si",IFERROR(VLOOKUP(F209,'TD Cumpl'!B:AB,27,0),"No Aplica"),"No Aplica")</f>
        <v>Siempre Cumple</v>
      </c>
      <c r="S209" s="38"/>
      <c r="T209" s="36"/>
      <c r="Y209" s="54">
        <f t="shared" si="7"/>
        <v>74273078</v>
      </c>
    </row>
    <row r="210" spans="1:25" x14ac:dyDescent="0.25">
      <c r="A210" s="20">
        <f>+VLOOKUP(D210,Back!Q:R,2,0)</f>
        <v>6</v>
      </c>
      <c r="B210" s="20" t="str">
        <f t="shared" si="6"/>
        <v>2016 JUN</v>
      </c>
      <c r="C210" s="20">
        <v>2016</v>
      </c>
      <c r="D210" s="21" t="s">
        <v>153</v>
      </c>
      <c r="E210" s="21" t="s">
        <v>67</v>
      </c>
      <c r="F210" s="21">
        <v>43758991</v>
      </c>
      <c r="G210" s="21" t="s">
        <v>69</v>
      </c>
      <c r="H210" s="22">
        <v>35017458</v>
      </c>
      <c r="I210" s="22">
        <v>562700</v>
      </c>
      <c r="J210" s="22">
        <v>11089400</v>
      </c>
      <c r="K210" s="23">
        <v>23365358</v>
      </c>
      <c r="L210" s="23">
        <v>27090000</v>
      </c>
      <c r="M210" s="24">
        <v>0.86250860095976378</v>
      </c>
      <c r="N210" s="25" t="str">
        <f>IFERROR(VLOOKUP(F210,Back!C:F,4,0),"NO")</f>
        <v>NO</v>
      </c>
      <c r="O210" s="26">
        <v>25</v>
      </c>
      <c r="P210" s="27" t="str">
        <f>IFERROR(VLOOKUP(F210,Back!C:E,3,0),"")</f>
        <v/>
      </c>
      <c r="Q210" s="27" t="str">
        <f>IFERROR(VLOOKUP(P210,Back!M:N,2,0),"")</f>
        <v/>
      </c>
      <c r="R210" s="27" t="str">
        <f>IF(N210="Si",IFERROR(VLOOKUP(F210,'TD Cumpl'!B:AB,27,0),"No Aplica"),"No Aplica")</f>
        <v>No Aplica</v>
      </c>
      <c r="S210" s="38"/>
      <c r="T210" s="36"/>
      <c r="Y210" s="54">
        <f t="shared" si="7"/>
        <v>35017458</v>
      </c>
    </row>
    <row r="211" spans="1:25" x14ac:dyDescent="0.25">
      <c r="A211" s="20">
        <f>+VLOOKUP(D211,Back!Q:R,2,0)</f>
        <v>6</v>
      </c>
      <c r="B211" s="20" t="str">
        <f t="shared" si="6"/>
        <v>2016 JUN</v>
      </c>
      <c r="C211" s="20">
        <v>2016</v>
      </c>
      <c r="D211" s="21" t="s">
        <v>153</v>
      </c>
      <c r="E211" s="21" t="s">
        <v>19</v>
      </c>
      <c r="F211" s="21">
        <v>43343234</v>
      </c>
      <c r="G211" s="21"/>
      <c r="H211" s="22">
        <v>4114250</v>
      </c>
      <c r="I211" s="22">
        <v>198000</v>
      </c>
      <c r="J211" s="22">
        <v>523100</v>
      </c>
      <c r="K211" s="23">
        <v>3393150</v>
      </c>
      <c r="L211" s="23"/>
      <c r="M211" s="24"/>
      <c r="N211" s="25" t="str">
        <f>IFERROR(VLOOKUP(F211,Back!C:F,4,0),"NO")</f>
        <v>NO</v>
      </c>
      <c r="O211" s="26">
        <v>25</v>
      </c>
      <c r="P211" s="27" t="str">
        <f>IFERROR(VLOOKUP(F211,Back!C:E,3,0),"")</f>
        <v/>
      </c>
      <c r="Q211" s="27" t="str">
        <f>IFERROR(VLOOKUP(P211,Back!M:N,2,0),"")</f>
        <v/>
      </c>
      <c r="R211" s="27" t="str">
        <f>IF(N211="Si",IFERROR(VLOOKUP(F211,'TD Cumpl'!B:AB,27,0),"No Aplica"),"No Aplica")</f>
        <v>No Aplica</v>
      </c>
      <c r="S211" s="38"/>
      <c r="T211" s="36"/>
      <c r="Y211" s="54">
        <f t="shared" si="7"/>
        <v>4114250</v>
      </c>
    </row>
    <row r="212" spans="1:25" x14ac:dyDescent="0.25">
      <c r="A212" s="20">
        <f>+VLOOKUP(D212,Back!Q:R,2,0)</f>
        <v>6</v>
      </c>
      <c r="B212" s="20" t="str">
        <f t="shared" si="6"/>
        <v>2016 JUN</v>
      </c>
      <c r="C212" s="20">
        <v>2016</v>
      </c>
      <c r="D212" s="21" t="s">
        <v>153</v>
      </c>
      <c r="E212" s="21" t="s">
        <v>38</v>
      </c>
      <c r="F212" s="21">
        <v>43745192</v>
      </c>
      <c r="G212" s="21" t="s">
        <v>45</v>
      </c>
      <c r="H212" s="22">
        <v>27423383</v>
      </c>
      <c r="I212" s="22">
        <v>378000</v>
      </c>
      <c r="J212" s="22">
        <v>0</v>
      </c>
      <c r="K212" s="23">
        <v>27045383</v>
      </c>
      <c r="L212" s="23">
        <v>21000000</v>
      </c>
      <c r="M212" s="24">
        <v>1.2878753809523809</v>
      </c>
      <c r="N212" s="25" t="str">
        <f>IFERROR(VLOOKUP(F212,Back!C:F,4,0),"NO")</f>
        <v>Si</v>
      </c>
      <c r="O212" s="26">
        <v>25</v>
      </c>
      <c r="P212" s="27" t="str">
        <f>IFERROR(VLOOKUP(F212,Back!C:E,3,0),"")</f>
        <v>IPS Punto de Vista Mayorca</v>
      </c>
      <c r="Q212" s="27" t="str">
        <f>IFERROR(VLOOKUP(P212,Back!M:N,2,0),"")</f>
        <v>Antioquia</v>
      </c>
      <c r="R212" s="27" t="str">
        <f>IF(N212="Si",IFERROR(VLOOKUP(F212,'TD Cumpl'!B:AB,27,0),"No Aplica"),"No Aplica")</f>
        <v>Cumple</v>
      </c>
      <c r="S212" s="38"/>
      <c r="T212" s="36"/>
      <c r="Y212" s="54">
        <f t="shared" si="7"/>
        <v>27423383</v>
      </c>
    </row>
    <row r="213" spans="1:25" x14ac:dyDescent="0.25">
      <c r="A213" s="20">
        <f>+VLOOKUP(D213,Back!Q:R,2,0)</f>
        <v>6</v>
      </c>
      <c r="B213" s="20" t="str">
        <f t="shared" si="6"/>
        <v>2016 JUN</v>
      </c>
      <c r="C213" s="20">
        <v>2016</v>
      </c>
      <c r="D213" s="21" t="s">
        <v>153</v>
      </c>
      <c r="E213" s="21" t="s">
        <v>13</v>
      </c>
      <c r="F213" s="21">
        <v>43866877</v>
      </c>
      <c r="G213" s="21" t="s">
        <v>46</v>
      </c>
      <c r="H213" s="22">
        <v>50869018</v>
      </c>
      <c r="I213" s="22">
        <v>1783100</v>
      </c>
      <c r="J213" s="22">
        <v>14021366</v>
      </c>
      <c r="K213" s="23">
        <v>35064552</v>
      </c>
      <c r="L213" s="23">
        <v>40000000</v>
      </c>
      <c r="M213" s="24">
        <v>0.8766138</v>
      </c>
      <c r="N213" s="25" t="str">
        <f>IFERROR(VLOOKUP(F213,Back!C:F,4,0),"NO")</f>
        <v>Si</v>
      </c>
      <c r="O213" s="26">
        <v>25</v>
      </c>
      <c r="P213" s="27" t="str">
        <f>IFERROR(VLOOKUP(F213,Back!C:E,3,0),"")</f>
        <v>IPS Pto De Vista Centro</v>
      </c>
      <c r="Q213" s="27" t="str">
        <f>IFERROR(VLOOKUP(P213,Back!M:N,2,0),"")</f>
        <v>Antioquia</v>
      </c>
      <c r="R213" s="27" t="str">
        <f>IF(N213="Si",IFERROR(VLOOKUP(F213,'TD Cumpl'!B:AB,27,0),"No Aplica"),"No Aplica")</f>
        <v>Siempre Cumple</v>
      </c>
      <c r="S213" s="38"/>
      <c r="T213" s="36"/>
      <c r="Y213" s="54">
        <f t="shared" si="7"/>
        <v>50869018</v>
      </c>
    </row>
    <row r="214" spans="1:25" x14ac:dyDescent="0.25">
      <c r="A214" s="20">
        <f>+VLOOKUP(D214,Back!Q:R,2,0)</f>
        <v>6</v>
      </c>
      <c r="B214" s="20" t="str">
        <f t="shared" si="6"/>
        <v>2016 JUN</v>
      </c>
      <c r="C214" s="20">
        <v>2016</v>
      </c>
      <c r="D214" s="21" t="s">
        <v>153</v>
      </c>
      <c r="E214" s="21" t="s">
        <v>17</v>
      </c>
      <c r="F214" s="21">
        <v>43113640</v>
      </c>
      <c r="G214" s="21" t="s">
        <v>47</v>
      </c>
      <c r="H214" s="22">
        <v>42967898</v>
      </c>
      <c r="I214" s="22">
        <v>1311400</v>
      </c>
      <c r="J214" s="22">
        <v>11159500</v>
      </c>
      <c r="K214" s="23">
        <v>30496998</v>
      </c>
      <c r="L214" s="23">
        <v>15840000</v>
      </c>
      <c r="M214" s="24">
        <v>1.9253155303030303</v>
      </c>
      <c r="N214" s="25" t="str">
        <f>IFERROR(VLOOKUP(F214,Back!C:F,4,0),"NO")</f>
        <v>Si</v>
      </c>
      <c r="O214" s="26">
        <v>25</v>
      </c>
      <c r="P214" s="27" t="str">
        <f>IFERROR(VLOOKUP(F214,Back!C:E,3,0),"")</f>
        <v>IPS Pto De Vista San Diego</v>
      </c>
      <c r="Q214" s="27" t="str">
        <f>IFERROR(VLOOKUP(P214,Back!M:N,2,0),"")</f>
        <v>Antioquia</v>
      </c>
      <c r="R214" s="27" t="str">
        <f>IF(N214="Si",IFERROR(VLOOKUP(F214,'TD Cumpl'!B:AB,27,0),"No Aplica"),"No Aplica")</f>
        <v>Cumple</v>
      </c>
      <c r="S214" s="38"/>
      <c r="T214" s="36"/>
      <c r="Y214" s="54">
        <f t="shared" si="7"/>
        <v>42967898</v>
      </c>
    </row>
    <row r="215" spans="1:25" x14ac:dyDescent="0.25">
      <c r="A215" s="20">
        <f>+VLOOKUP(D215,Back!Q:R,2,0)</f>
        <v>6</v>
      </c>
      <c r="B215" s="20" t="str">
        <f t="shared" si="6"/>
        <v>2016 JUN</v>
      </c>
      <c r="C215" s="20">
        <v>2016</v>
      </c>
      <c r="D215" s="21" t="s">
        <v>153</v>
      </c>
      <c r="E215" s="21" t="s">
        <v>24</v>
      </c>
      <c r="F215" s="21">
        <v>39448823</v>
      </c>
      <c r="G215" s="21" t="s">
        <v>48</v>
      </c>
      <c r="H215" s="22">
        <v>53328895</v>
      </c>
      <c r="I215" s="22">
        <v>1802260</v>
      </c>
      <c r="J215" s="22">
        <v>8162651</v>
      </c>
      <c r="K215" s="23">
        <v>43363984</v>
      </c>
      <c r="L215" s="23">
        <v>38454166.666666664</v>
      </c>
      <c r="M215" s="24">
        <v>1.1276797226135009</v>
      </c>
      <c r="N215" s="25" t="str">
        <f>IFERROR(VLOOKUP(F215,Back!C:F,4,0),"NO")</f>
        <v>Si</v>
      </c>
      <c r="O215" s="26">
        <v>25</v>
      </c>
      <c r="P215" s="27" t="str">
        <f>IFERROR(VLOOKUP(F215,Back!C:E,3,0),"")</f>
        <v>IPS Pto De Vista Rionegro</v>
      </c>
      <c r="Q215" s="27" t="str">
        <f>IFERROR(VLOOKUP(P215,Back!M:N,2,0),"")</f>
        <v>Antioquia</v>
      </c>
      <c r="R215" s="27" t="str">
        <f>IF(N215="Si",IFERROR(VLOOKUP(F215,'TD Cumpl'!B:AB,27,0),"No Aplica"),"No Aplica")</f>
        <v>Siempre Cumple</v>
      </c>
      <c r="S215" s="38"/>
      <c r="T215" s="36"/>
      <c r="Y215" s="54">
        <f t="shared" si="7"/>
        <v>53328895</v>
      </c>
    </row>
    <row r="216" spans="1:25" x14ac:dyDescent="0.25">
      <c r="A216" s="20">
        <f>+VLOOKUP(D216,Back!Q:R,2,0)</f>
        <v>6</v>
      </c>
      <c r="B216" s="20" t="str">
        <f t="shared" si="6"/>
        <v>2016 JUN</v>
      </c>
      <c r="C216" s="20">
        <v>2016</v>
      </c>
      <c r="D216" s="21" t="s">
        <v>153</v>
      </c>
      <c r="E216" s="21" t="s">
        <v>10</v>
      </c>
      <c r="F216" s="21">
        <v>43109744</v>
      </c>
      <c r="G216" s="21" t="s">
        <v>53</v>
      </c>
      <c r="H216" s="22">
        <v>53949045</v>
      </c>
      <c r="I216" s="22">
        <v>2907360</v>
      </c>
      <c r="J216" s="22">
        <v>12979381</v>
      </c>
      <c r="K216" s="23">
        <v>38062304</v>
      </c>
      <c r="L216" s="23">
        <v>53366666.666666664</v>
      </c>
      <c r="M216" s="24">
        <v>0.71322243597751411</v>
      </c>
      <c r="N216" s="25" t="str">
        <f>IFERROR(VLOOKUP(F216,Back!C:F,4,0),"NO")</f>
        <v>NO</v>
      </c>
      <c r="O216" s="26">
        <v>25</v>
      </c>
      <c r="P216" s="27" t="str">
        <f>IFERROR(VLOOKUP(F216,Back!C:E,3,0),"")</f>
        <v/>
      </c>
      <c r="Q216" s="27" t="str">
        <f>IFERROR(VLOOKUP(P216,Back!M:N,2,0),"")</f>
        <v/>
      </c>
      <c r="R216" s="27" t="str">
        <f>IF(N216="Si",IFERROR(VLOOKUP(F216,'TD Cumpl'!B:AB,27,0),"No Aplica"),"No Aplica")</f>
        <v>No Aplica</v>
      </c>
      <c r="S216" s="38"/>
      <c r="T216" s="36"/>
      <c r="Y216" s="54">
        <f t="shared" si="7"/>
        <v>53949045</v>
      </c>
    </row>
    <row r="217" spans="1:25" x14ac:dyDescent="0.25">
      <c r="A217" s="20">
        <f>+VLOOKUP(D217,Back!Q:R,2,0)</f>
        <v>6</v>
      </c>
      <c r="B217" s="20" t="str">
        <f t="shared" si="6"/>
        <v>2016 JUN</v>
      </c>
      <c r="C217" s="20">
        <v>2016</v>
      </c>
      <c r="D217" s="21" t="s">
        <v>153</v>
      </c>
      <c r="E217" s="21" t="s">
        <v>63</v>
      </c>
      <c r="F217" s="21">
        <v>21113054</v>
      </c>
      <c r="G217" s="21"/>
      <c r="H217" s="22">
        <v>1571048</v>
      </c>
      <c r="I217" s="22">
        <v>0</v>
      </c>
      <c r="J217" s="22">
        <v>363400</v>
      </c>
      <c r="K217" s="23">
        <v>1207648</v>
      </c>
      <c r="L217" s="23"/>
      <c r="M217" s="24"/>
      <c r="N217" s="25" t="str">
        <f>IFERROR(VLOOKUP(F217,Back!C:F,4,0),"NO")</f>
        <v>NO</v>
      </c>
      <c r="O217" s="26">
        <v>25</v>
      </c>
      <c r="P217" s="27" t="str">
        <f>IFERROR(VLOOKUP(F217,Back!C:E,3,0),"")</f>
        <v/>
      </c>
      <c r="Q217" s="27" t="str">
        <f>IFERROR(VLOOKUP(P217,Back!M:N,2,0),"")</f>
        <v/>
      </c>
      <c r="R217" s="27" t="str">
        <f>IF(N217="Si",IFERROR(VLOOKUP(F217,'TD Cumpl'!B:AB,27,0),"No Aplica"),"No Aplica")</f>
        <v>No Aplica</v>
      </c>
      <c r="S217" s="38"/>
      <c r="T217" s="36"/>
      <c r="Y217" s="54">
        <f t="shared" si="7"/>
        <v>1571048</v>
      </c>
    </row>
    <row r="218" spans="1:25" x14ac:dyDescent="0.25">
      <c r="A218" s="20">
        <f>+VLOOKUP(D218,Back!Q:R,2,0)</f>
        <v>6</v>
      </c>
      <c r="B218" s="20" t="str">
        <f t="shared" si="6"/>
        <v>2016 JUN</v>
      </c>
      <c r="C218" s="20">
        <v>2016</v>
      </c>
      <c r="D218" s="21" t="s">
        <v>153</v>
      </c>
      <c r="E218" s="21" t="s">
        <v>16</v>
      </c>
      <c r="F218" s="21">
        <v>43599983</v>
      </c>
      <c r="G218" s="21" t="s">
        <v>478</v>
      </c>
      <c r="H218" s="22">
        <v>36184672</v>
      </c>
      <c r="I218" s="22">
        <v>1598700</v>
      </c>
      <c r="J218" s="22">
        <v>8710456</v>
      </c>
      <c r="K218" s="23">
        <v>25875516</v>
      </c>
      <c r="L218" s="23">
        <v>40000000</v>
      </c>
      <c r="M218" s="24">
        <v>0.64688789999999996</v>
      </c>
      <c r="N218" s="25" t="str">
        <f>IFERROR(VLOOKUP(F218,Back!C:F,4,0),"NO")</f>
        <v>NO</v>
      </c>
      <c r="O218" s="26">
        <v>25</v>
      </c>
      <c r="P218" s="27" t="str">
        <f>IFERROR(VLOOKUP(F218,Back!C:E,3,0),"")</f>
        <v/>
      </c>
      <c r="Q218" s="27" t="str">
        <f>IFERROR(VLOOKUP(P218,Back!M:N,2,0),"")</f>
        <v/>
      </c>
      <c r="R218" s="27" t="str">
        <f>IF(N218="Si",IFERROR(VLOOKUP(F218,'TD Cumpl'!B:AB,27,0),"No Aplica"),"No Aplica")</f>
        <v>No Aplica</v>
      </c>
      <c r="S218" s="38"/>
      <c r="T218" s="36"/>
      <c r="Y218" s="54">
        <f t="shared" si="7"/>
        <v>36184672</v>
      </c>
    </row>
    <row r="219" spans="1:25" x14ac:dyDescent="0.25">
      <c r="A219" s="20">
        <f>+VLOOKUP(D219,Back!Q:R,2,0)</f>
        <v>6</v>
      </c>
      <c r="B219" s="20" t="str">
        <f t="shared" si="6"/>
        <v>2016 JUN</v>
      </c>
      <c r="C219" s="20">
        <v>2016</v>
      </c>
      <c r="D219" s="21" t="s">
        <v>153</v>
      </c>
      <c r="E219" s="21" t="s">
        <v>15</v>
      </c>
      <c r="F219" s="21">
        <v>42689970</v>
      </c>
      <c r="G219" s="21" t="s">
        <v>29</v>
      </c>
      <c r="H219" s="22">
        <v>60757457</v>
      </c>
      <c r="I219" s="22">
        <v>1454100</v>
      </c>
      <c r="J219" s="22">
        <v>14893412</v>
      </c>
      <c r="K219" s="23">
        <v>44409945</v>
      </c>
      <c r="L219" s="23">
        <v>40000000</v>
      </c>
      <c r="M219" s="24">
        <v>1.1102486250000001</v>
      </c>
      <c r="N219" s="25" t="str">
        <f>IFERROR(VLOOKUP(F219,Back!C:F,4,0),"NO")</f>
        <v>NO</v>
      </c>
      <c r="O219" s="26">
        <v>25</v>
      </c>
      <c r="P219" s="27" t="str">
        <f>IFERROR(VLOOKUP(F219,Back!C:E,3,0),"")</f>
        <v/>
      </c>
      <c r="Q219" s="27" t="str">
        <f>IFERROR(VLOOKUP(P219,Back!M:N,2,0),"")</f>
        <v/>
      </c>
      <c r="R219" s="27" t="str">
        <f>IF(N219="Si",IFERROR(VLOOKUP(F219,'TD Cumpl'!B:AB,27,0),"No Aplica"),"No Aplica")</f>
        <v>No Aplica</v>
      </c>
      <c r="S219" s="38"/>
      <c r="T219" s="36"/>
      <c r="Y219" s="54">
        <f t="shared" si="7"/>
        <v>60757457</v>
      </c>
    </row>
    <row r="220" spans="1:25" x14ac:dyDescent="0.25">
      <c r="A220" s="20">
        <f>+VLOOKUP(D220,Back!Q:R,2,0)</f>
        <v>6</v>
      </c>
      <c r="B220" s="20" t="str">
        <f t="shared" si="6"/>
        <v>2016 JUN</v>
      </c>
      <c r="C220" s="20">
        <v>2016</v>
      </c>
      <c r="D220" s="21" t="s">
        <v>153</v>
      </c>
      <c r="E220" s="21" t="s">
        <v>23</v>
      </c>
      <c r="F220" s="21">
        <v>43907427</v>
      </c>
      <c r="G220" s="21" t="s">
        <v>144</v>
      </c>
      <c r="H220" s="22">
        <v>40230653</v>
      </c>
      <c r="I220" s="22">
        <v>986700</v>
      </c>
      <c r="J220" s="22">
        <v>2409255</v>
      </c>
      <c r="K220" s="23">
        <v>36834698</v>
      </c>
      <c r="L220" s="23">
        <v>34560000</v>
      </c>
      <c r="M220" s="24">
        <v>1.0658188078703703</v>
      </c>
      <c r="N220" s="25" t="str">
        <f>IFERROR(VLOOKUP(F220,Back!C:F,4,0),"NO")</f>
        <v>Si</v>
      </c>
      <c r="O220" s="26">
        <v>25</v>
      </c>
      <c r="P220" s="27" t="str">
        <f>IFERROR(VLOOKUP(F220,Back!C:E,3,0),"")</f>
        <v>IPS Pto De Vista Industriales</v>
      </c>
      <c r="Q220" s="27" t="str">
        <f>IFERROR(VLOOKUP(P220,Back!M:N,2,0),"")</f>
        <v>Antioquia</v>
      </c>
      <c r="R220" s="27" t="str">
        <f>IF(N220="Si",IFERROR(VLOOKUP(F220,'TD Cumpl'!B:AB,27,0),"No Aplica"),"No Aplica")</f>
        <v>Siempre Cumple</v>
      </c>
      <c r="S220" s="38"/>
      <c r="T220" s="36"/>
      <c r="Y220" s="54">
        <f t="shared" si="7"/>
        <v>40230653</v>
      </c>
    </row>
    <row r="221" spans="1:25" x14ac:dyDescent="0.25">
      <c r="A221" s="20">
        <f>+VLOOKUP(D221,Back!Q:R,2,0)</f>
        <v>6</v>
      </c>
      <c r="B221" s="20" t="str">
        <f t="shared" si="6"/>
        <v>2016 JUN</v>
      </c>
      <c r="C221" s="20">
        <v>2016</v>
      </c>
      <c r="D221" s="21" t="s">
        <v>153</v>
      </c>
      <c r="E221" s="21" t="s">
        <v>12</v>
      </c>
      <c r="F221" s="21">
        <v>91511871</v>
      </c>
      <c r="G221" s="21" t="s">
        <v>49</v>
      </c>
      <c r="H221" s="22">
        <v>39204251</v>
      </c>
      <c r="I221" s="22">
        <v>816000</v>
      </c>
      <c r="J221" s="22">
        <v>10855433</v>
      </c>
      <c r="K221" s="23">
        <v>27532818</v>
      </c>
      <c r="L221" s="23">
        <v>26000000</v>
      </c>
      <c r="M221" s="24">
        <v>1.0589545384615384</v>
      </c>
      <c r="N221" s="25" t="str">
        <f>IFERROR(VLOOKUP(F221,Back!C:F,4,0),"NO")</f>
        <v>NO</v>
      </c>
      <c r="O221" s="26">
        <v>25</v>
      </c>
      <c r="P221" s="27" t="str">
        <f>IFERROR(VLOOKUP(F221,Back!C:E,3,0),"")</f>
        <v/>
      </c>
      <c r="Q221" s="27" t="str">
        <f>IFERROR(VLOOKUP(P221,Back!M:N,2,0),"")</f>
        <v/>
      </c>
      <c r="R221" s="27" t="str">
        <f>IF(N221="Si",IFERROR(VLOOKUP(F221,'TD Cumpl'!B:AB,27,0),"No Aplica"),"No Aplica")</f>
        <v>No Aplica</v>
      </c>
      <c r="S221" s="38"/>
      <c r="T221" s="36"/>
      <c r="Y221" s="54">
        <f t="shared" si="7"/>
        <v>39204251</v>
      </c>
    </row>
    <row r="222" spans="1:25" x14ac:dyDescent="0.25">
      <c r="A222" s="20">
        <f>+VLOOKUP(D222,Back!Q:R,2,0)</f>
        <v>6</v>
      </c>
      <c r="B222" s="20" t="str">
        <f t="shared" si="6"/>
        <v>2016 JUN</v>
      </c>
      <c r="C222" s="20">
        <v>2016</v>
      </c>
      <c r="D222" s="21" t="s">
        <v>153</v>
      </c>
      <c r="E222" s="21" t="s">
        <v>168</v>
      </c>
      <c r="F222" s="21"/>
      <c r="G222" s="21"/>
      <c r="H222" s="22">
        <v>726800</v>
      </c>
      <c r="I222" s="22">
        <v>0</v>
      </c>
      <c r="J222" s="22">
        <v>726800</v>
      </c>
      <c r="K222" s="23">
        <v>0</v>
      </c>
      <c r="L222" s="23"/>
      <c r="M222" s="24"/>
      <c r="N222" s="25" t="str">
        <f>IFERROR(VLOOKUP(F222,Back!C:F,4,0),"NO")</f>
        <v>NO</v>
      </c>
      <c r="O222" s="26">
        <v>25</v>
      </c>
      <c r="P222" s="27" t="str">
        <f>IFERROR(VLOOKUP(F222,Back!C:E,3,0),"")</f>
        <v/>
      </c>
      <c r="Q222" s="27" t="str">
        <f>IFERROR(VLOOKUP(P222,Back!M:N,2,0),"")</f>
        <v/>
      </c>
      <c r="R222" s="27" t="str">
        <f>IF(N222="Si",IFERROR(VLOOKUP(F222,'TD Cumpl'!B:AB,27,0),"No Aplica"),"No Aplica")</f>
        <v>No Aplica</v>
      </c>
      <c r="S222" s="38"/>
      <c r="T222" s="36"/>
      <c r="Y222" s="54">
        <f t="shared" si="7"/>
        <v>726800</v>
      </c>
    </row>
    <row r="223" spans="1:25" x14ac:dyDescent="0.25">
      <c r="A223" s="20">
        <f>+VLOOKUP(D223,Back!Q:R,2,0)</f>
        <v>6</v>
      </c>
      <c r="B223" s="20" t="str">
        <f t="shared" si="6"/>
        <v>2016 JUN</v>
      </c>
      <c r="C223" s="20">
        <v>2016</v>
      </c>
      <c r="D223" s="21" t="s">
        <v>153</v>
      </c>
      <c r="E223" s="21" t="s">
        <v>62</v>
      </c>
      <c r="F223" s="21">
        <v>32256379</v>
      </c>
      <c r="G223" s="21" t="s">
        <v>61</v>
      </c>
      <c r="H223" s="22">
        <v>44683494</v>
      </c>
      <c r="I223" s="22">
        <v>0</v>
      </c>
      <c r="J223" s="22">
        <v>2972400</v>
      </c>
      <c r="K223" s="23">
        <v>41711094</v>
      </c>
      <c r="L223" s="23">
        <v>40100000</v>
      </c>
      <c r="M223" s="24">
        <v>1.0401769077306733</v>
      </c>
      <c r="N223" s="25" t="str">
        <f>IFERROR(VLOOKUP(F223,Back!C:F,4,0),"NO")</f>
        <v>Si</v>
      </c>
      <c r="O223" s="26">
        <v>25</v>
      </c>
      <c r="P223" s="27" t="str">
        <f>IFERROR(VLOOKUP(F223,Back!C:E,3,0),"")</f>
        <v>Ferias Empresariales Antioquia</v>
      </c>
      <c r="Q223" s="27" t="str">
        <f>IFERROR(VLOOKUP(P223,Back!M:N,2,0),"")</f>
        <v>Antioquia</v>
      </c>
      <c r="R223" s="27" t="str">
        <f>IF(N223="Si",IFERROR(VLOOKUP(F223,'TD Cumpl'!B:AB,27,0),"No Aplica"),"No Aplica")</f>
        <v>Fluctúa</v>
      </c>
      <c r="S223" s="38"/>
      <c r="T223" s="36"/>
      <c r="Y223" s="54">
        <f t="shared" si="7"/>
        <v>44683494</v>
      </c>
    </row>
    <row r="224" spans="1:25" x14ac:dyDescent="0.25">
      <c r="A224" s="20">
        <f>+VLOOKUP(D224,Back!Q:R,2,0)</f>
        <v>6</v>
      </c>
      <c r="B224" s="20" t="str">
        <f t="shared" si="6"/>
        <v>2016 JUN</v>
      </c>
      <c r="C224" s="20">
        <v>2016</v>
      </c>
      <c r="D224" s="21" t="s">
        <v>153</v>
      </c>
      <c r="E224" s="21" t="s">
        <v>4</v>
      </c>
      <c r="F224" s="21">
        <v>79701425</v>
      </c>
      <c r="G224" s="21" t="s">
        <v>27</v>
      </c>
      <c r="H224" s="22">
        <v>22404051</v>
      </c>
      <c r="I224" s="22">
        <v>969400</v>
      </c>
      <c r="J224" s="22">
        <v>3987126</v>
      </c>
      <c r="K224" s="23">
        <v>17447525</v>
      </c>
      <c r="L224" s="23">
        <v>21000000</v>
      </c>
      <c r="M224" s="24">
        <v>0.83083452380952383</v>
      </c>
      <c r="N224" s="25" t="str">
        <f>IFERROR(VLOOKUP(F224,Back!C:F,4,0),"NO")</f>
        <v>No</v>
      </c>
      <c r="O224" s="26">
        <v>25</v>
      </c>
      <c r="P224" s="27" t="str">
        <f>IFERROR(VLOOKUP(F224,Back!C:E,3,0),"")</f>
        <v>IPS Pto De Vista Olaya</v>
      </c>
      <c r="Q224" s="27" t="str">
        <f>IFERROR(VLOOKUP(P224,Back!M:N,2,0),"")</f>
        <v>Centro</v>
      </c>
      <c r="R224" s="27" t="str">
        <f>IF(N224="Si",IFERROR(VLOOKUP(F224,'TD Cumpl'!B:AB,27,0),"No Aplica"),"No Aplica")</f>
        <v>No Aplica</v>
      </c>
      <c r="S224" s="38"/>
      <c r="T224" s="36"/>
      <c r="Y224" s="54">
        <f t="shared" si="7"/>
        <v>22404051</v>
      </c>
    </row>
    <row r="225" spans="1:25" x14ac:dyDescent="0.25">
      <c r="A225" s="20">
        <f>+VLOOKUP(D225,Back!Q:R,2,0)</f>
        <v>6</v>
      </c>
      <c r="B225" s="20" t="str">
        <f t="shared" si="6"/>
        <v>2016 JUN</v>
      </c>
      <c r="C225" s="20">
        <v>2016</v>
      </c>
      <c r="D225" s="21" t="s">
        <v>153</v>
      </c>
      <c r="E225" s="21" t="s">
        <v>5</v>
      </c>
      <c r="F225" s="21">
        <v>34542470</v>
      </c>
      <c r="G225" s="21" t="s">
        <v>28</v>
      </c>
      <c r="H225" s="22">
        <v>24550496</v>
      </c>
      <c r="I225" s="22">
        <v>970200</v>
      </c>
      <c r="J225" s="22">
        <v>0</v>
      </c>
      <c r="K225" s="23">
        <v>23580296</v>
      </c>
      <c r="L225" s="23">
        <v>21000000</v>
      </c>
      <c r="M225" s="24">
        <v>1.1228712380952381</v>
      </c>
      <c r="N225" s="25" t="str">
        <f>IFERROR(VLOOKUP(F225,Back!C:F,4,0),"NO")</f>
        <v>Si</v>
      </c>
      <c r="O225" s="26">
        <v>25</v>
      </c>
      <c r="P225" s="27" t="str">
        <f>IFERROR(VLOOKUP(F225,Back!C:E,3,0),"")</f>
        <v>Optica Salud Sura Chipichape</v>
      </c>
      <c r="Q225" s="27" t="str">
        <f>IFERROR(VLOOKUP(P225,Back!M:N,2,0),"")</f>
        <v>Occidente</v>
      </c>
      <c r="R225" s="27" t="str">
        <f>IF(N225="Si",IFERROR(VLOOKUP(F225,'TD Cumpl'!B:AB,27,0),"No Aplica"),"No Aplica")</f>
        <v>Siempre Cumple</v>
      </c>
      <c r="S225" s="38"/>
      <c r="T225" s="36"/>
      <c r="Y225" s="54">
        <f t="shared" si="7"/>
        <v>24550496</v>
      </c>
    </row>
    <row r="226" spans="1:25" x14ac:dyDescent="0.25">
      <c r="A226" s="20">
        <f>+VLOOKUP(D226,Back!Q:R,2,0)</f>
        <v>6</v>
      </c>
      <c r="B226" s="20" t="str">
        <f t="shared" si="6"/>
        <v>2016 JUN</v>
      </c>
      <c r="C226" s="20">
        <v>2016</v>
      </c>
      <c r="D226" s="21" t="s">
        <v>153</v>
      </c>
      <c r="E226" s="21" t="s">
        <v>72</v>
      </c>
      <c r="F226" s="21">
        <v>43636530</v>
      </c>
      <c r="G226" s="21" t="s">
        <v>483</v>
      </c>
      <c r="H226" s="22">
        <v>36208678</v>
      </c>
      <c r="I226" s="22">
        <v>2734200</v>
      </c>
      <c r="J226" s="22">
        <v>10962800</v>
      </c>
      <c r="K226" s="23">
        <v>22511678</v>
      </c>
      <c r="L226" s="23">
        <v>32000000</v>
      </c>
      <c r="M226" s="24">
        <v>0.7034899375</v>
      </c>
      <c r="N226" s="25" t="str">
        <f>IFERROR(VLOOKUP(F226,Back!C:F,4,0),"NO")</f>
        <v>NO</v>
      </c>
      <c r="O226" s="26">
        <v>25</v>
      </c>
      <c r="P226" s="27" t="str">
        <f>IFERROR(VLOOKUP(F226,Back!C:E,3,0),"")</f>
        <v/>
      </c>
      <c r="Q226" s="27" t="str">
        <f>IFERROR(VLOOKUP(P226,Back!M:N,2,0),"")</f>
        <v/>
      </c>
      <c r="R226" s="27" t="str">
        <f>IF(N226="Si",IFERROR(VLOOKUP(F226,'TD Cumpl'!B:AB,27,0),"No Aplica"),"No Aplica")</f>
        <v>No Aplica</v>
      </c>
      <c r="S226" s="38"/>
      <c r="T226" s="36"/>
      <c r="Y226" s="54">
        <f t="shared" si="7"/>
        <v>36208678</v>
      </c>
    </row>
    <row r="227" spans="1:25" x14ac:dyDescent="0.25">
      <c r="A227" s="20">
        <f>+VLOOKUP(D227,Back!Q:R,2,0)</f>
        <v>6</v>
      </c>
      <c r="B227" s="20" t="str">
        <f t="shared" si="6"/>
        <v>2016 JUN</v>
      </c>
      <c r="C227" s="20">
        <v>2016</v>
      </c>
      <c r="D227" s="21" t="s">
        <v>153</v>
      </c>
      <c r="E227" s="21" t="s">
        <v>7</v>
      </c>
      <c r="F227" s="21">
        <v>43745952</v>
      </c>
      <c r="G227" s="21" t="s">
        <v>50</v>
      </c>
      <c r="H227" s="22">
        <v>84427441</v>
      </c>
      <c r="I227" s="22">
        <v>2529400</v>
      </c>
      <c r="J227" s="22">
        <v>19230500</v>
      </c>
      <c r="K227" s="23">
        <v>62667541</v>
      </c>
      <c r="L227" s="23">
        <v>40100000</v>
      </c>
      <c r="M227" s="24">
        <v>1.5627815710723192</v>
      </c>
      <c r="N227" s="25" t="str">
        <f>IFERROR(VLOOKUP(F227,Back!C:F,4,0),"NO")</f>
        <v>Si</v>
      </c>
      <c r="O227" s="26">
        <v>25</v>
      </c>
      <c r="P227" s="27" t="str">
        <f>IFERROR(VLOOKUP(F227,Back!C:E,3,0),"")</f>
        <v>IPS Pto De Vista Unicentro</v>
      </c>
      <c r="Q227" s="27" t="str">
        <f>IFERROR(VLOOKUP(P227,Back!M:N,2,0),"")</f>
        <v>Antioquia</v>
      </c>
      <c r="R227" s="27" t="str">
        <f>IF(N227="Si",IFERROR(VLOOKUP(F227,'TD Cumpl'!B:AB,27,0),"No Aplica"),"No Aplica")</f>
        <v>Siempre Cumple</v>
      </c>
      <c r="S227" s="38"/>
      <c r="T227" s="36"/>
      <c r="Y227" s="54">
        <f t="shared" si="7"/>
        <v>84427441</v>
      </c>
    </row>
    <row r="228" spans="1:25" x14ac:dyDescent="0.25">
      <c r="A228" s="20">
        <f>+VLOOKUP(D228,Back!Q:R,2,0)</f>
        <v>6</v>
      </c>
      <c r="B228" s="20" t="str">
        <f t="shared" si="6"/>
        <v>2016 JUN</v>
      </c>
      <c r="C228" s="20">
        <v>2016</v>
      </c>
      <c r="D228" s="21" t="s">
        <v>153</v>
      </c>
      <c r="E228" s="21" t="s">
        <v>8</v>
      </c>
      <c r="F228" s="21">
        <v>43259130</v>
      </c>
      <c r="G228" s="21" t="s">
        <v>51</v>
      </c>
      <c r="H228" s="22">
        <v>59704251</v>
      </c>
      <c r="I228" s="22">
        <v>2746200</v>
      </c>
      <c r="J228" s="22">
        <v>15147600</v>
      </c>
      <c r="K228" s="23">
        <v>41810451</v>
      </c>
      <c r="L228" s="23">
        <v>40100000</v>
      </c>
      <c r="M228" s="24">
        <v>1.0426546384039901</v>
      </c>
      <c r="N228" s="25" t="str">
        <f>IFERROR(VLOOKUP(F228,Back!C:F,4,0),"NO")</f>
        <v>Si</v>
      </c>
      <c r="O228" s="26">
        <v>25</v>
      </c>
      <c r="P228" s="27" t="str">
        <f>IFERROR(VLOOKUP(F228,Back!C:E,3,0),"")</f>
        <v>IPS Pto De Vista Molinos</v>
      </c>
      <c r="Q228" s="27" t="str">
        <f>IFERROR(VLOOKUP(P228,Back!M:N,2,0),"")</f>
        <v>Antioquia</v>
      </c>
      <c r="R228" s="27" t="str">
        <f>IF(N228="Si",IFERROR(VLOOKUP(F228,'TD Cumpl'!B:AB,27,0),"No Aplica"),"No Aplica")</f>
        <v>Fluctúa</v>
      </c>
      <c r="S228" s="38"/>
      <c r="T228" s="36"/>
      <c r="Y228" s="54">
        <f t="shared" si="7"/>
        <v>59704251</v>
      </c>
    </row>
    <row r="229" spans="1:25" x14ac:dyDescent="0.25">
      <c r="A229" s="20">
        <f>+VLOOKUP(D229,Back!Q:R,2,0)</f>
        <v>7</v>
      </c>
      <c r="B229" s="20" t="str">
        <f t="shared" si="6"/>
        <v>2016 JUL</v>
      </c>
      <c r="C229" s="20">
        <v>2016</v>
      </c>
      <c r="D229" s="21" t="s">
        <v>157</v>
      </c>
      <c r="E229" s="21" t="s">
        <v>475</v>
      </c>
      <c r="F229" s="21">
        <v>43920870</v>
      </c>
      <c r="G229" s="21"/>
      <c r="H229" s="22">
        <v>1043043</v>
      </c>
      <c r="I229" s="22">
        <v>0</v>
      </c>
      <c r="J229" s="22">
        <v>0</v>
      </c>
      <c r="K229" s="23">
        <v>1043043</v>
      </c>
      <c r="L229" s="23"/>
      <c r="M229" s="24"/>
      <c r="N229" s="25" t="str">
        <f>IFERROR(VLOOKUP(F229,Back!C:F,4,0),"NO")</f>
        <v>NO</v>
      </c>
      <c r="O229" s="26">
        <v>24</v>
      </c>
      <c r="P229" s="27" t="str">
        <f>IFERROR(VLOOKUP(F229,Back!C:E,3,0),"")</f>
        <v/>
      </c>
      <c r="Q229" s="27" t="str">
        <f>IFERROR(VLOOKUP(P229,Back!M:N,2,0),"")</f>
        <v/>
      </c>
      <c r="R229" s="27" t="str">
        <f>IF(N229="Si",IFERROR(VLOOKUP(F229,'TD Cumpl'!B:AB,27,0),"No Aplica"),"No Aplica")</f>
        <v>No Aplica</v>
      </c>
      <c r="S229" s="38"/>
      <c r="T229" s="36"/>
      <c r="Y229" s="54">
        <f t="shared" si="7"/>
        <v>1043043</v>
      </c>
    </row>
    <row r="230" spans="1:25" x14ac:dyDescent="0.25">
      <c r="A230" s="20">
        <f>+VLOOKUP(D230,Back!Q:R,2,0)</f>
        <v>7</v>
      </c>
      <c r="B230" s="20" t="str">
        <f t="shared" si="6"/>
        <v>2016 JUL</v>
      </c>
      <c r="C230" s="20">
        <v>2016</v>
      </c>
      <c r="D230" s="21" t="s">
        <v>157</v>
      </c>
      <c r="E230" s="21" t="s">
        <v>9</v>
      </c>
      <c r="F230" s="21">
        <v>43169964</v>
      </c>
      <c r="G230" s="21" t="s">
        <v>155</v>
      </c>
      <c r="H230" s="22">
        <v>48222315</v>
      </c>
      <c r="I230" s="22">
        <v>1490400</v>
      </c>
      <c r="J230" s="22">
        <v>14349991</v>
      </c>
      <c r="K230" s="23">
        <v>32381924</v>
      </c>
      <c r="L230" s="23">
        <v>26000000</v>
      </c>
      <c r="M230" s="24">
        <v>1.2454586153846154</v>
      </c>
      <c r="N230" s="25" t="str">
        <f>IFERROR(VLOOKUP(F230,Back!C:F,4,0),"NO")</f>
        <v>Si</v>
      </c>
      <c r="O230" s="26">
        <v>24</v>
      </c>
      <c r="P230" s="27" t="str">
        <f>IFERROR(VLOOKUP(F230,Back!C:E,3,0),"")</f>
        <v>IPS Pto De Vista Molinos</v>
      </c>
      <c r="Q230" s="27" t="str">
        <f>IFERROR(VLOOKUP(P230,Back!M:N,2,0),"")</f>
        <v>Antioquia</v>
      </c>
      <c r="R230" s="27" t="str">
        <f>IF(N230="Si",IFERROR(VLOOKUP(F230,'TD Cumpl'!B:AB,27,0),"No Aplica"),"No Aplica")</f>
        <v>Cumple</v>
      </c>
      <c r="S230" s="38"/>
      <c r="T230" s="36"/>
      <c r="Y230" s="54">
        <f t="shared" si="7"/>
        <v>48222315</v>
      </c>
    </row>
    <row r="231" spans="1:25" x14ac:dyDescent="0.25">
      <c r="A231" s="20">
        <f>+VLOOKUP(D231,Back!Q:R,2,0)</f>
        <v>7</v>
      </c>
      <c r="B231" s="20" t="str">
        <f t="shared" si="6"/>
        <v>2016 JUL</v>
      </c>
      <c r="C231" s="20">
        <v>2016</v>
      </c>
      <c r="D231" s="21" t="s">
        <v>157</v>
      </c>
      <c r="E231" s="21" t="s">
        <v>11</v>
      </c>
      <c r="F231" s="21">
        <v>43253531</v>
      </c>
      <c r="G231" s="21" t="s">
        <v>39</v>
      </c>
      <c r="H231" s="22">
        <v>25566766</v>
      </c>
      <c r="I231" s="22">
        <v>0</v>
      </c>
      <c r="J231" s="22">
        <v>5815400</v>
      </c>
      <c r="K231" s="23">
        <v>19751366</v>
      </c>
      <c r="L231" s="23">
        <v>10000000</v>
      </c>
      <c r="M231" s="24">
        <v>1.9751365999999999</v>
      </c>
      <c r="N231" s="25" t="str">
        <f>IFERROR(VLOOKUP(F231,Back!C:F,4,0),"NO")</f>
        <v>Si</v>
      </c>
      <c r="O231" s="26">
        <v>24</v>
      </c>
      <c r="P231" s="27" t="str">
        <f>IFERROR(VLOOKUP(F231,Back!C:E,3,0),"")</f>
        <v>IPS Punto de Vista Bello</v>
      </c>
      <c r="Q231" s="27" t="str">
        <f>IFERROR(VLOOKUP(P231,Back!M:N,2,0),"")</f>
        <v>Antioquia</v>
      </c>
      <c r="R231" s="27" t="str">
        <f>IF(N231="Si",IFERROR(VLOOKUP(F231,'TD Cumpl'!B:AB,27,0),"No Aplica"),"No Aplica")</f>
        <v>Cumple</v>
      </c>
      <c r="S231" s="38"/>
      <c r="T231" s="36"/>
      <c r="Y231" s="54">
        <f t="shared" si="7"/>
        <v>25566766</v>
      </c>
    </row>
    <row r="232" spans="1:25" x14ac:dyDescent="0.25">
      <c r="A232" s="20">
        <f>+VLOOKUP(D232,Back!Q:R,2,0)</f>
        <v>7</v>
      </c>
      <c r="B232" s="20" t="str">
        <f t="shared" si="6"/>
        <v>2016 JUL</v>
      </c>
      <c r="C232" s="20">
        <v>2016</v>
      </c>
      <c r="D232" s="21" t="s">
        <v>157</v>
      </c>
      <c r="E232" s="21" t="s">
        <v>66</v>
      </c>
      <c r="F232" s="21">
        <v>3438422</v>
      </c>
      <c r="G232" s="21" t="s">
        <v>71</v>
      </c>
      <c r="H232" s="22">
        <v>37029998</v>
      </c>
      <c r="I232" s="22">
        <v>1180700</v>
      </c>
      <c r="J232" s="22">
        <v>9613000</v>
      </c>
      <c r="K232" s="23">
        <v>26236298</v>
      </c>
      <c r="L232" s="23">
        <v>30100000</v>
      </c>
      <c r="M232" s="24">
        <v>0.87163780730897011</v>
      </c>
      <c r="N232" s="25" t="str">
        <f>IFERROR(VLOOKUP(F232,Back!C:F,4,0),"NO")</f>
        <v>Si</v>
      </c>
      <c r="O232" s="26">
        <v>24</v>
      </c>
      <c r="P232" s="27" t="str">
        <f>IFERROR(VLOOKUP(F232,Back!C:E,3,0),"")</f>
        <v>IPS Pto De Vista Punto Clave</v>
      </c>
      <c r="Q232" s="27" t="str">
        <f>IFERROR(VLOOKUP(P232,Back!M:N,2,0),"")</f>
        <v>Antioquia</v>
      </c>
      <c r="R232" s="27" t="str">
        <f>IF(N232="Si",IFERROR(VLOOKUP(F232,'TD Cumpl'!B:AB,27,0),"No Aplica"),"No Aplica")</f>
        <v>Fluctúa</v>
      </c>
      <c r="S232" s="38"/>
      <c r="T232" s="36"/>
      <c r="Y232" s="54">
        <f t="shared" si="7"/>
        <v>37029998</v>
      </c>
    </row>
    <row r="233" spans="1:25" x14ac:dyDescent="0.25">
      <c r="A233" s="20">
        <f>+VLOOKUP(D233,Back!Q:R,2,0)</f>
        <v>7</v>
      </c>
      <c r="B233" s="20" t="str">
        <f t="shared" si="6"/>
        <v>2016 JUL</v>
      </c>
      <c r="C233" s="20">
        <v>2016</v>
      </c>
      <c r="D233" s="21" t="s">
        <v>157</v>
      </c>
      <c r="E233" s="21" t="s">
        <v>6</v>
      </c>
      <c r="F233" s="21">
        <v>43821410</v>
      </c>
      <c r="G233" s="21" t="s">
        <v>40</v>
      </c>
      <c r="H233" s="22">
        <v>92307728</v>
      </c>
      <c r="I233" s="22">
        <v>352700</v>
      </c>
      <c r="J233" s="22">
        <v>18446600</v>
      </c>
      <c r="K233" s="23">
        <v>73508428</v>
      </c>
      <c r="L233" s="23">
        <v>40100000</v>
      </c>
      <c r="M233" s="24">
        <v>1.8331278802992519</v>
      </c>
      <c r="N233" s="25" t="str">
        <f>IFERROR(VLOOKUP(F233,Back!C:F,4,0),"NO")</f>
        <v>Si</v>
      </c>
      <c r="O233" s="26">
        <v>24</v>
      </c>
      <c r="P233" s="27" t="str">
        <f>IFERROR(VLOOKUP(F233,Back!C:E,3,0),"")</f>
        <v>IPS Pto De Vista Unicentro</v>
      </c>
      <c r="Q233" s="27" t="str">
        <f>IFERROR(VLOOKUP(P233,Back!M:N,2,0),"")</f>
        <v>Antioquia</v>
      </c>
      <c r="R233" s="27" t="str">
        <f>IF(N233="Si",IFERROR(VLOOKUP(F233,'TD Cumpl'!B:AB,27,0),"No Aplica"),"No Aplica")</f>
        <v>Siempre Cumple</v>
      </c>
      <c r="S233" s="38"/>
      <c r="T233" s="36"/>
      <c r="Y233" s="54">
        <f t="shared" si="7"/>
        <v>92307728</v>
      </c>
    </row>
    <row r="234" spans="1:25" x14ac:dyDescent="0.25">
      <c r="A234" s="20">
        <f>+VLOOKUP(D234,Back!Q:R,2,0)</f>
        <v>7</v>
      </c>
      <c r="B234" s="20" t="str">
        <f t="shared" si="6"/>
        <v>2016 JUL</v>
      </c>
      <c r="C234" s="20">
        <v>2016</v>
      </c>
      <c r="D234" s="21" t="s">
        <v>157</v>
      </c>
      <c r="E234" s="21" t="s">
        <v>86</v>
      </c>
      <c r="F234" s="21"/>
      <c r="G234" s="21"/>
      <c r="H234" s="22">
        <v>577700</v>
      </c>
      <c r="I234" s="22">
        <v>0</v>
      </c>
      <c r="J234" s="22">
        <v>577700</v>
      </c>
      <c r="K234" s="23">
        <v>0</v>
      </c>
      <c r="L234" s="23"/>
      <c r="M234" s="24"/>
      <c r="N234" s="25" t="str">
        <f>IFERROR(VLOOKUP(F234,Back!C:F,4,0),"NO")</f>
        <v>NO</v>
      </c>
      <c r="O234" s="26">
        <v>24</v>
      </c>
      <c r="P234" s="27" t="str">
        <f>IFERROR(VLOOKUP(F234,Back!C:E,3,0),"")</f>
        <v/>
      </c>
      <c r="Q234" s="27" t="str">
        <f>IFERROR(VLOOKUP(P234,Back!M:N,2,0),"")</f>
        <v/>
      </c>
      <c r="R234" s="27" t="str">
        <f>IF(N234="Si",IFERROR(VLOOKUP(F234,'TD Cumpl'!B:AB,27,0),"No Aplica"),"No Aplica")</f>
        <v>No Aplica</v>
      </c>
      <c r="S234" s="38"/>
      <c r="T234" s="36"/>
      <c r="Y234" s="54">
        <f t="shared" si="7"/>
        <v>577700</v>
      </c>
    </row>
    <row r="235" spans="1:25" x14ac:dyDescent="0.25">
      <c r="A235" s="20">
        <f>+VLOOKUP(D235,Back!Q:R,2,0)</f>
        <v>7</v>
      </c>
      <c r="B235" s="20" t="str">
        <f t="shared" si="6"/>
        <v>2016 JUL</v>
      </c>
      <c r="C235" s="20">
        <v>2016</v>
      </c>
      <c r="D235" s="21" t="s">
        <v>157</v>
      </c>
      <c r="E235" s="21" t="s">
        <v>18</v>
      </c>
      <c r="F235" s="21">
        <v>39442617</v>
      </c>
      <c r="G235" s="21" t="s">
        <v>41</v>
      </c>
      <c r="H235" s="22">
        <v>60488714</v>
      </c>
      <c r="I235" s="22">
        <v>1850100</v>
      </c>
      <c r="J235" s="22">
        <v>16139100</v>
      </c>
      <c r="K235" s="23">
        <v>42499514</v>
      </c>
      <c r="L235" s="23">
        <v>38350000</v>
      </c>
      <c r="M235" s="24">
        <v>1.1082011473272491</v>
      </c>
      <c r="N235" s="25" t="str">
        <f>IFERROR(VLOOKUP(F235,Back!C:F,4,0),"NO")</f>
        <v>Si</v>
      </c>
      <c r="O235" s="26">
        <v>24</v>
      </c>
      <c r="P235" s="27" t="str">
        <f>IFERROR(VLOOKUP(F235,Back!C:E,3,0),"")</f>
        <v>IPS Pto De Vista San Diego</v>
      </c>
      <c r="Q235" s="27" t="str">
        <f>IFERROR(VLOOKUP(P235,Back!M:N,2,0),"")</f>
        <v>Antioquia</v>
      </c>
      <c r="R235" s="27" t="str">
        <f>IF(N235="Si",IFERROR(VLOOKUP(F235,'TD Cumpl'!B:AB,27,0),"No Aplica"),"No Aplica")</f>
        <v>Cumple</v>
      </c>
      <c r="S235" s="38"/>
      <c r="T235" s="36"/>
      <c r="Y235" s="54">
        <f t="shared" si="7"/>
        <v>60488714</v>
      </c>
    </row>
    <row r="236" spans="1:25" x14ac:dyDescent="0.25">
      <c r="A236" s="20">
        <f>+VLOOKUP(D236,Back!Q:R,2,0)</f>
        <v>7</v>
      </c>
      <c r="B236" s="20" t="str">
        <f t="shared" si="6"/>
        <v>2016 JUL</v>
      </c>
      <c r="C236" s="20">
        <v>2016</v>
      </c>
      <c r="D236" s="21" t="s">
        <v>157</v>
      </c>
      <c r="E236" s="21" t="s">
        <v>54</v>
      </c>
      <c r="F236" s="21">
        <v>1013628003</v>
      </c>
      <c r="G236" s="21" t="s">
        <v>55</v>
      </c>
      <c r="H236" s="22">
        <v>28233697</v>
      </c>
      <c r="I236" s="22">
        <v>1497400</v>
      </c>
      <c r="J236" s="22">
        <v>6426278</v>
      </c>
      <c r="K236" s="23">
        <v>20310019</v>
      </c>
      <c r="L236" s="23">
        <v>20583333.333333332</v>
      </c>
      <c r="M236" s="24">
        <v>0.98672157085020251</v>
      </c>
      <c r="N236" s="25" t="str">
        <f>IFERROR(VLOOKUP(F236,Back!C:F,4,0),"NO")</f>
        <v>NO</v>
      </c>
      <c r="O236" s="26">
        <v>24</v>
      </c>
      <c r="P236" s="27" t="str">
        <f>IFERROR(VLOOKUP(F236,Back!C:E,3,0),"")</f>
        <v/>
      </c>
      <c r="Q236" s="27" t="str">
        <f>IFERROR(VLOOKUP(P236,Back!M:N,2,0),"")</f>
        <v/>
      </c>
      <c r="R236" s="27" t="str">
        <f>IF(N236="Si",IFERROR(VLOOKUP(F236,'TD Cumpl'!B:AB,27,0),"No Aplica"),"No Aplica")</f>
        <v>No Aplica</v>
      </c>
      <c r="S236" s="38"/>
      <c r="T236" s="36"/>
      <c r="Y236" s="54">
        <f t="shared" si="7"/>
        <v>28233697</v>
      </c>
    </row>
    <row r="237" spans="1:25" x14ac:dyDescent="0.25">
      <c r="A237" s="20">
        <f>+VLOOKUP(D237,Back!Q:R,2,0)</f>
        <v>7</v>
      </c>
      <c r="B237" s="20" t="str">
        <f t="shared" si="6"/>
        <v>2016 JUL</v>
      </c>
      <c r="C237" s="20">
        <v>2016</v>
      </c>
      <c r="D237" s="21" t="s">
        <v>157</v>
      </c>
      <c r="E237" s="21" t="s">
        <v>56</v>
      </c>
      <c r="F237" s="21">
        <v>43971430</v>
      </c>
      <c r="G237" s="21" t="s">
        <v>142</v>
      </c>
      <c r="H237" s="22">
        <v>55426932</v>
      </c>
      <c r="I237" s="22">
        <v>1486200</v>
      </c>
      <c r="J237" s="22">
        <v>17408600</v>
      </c>
      <c r="K237" s="23">
        <v>36532132</v>
      </c>
      <c r="L237" s="23">
        <v>40000000</v>
      </c>
      <c r="M237" s="24">
        <v>0.91330330000000004</v>
      </c>
      <c r="N237" s="25" t="str">
        <f>IFERROR(VLOOKUP(F237,Back!C:F,4,0),"NO")</f>
        <v>Si</v>
      </c>
      <c r="O237" s="26">
        <v>24</v>
      </c>
      <c r="P237" s="27" t="str">
        <f>IFERROR(VLOOKUP(F237,Back!C:E,3,0),"")</f>
        <v>IPS Pto De Vista Centro</v>
      </c>
      <c r="Q237" s="27" t="str">
        <f>IFERROR(VLOOKUP(P237,Back!M:N,2,0),"")</f>
        <v>Antioquia</v>
      </c>
      <c r="R237" s="27" t="str">
        <f>IF(N237="Si",IFERROR(VLOOKUP(F237,'TD Cumpl'!B:AB,27,0),"No Aplica"),"No Aplica")</f>
        <v>Siempre Cumple</v>
      </c>
      <c r="S237" s="38"/>
      <c r="T237" s="36"/>
      <c r="Y237" s="54">
        <f t="shared" si="7"/>
        <v>55426932</v>
      </c>
    </row>
    <row r="238" spans="1:25" x14ac:dyDescent="0.25">
      <c r="A238" s="20">
        <f>+VLOOKUP(D238,Back!Q:R,2,0)</f>
        <v>7</v>
      </c>
      <c r="B238" s="20" t="str">
        <f t="shared" si="6"/>
        <v>2016 JUL</v>
      </c>
      <c r="C238" s="20">
        <v>2016</v>
      </c>
      <c r="D238" s="21" t="s">
        <v>157</v>
      </c>
      <c r="E238" s="21" t="s">
        <v>59</v>
      </c>
      <c r="F238" s="21">
        <v>1030634664</v>
      </c>
      <c r="G238" s="21" t="s">
        <v>58</v>
      </c>
      <c r="H238" s="22">
        <v>59925785</v>
      </c>
      <c r="I238" s="22">
        <v>142700</v>
      </c>
      <c r="J238" s="22">
        <v>17707999</v>
      </c>
      <c r="K238" s="23">
        <v>42075086</v>
      </c>
      <c r="L238" s="23">
        <v>40000000</v>
      </c>
      <c r="M238" s="24">
        <v>1.0518771499999999</v>
      </c>
      <c r="N238" s="25" t="str">
        <f>IFERROR(VLOOKUP(F238,Back!C:F,4,0),"NO")</f>
        <v>NO</v>
      </c>
      <c r="O238" s="26">
        <v>24</v>
      </c>
      <c r="P238" s="27" t="str">
        <f>IFERROR(VLOOKUP(F238,Back!C:E,3,0),"")</f>
        <v/>
      </c>
      <c r="Q238" s="27" t="str">
        <f>IFERROR(VLOOKUP(P238,Back!M:N,2,0),"")</f>
        <v/>
      </c>
      <c r="R238" s="27" t="str">
        <f>IF(N238="Si",IFERROR(VLOOKUP(F238,'TD Cumpl'!B:AB,27,0),"No Aplica"),"No Aplica")</f>
        <v>No Aplica</v>
      </c>
      <c r="S238" s="38"/>
      <c r="T238" s="36"/>
      <c r="Y238" s="54">
        <f t="shared" si="7"/>
        <v>59925785</v>
      </c>
    </row>
    <row r="239" spans="1:25" x14ac:dyDescent="0.25">
      <c r="A239" s="20">
        <f>+VLOOKUP(D239,Back!Q:R,2,0)</f>
        <v>7</v>
      </c>
      <c r="B239" s="20" t="str">
        <f t="shared" si="6"/>
        <v>2016 JUL</v>
      </c>
      <c r="C239" s="20">
        <v>2016</v>
      </c>
      <c r="D239" s="21" t="s">
        <v>157</v>
      </c>
      <c r="E239" s="21" t="s">
        <v>34</v>
      </c>
      <c r="F239" s="21">
        <v>43554403</v>
      </c>
      <c r="G239" s="21" t="s">
        <v>35</v>
      </c>
      <c r="H239" s="22">
        <v>59593594</v>
      </c>
      <c r="I239" s="22">
        <v>1386800</v>
      </c>
      <c r="J239" s="22">
        <v>15634698</v>
      </c>
      <c r="K239" s="23">
        <v>42572096</v>
      </c>
      <c r="L239" s="23">
        <v>40000000</v>
      </c>
      <c r="M239" s="24">
        <v>1.0643024000000001</v>
      </c>
      <c r="N239" s="25" t="str">
        <f>IFERROR(VLOOKUP(F239,Back!C:F,4,0),"NO")</f>
        <v>Si</v>
      </c>
      <c r="O239" s="26">
        <v>24</v>
      </c>
      <c r="P239" s="27" t="str">
        <f>IFERROR(VLOOKUP(F239,Back!C:E,3,0),"")</f>
        <v>IPS Pto De Vista Centro</v>
      </c>
      <c r="Q239" s="27" t="str">
        <f>IFERROR(VLOOKUP(P239,Back!M:N,2,0),"")</f>
        <v>Antioquia</v>
      </c>
      <c r="R239" s="27" t="str">
        <f>IF(N239="Si",IFERROR(VLOOKUP(F239,'TD Cumpl'!B:AB,27,0),"No Aplica"),"No Aplica")</f>
        <v>Siempre Cumple</v>
      </c>
      <c r="S239" s="38"/>
      <c r="T239" s="36"/>
      <c r="Y239" s="54">
        <f t="shared" si="7"/>
        <v>59593594</v>
      </c>
    </row>
    <row r="240" spans="1:25" x14ac:dyDescent="0.25">
      <c r="A240" s="20">
        <f>+VLOOKUP(D240,Back!Q:R,2,0)</f>
        <v>7</v>
      </c>
      <c r="B240" s="20" t="str">
        <f t="shared" si="6"/>
        <v>2016 JUL</v>
      </c>
      <c r="C240" s="20">
        <v>2016</v>
      </c>
      <c r="D240" s="21" t="s">
        <v>157</v>
      </c>
      <c r="E240" s="21" t="s">
        <v>1</v>
      </c>
      <c r="F240" s="21">
        <v>23857915</v>
      </c>
      <c r="G240" s="21" t="s">
        <v>116</v>
      </c>
      <c r="H240" s="22">
        <v>15616723</v>
      </c>
      <c r="I240" s="22">
        <v>829400</v>
      </c>
      <c r="J240" s="22">
        <v>2113600</v>
      </c>
      <c r="K240" s="23">
        <v>12673723</v>
      </c>
      <c r="L240" s="23">
        <v>5416666.666666666</v>
      </c>
      <c r="M240" s="24">
        <v>2.3397642461538464</v>
      </c>
      <c r="N240" s="25" t="str">
        <f>IFERROR(VLOOKUP(F240,Back!C:F,4,0),"NO")</f>
        <v>NO</v>
      </c>
      <c r="O240" s="26">
        <v>24</v>
      </c>
      <c r="P240" s="27" t="str">
        <f>IFERROR(VLOOKUP(F240,Back!C:E,3,0),"")</f>
        <v/>
      </c>
      <c r="Q240" s="27" t="str">
        <f>IFERROR(VLOOKUP(P240,Back!M:N,2,0),"")</f>
        <v/>
      </c>
      <c r="R240" s="27" t="str">
        <f>IF(N240="Si",IFERROR(VLOOKUP(F240,'TD Cumpl'!B:AB,27,0),"No Aplica"),"No Aplica")</f>
        <v>No Aplica</v>
      </c>
      <c r="S240" s="38"/>
      <c r="T240" s="36"/>
      <c r="Y240" s="54">
        <f t="shared" si="7"/>
        <v>15616723</v>
      </c>
    </row>
    <row r="241" spans="1:25" x14ac:dyDescent="0.25">
      <c r="A241" s="20">
        <f>+VLOOKUP(D241,Back!Q:R,2,0)</f>
        <v>7</v>
      </c>
      <c r="B241" s="20" t="str">
        <f t="shared" si="6"/>
        <v>2016 JUL</v>
      </c>
      <c r="C241" s="20">
        <v>2016</v>
      </c>
      <c r="D241" s="21" t="s">
        <v>157</v>
      </c>
      <c r="E241" s="21" t="s">
        <v>3</v>
      </c>
      <c r="F241" s="21">
        <v>52725011</v>
      </c>
      <c r="G241" s="21" t="s">
        <v>42</v>
      </c>
      <c r="H241" s="22">
        <v>32552627</v>
      </c>
      <c r="I241" s="22">
        <v>420000</v>
      </c>
      <c r="J241" s="22">
        <v>8603600</v>
      </c>
      <c r="K241" s="23">
        <v>23529027</v>
      </c>
      <c r="L241" s="23">
        <v>21000000</v>
      </c>
      <c r="M241" s="24">
        <v>1.120429857142857</v>
      </c>
      <c r="N241" s="25" t="str">
        <f>IFERROR(VLOOKUP(F241,Back!C:F,4,0),"NO")</f>
        <v>Si</v>
      </c>
      <c r="O241" s="26">
        <v>24</v>
      </c>
      <c r="P241" s="27" t="str">
        <f>IFERROR(VLOOKUP(F241,Back!C:E,3,0),"")</f>
        <v>IPS Pto De Vista Olaya</v>
      </c>
      <c r="Q241" s="27" t="str">
        <f>IFERROR(VLOOKUP(P241,Back!M:N,2,0),"")</f>
        <v>Centro</v>
      </c>
      <c r="R241" s="27" t="str">
        <f>IF(N241="Si",IFERROR(VLOOKUP(F241,'TD Cumpl'!B:AB,27,0),"No Aplica"),"No Aplica")</f>
        <v>Fluctúa</v>
      </c>
      <c r="S241" s="38"/>
      <c r="T241" s="36"/>
      <c r="Y241" s="54">
        <f t="shared" si="7"/>
        <v>32552627</v>
      </c>
    </row>
    <row r="242" spans="1:25" x14ac:dyDescent="0.25">
      <c r="A242" s="20">
        <f>+VLOOKUP(D242,Back!Q:R,2,0)</f>
        <v>7</v>
      </c>
      <c r="B242" s="20" t="str">
        <f t="shared" si="6"/>
        <v>2016 JUL</v>
      </c>
      <c r="C242" s="20">
        <v>2016</v>
      </c>
      <c r="D242" s="21" t="s">
        <v>157</v>
      </c>
      <c r="E242" s="21" t="s">
        <v>25</v>
      </c>
      <c r="F242" s="21">
        <v>1040030764</v>
      </c>
      <c r="G242" s="21" t="s">
        <v>43</v>
      </c>
      <c r="H242" s="22">
        <v>44401094</v>
      </c>
      <c r="I242" s="22">
        <v>2187700</v>
      </c>
      <c r="J242" s="22">
        <v>8385867</v>
      </c>
      <c r="K242" s="23">
        <v>33827527</v>
      </c>
      <c r="L242" s="23">
        <v>30100000</v>
      </c>
      <c r="M242" s="24">
        <v>1.1238381063122924</v>
      </c>
      <c r="N242" s="25" t="str">
        <f>IFERROR(VLOOKUP(F242,Back!C:F,4,0),"NO")</f>
        <v>Si</v>
      </c>
      <c r="O242" s="26">
        <v>24</v>
      </c>
      <c r="P242" s="27" t="str">
        <f>IFERROR(VLOOKUP(F242,Back!C:E,3,0),"")</f>
        <v>IPS Pto De Vista Rionegro</v>
      </c>
      <c r="Q242" s="27" t="str">
        <f>IFERROR(VLOOKUP(P242,Back!M:N,2,0),"")</f>
        <v>Antioquia</v>
      </c>
      <c r="R242" s="27" t="str">
        <f>IF(N242="Si",IFERROR(VLOOKUP(F242,'TD Cumpl'!B:AB,27,0),"No Aplica"),"No Aplica")</f>
        <v>Cumple</v>
      </c>
      <c r="S242" s="38"/>
      <c r="T242" s="36"/>
      <c r="Y242" s="54">
        <f t="shared" si="7"/>
        <v>44401094</v>
      </c>
    </row>
    <row r="243" spans="1:25" x14ac:dyDescent="0.25">
      <c r="A243" s="20">
        <f>+VLOOKUP(D243,Back!Q:R,2,0)</f>
        <v>7</v>
      </c>
      <c r="B243" s="20" t="str">
        <f t="shared" si="6"/>
        <v>2016 JUL</v>
      </c>
      <c r="C243" s="20">
        <v>2016</v>
      </c>
      <c r="D243" s="21" t="s">
        <v>157</v>
      </c>
      <c r="E243" s="21" t="s">
        <v>33</v>
      </c>
      <c r="F243" s="21">
        <v>31307503</v>
      </c>
      <c r="G243" s="21" t="s">
        <v>36</v>
      </c>
      <c r="H243" s="22">
        <v>35761894</v>
      </c>
      <c r="I243" s="22">
        <v>0</v>
      </c>
      <c r="J243" s="22">
        <v>0</v>
      </c>
      <c r="K243" s="23">
        <v>35761894</v>
      </c>
      <c r="L243" s="23">
        <v>30100000</v>
      </c>
      <c r="M243" s="24">
        <v>1.1881027906976744</v>
      </c>
      <c r="N243" s="25" t="str">
        <f>IFERROR(VLOOKUP(F243,Back!C:F,4,0),"NO")</f>
        <v>NO</v>
      </c>
      <c r="O243" s="26">
        <v>24</v>
      </c>
      <c r="P243" s="27" t="str">
        <f>IFERROR(VLOOKUP(F243,Back!C:E,3,0),"")</f>
        <v/>
      </c>
      <c r="Q243" s="27" t="str">
        <f>IFERROR(VLOOKUP(P243,Back!M:N,2,0),"")</f>
        <v/>
      </c>
      <c r="R243" s="27" t="str">
        <f>IF(N243="Si",IFERROR(VLOOKUP(F243,'TD Cumpl'!B:AB,27,0),"No Aplica"),"No Aplica")</f>
        <v>No Aplica</v>
      </c>
      <c r="S243" s="38"/>
      <c r="T243" s="36"/>
      <c r="Y243" s="54">
        <f t="shared" si="7"/>
        <v>35761894</v>
      </c>
    </row>
    <row r="244" spans="1:25" x14ac:dyDescent="0.25">
      <c r="A244" s="20">
        <f>+VLOOKUP(D244,Back!Q:R,2,0)</f>
        <v>7</v>
      </c>
      <c r="B244" s="20" t="str">
        <f t="shared" si="6"/>
        <v>2016 JUL</v>
      </c>
      <c r="C244" s="20">
        <v>2016</v>
      </c>
      <c r="D244" s="21" t="s">
        <v>157</v>
      </c>
      <c r="E244" s="21" t="s">
        <v>22</v>
      </c>
      <c r="F244" s="21">
        <v>42164020</v>
      </c>
      <c r="G244" s="21" t="s">
        <v>105</v>
      </c>
      <c r="H244" s="22">
        <v>61512852</v>
      </c>
      <c r="I244" s="22">
        <v>4101500</v>
      </c>
      <c r="J244" s="22">
        <v>13038200</v>
      </c>
      <c r="K244" s="23">
        <v>44373152</v>
      </c>
      <c r="L244" s="23">
        <v>36000000</v>
      </c>
      <c r="M244" s="24">
        <v>1.2325875555555557</v>
      </c>
      <c r="N244" s="25" t="str">
        <f>IFERROR(VLOOKUP(F244,Back!C:F,4,0),"NO")</f>
        <v>Si</v>
      </c>
      <c r="O244" s="26">
        <v>24</v>
      </c>
      <c r="P244" s="27" t="str">
        <f>IFERROR(VLOOKUP(F244,Back!C:E,3,0),"")</f>
        <v>IPS Pto De Vista Molinos</v>
      </c>
      <c r="Q244" s="27" t="str">
        <f>IFERROR(VLOOKUP(P244,Back!M:N,2,0),"")</f>
        <v>Antioquia</v>
      </c>
      <c r="R244" s="27" t="str">
        <f>IF(N244="Si",IFERROR(VLOOKUP(F244,'TD Cumpl'!B:AB,27,0),"No Aplica"),"No Aplica")</f>
        <v>Siempre Cumple</v>
      </c>
      <c r="S244" s="38"/>
      <c r="T244" s="36"/>
      <c r="Y244" s="54">
        <f t="shared" si="7"/>
        <v>61512852</v>
      </c>
    </row>
    <row r="245" spans="1:25" x14ac:dyDescent="0.25">
      <c r="A245" s="20">
        <f>+VLOOKUP(D245,Back!Q:R,2,0)</f>
        <v>7</v>
      </c>
      <c r="B245" s="20" t="str">
        <f t="shared" si="6"/>
        <v>2016 JUL</v>
      </c>
      <c r="C245" s="20">
        <v>2016</v>
      </c>
      <c r="D245" s="21" t="s">
        <v>157</v>
      </c>
      <c r="E245" s="21" t="s">
        <v>21</v>
      </c>
      <c r="F245" s="21">
        <v>1035417626</v>
      </c>
      <c r="G245" s="21" t="s">
        <v>80</v>
      </c>
      <c r="H245" s="22">
        <v>60404679</v>
      </c>
      <c r="I245" s="22">
        <v>1200700</v>
      </c>
      <c r="J245" s="22">
        <v>15108900</v>
      </c>
      <c r="K245" s="23">
        <v>44095079</v>
      </c>
      <c r="L245" s="23">
        <v>36000000</v>
      </c>
      <c r="M245" s="24">
        <v>1.2248633055555556</v>
      </c>
      <c r="N245" s="25" t="str">
        <f>IFERROR(VLOOKUP(F245,Back!C:F,4,0),"NO")</f>
        <v>Si</v>
      </c>
      <c r="O245" s="26">
        <v>24</v>
      </c>
      <c r="P245" s="27" t="str">
        <f>IFERROR(VLOOKUP(F245,Back!C:E,3,0),"")</f>
        <v>IPS Pto De Vista Unicentro</v>
      </c>
      <c r="Q245" s="27" t="str">
        <f>IFERROR(VLOOKUP(P245,Back!M:N,2,0),"")</f>
        <v>Antioquia</v>
      </c>
      <c r="R245" s="27" t="str">
        <f>IF(N245="Si",IFERROR(VLOOKUP(F245,'TD Cumpl'!B:AB,27,0),"No Aplica"),"No Aplica")</f>
        <v>Cumple</v>
      </c>
      <c r="S245" s="38"/>
      <c r="T245" s="36"/>
      <c r="Y245" s="54">
        <f t="shared" si="7"/>
        <v>60404679</v>
      </c>
    </row>
    <row r="246" spans="1:25" x14ac:dyDescent="0.25">
      <c r="A246" s="20">
        <f>+VLOOKUP(D246,Back!Q:R,2,0)</f>
        <v>7</v>
      </c>
      <c r="B246" s="20" t="str">
        <f t="shared" si="6"/>
        <v>2016 JUL</v>
      </c>
      <c r="C246" s="20">
        <v>2016</v>
      </c>
      <c r="D246" s="21" t="s">
        <v>157</v>
      </c>
      <c r="E246" s="21" t="s">
        <v>57</v>
      </c>
      <c r="F246" s="21">
        <v>43874518</v>
      </c>
      <c r="G246" s="21" t="s">
        <v>60</v>
      </c>
      <c r="H246" s="22">
        <v>49064965</v>
      </c>
      <c r="I246" s="22">
        <v>3304000</v>
      </c>
      <c r="J246" s="22">
        <v>9855500</v>
      </c>
      <c r="K246" s="23">
        <v>35905465</v>
      </c>
      <c r="L246" s="23">
        <v>38500000</v>
      </c>
      <c r="M246" s="24">
        <v>0.93260948051948056</v>
      </c>
      <c r="N246" s="25" t="str">
        <f>IFERROR(VLOOKUP(F246,Back!C:F,4,0),"NO")</f>
        <v>Si</v>
      </c>
      <c r="O246" s="26">
        <v>24</v>
      </c>
      <c r="P246" s="27" t="str">
        <f>IFERROR(VLOOKUP(F246,Back!C:E,3,0),"")</f>
        <v>IPS Pto De Vista Punto Clave</v>
      </c>
      <c r="Q246" s="27" t="str">
        <f>IFERROR(VLOOKUP(P246,Back!M:N,2,0),"")</f>
        <v>Antioquia</v>
      </c>
      <c r="R246" s="27" t="str">
        <f>IF(N246="Si",IFERROR(VLOOKUP(F246,'TD Cumpl'!B:AB,27,0),"No Aplica"),"No Aplica")</f>
        <v>Fluctúa</v>
      </c>
      <c r="S246" s="38"/>
      <c r="T246" s="36"/>
      <c r="Y246" s="54">
        <f t="shared" si="7"/>
        <v>49064965</v>
      </c>
    </row>
    <row r="247" spans="1:25" x14ac:dyDescent="0.25">
      <c r="A247" s="20">
        <f>+VLOOKUP(D247,Back!Q:R,2,0)</f>
        <v>7</v>
      </c>
      <c r="B247" s="20" t="str">
        <f t="shared" si="6"/>
        <v>2016 JUL</v>
      </c>
      <c r="C247" s="20">
        <v>2016</v>
      </c>
      <c r="D247" s="21" t="s">
        <v>157</v>
      </c>
      <c r="E247" s="21" t="s">
        <v>2</v>
      </c>
      <c r="F247" s="21">
        <v>52260671</v>
      </c>
      <c r="G247" s="21" t="s">
        <v>26</v>
      </c>
      <c r="H247" s="22">
        <v>33038406</v>
      </c>
      <c r="I247" s="22">
        <v>1193800</v>
      </c>
      <c r="J247" s="22">
        <v>5326100</v>
      </c>
      <c r="K247" s="23">
        <v>26518506</v>
      </c>
      <c r="L247" s="23">
        <v>26000000</v>
      </c>
      <c r="M247" s="24">
        <v>1.0199425384615384</v>
      </c>
      <c r="N247" s="25" t="str">
        <f>IFERROR(VLOOKUP(F247,Back!C:F,4,0),"NO")</f>
        <v>Si</v>
      </c>
      <c r="O247" s="26">
        <v>24</v>
      </c>
      <c r="P247" s="27" t="str">
        <f>IFERROR(VLOOKUP(F247,Back!C:E,3,0),"")</f>
        <v>IPS Pto De Vista Santa Bárbara</v>
      </c>
      <c r="Q247" s="27" t="str">
        <f>IFERROR(VLOOKUP(P247,Back!M:N,2,0),"")</f>
        <v>Centro</v>
      </c>
      <c r="R247" s="27" t="str">
        <f>IF(N247="Si",IFERROR(VLOOKUP(F247,'TD Cumpl'!B:AB,27,0),"No Aplica"),"No Aplica")</f>
        <v>Siempre Cumple</v>
      </c>
      <c r="S247" s="38"/>
      <c r="T247" s="36"/>
      <c r="Y247" s="54">
        <f t="shared" si="7"/>
        <v>33038406</v>
      </c>
    </row>
    <row r="248" spans="1:25" x14ac:dyDescent="0.25">
      <c r="A248" s="20">
        <f>+VLOOKUP(D248,Back!Q:R,2,0)</f>
        <v>7</v>
      </c>
      <c r="B248" s="20" t="str">
        <f t="shared" si="6"/>
        <v>2016 JUL</v>
      </c>
      <c r="C248" s="20">
        <v>2016</v>
      </c>
      <c r="D248" s="21" t="s">
        <v>157</v>
      </c>
      <c r="E248" s="21" t="s">
        <v>37</v>
      </c>
      <c r="F248" s="21">
        <v>1036779770</v>
      </c>
      <c r="G248" s="21" t="s">
        <v>52</v>
      </c>
      <c r="H248" s="22">
        <v>37899172</v>
      </c>
      <c r="I248" s="22">
        <v>2031500</v>
      </c>
      <c r="J248" s="22">
        <v>8865823</v>
      </c>
      <c r="K248" s="23">
        <v>27001849</v>
      </c>
      <c r="L248" s="23">
        <v>27591666.666666668</v>
      </c>
      <c r="M248" s="24">
        <v>0.97862334038054966</v>
      </c>
      <c r="N248" s="25" t="str">
        <f>IFERROR(VLOOKUP(F248,Back!C:F,4,0),"NO")</f>
        <v>No</v>
      </c>
      <c r="O248" s="26">
        <v>24</v>
      </c>
      <c r="P248" s="27" t="str">
        <f>IFERROR(VLOOKUP(F248,Back!C:E,3,0),"")</f>
        <v>IPS Pto De Vista Rionegro</v>
      </c>
      <c r="Q248" s="27" t="str">
        <f>IFERROR(VLOOKUP(P248,Back!M:N,2,0),"")</f>
        <v>Antioquia</v>
      </c>
      <c r="R248" s="27" t="str">
        <f>IF(N248="Si",IFERROR(VLOOKUP(F248,'TD Cumpl'!B:AB,27,0),"No Aplica"),"No Aplica")</f>
        <v>No Aplica</v>
      </c>
      <c r="S248" s="38"/>
      <c r="T248" s="36"/>
      <c r="Y248" s="54">
        <f t="shared" si="7"/>
        <v>37899172</v>
      </c>
    </row>
    <row r="249" spans="1:25" x14ac:dyDescent="0.25">
      <c r="A249" s="20">
        <f>+VLOOKUP(D249,Back!Q:R,2,0)</f>
        <v>7</v>
      </c>
      <c r="B249" s="20" t="str">
        <f t="shared" si="6"/>
        <v>2016 JUL</v>
      </c>
      <c r="C249" s="20">
        <v>2016</v>
      </c>
      <c r="D249" s="21" t="s">
        <v>157</v>
      </c>
      <c r="E249" s="21" t="s">
        <v>68</v>
      </c>
      <c r="F249" s="21">
        <v>1017207399</v>
      </c>
      <c r="G249" s="21"/>
      <c r="H249" s="22">
        <v>9999030</v>
      </c>
      <c r="I249" s="22">
        <v>0</v>
      </c>
      <c r="J249" s="22">
        <v>4955600</v>
      </c>
      <c r="K249" s="23">
        <v>5043430</v>
      </c>
      <c r="L249" s="23"/>
      <c r="M249" s="24"/>
      <c r="N249" s="25" t="str">
        <f>IFERROR(VLOOKUP(F249,Back!C:F,4,0),"NO")</f>
        <v>NO</v>
      </c>
      <c r="O249" s="26">
        <v>24</v>
      </c>
      <c r="P249" s="27" t="str">
        <f>IFERROR(VLOOKUP(F249,Back!C:E,3,0),"")</f>
        <v/>
      </c>
      <c r="Q249" s="27" t="str">
        <f>IFERROR(VLOOKUP(P249,Back!M:N,2,0),"")</f>
        <v/>
      </c>
      <c r="R249" s="27" t="str">
        <f>IF(N249="Si",IFERROR(VLOOKUP(F249,'TD Cumpl'!B:AB,27,0),"No Aplica"),"No Aplica")</f>
        <v>No Aplica</v>
      </c>
      <c r="S249" s="38"/>
      <c r="T249" s="36"/>
      <c r="Y249" s="54">
        <f t="shared" si="7"/>
        <v>9999030</v>
      </c>
    </row>
    <row r="250" spans="1:25" x14ac:dyDescent="0.25">
      <c r="A250" s="20">
        <f>+VLOOKUP(D250,Back!Q:R,2,0)</f>
        <v>7</v>
      </c>
      <c r="B250" s="20" t="str">
        <f t="shared" si="6"/>
        <v>2016 JUL</v>
      </c>
      <c r="C250" s="20">
        <v>2016</v>
      </c>
      <c r="D250" s="21" t="s">
        <v>157</v>
      </c>
      <c r="E250" s="21" t="s">
        <v>64</v>
      </c>
      <c r="F250" s="21">
        <v>1036598360</v>
      </c>
      <c r="G250" s="21" t="s">
        <v>146</v>
      </c>
      <c r="H250" s="22">
        <v>52903397</v>
      </c>
      <c r="I250" s="22">
        <v>3437400</v>
      </c>
      <c r="J250" s="22">
        <v>12811100</v>
      </c>
      <c r="K250" s="23">
        <v>36654897</v>
      </c>
      <c r="L250" s="23">
        <v>27508333.333333332</v>
      </c>
      <c r="M250" s="24">
        <v>1.3325015571039081</v>
      </c>
      <c r="N250" s="25" t="str">
        <f>IFERROR(VLOOKUP(F250,Back!C:F,4,0),"NO")</f>
        <v>Si</v>
      </c>
      <c r="O250" s="26">
        <v>24</v>
      </c>
      <c r="P250" s="27" t="str">
        <f>IFERROR(VLOOKUP(F250,Back!C:E,3,0),"")</f>
        <v>IPS Pto De Vista Punto Clave</v>
      </c>
      <c r="Q250" s="27" t="str">
        <f>IFERROR(VLOOKUP(P250,Back!M:N,2,0),"")</f>
        <v>Antioquia</v>
      </c>
      <c r="R250" s="27" t="str">
        <f>IF(N250="Si",IFERROR(VLOOKUP(F250,'TD Cumpl'!B:AB,27,0),"No Aplica"),"No Aplica")</f>
        <v>Fluctúa</v>
      </c>
      <c r="S250" s="38"/>
      <c r="T250" s="36"/>
      <c r="Y250" s="54">
        <f t="shared" si="7"/>
        <v>52903397</v>
      </c>
    </row>
    <row r="251" spans="1:25" x14ac:dyDescent="0.25">
      <c r="A251" s="20">
        <f>+VLOOKUP(D251,Back!Q:R,2,0)</f>
        <v>7</v>
      </c>
      <c r="B251" s="20" t="str">
        <f t="shared" si="6"/>
        <v>2016 JUL</v>
      </c>
      <c r="C251" s="20">
        <v>2016</v>
      </c>
      <c r="D251" s="21" t="s">
        <v>157</v>
      </c>
      <c r="E251" s="21" t="s">
        <v>20</v>
      </c>
      <c r="F251" s="21">
        <v>1017141451</v>
      </c>
      <c r="G251" s="21" t="s">
        <v>44</v>
      </c>
      <c r="H251" s="22">
        <v>70993794</v>
      </c>
      <c r="I251" s="22">
        <v>2765800</v>
      </c>
      <c r="J251" s="22">
        <v>19340100</v>
      </c>
      <c r="K251" s="23">
        <v>48887894</v>
      </c>
      <c r="L251" s="23">
        <v>36000000</v>
      </c>
      <c r="M251" s="24">
        <v>1.3579970555555556</v>
      </c>
      <c r="N251" s="25" t="str">
        <f>IFERROR(VLOOKUP(F251,Back!C:F,4,0),"NO")</f>
        <v>Si</v>
      </c>
      <c r="O251" s="26">
        <v>24</v>
      </c>
      <c r="P251" s="27" t="str">
        <f>IFERROR(VLOOKUP(F251,Back!C:E,3,0),"")</f>
        <v>IPS Pto De Vista Molinos</v>
      </c>
      <c r="Q251" s="27" t="str">
        <f>IFERROR(VLOOKUP(P251,Back!M:N,2,0),"")</f>
        <v>Antioquia</v>
      </c>
      <c r="R251" s="27" t="str">
        <f>IF(N251="Si",IFERROR(VLOOKUP(F251,'TD Cumpl'!B:AB,27,0),"No Aplica"),"No Aplica")</f>
        <v>Siempre Cumple</v>
      </c>
      <c r="S251" s="38"/>
      <c r="T251" s="36"/>
      <c r="Y251" s="54">
        <f t="shared" si="7"/>
        <v>70993794</v>
      </c>
    </row>
    <row r="252" spans="1:25" x14ac:dyDescent="0.25">
      <c r="A252" s="20">
        <f>+VLOOKUP(D252,Back!Q:R,2,0)</f>
        <v>7</v>
      </c>
      <c r="B252" s="20" t="str">
        <f t="shared" si="6"/>
        <v>2016 JUL</v>
      </c>
      <c r="C252" s="20">
        <v>2016</v>
      </c>
      <c r="D252" s="21" t="s">
        <v>157</v>
      </c>
      <c r="E252" s="21" t="s">
        <v>67</v>
      </c>
      <c r="F252" s="21">
        <v>43758991</v>
      </c>
      <c r="G252" s="21" t="s">
        <v>69</v>
      </c>
      <c r="H252" s="22">
        <v>35517708</v>
      </c>
      <c r="I252" s="22">
        <v>285400</v>
      </c>
      <c r="J252" s="22">
        <v>10396500</v>
      </c>
      <c r="K252" s="23">
        <v>24835808</v>
      </c>
      <c r="L252" s="23">
        <v>30100000</v>
      </c>
      <c r="M252" s="24">
        <v>0.82510990033222587</v>
      </c>
      <c r="N252" s="25" t="str">
        <f>IFERROR(VLOOKUP(F252,Back!C:F,4,0),"NO")</f>
        <v>NO</v>
      </c>
      <c r="O252" s="26">
        <v>24</v>
      </c>
      <c r="P252" s="27" t="str">
        <f>IFERROR(VLOOKUP(F252,Back!C:E,3,0),"")</f>
        <v/>
      </c>
      <c r="Q252" s="27" t="str">
        <f>IFERROR(VLOOKUP(P252,Back!M:N,2,0),"")</f>
        <v/>
      </c>
      <c r="R252" s="27" t="str">
        <f>IF(N252="Si",IFERROR(VLOOKUP(F252,'TD Cumpl'!B:AB,27,0),"No Aplica"),"No Aplica")</f>
        <v>No Aplica</v>
      </c>
      <c r="S252" s="38"/>
      <c r="T252" s="36"/>
      <c r="Y252" s="54">
        <f t="shared" si="7"/>
        <v>35517708</v>
      </c>
    </row>
    <row r="253" spans="1:25" x14ac:dyDescent="0.25">
      <c r="A253" s="20">
        <f>+VLOOKUP(D253,Back!Q:R,2,0)</f>
        <v>7</v>
      </c>
      <c r="B253" s="20" t="str">
        <f t="shared" si="6"/>
        <v>2016 JUL</v>
      </c>
      <c r="C253" s="20">
        <v>2016</v>
      </c>
      <c r="D253" s="21" t="s">
        <v>157</v>
      </c>
      <c r="E253" s="21" t="s">
        <v>19</v>
      </c>
      <c r="F253" s="21">
        <v>43343234</v>
      </c>
      <c r="G253" s="21"/>
      <c r="H253" s="22">
        <v>663082</v>
      </c>
      <c r="I253" s="22">
        <v>0</v>
      </c>
      <c r="J253" s="22">
        <v>479100</v>
      </c>
      <c r="K253" s="23">
        <v>183982</v>
      </c>
      <c r="L253" s="23"/>
      <c r="M253" s="24"/>
      <c r="N253" s="25" t="str">
        <f>IFERROR(VLOOKUP(F253,Back!C:F,4,0),"NO")</f>
        <v>NO</v>
      </c>
      <c r="O253" s="26">
        <v>24</v>
      </c>
      <c r="P253" s="27" t="str">
        <f>IFERROR(VLOOKUP(F253,Back!C:E,3,0),"")</f>
        <v/>
      </c>
      <c r="Q253" s="27" t="str">
        <f>IFERROR(VLOOKUP(P253,Back!M:N,2,0),"")</f>
        <v/>
      </c>
      <c r="R253" s="27" t="str">
        <f>IF(N253="Si",IFERROR(VLOOKUP(F253,'TD Cumpl'!B:AB,27,0),"No Aplica"),"No Aplica")</f>
        <v>No Aplica</v>
      </c>
      <c r="S253" s="38"/>
      <c r="T253" s="36"/>
      <c r="Y253" s="54">
        <f t="shared" si="7"/>
        <v>663082</v>
      </c>
    </row>
    <row r="254" spans="1:25" x14ac:dyDescent="0.25">
      <c r="A254" s="20">
        <f>+VLOOKUP(D254,Back!Q:R,2,0)</f>
        <v>7</v>
      </c>
      <c r="B254" s="20" t="str">
        <f t="shared" si="6"/>
        <v>2016 JUL</v>
      </c>
      <c r="C254" s="20">
        <v>2016</v>
      </c>
      <c r="D254" s="21" t="s">
        <v>157</v>
      </c>
      <c r="E254" s="21" t="s">
        <v>38</v>
      </c>
      <c r="F254" s="21">
        <v>43745192</v>
      </c>
      <c r="G254" s="21" t="s">
        <v>45</v>
      </c>
      <c r="H254" s="22">
        <v>25919057</v>
      </c>
      <c r="I254" s="22">
        <v>554400</v>
      </c>
      <c r="J254" s="22">
        <v>0</v>
      </c>
      <c r="K254" s="23">
        <v>25364657</v>
      </c>
      <c r="L254" s="23">
        <v>21000000</v>
      </c>
      <c r="M254" s="24">
        <v>1.2078408095238096</v>
      </c>
      <c r="N254" s="25" t="str">
        <f>IFERROR(VLOOKUP(F254,Back!C:F,4,0),"NO")</f>
        <v>Si</v>
      </c>
      <c r="O254" s="26">
        <v>24</v>
      </c>
      <c r="P254" s="27" t="str">
        <f>IFERROR(VLOOKUP(F254,Back!C:E,3,0),"")</f>
        <v>IPS Punto de Vista Mayorca</v>
      </c>
      <c r="Q254" s="27" t="str">
        <f>IFERROR(VLOOKUP(P254,Back!M:N,2,0),"")</f>
        <v>Antioquia</v>
      </c>
      <c r="R254" s="27" t="str">
        <f>IF(N254="Si",IFERROR(VLOOKUP(F254,'TD Cumpl'!B:AB,27,0),"No Aplica"),"No Aplica")</f>
        <v>Cumple</v>
      </c>
      <c r="S254" s="38"/>
      <c r="T254" s="36"/>
      <c r="Y254" s="54">
        <f t="shared" si="7"/>
        <v>25919057</v>
      </c>
    </row>
    <row r="255" spans="1:25" x14ac:dyDescent="0.25">
      <c r="A255" s="20">
        <f>+VLOOKUP(D255,Back!Q:R,2,0)</f>
        <v>7</v>
      </c>
      <c r="B255" s="20" t="str">
        <f t="shared" si="6"/>
        <v>2016 JUL</v>
      </c>
      <c r="C255" s="20">
        <v>2016</v>
      </c>
      <c r="D255" s="21" t="s">
        <v>157</v>
      </c>
      <c r="E255" s="21" t="s">
        <v>13</v>
      </c>
      <c r="F255" s="21">
        <v>43866877</v>
      </c>
      <c r="G255" s="21" t="s">
        <v>46</v>
      </c>
      <c r="H255" s="22">
        <v>60787368</v>
      </c>
      <c r="I255" s="22">
        <v>1037800</v>
      </c>
      <c r="J255" s="22">
        <v>17527900</v>
      </c>
      <c r="K255" s="23">
        <v>42221668</v>
      </c>
      <c r="L255" s="23">
        <v>40000000</v>
      </c>
      <c r="M255" s="24">
        <v>1.0555417</v>
      </c>
      <c r="N255" s="25" t="str">
        <f>IFERROR(VLOOKUP(F255,Back!C:F,4,0),"NO")</f>
        <v>Si</v>
      </c>
      <c r="O255" s="26">
        <v>24</v>
      </c>
      <c r="P255" s="27" t="str">
        <f>IFERROR(VLOOKUP(F255,Back!C:E,3,0),"")</f>
        <v>IPS Pto De Vista Centro</v>
      </c>
      <c r="Q255" s="27" t="str">
        <f>IFERROR(VLOOKUP(P255,Back!M:N,2,0),"")</f>
        <v>Antioquia</v>
      </c>
      <c r="R255" s="27" t="str">
        <f>IF(N255="Si",IFERROR(VLOOKUP(F255,'TD Cumpl'!B:AB,27,0),"No Aplica"),"No Aplica")</f>
        <v>Siempre Cumple</v>
      </c>
      <c r="S255" s="38"/>
      <c r="T255" s="36"/>
      <c r="Y255" s="54">
        <f t="shared" si="7"/>
        <v>60787368</v>
      </c>
    </row>
    <row r="256" spans="1:25" x14ac:dyDescent="0.25">
      <c r="A256" s="20">
        <f>+VLOOKUP(D256,Back!Q:R,2,0)</f>
        <v>7</v>
      </c>
      <c r="B256" s="20" t="str">
        <f t="shared" si="6"/>
        <v>2016 JUL</v>
      </c>
      <c r="C256" s="20">
        <v>2016</v>
      </c>
      <c r="D256" s="21" t="s">
        <v>157</v>
      </c>
      <c r="E256" s="21" t="s">
        <v>17</v>
      </c>
      <c r="F256" s="21">
        <v>43113640</v>
      </c>
      <c r="G256" s="21" t="s">
        <v>47</v>
      </c>
      <c r="H256" s="22">
        <v>14712749</v>
      </c>
      <c r="I256" s="22">
        <v>1402700</v>
      </c>
      <c r="J256" s="22">
        <v>3033500</v>
      </c>
      <c r="K256" s="23">
        <v>10276549</v>
      </c>
      <c r="L256" s="23">
        <v>25083333.333333336</v>
      </c>
      <c r="M256" s="24">
        <v>0.40969630564784049</v>
      </c>
      <c r="N256" s="25" t="str">
        <f>IFERROR(VLOOKUP(F256,Back!C:F,4,0),"NO")</f>
        <v>Si</v>
      </c>
      <c r="O256" s="26">
        <v>24</v>
      </c>
      <c r="P256" s="27" t="str">
        <f>IFERROR(VLOOKUP(F256,Back!C:E,3,0),"")</f>
        <v>IPS Pto De Vista San Diego</v>
      </c>
      <c r="Q256" s="27" t="str">
        <f>IFERROR(VLOOKUP(P256,Back!M:N,2,0),"")</f>
        <v>Antioquia</v>
      </c>
      <c r="R256" s="27" t="str">
        <f>IF(N256="Si",IFERROR(VLOOKUP(F256,'TD Cumpl'!B:AB,27,0),"No Aplica"),"No Aplica")</f>
        <v>Cumple</v>
      </c>
      <c r="S256" s="38"/>
      <c r="T256" s="36"/>
      <c r="Y256" s="54">
        <f t="shared" si="7"/>
        <v>14712749</v>
      </c>
    </row>
    <row r="257" spans="1:25" x14ac:dyDescent="0.25">
      <c r="A257" s="20">
        <f>+VLOOKUP(D257,Back!Q:R,2,0)</f>
        <v>7</v>
      </c>
      <c r="B257" s="20" t="str">
        <f t="shared" si="6"/>
        <v>2016 JUL</v>
      </c>
      <c r="C257" s="20">
        <v>2016</v>
      </c>
      <c r="D257" s="21" t="s">
        <v>157</v>
      </c>
      <c r="E257" s="21" t="s">
        <v>24</v>
      </c>
      <c r="F257" s="21">
        <v>39448823</v>
      </c>
      <c r="G257" s="21" t="s">
        <v>48</v>
      </c>
      <c r="H257" s="22">
        <v>45780818</v>
      </c>
      <c r="I257" s="22">
        <v>2128700</v>
      </c>
      <c r="J257" s="22">
        <v>7666270</v>
      </c>
      <c r="K257" s="23">
        <v>35985848</v>
      </c>
      <c r="L257" s="23">
        <v>30100000</v>
      </c>
      <c r="M257" s="24">
        <v>1.195543122923588</v>
      </c>
      <c r="N257" s="25" t="str">
        <f>IFERROR(VLOOKUP(F257,Back!C:F,4,0),"NO")</f>
        <v>Si</v>
      </c>
      <c r="O257" s="26">
        <v>24</v>
      </c>
      <c r="P257" s="27" t="str">
        <f>IFERROR(VLOOKUP(F257,Back!C:E,3,0),"")</f>
        <v>IPS Pto De Vista Rionegro</v>
      </c>
      <c r="Q257" s="27" t="str">
        <f>IFERROR(VLOOKUP(P257,Back!M:N,2,0),"")</f>
        <v>Antioquia</v>
      </c>
      <c r="R257" s="27" t="str">
        <f>IF(N257="Si",IFERROR(VLOOKUP(F257,'TD Cumpl'!B:AB,27,0),"No Aplica"),"No Aplica")</f>
        <v>Siempre Cumple</v>
      </c>
      <c r="S257" s="38"/>
      <c r="T257" s="36"/>
      <c r="Y257" s="54">
        <f t="shared" si="7"/>
        <v>45780818</v>
      </c>
    </row>
    <row r="258" spans="1:25" x14ac:dyDescent="0.25">
      <c r="A258" s="20">
        <f>+VLOOKUP(D258,Back!Q:R,2,0)</f>
        <v>7</v>
      </c>
      <c r="B258" s="20" t="str">
        <f t="shared" ref="B258:B321" si="8">MID(UPPER(C258&amp;" "&amp;D258),1,8)</f>
        <v>2016 JUL</v>
      </c>
      <c r="C258" s="20">
        <v>2016</v>
      </c>
      <c r="D258" s="21" t="s">
        <v>157</v>
      </c>
      <c r="E258" s="21" t="s">
        <v>10</v>
      </c>
      <c r="F258" s="21">
        <v>43109744</v>
      </c>
      <c r="G258" s="21" t="s">
        <v>53</v>
      </c>
      <c r="H258" s="22">
        <v>48725686</v>
      </c>
      <c r="I258" s="22">
        <v>2540260</v>
      </c>
      <c r="J258" s="22">
        <v>12301412</v>
      </c>
      <c r="K258" s="23">
        <v>33884014</v>
      </c>
      <c r="L258" s="23">
        <v>40000000</v>
      </c>
      <c r="M258" s="24">
        <v>0.84710034999999995</v>
      </c>
      <c r="N258" s="25" t="str">
        <f>IFERROR(VLOOKUP(F258,Back!C:F,4,0),"NO")</f>
        <v>NO</v>
      </c>
      <c r="O258" s="26">
        <v>24</v>
      </c>
      <c r="P258" s="27" t="str">
        <f>IFERROR(VLOOKUP(F258,Back!C:E,3,0),"")</f>
        <v/>
      </c>
      <c r="Q258" s="27" t="str">
        <f>IFERROR(VLOOKUP(P258,Back!M:N,2,0),"")</f>
        <v/>
      </c>
      <c r="R258" s="27" t="str">
        <f>IF(N258="Si",IFERROR(VLOOKUP(F258,'TD Cumpl'!B:AB,27,0),"No Aplica"),"No Aplica")</f>
        <v>No Aplica</v>
      </c>
      <c r="S258" s="38"/>
      <c r="T258" s="36"/>
      <c r="Y258" s="54">
        <f t="shared" ref="Y258:Y321" si="9">+H258-X258-V258-T258</f>
        <v>48725686</v>
      </c>
    </row>
    <row r="259" spans="1:25" x14ac:dyDescent="0.25">
      <c r="A259" s="20">
        <f>+VLOOKUP(D259,Back!Q:R,2,0)</f>
        <v>7</v>
      </c>
      <c r="B259" s="20" t="str">
        <f t="shared" si="8"/>
        <v>2016 JUL</v>
      </c>
      <c r="C259" s="20">
        <v>2016</v>
      </c>
      <c r="D259" s="21" t="s">
        <v>157</v>
      </c>
      <c r="E259" s="21" t="s">
        <v>16</v>
      </c>
      <c r="F259" s="21">
        <v>43599983</v>
      </c>
      <c r="G259" s="21" t="s">
        <v>478</v>
      </c>
      <c r="H259" s="22">
        <v>45799016</v>
      </c>
      <c r="I259" s="22">
        <v>0</v>
      </c>
      <c r="J259" s="22">
        <v>11265200</v>
      </c>
      <c r="K259" s="23">
        <v>34533816</v>
      </c>
      <c r="L259" s="23">
        <v>39666666.666666672</v>
      </c>
      <c r="M259" s="24">
        <v>0.87060040336134448</v>
      </c>
      <c r="N259" s="25" t="str">
        <f>IFERROR(VLOOKUP(F259,Back!C:F,4,0),"NO")</f>
        <v>NO</v>
      </c>
      <c r="O259" s="26">
        <v>24</v>
      </c>
      <c r="P259" s="27" t="str">
        <f>IFERROR(VLOOKUP(F259,Back!C:E,3,0),"")</f>
        <v/>
      </c>
      <c r="Q259" s="27" t="str">
        <f>IFERROR(VLOOKUP(P259,Back!M:N,2,0),"")</f>
        <v/>
      </c>
      <c r="R259" s="27" t="str">
        <f>IF(N259="Si",IFERROR(VLOOKUP(F259,'TD Cumpl'!B:AB,27,0),"No Aplica"),"No Aplica")</f>
        <v>No Aplica</v>
      </c>
      <c r="S259" s="38"/>
      <c r="T259" s="36"/>
      <c r="Y259" s="54">
        <f t="shared" si="9"/>
        <v>45799016</v>
      </c>
    </row>
    <row r="260" spans="1:25" x14ac:dyDescent="0.25">
      <c r="A260" s="20">
        <f>+VLOOKUP(D260,Back!Q:R,2,0)</f>
        <v>7</v>
      </c>
      <c r="B260" s="20" t="str">
        <f t="shared" si="8"/>
        <v>2016 JUL</v>
      </c>
      <c r="C260" s="20">
        <v>2016</v>
      </c>
      <c r="D260" s="21" t="s">
        <v>157</v>
      </c>
      <c r="E260" s="21" t="s">
        <v>15</v>
      </c>
      <c r="F260" s="21">
        <v>42689970</v>
      </c>
      <c r="G260" s="21" t="s">
        <v>29</v>
      </c>
      <c r="H260" s="22">
        <v>60003217</v>
      </c>
      <c r="I260" s="22">
        <v>436000</v>
      </c>
      <c r="J260" s="22">
        <v>14920856</v>
      </c>
      <c r="K260" s="23">
        <v>44646361</v>
      </c>
      <c r="L260" s="23">
        <v>40000000</v>
      </c>
      <c r="M260" s="24">
        <v>1.116159025</v>
      </c>
      <c r="N260" s="25" t="str">
        <f>IFERROR(VLOOKUP(F260,Back!C:F,4,0),"NO")</f>
        <v>NO</v>
      </c>
      <c r="O260" s="26">
        <v>24</v>
      </c>
      <c r="P260" s="27" t="str">
        <f>IFERROR(VLOOKUP(F260,Back!C:E,3,0),"")</f>
        <v/>
      </c>
      <c r="Q260" s="27" t="str">
        <f>IFERROR(VLOOKUP(P260,Back!M:N,2,0),"")</f>
        <v/>
      </c>
      <c r="R260" s="27" t="str">
        <f>IF(N260="Si",IFERROR(VLOOKUP(F260,'TD Cumpl'!B:AB,27,0),"No Aplica"),"No Aplica")</f>
        <v>No Aplica</v>
      </c>
      <c r="S260" s="38"/>
      <c r="T260" s="36"/>
      <c r="Y260" s="54">
        <f t="shared" si="9"/>
        <v>60003217</v>
      </c>
    </row>
    <row r="261" spans="1:25" x14ac:dyDescent="0.25">
      <c r="A261" s="20">
        <f>+VLOOKUP(D261,Back!Q:R,2,0)</f>
        <v>7</v>
      </c>
      <c r="B261" s="20" t="str">
        <f t="shared" si="8"/>
        <v>2016 JUL</v>
      </c>
      <c r="C261" s="20">
        <v>2016</v>
      </c>
      <c r="D261" s="21" t="s">
        <v>157</v>
      </c>
      <c r="E261" s="21" t="s">
        <v>23</v>
      </c>
      <c r="F261" s="21">
        <v>43907427</v>
      </c>
      <c r="G261" s="21" t="s">
        <v>144</v>
      </c>
      <c r="H261" s="22">
        <v>20936477</v>
      </c>
      <c r="I261" s="22">
        <v>0</v>
      </c>
      <c r="J261" s="22">
        <v>3578600</v>
      </c>
      <c r="K261" s="23">
        <v>17357877</v>
      </c>
      <c r="L261" s="23">
        <v>19500000</v>
      </c>
      <c r="M261" s="24">
        <v>0.89014753846153849</v>
      </c>
      <c r="N261" s="25" t="str">
        <f>IFERROR(VLOOKUP(F261,Back!C:F,4,0),"NO")</f>
        <v>Si</v>
      </c>
      <c r="O261" s="26">
        <v>24</v>
      </c>
      <c r="P261" s="27" t="str">
        <f>IFERROR(VLOOKUP(F261,Back!C:E,3,0),"")</f>
        <v>IPS Pto De Vista Industriales</v>
      </c>
      <c r="Q261" s="27" t="str">
        <f>IFERROR(VLOOKUP(P261,Back!M:N,2,0),"")</f>
        <v>Antioquia</v>
      </c>
      <c r="R261" s="27" t="str">
        <f>IF(N261="Si",IFERROR(VLOOKUP(F261,'TD Cumpl'!B:AB,27,0),"No Aplica"),"No Aplica")</f>
        <v>Siempre Cumple</v>
      </c>
      <c r="S261" s="38"/>
      <c r="T261" s="36"/>
      <c r="Y261" s="54">
        <f t="shared" si="9"/>
        <v>20936477</v>
      </c>
    </row>
    <row r="262" spans="1:25" x14ac:dyDescent="0.25">
      <c r="A262" s="20">
        <f>+VLOOKUP(D262,Back!Q:R,2,0)</f>
        <v>7</v>
      </c>
      <c r="B262" s="20" t="str">
        <f t="shared" si="8"/>
        <v>2016 JUL</v>
      </c>
      <c r="C262" s="20">
        <v>2016</v>
      </c>
      <c r="D262" s="21" t="s">
        <v>157</v>
      </c>
      <c r="E262" s="21" t="s">
        <v>12</v>
      </c>
      <c r="F262" s="21">
        <v>91511871</v>
      </c>
      <c r="G262" s="21" t="s">
        <v>49</v>
      </c>
      <c r="H262" s="22">
        <v>41602020</v>
      </c>
      <c r="I262" s="22">
        <v>2134200</v>
      </c>
      <c r="J262" s="22">
        <v>15525800</v>
      </c>
      <c r="K262" s="23">
        <v>23942020</v>
      </c>
      <c r="L262" s="23">
        <v>26000000</v>
      </c>
      <c r="M262" s="24">
        <v>0.92084692307692306</v>
      </c>
      <c r="N262" s="25" t="str">
        <f>IFERROR(VLOOKUP(F262,Back!C:F,4,0),"NO")</f>
        <v>NO</v>
      </c>
      <c r="O262" s="26">
        <v>24</v>
      </c>
      <c r="P262" s="27" t="str">
        <f>IFERROR(VLOOKUP(F262,Back!C:E,3,0),"")</f>
        <v/>
      </c>
      <c r="Q262" s="27" t="str">
        <f>IFERROR(VLOOKUP(P262,Back!M:N,2,0),"")</f>
        <v/>
      </c>
      <c r="R262" s="27" t="str">
        <f>IF(N262="Si",IFERROR(VLOOKUP(F262,'TD Cumpl'!B:AB,27,0),"No Aplica"),"No Aplica")</f>
        <v>No Aplica</v>
      </c>
      <c r="S262" s="38"/>
      <c r="T262" s="36"/>
      <c r="Y262" s="54">
        <f t="shared" si="9"/>
        <v>41602020</v>
      </c>
    </row>
    <row r="263" spans="1:25" x14ac:dyDescent="0.25">
      <c r="A263" s="20">
        <f>+VLOOKUP(D263,Back!Q:R,2,0)</f>
        <v>7</v>
      </c>
      <c r="B263" s="20" t="str">
        <f t="shared" si="8"/>
        <v>2016 JUL</v>
      </c>
      <c r="C263" s="20">
        <v>2016</v>
      </c>
      <c r="D263" s="21" t="s">
        <v>157</v>
      </c>
      <c r="E263" s="21" t="s">
        <v>62</v>
      </c>
      <c r="F263" s="21">
        <v>32256379</v>
      </c>
      <c r="G263" s="21" t="s">
        <v>61</v>
      </c>
      <c r="H263" s="22">
        <v>82167268</v>
      </c>
      <c r="I263" s="22">
        <v>0</v>
      </c>
      <c r="J263" s="22">
        <v>7127900</v>
      </c>
      <c r="K263" s="23">
        <v>75039368</v>
      </c>
      <c r="L263" s="23">
        <v>40100000</v>
      </c>
      <c r="M263" s="24">
        <v>1.8713059351620949</v>
      </c>
      <c r="N263" s="25" t="str">
        <f>IFERROR(VLOOKUP(F263,Back!C:F,4,0),"NO")</f>
        <v>Si</v>
      </c>
      <c r="O263" s="26">
        <v>24</v>
      </c>
      <c r="P263" s="27" t="str">
        <f>IFERROR(VLOOKUP(F263,Back!C:E,3,0),"")</f>
        <v>Ferias Empresariales Antioquia</v>
      </c>
      <c r="Q263" s="27" t="str">
        <f>IFERROR(VLOOKUP(P263,Back!M:N,2,0),"")</f>
        <v>Antioquia</v>
      </c>
      <c r="R263" s="27" t="str">
        <f>IF(N263="Si",IFERROR(VLOOKUP(F263,'TD Cumpl'!B:AB,27,0),"No Aplica"),"No Aplica")</f>
        <v>Fluctúa</v>
      </c>
      <c r="S263" s="38"/>
      <c r="T263" s="36"/>
      <c r="Y263" s="54">
        <f t="shared" si="9"/>
        <v>82167268</v>
      </c>
    </row>
    <row r="264" spans="1:25" x14ac:dyDescent="0.25">
      <c r="A264" s="20">
        <f>+VLOOKUP(D264,Back!Q:R,2,0)</f>
        <v>7</v>
      </c>
      <c r="B264" s="20" t="str">
        <f t="shared" si="8"/>
        <v>2016 JUL</v>
      </c>
      <c r="C264" s="20">
        <v>2016</v>
      </c>
      <c r="D264" s="21" t="s">
        <v>157</v>
      </c>
      <c r="E264" s="21" t="s">
        <v>4</v>
      </c>
      <c r="F264" s="21">
        <v>79701425</v>
      </c>
      <c r="G264" s="21" t="s">
        <v>27</v>
      </c>
      <c r="H264" s="22">
        <v>33311118</v>
      </c>
      <c r="I264" s="22">
        <v>1041800</v>
      </c>
      <c r="J264" s="22">
        <v>8656100</v>
      </c>
      <c r="K264" s="23">
        <v>23613218</v>
      </c>
      <c r="L264" s="23">
        <v>21000000</v>
      </c>
      <c r="M264" s="24">
        <v>1.1244389523809524</v>
      </c>
      <c r="N264" s="25" t="str">
        <f>IFERROR(VLOOKUP(F264,Back!C:F,4,0),"NO")</f>
        <v>No</v>
      </c>
      <c r="O264" s="26">
        <v>24</v>
      </c>
      <c r="P264" s="27" t="str">
        <f>IFERROR(VLOOKUP(F264,Back!C:E,3,0),"")</f>
        <v>IPS Pto De Vista Olaya</v>
      </c>
      <c r="Q264" s="27" t="str">
        <f>IFERROR(VLOOKUP(P264,Back!M:N,2,0),"")</f>
        <v>Centro</v>
      </c>
      <c r="R264" s="27" t="str">
        <f>IF(N264="Si",IFERROR(VLOOKUP(F264,'TD Cumpl'!B:AB,27,0),"No Aplica"),"No Aplica")</f>
        <v>No Aplica</v>
      </c>
      <c r="S264" s="38"/>
      <c r="T264" s="36"/>
      <c r="Y264" s="54">
        <f t="shared" si="9"/>
        <v>33311118</v>
      </c>
    </row>
    <row r="265" spans="1:25" x14ac:dyDescent="0.25">
      <c r="A265" s="20">
        <f>+VLOOKUP(D265,Back!Q:R,2,0)</f>
        <v>7</v>
      </c>
      <c r="B265" s="20" t="str">
        <f t="shared" si="8"/>
        <v>2016 JUL</v>
      </c>
      <c r="C265" s="20">
        <v>2016</v>
      </c>
      <c r="D265" s="21" t="s">
        <v>157</v>
      </c>
      <c r="E265" s="21" t="s">
        <v>5</v>
      </c>
      <c r="F265" s="21">
        <v>34542470</v>
      </c>
      <c r="G265" s="21" t="s">
        <v>28</v>
      </c>
      <c r="H265" s="22">
        <v>24169341</v>
      </c>
      <c r="I265" s="22">
        <v>545400</v>
      </c>
      <c r="J265" s="22">
        <v>0</v>
      </c>
      <c r="K265" s="23">
        <v>23623941</v>
      </c>
      <c r="L265" s="23">
        <v>21000000</v>
      </c>
      <c r="M265" s="24">
        <v>1.1249495714285713</v>
      </c>
      <c r="N265" s="25" t="str">
        <f>IFERROR(VLOOKUP(F265,Back!C:F,4,0),"NO")</f>
        <v>Si</v>
      </c>
      <c r="O265" s="26">
        <v>24</v>
      </c>
      <c r="P265" s="27" t="str">
        <f>IFERROR(VLOOKUP(F265,Back!C:E,3,0),"")</f>
        <v>Optica Salud Sura Chipichape</v>
      </c>
      <c r="Q265" s="27" t="str">
        <f>IFERROR(VLOOKUP(P265,Back!M:N,2,0),"")</f>
        <v>Occidente</v>
      </c>
      <c r="R265" s="27" t="str">
        <f>IF(N265="Si",IFERROR(VLOOKUP(F265,'TD Cumpl'!B:AB,27,0),"No Aplica"),"No Aplica")</f>
        <v>Siempre Cumple</v>
      </c>
      <c r="S265" s="38"/>
      <c r="T265" s="36"/>
      <c r="Y265" s="54">
        <f t="shared" si="9"/>
        <v>24169341</v>
      </c>
    </row>
    <row r="266" spans="1:25" x14ac:dyDescent="0.25">
      <c r="A266" s="20">
        <f>+VLOOKUP(D266,Back!Q:R,2,0)</f>
        <v>7</v>
      </c>
      <c r="B266" s="20" t="str">
        <f t="shared" si="8"/>
        <v>2016 JUL</v>
      </c>
      <c r="C266" s="20">
        <v>2016</v>
      </c>
      <c r="D266" s="21" t="s">
        <v>157</v>
      </c>
      <c r="E266" s="21" t="s">
        <v>72</v>
      </c>
      <c r="F266" s="21">
        <v>43636530</v>
      </c>
      <c r="G266" s="21" t="s">
        <v>483</v>
      </c>
      <c r="H266" s="22">
        <v>50578288</v>
      </c>
      <c r="I266" s="22">
        <v>0</v>
      </c>
      <c r="J266" s="22">
        <v>15772600</v>
      </c>
      <c r="K266" s="23">
        <v>34805688</v>
      </c>
      <c r="L266" s="23">
        <v>40000000</v>
      </c>
      <c r="M266" s="24">
        <v>0.87014219999999998</v>
      </c>
      <c r="N266" s="25" t="str">
        <f>IFERROR(VLOOKUP(F266,Back!C:F,4,0),"NO")</f>
        <v>NO</v>
      </c>
      <c r="O266" s="26">
        <v>24</v>
      </c>
      <c r="P266" s="27" t="str">
        <f>IFERROR(VLOOKUP(F266,Back!C:E,3,0),"")</f>
        <v/>
      </c>
      <c r="Q266" s="27" t="str">
        <f>IFERROR(VLOOKUP(P266,Back!M:N,2,0),"")</f>
        <v/>
      </c>
      <c r="R266" s="27" t="str">
        <f>IF(N266="Si",IFERROR(VLOOKUP(F266,'TD Cumpl'!B:AB,27,0),"No Aplica"),"No Aplica")</f>
        <v>No Aplica</v>
      </c>
      <c r="S266" s="38"/>
      <c r="T266" s="36"/>
      <c r="Y266" s="54">
        <f t="shared" si="9"/>
        <v>50578288</v>
      </c>
    </row>
    <row r="267" spans="1:25" x14ac:dyDescent="0.25">
      <c r="A267" s="20">
        <f>+VLOOKUP(D267,Back!Q:R,2,0)</f>
        <v>7</v>
      </c>
      <c r="B267" s="20" t="str">
        <f t="shared" si="8"/>
        <v>2016 JUL</v>
      </c>
      <c r="C267" s="20">
        <v>2016</v>
      </c>
      <c r="D267" s="21" t="s">
        <v>157</v>
      </c>
      <c r="E267" s="21" t="s">
        <v>7</v>
      </c>
      <c r="F267" s="21">
        <v>43745952</v>
      </c>
      <c r="G267" s="21" t="s">
        <v>50</v>
      </c>
      <c r="H267" s="22">
        <v>72042331</v>
      </c>
      <c r="I267" s="22">
        <v>2078390</v>
      </c>
      <c r="J267" s="22">
        <v>16477300</v>
      </c>
      <c r="K267" s="23">
        <v>53486641</v>
      </c>
      <c r="L267" s="23">
        <v>26733333.333333332</v>
      </c>
      <c r="M267" s="24">
        <v>2.0007471695760599</v>
      </c>
      <c r="N267" s="25" t="str">
        <f>IFERROR(VLOOKUP(F267,Back!C:F,4,0),"NO")</f>
        <v>Si</v>
      </c>
      <c r="O267" s="26">
        <v>24</v>
      </c>
      <c r="P267" s="27" t="str">
        <f>IFERROR(VLOOKUP(F267,Back!C:E,3,0),"")</f>
        <v>IPS Pto De Vista Unicentro</v>
      </c>
      <c r="Q267" s="27" t="str">
        <f>IFERROR(VLOOKUP(P267,Back!M:N,2,0),"")</f>
        <v>Antioquia</v>
      </c>
      <c r="R267" s="27" t="str">
        <f>IF(N267="Si",IFERROR(VLOOKUP(F267,'TD Cumpl'!B:AB,27,0),"No Aplica"),"No Aplica")</f>
        <v>Siempre Cumple</v>
      </c>
      <c r="S267" s="38"/>
      <c r="T267" s="36"/>
      <c r="Y267" s="54">
        <f t="shared" si="9"/>
        <v>72042331</v>
      </c>
    </row>
    <row r="268" spans="1:25" x14ac:dyDescent="0.25">
      <c r="A268" s="20">
        <f>+VLOOKUP(D268,Back!Q:R,2,0)</f>
        <v>7</v>
      </c>
      <c r="B268" s="20" t="str">
        <f t="shared" si="8"/>
        <v>2016 JUL</v>
      </c>
      <c r="C268" s="20">
        <v>2016</v>
      </c>
      <c r="D268" s="21" t="s">
        <v>157</v>
      </c>
      <c r="E268" s="21" t="s">
        <v>8</v>
      </c>
      <c r="F268" s="21">
        <v>43259130</v>
      </c>
      <c r="G268" s="21" t="s">
        <v>51</v>
      </c>
      <c r="H268" s="22">
        <v>69908750</v>
      </c>
      <c r="I268" s="22">
        <v>3080800</v>
      </c>
      <c r="J268" s="22">
        <v>18234000</v>
      </c>
      <c r="K268" s="23">
        <v>48593950</v>
      </c>
      <c r="L268" s="23">
        <v>40100000</v>
      </c>
      <c r="M268" s="24">
        <v>1.2118192019950125</v>
      </c>
      <c r="N268" s="25" t="str">
        <f>IFERROR(VLOOKUP(F268,Back!C:F,4,0),"NO")</f>
        <v>Si</v>
      </c>
      <c r="O268" s="26">
        <v>24</v>
      </c>
      <c r="P268" s="27" t="str">
        <f>IFERROR(VLOOKUP(F268,Back!C:E,3,0),"")</f>
        <v>IPS Pto De Vista Molinos</v>
      </c>
      <c r="Q268" s="27" t="str">
        <f>IFERROR(VLOOKUP(P268,Back!M:N,2,0),"")</f>
        <v>Antioquia</v>
      </c>
      <c r="R268" s="27" t="str">
        <f>IF(N268="Si",IFERROR(VLOOKUP(F268,'TD Cumpl'!B:AB,27,0),"No Aplica"),"No Aplica")</f>
        <v>Fluctúa</v>
      </c>
      <c r="S268" s="38"/>
      <c r="T268" s="36"/>
      <c r="Y268" s="54">
        <f t="shared" si="9"/>
        <v>69908750</v>
      </c>
    </row>
    <row r="269" spans="1:25" x14ac:dyDescent="0.25">
      <c r="A269" s="20">
        <f>+VLOOKUP(D269,Back!Q:R,2,0)</f>
        <v>8</v>
      </c>
      <c r="B269" s="20" t="str">
        <f t="shared" si="8"/>
        <v>2016 AGO</v>
      </c>
      <c r="C269" s="20">
        <v>2016</v>
      </c>
      <c r="D269" s="21" t="s">
        <v>158</v>
      </c>
      <c r="E269" s="21" t="s">
        <v>9</v>
      </c>
      <c r="F269" s="21">
        <v>43169964</v>
      </c>
      <c r="G269" s="21" t="s">
        <v>155</v>
      </c>
      <c r="H269" s="22">
        <v>38278436</v>
      </c>
      <c r="I269" s="22">
        <v>285400</v>
      </c>
      <c r="J269" s="22">
        <v>11349500</v>
      </c>
      <c r="K269" s="23">
        <v>26643536</v>
      </c>
      <c r="L269" s="23">
        <v>26000000</v>
      </c>
      <c r="M269" s="24">
        <v>1.0247513846153846</v>
      </c>
      <c r="N269" s="25" t="str">
        <f>IFERROR(VLOOKUP(F269,Back!C:F,4,0),"NO")</f>
        <v>Si</v>
      </c>
      <c r="O269" s="26">
        <v>26</v>
      </c>
      <c r="P269" s="27" t="str">
        <f>IFERROR(VLOOKUP(F269,Back!C:E,3,0),"")</f>
        <v>IPS Pto De Vista Molinos</v>
      </c>
      <c r="Q269" s="27" t="str">
        <f>IFERROR(VLOOKUP(P269,Back!M:N,2,0),"")</f>
        <v>Antioquia</v>
      </c>
      <c r="R269" s="27" t="str">
        <f>IF(N269="Si",IFERROR(VLOOKUP(F269,'TD Cumpl'!B:AB,27,0),"No Aplica"),"No Aplica")</f>
        <v>Cumple</v>
      </c>
      <c r="S269" s="38"/>
      <c r="T269" s="36"/>
      <c r="Y269" s="54">
        <f t="shared" si="9"/>
        <v>38278436</v>
      </c>
    </row>
    <row r="270" spans="1:25" x14ac:dyDescent="0.25">
      <c r="A270" s="20">
        <f>+VLOOKUP(D270,Back!Q:R,2,0)</f>
        <v>8</v>
      </c>
      <c r="B270" s="20" t="str">
        <f t="shared" si="8"/>
        <v>2016 AGO</v>
      </c>
      <c r="C270" s="20">
        <v>2016</v>
      </c>
      <c r="D270" s="21" t="s">
        <v>158</v>
      </c>
      <c r="E270" s="21" t="s">
        <v>11</v>
      </c>
      <c r="F270" s="21">
        <v>43253531</v>
      </c>
      <c r="G270" s="21" t="s">
        <v>39</v>
      </c>
      <c r="H270" s="22">
        <v>26745073</v>
      </c>
      <c r="I270" s="22">
        <v>825600</v>
      </c>
      <c r="J270" s="22">
        <v>8310900</v>
      </c>
      <c r="K270" s="23">
        <v>17608573</v>
      </c>
      <c r="L270" s="23">
        <v>40000000</v>
      </c>
      <c r="M270" s="24">
        <v>0.44021432500000002</v>
      </c>
      <c r="N270" s="25" t="str">
        <f>IFERROR(VLOOKUP(F270,Back!C:F,4,0),"NO")</f>
        <v>Si</v>
      </c>
      <c r="O270" s="26">
        <v>26</v>
      </c>
      <c r="P270" s="27" t="str">
        <f>IFERROR(VLOOKUP(F270,Back!C:E,3,0),"")</f>
        <v>IPS Punto de Vista Bello</v>
      </c>
      <c r="Q270" s="27" t="str">
        <f>IFERROR(VLOOKUP(P270,Back!M:N,2,0),"")</f>
        <v>Antioquia</v>
      </c>
      <c r="R270" s="27" t="str">
        <f>IF(N270="Si",IFERROR(VLOOKUP(F270,'TD Cumpl'!B:AB,27,0),"No Aplica"),"No Aplica")</f>
        <v>Cumple</v>
      </c>
      <c r="S270" s="38"/>
      <c r="T270" s="36"/>
      <c r="Y270" s="54">
        <f t="shared" si="9"/>
        <v>26745073</v>
      </c>
    </row>
    <row r="271" spans="1:25" x14ac:dyDescent="0.25">
      <c r="A271" s="20">
        <f>+VLOOKUP(D271,Back!Q:R,2,0)</f>
        <v>8</v>
      </c>
      <c r="B271" s="20" t="str">
        <f t="shared" si="8"/>
        <v>2016 AGO</v>
      </c>
      <c r="C271" s="20">
        <v>2016</v>
      </c>
      <c r="D271" s="21" t="s">
        <v>158</v>
      </c>
      <c r="E271" s="21" t="s">
        <v>66</v>
      </c>
      <c r="F271" s="21">
        <v>3438422</v>
      </c>
      <c r="G271" s="21" t="s">
        <v>71</v>
      </c>
      <c r="H271" s="22">
        <v>27744271</v>
      </c>
      <c r="I271" s="22">
        <v>1321400</v>
      </c>
      <c r="J271" s="22">
        <v>6864300</v>
      </c>
      <c r="K271" s="23">
        <v>19558571</v>
      </c>
      <c r="L271" s="23">
        <v>30100000</v>
      </c>
      <c r="M271" s="24">
        <v>0.64978641196013287</v>
      </c>
      <c r="N271" s="25" t="str">
        <f>IFERROR(VLOOKUP(F271,Back!C:F,4,0),"NO")</f>
        <v>Si</v>
      </c>
      <c r="O271" s="26">
        <v>26</v>
      </c>
      <c r="P271" s="27" t="str">
        <f>IFERROR(VLOOKUP(F271,Back!C:E,3,0),"")</f>
        <v>IPS Pto De Vista Punto Clave</v>
      </c>
      <c r="Q271" s="27" t="str">
        <f>IFERROR(VLOOKUP(P271,Back!M:N,2,0),"")</f>
        <v>Antioquia</v>
      </c>
      <c r="R271" s="27" t="str">
        <f>IF(N271="Si",IFERROR(VLOOKUP(F271,'TD Cumpl'!B:AB,27,0),"No Aplica"),"No Aplica")</f>
        <v>Fluctúa</v>
      </c>
      <c r="S271" s="38"/>
      <c r="T271" s="36"/>
      <c r="Y271" s="54">
        <f t="shared" si="9"/>
        <v>27744271</v>
      </c>
    </row>
    <row r="272" spans="1:25" x14ac:dyDescent="0.25">
      <c r="A272" s="20">
        <f>+VLOOKUP(D272,Back!Q:R,2,0)</f>
        <v>8</v>
      </c>
      <c r="B272" s="20" t="str">
        <f t="shared" si="8"/>
        <v>2016 AGO</v>
      </c>
      <c r="C272" s="20">
        <v>2016</v>
      </c>
      <c r="D272" s="21" t="s">
        <v>158</v>
      </c>
      <c r="E272" s="21" t="s">
        <v>6</v>
      </c>
      <c r="F272" s="21">
        <v>43821410</v>
      </c>
      <c r="G272" s="21" t="s">
        <v>40</v>
      </c>
      <c r="H272" s="22">
        <v>87753923</v>
      </c>
      <c r="I272" s="22">
        <v>1029560</v>
      </c>
      <c r="J272" s="22">
        <v>16494400</v>
      </c>
      <c r="K272" s="23">
        <v>70229963</v>
      </c>
      <c r="L272" s="23">
        <v>40100000</v>
      </c>
      <c r="M272" s="24">
        <v>1.7513706483790523</v>
      </c>
      <c r="N272" s="25" t="str">
        <f>IFERROR(VLOOKUP(F272,Back!C:F,4,0),"NO")</f>
        <v>Si</v>
      </c>
      <c r="O272" s="26">
        <v>26</v>
      </c>
      <c r="P272" s="27" t="str">
        <f>IFERROR(VLOOKUP(F272,Back!C:E,3,0),"")</f>
        <v>IPS Pto De Vista Unicentro</v>
      </c>
      <c r="Q272" s="27" t="str">
        <f>IFERROR(VLOOKUP(P272,Back!M:N,2,0),"")</f>
        <v>Antioquia</v>
      </c>
      <c r="R272" s="27" t="str">
        <f>IF(N272="Si",IFERROR(VLOOKUP(F272,'TD Cumpl'!B:AB,27,0),"No Aplica"),"No Aplica")</f>
        <v>Siempre Cumple</v>
      </c>
      <c r="S272" s="38"/>
      <c r="T272" s="36"/>
      <c r="Y272" s="54">
        <f t="shared" si="9"/>
        <v>87753923</v>
      </c>
    </row>
    <row r="273" spans="1:25" x14ac:dyDescent="0.25">
      <c r="A273" s="20">
        <f>+VLOOKUP(D273,Back!Q:R,2,0)</f>
        <v>8</v>
      </c>
      <c r="B273" s="20" t="str">
        <f t="shared" si="8"/>
        <v>2016 AGO</v>
      </c>
      <c r="C273" s="20">
        <v>2016</v>
      </c>
      <c r="D273" s="21" t="s">
        <v>158</v>
      </c>
      <c r="E273" s="21" t="s">
        <v>18</v>
      </c>
      <c r="F273" s="21">
        <v>39442617</v>
      </c>
      <c r="G273" s="21" t="s">
        <v>41</v>
      </c>
      <c r="H273" s="22">
        <v>73510581</v>
      </c>
      <c r="I273" s="22">
        <v>1200800</v>
      </c>
      <c r="J273" s="22">
        <v>16942478</v>
      </c>
      <c r="K273" s="23">
        <v>55367303</v>
      </c>
      <c r="L273" s="23">
        <v>40000000</v>
      </c>
      <c r="M273" s="24">
        <v>1.3841825750000001</v>
      </c>
      <c r="N273" s="25" t="str">
        <f>IFERROR(VLOOKUP(F273,Back!C:F,4,0),"NO")</f>
        <v>Si</v>
      </c>
      <c r="O273" s="26">
        <v>26</v>
      </c>
      <c r="P273" s="27" t="str">
        <f>IFERROR(VLOOKUP(F273,Back!C:E,3,0),"")</f>
        <v>IPS Pto De Vista San Diego</v>
      </c>
      <c r="Q273" s="27" t="str">
        <f>IFERROR(VLOOKUP(P273,Back!M:N,2,0),"")</f>
        <v>Antioquia</v>
      </c>
      <c r="R273" s="27" t="str">
        <f>IF(N273="Si",IFERROR(VLOOKUP(F273,'TD Cumpl'!B:AB,27,0),"No Aplica"),"No Aplica")</f>
        <v>Cumple</v>
      </c>
      <c r="S273" s="38"/>
      <c r="T273" s="36"/>
      <c r="Y273" s="54">
        <f t="shared" si="9"/>
        <v>73510581</v>
      </c>
    </row>
    <row r="274" spans="1:25" x14ac:dyDescent="0.25">
      <c r="A274" s="20">
        <f>+VLOOKUP(D274,Back!Q:R,2,0)</f>
        <v>8</v>
      </c>
      <c r="B274" s="20" t="str">
        <f t="shared" si="8"/>
        <v>2016 AGO</v>
      </c>
      <c r="C274" s="20">
        <v>2016</v>
      </c>
      <c r="D274" s="21" t="s">
        <v>158</v>
      </c>
      <c r="E274" s="21" t="s">
        <v>56</v>
      </c>
      <c r="F274" s="21">
        <v>43971430</v>
      </c>
      <c r="G274" s="21" t="s">
        <v>142</v>
      </c>
      <c r="H274" s="22">
        <v>59617335</v>
      </c>
      <c r="I274" s="22">
        <v>1696200</v>
      </c>
      <c r="J274" s="22">
        <v>14032453</v>
      </c>
      <c r="K274" s="23">
        <v>43888682</v>
      </c>
      <c r="L274" s="23">
        <v>40100000</v>
      </c>
      <c r="M274" s="24">
        <v>1.0944808478802992</v>
      </c>
      <c r="N274" s="25" t="str">
        <f>IFERROR(VLOOKUP(F274,Back!C:F,4,0),"NO")</f>
        <v>Si</v>
      </c>
      <c r="O274" s="26">
        <v>26</v>
      </c>
      <c r="P274" s="27" t="str">
        <f>IFERROR(VLOOKUP(F274,Back!C:E,3,0),"")</f>
        <v>IPS Pto De Vista Centro</v>
      </c>
      <c r="Q274" s="27" t="str">
        <f>IFERROR(VLOOKUP(P274,Back!M:N,2,0),"")</f>
        <v>Antioquia</v>
      </c>
      <c r="R274" s="27" t="str">
        <f>IF(N274="Si",IFERROR(VLOOKUP(F274,'TD Cumpl'!B:AB,27,0),"No Aplica"),"No Aplica")</f>
        <v>Siempre Cumple</v>
      </c>
      <c r="S274" s="38"/>
      <c r="T274" s="36"/>
      <c r="Y274" s="54">
        <f t="shared" si="9"/>
        <v>59617335</v>
      </c>
    </row>
    <row r="275" spans="1:25" x14ac:dyDescent="0.25">
      <c r="A275" s="20">
        <f>+VLOOKUP(D275,Back!Q:R,2,0)</f>
        <v>8</v>
      </c>
      <c r="B275" s="20" t="str">
        <f t="shared" si="8"/>
        <v>2016 AGO</v>
      </c>
      <c r="C275" s="20">
        <v>2016</v>
      </c>
      <c r="D275" s="21" t="s">
        <v>158</v>
      </c>
      <c r="E275" s="21" t="s">
        <v>59</v>
      </c>
      <c r="F275" s="21">
        <v>1030634664</v>
      </c>
      <c r="G275" s="21" t="s">
        <v>58</v>
      </c>
      <c r="H275" s="22">
        <v>58880589</v>
      </c>
      <c r="I275" s="22">
        <v>1311400</v>
      </c>
      <c r="J275" s="22">
        <v>16494000</v>
      </c>
      <c r="K275" s="23">
        <v>41075189</v>
      </c>
      <c r="L275" s="23">
        <v>40000000</v>
      </c>
      <c r="M275" s="24">
        <v>1.0268797249999999</v>
      </c>
      <c r="N275" s="25" t="str">
        <f>IFERROR(VLOOKUP(F275,Back!C:F,4,0),"NO")</f>
        <v>NO</v>
      </c>
      <c r="O275" s="26">
        <v>26</v>
      </c>
      <c r="P275" s="27" t="str">
        <f>IFERROR(VLOOKUP(F275,Back!C:E,3,0),"")</f>
        <v/>
      </c>
      <c r="Q275" s="27" t="str">
        <f>IFERROR(VLOOKUP(P275,Back!M:N,2,0),"")</f>
        <v/>
      </c>
      <c r="R275" s="27" t="str">
        <f>IF(N275="Si",IFERROR(VLOOKUP(F275,'TD Cumpl'!B:AB,27,0),"No Aplica"),"No Aplica")</f>
        <v>No Aplica</v>
      </c>
      <c r="S275" s="38"/>
      <c r="T275" s="36"/>
      <c r="Y275" s="54">
        <f t="shared" si="9"/>
        <v>58880589</v>
      </c>
    </row>
    <row r="276" spans="1:25" x14ac:dyDescent="0.25">
      <c r="A276" s="20">
        <f>+VLOOKUP(D276,Back!Q:R,2,0)</f>
        <v>8</v>
      </c>
      <c r="B276" s="20" t="str">
        <f t="shared" si="8"/>
        <v>2016 AGO</v>
      </c>
      <c r="C276" s="20">
        <v>2016</v>
      </c>
      <c r="D276" s="21" t="s">
        <v>158</v>
      </c>
      <c r="E276" s="21" t="s">
        <v>34</v>
      </c>
      <c r="F276" s="21">
        <v>43554403</v>
      </c>
      <c r="G276" s="21" t="s">
        <v>35</v>
      </c>
      <c r="H276" s="22">
        <v>52382059</v>
      </c>
      <c r="I276" s="22">
        <v>142700</v>
      </c>
      <c r="J276" s="22">
        <v>14882666</v>
      </c>
      <c r="K276" s="23">
        <v>37356693</v>
      </c>
      <c r="L276" s="23">
        <v>26153846.153846156</v>
      </c>
      <c r="M276" s="24">
        <v>1.428344144117647</v>
      </c>
      <c r="N276" s="25" t="str">
        <f>IFERROR(VLOOKUP(F276,Back!C:F,4,0),"NO")</f>
        <v>Si</v>
      </c>
      <c r="O276" s="26">
        <v>26</v>
      </c>
      <c r="P276" s="27" t="str">
        <f>IFERROR(VLOOKUP(F276,Back!C:E,3,0),"")</f>
        <v>IPS Pto De Vista Centro</v>
      </c>
      <c r="Q276" s="27" t="str">
        <f>IFERROR(VLOOKUP(P276,Back!M:N,2,0),"")</f>
        <v>Antioquia</v>
      </c>
      <c r="R276" s="27" t="str">
        <f>IF(N276="Si",IFERROR(VLOOKUP(F276,'TD Cumpl'!B:AB,27,0),"No Aplica"),"No Aplica")</f>
        <v>Siempre Cumple</v>
      </c>
      <c r="S276" s="38"/>
      <c r="T276" s="36"/>
      <c r="Y276" s="54">
        <f t="shared" si="9"/>
        <v>52382059</v>
      </c>
    </row>
    <row r="277" spans="1:25" x14ac:dyDescent="0.25">
      <c r="A277" s="20">
        <f>+VLOOKUP(D277,Back!Q:R,2,0)</f>
        <v>8</v>
      </c>
      <c r="B277" s="20" t="str">
        <f t="shared" si="8"/>
        <v>2016 AGO</v>
      </c>
      <c r="C277" s="20">
        <v>2016</v>
      </c>
      <c r="D277" s="21" t="s">
        <v>158</v>
      </c>
      <c r="E277" s="21" t="s">
        <v>1</v>
      </c>
      <c r="F277" s="21">
        <v>23857915</v>
      </c>
      <c r="G277" s="21" t="s">
        <v>116</v>
      </c>
      <c r="H277" s="22">
        <v>13828550</v>
      </c>
      <c r="I277" s="22">
        <v>376000</v>
      </c>
      <c r="J277" s="22">
        <v>2483700</v>
      </c>
      <c r="K277" s="23">
        <v>10968850</v>
      </c>
      <c r="L277" s="23">
        <v>26000000</v>
      </c>
      <c r="M277" s="24">
        <v>0.42187884615384613</v>
      </c>
      <c r="N277" s="25" t="str">
        <f>IFERROR(VLOOKUP(F277,Back!C:F,4,0),"NO")</f>
        <v>NO</v>
      </c>
      <c r="O277" s="26">
        <v>26</v>
      </c>
      <c r="P277" s="27" t="str">
        <f>IFERROR(VLOOKUP(F277,Back!C:E,3,0),"")</f>
        <v/>
      </c>
      <c r="Q277" s="27" t="str">
        <f>IFERROR(VLOOKUP(P277,Back!M:N,2,0),"")</f>
        <v/>
      </c>
      <c r="R277" s="27" t="str">
        <f>IF(N277="Si",IFERROR(VLOOKUP(F277,'TD Cumpl'!B:AB,27,0),"No Aplica"),"No Aplica")</f>
        <v>No Aplica</v>
      </c>
      <c r="S277" s="38"/>
      <c r="T277" s="36"/>
      <c r="Y277" s="54">
        <f t="shared" si="9"/>
        <v>13828550</v>
      </c>
    </row>
    <row r="278" spans="1:25" x14ac:dyDescent="0.25">
      <c r="A278" s="20">
        <f>+VLOOKUP(D278,Back!Q:R,2,0)</f>
        <v>8</v>
      </c>
      <c r="B278" s="20" t="str">
        <f t="shared" si="8"/>
        <v>2016 AGO</v>
      </c>
      <c r="C278" s="20">
        <v>2016</v>
      </c>
      <c r="D278" s="21" t="s">
        <v>158</v>
      </c>
      <c r="E278" s="21" t="s">
        <v>3</v>
      </c>
      <c r="F278" s="21">
        <v>52725011</v>
      </c>
      <c r="G278" s="21" t="s">
        <v>42</v>
      </c>
      <c r="H278" s="22">
        <v>29406125</v>
      </c>
      <c r="I278" s="22">
        <v>181600</v>
      </c>
      <c r="J278" s="22">
        <v>7468700</v>
      </c>
      <c r="K278" s="23">
        <v>21755825</v>
      </c>
      <c r="L278" s="23">
        <v>21000000</v>
      </c>
      <c r="M278" s="24">
        <v>1.0359916666666666</v>
      </c>
      <c r="N278" s="25" t="str">
        <f>IFERROR(VLOOKUP(F278,Back!C:F,4,0),"NO")</f>
        <v>Si</v>
      </c>
      <c r="O278" s="26">
        <v>26</v>
      </c>
      <c r="P278" s="27" t="str">
        <f>IFERROR(VLOOKUP(F278,Back!C:E,3,0),"")</f>
        <v>IPS Pto De Vista Olaya</v>
      </c>
      <c r="Q278" s="27" t="str">
        <f>IFERROR(VLOOKUP(P278,Back!M:N,2,0),"")</f>
        <v>Centro</v>
      </c>
      <c r="R278" s="27" t="str">
        <f>IF(N278="Si",IFERROR(VLOOKUP(F278,'TD Cumpl'!B:AB,27,0),"No Aplica"),"No Aplica")</f>
        <v>Fluctúa</v>
      </c>
      <c r="S278" s="38"/>
      <c r="T278" s="36"/>
      <c r="Y278" s="54">
        <f t="shared" si="9"/>
        <v>29406125</v>
      </c>
    </row>
    <row r="279" spans="1:25" x14ac:dyDescent="0.25">
      <c r="A279" s="20">
        <f>+VLOOKUP(D279,Back!Q:R,2,0)</f>
        <v>8</v>
      </c>
      <c r="B279" s="20" t="str">
        <f t="shared" si="8"/>
        <v>2016 AGO</v>
      </c>
      <c r="C279" s="20">
        <v>2016</v>
      </c>
      <c r="D279" s="21" t="s">
        <v>158</v>
      </c>
      <c r="E279" s="21" t="s">
        <v>25</v>
      </c>
      <c r="F279" s="21">
        <v>1040030764</v>
      </c>
      <c r="G279" s="21" t="s">
        <v>43</v>
      </c>
      <c r="H279" s="22">
        <v>44334949</v>
      </c>
      <c r="I279" s="22">
        <v>2536200</v>
      </c>
      <c r="J279" s="22">
        <v>8367128</v>
      </c>
      <c r="K279" s="23">
        <v>33431621</v>
      </c>
      <c r="L279" s="23">
        <v>30100000</v>
      </c>
      <c r="M279" s="24">
        <v>1.1106850830564785</v>
      </c>
      <c r="N279" s="25" t="str">
        <f>IFERROR(VLOOKUP(F279,Back!C:F,4,0),"NO")</f>
        <v>Si</v>
      </c>
      <c r="O279" s="26">
        <v>26</v>
      </c>
      <c r="P279" s="27" t="str">
        <f>IFERROR(VLOOKUP(F279,Back!C:E,3,0),"")</f>
        <v>IPS Pto De Vista Rionegro</v>
      </c>
      <c r="Q279" s="27" t="str">
        <f>IFERROR(VLOOKUP(P279,Back!M:N,2,0),"")</f>
        <v>Antioquia</v>
      </c>
      <c r="R279" s="27" t="str">
        <f>IF(N279="Si",IFERROR(VLOOKUP(F279,'TD Cumpl'!B:AB,27,0),"No Aplica"),"No Aplica")</f>
        <v>Cumple</v>
      </c>
      <c r="S279" s="38"/>
      <c r="T279" s="36"/>
      <c r="Y279" s="54">
        <f t="shared" si="9"/>
        <v>44334949</v>
      </c>
    </row>
    <row r="280" spans="1:25" x14ac:dyDescent="0.25">
      <c r="A280" s="20">
        <f>+VLOOKUP(D280,Back!Q:R,2,0)</f>
        <v>8</v>
      </c>
      <c r="B280" s="20" t="str">
        <f t="shared" si="8"/>
        <v>2016 AGO</v>
      </c>
      <c r="C280" s="20">
        <v>2016</v>
      </c>
      <c r="D280" s="21" t="s">
        <v>158</v>
      </c>
      <c r="E280" s="21" t="s">
        <v>33</v>
      </c>
      <c r="F280" s="21">
        <v>31307503</v>
      </c>
      <c r="G280" s="21" t="s">
        <v>36</v>
      </c>
      <c r="H280" s="22">
        <v>4886005</v>
      </c>
      <c r="I280" s="22">
        <v>0</v>
      </c>
      <c r="J280" s="22">
        <v>0</v>
      </c>
      <c r="K280" s="23">
        <v>4886005</v>
      </c>
      <c r="L280" s="23">
        <v>30100000</v>
      </c>
      <c r="M280" s="24">
        <v>0.16232574750830564</v>
      </c>
      <c r="N280" s="25" t="str">
        <f>IFERROR(VLOOKUP(F280,Back!C:F,4,0),"NO")</f>
        <v>NO</v>
      </c>
      <c r="O280" s="26">
        <v>26</v>
      </c>
      <c r="P280" s="27" t="str">
        <f>IFERROR(VLOOKUP(F280,Back!C:E,3,0),"")</f>
        <v/>
      </c>
      <c r="Q280" s="27" t="str">
        <f>IFERROR(VLOOKUP(P280,Back!M:N,2,0),"")</f>
        <v/>
      </c>
      <c r="R280" s="27" t="str">
        <f>IF(N280="Si",IFERROR(VLOOKUP(F280,'TD Cumpl'!B:AB,27,0),"No Aplica"),"No Aplica")</f>
        <v>No Aplica</v>
      </c>
      <c r="S280" s="38"/>
      <c r="T280" s="36"/>
      <c r="Y280" s="54">
        <f t="shared" si="9"/>
        <v>4886005</v>
      </c>
    </row>
    <row r="281" spans="1:25" x14ac:dyDescent="0.25">
      <c r="A281" s="20">
        <f>+VLOOKUP(D281,Back!Q:R,2,0)</f>
        <v>8</v>
      </c>
      <c r="B281" s="20" t="str">
        <f t="shared" si="8"/>
        <v>2016 AGO</v>
      </c>
      <c r="C281" s="20">
        <v>2016</v>
      </c>
      <c r="D281" s="21" t="s">
        <v>158</v>
      </c>
      <c r="E281" s="21" t="s">
        <v>22</v>
      </c>
      <c r="F281" s="21">
        <v>42164020</v>
      </c>
      <c r="G281" s="21" t="s">
        <v>105</v>
      </c>
      <c r="H281" s="22">
        <v>57274556</v>
      </c>
      <c r="I281" s="22">
        <v>1517500</v>
      </c>
      <c r="J281" s="22">
        <v>13370000</v>
      </c>
      <c r="K281" s="23">
        <v>42387056</v>
      </c>
      <c r="L281" s="23">
        <v>36000000</v>
      </c>
      <c r="M281" s="24">
        <v>1.1774182222222223</v>
      </c>
      <c r="N281" s="25" t="str">
        <f>IFERROR(VLOOKUP(F281,Back!C:F,4,0),"NO")</f>
        <v>Si</v>
      </c>
      <c r="O281" s="26">
        <v>26</v>
      </c>
      <c r="P281" s="27" t="str">
        <f>IFERROR(VLOOKUP(F281,Back!C:E,3,0),"")</f>
        <v>IPS Pto De Vista Molinos</v>
      </c>
      <c r="Q281" s="27" t="str">
        <f>IFERROR(VLOOKUP(P281,Back!M:N,2,0),"")</f>
        <v>Antioquia</v>
      </c>
      <c r="R281" s="27" t="str">
        <f>IF(N281="Si",IFERROR(VLOOKUP(F281,'TD Cumpl'!B:AB,27,0),"No Aplica"),"No Aplica")</f>
        <v>Siempre Cumple</v>
      </c>
      <c r="S281" s="38"/>
      <c r="T281" s="36"/>
      <c r="Y281" s="54">
        <f t="shared" si="9"/>
        <v>57274556</v>
      </c>
    </row>
    <row r="282" spans="1:25" x14ac:dyDescent="0.25">
      <c r="A282" s="20">
        <f>+VLOOKUP(D282,Back!Q:R,2,0)</f>
        <v>8</v>
      </c>
      <c r="B282" s="20" t="str">
        <f t="shared" si="8"/>
        <v>2016 AGO</v>
      </c>
      <c r="C282" s="20">
        <v>2016</v>
      </c>
      <c r="D282" s="21" t="s">
        <v>158</v>
      </c>
      <c r="E282" s="21" t="s">
        <v>21</v>
      </c>
      <c r="F282" s="21">
        <v>1035417626</v>
      </c>
      <c r="G282" s="21" t="s">
        <v>80</v>
      </c>
      <c r="H282" s="22">
        <v>71505277</v>
      </c>
      <c r="I282" s="22">
        <v>925400</v>
      </c>
      <c r="J282" s="22">
        <v>17678678</v>
      </c>
      <c r="K282" s="23">
        <v>52901199</v>
      </c>
      <c r="L282" s="23">
        <v>40000000</v>
      </c>
      <c r="M282" s="24">
        <v>1.3225299749999999</v>
      </c>
      <c r="N282" s="25" t="str">
        <f>IFERROR(VLOOKUP(F282,Back!C:F,4,0),"NO")</f>
        <v>Si</v>
      </c>
      <c r="O282" s="26">
        <v>26</v>
      </c>
      <c r="P282" s="27" t="str">
        <f>IFERROR(VLOOKUP(F282,Back!C:E,3,0),"")</f>
        <v>IPS Pto De Vista Unicentro</v>
      </c>
      <c r="Q282" s="27" t="str">
        <f>IFERROR(VLOOKUP(P282,Back!M:N,2,0),"")</f>
        <v>Antioquia</v>
      </c>
      <c r="R282" s="27" t="str">
        <f>IF(N282="Si",IFERROR(VLOOKUP(F282,'TD Cumpl'!B:AB,27,0),"No Aplica"),"No Aplica")</f>
        <v>Cumple</v>
      </c>
      <c r="S282" s="38"/>
      <c r="T282" s="36"/>
      <c r="Y282" s="54">
        <f t="shared" si="9"/>
        <v>71505277</v>
      </c>
    </row>
    <row r="283" spans="1:25" x14ac:dyDescent="0.25">
      <c r="A283" s="20">
        <f>+VLOOKUP(D283,Back!Q:R,2,0)</f>
        <v>8</v>
      </c>
      <c r="B283" s="20" t="str">
        <f t="shared" si="8"/>
        <v>2016 AGO</v>
      </c>
      <c r="C283" s="20">
        <v>2016</v>
      </c>
      <c r="D283" s="21" t="s">
        <v>158</v>
      </c>
      <c r="E283" s="21" t="s">
        <v>57</v>
      </c>
      <c r="F283" s="21">
        <v>43874518</v>
      </c>
      <c r="G283" s="21" t="s">
        <v>60</v>
      </c>
      <c r="H283" s="22">
        <v>54558107</v>
      </c>
      <c r="I283" s="22">
        <v>396000</v>
      </c>
      <c r="J283" s="22">
        <v>12808500</v>
      </c>
      <c r="K283" s="23">
        <v>41353607</v>
      </c>
      <c r="L283" s="23">
        <v>36000000</v>
      </c>
      <c r="M283" s="24">
        <v>1.1487113055555556</v>
      </c>
      <c r="N283" s="25" t="str">
        <f>IFERROR(VLOOKUP(F283,Back!C:F,4,0),"NO")</f>
        <v>Si</v>
      </c>
      <c r="O283" s="26">
        <v>26</v>
      </c>
      <c r="P283" s="27" t="str">
        <f>IFERROR(VLOOKUP(F283,Back!C:E,3,0),"")</f>
        <v>IPS Pto De Vista Punto Clave</v>
      </c>
      <c r="Q283" s="27" t="str">
        <f>IFERROR(VLOOKUP(P283,Back!M:N,2,0),"")</f>
        <v>Antioquia</v>
      </c>
      <c r="R283" s="27" t="str">
        <f>IF(N283="Si",IFERROR(VLOOKUP(F283,'TD Cumpl'!B:AB,27,0),"No Aplica"),"No Aplica")</f>
        <v>Fluctúa</v>
      </c>
      <c r="S283" s="38"/>
      <c r="T283" s="36"/>
      <c r="Y283" s="54">
        <f t="shared" si="9"/>
        <v>54558107</v>
      </c>
    </row>
    <row r="284" spans="1:25" x14ac:dyDescent="0.25">
      <c r="A284" s="20">
        <f>+VLOOKUP(D284,Back!Q:R,2,0)</f>
        <v>8</v>
      </c>
      <c r="B284" s="20" t="str">
        <f t="shared" si="8"/>
        <v>2016 AGO</v>
      </c>
      <c r="C284" s="20">
        <v>2016</v>
      </c>
      <c r="D284" s="21" t="s">
        <v>158</v>
      </c>
      <c r="E284" s="21" t="s">
        <v>2</v>
      </c>
      <c r="F284" s="21">
        <v>52260671</v>
      </c>
      <c r="G284" s="21" t="s">
        <v>26</v>
      </c>
      <c r="H284" s="22">
        <v>34471262</v>
      </c>
      <c r="I284" s="22">
        <v>1224000</v>
      </c>
      <c r="J284" s="22">
        <v>6235200</v>
      </c>
      <c r="K284" s="23">
        <v>27012062</v>
      </c>
      <c r="L284" s="23">
        <v>26000000</v>
      </c>
      <c r="M284" s="24">
        <v>1.0389254615384615</v>
      </c>
      <c r="N284" s="25" t="str">
        <f>IFERROR(VLOOKUP(F284,Back!C:F,4,0),"NO")</f>
        <v>Si</v>
      </c>
      <c r="O284" s="26">
        <v>26</v>
      </c>
      <c r="P284" s="27" t="str">
        <f>IFERROR(VLOOKUP(F284,Back!C:E,3,0),"")</f>
        <v>IPS Pto De Vista Santa Bárbara</v>
      </c>
      <c r="Q284" s="27" t="str">
        <f>IFERROR(VLOOKUP(P284,Back!M:N,2,0),"")</f>
        <v>Centro</v>
      </c>
      <c r="R284" s="27" t="str">
        <f>IF(N284="Si",IFERROR(VLOOKUP(F284,'TD Cumpl'!B:AB,27,0),"No Aplica"),"No Aplica")</f>
        <v>Siempre Cumple</v>
      </c>
      <c r="S284" s="38"/>
      <c r="T284" s="36"/>
      <c r="Y284" s="54">
        <f t="shared" si="9"/>
        <v>34471262</v>
      </c>
    </row>
    <row r="285" spans="1:25" x14ac:dyDescent="0.25">
      <c r="A285" s="20">
        <f>+VLOOKUP(D285,Back!Q:R,2,0)</f>
        <v>8</v>
      </c>
      <c r="B285" s="20" t="str">
        <f t="shared" si="8"/>
        <v>2016 AGO</v>
      </c>
      <c r="C285" s="20">
        <v>2016</v>
      </c>
      <c r="D285" s="21" t="s">
        <v>158</v>
      </c>
      <c r="E285" s="21" t="s">
        <v>37</v>
      </c>
      <c r="F285" s="21">
        <v>1036779770</v>
      </c>
      <c r="G285" s="21" t="s">
        <v>52</v>
      </c>
      <c r="H285" s="22">
        <v>14168114</v>
      </c>
      <c r="I285" s="22">
        <v>420000</v>
      </c>
      <c r="J285" s="22">
        <v>2159415</v>
      </c>
      <c r="K285" s="23">
        <v>11588699</v>
      </c>
      <c r="L285" s="23">
        <v>10419230.76923077</v>
      </c>
      <c r="M285" s="24">
        <v>1.1122413215208564</v>
      </c>
      <c r="N285" s="25" t="str">
        <f>IFERROR(VLOOKUP(F285,Back!C:F,4,0),"NO")</f>
        <v>No</v>
      </c>
      <c r="O285" s="26">
        <v>26</v>
      </c>
      <c r="P285" s="27" t="str">
        <f>IFERROR(VLOOKUP(F285,Back!C:E,3,0),"")</f>
        <v>IPS Pto De Vista Rionegro</v>
      </c>
      <c r="Q285" s="27" t="str">
        <f>IFERROR(VLOOKUP(P285,Back!M:N,2,0),"")</f>
        <v>Antioquia</v>
      </c>
      <c r="R285" s="27" t="str">
        <f>IF(N285="Si",IFERROR(VLOOKUP(F285,'TD Cumpl'!B:AB,27,0),"No Aplica"),"No Aplica")</f>
        <v>No Aplica</v>
      </c>
      <c r="S285" s="38"/>
      <c r="T285" s="36"/>
      <c r="Y285" s="54">
        <f t="shared" si="9"/>
        <v>14168114</v>
      </c>
    </row>
    <row r="286" spans="1:25" x14ac:dyDescent="0.25">
      <c r="A286" s="20">
        <f>+VLOOKUP(D286,Back!Q:R,2,0)</f>
        <v>8</v>
      </c>
      <c r="B286" s="20" t="str">
        <f t="shared" si="8"/>
        <v>2016 AGO</v>
      </c>
      <c r="C286" s="20">
        <v>2016</v>
      </c>
      <c r="D286" s="21" t="s">
        <v>158</v>
      </c>
      <c r="E286" s="21" t="s">
        <v>79</v>
      </c>
      <c r="F286" s="21">
        <v>1030611855</v>
      </c>
      <c r="G286" s="21" t="s">
        <v>73</v>
      </c>
      <c r="H286" s="22">
        <v>13259866</v>
      </c>
      <c r="I286" s="22">
        <v>923400</v>
      </c>
      <c r="J286" s="22">
        <v>2376900</v>
      </c>
      <c r="K286" s="23">
        <v>9959566</v>
      </c>
      <c r="L286" s="23">
        <v>20800000</v>
      </c>
      <c r="M286" s="24">
        <v>0.47882528846153843</v>
      </c>
      <c r="N286" s="25" t="str">
        <f>IFERROR(VLOOKUP(F286,Back!C:F,4,0),"NO")</f>
        <v>NO</v>
      </c>
      <c r="O286" s="26">
        <v>26</v>
      </c>
      <c r="P286" s="27" t="str">
        <f>IFERROR(VLOOKUP(F286,Back!C:E,3,0),"")</f>
        <v/>
      </c>
      <c r="Q286" s="27" t="str">
        <f>IFERROR(VLOOKUP(P286,Back!M:N,2,0),"")</f>
        <v/>
      </c>
      <c r="R286" s="27" t="str">
        <f>IF(N286="Si",IFERROR(VLOOKUP(F286,'TD Cumpl'!B:AB,27,0),"No Aplica"),"No Aplica")</f>
        <v>No Aplica</v>
      </c>
      <c r="S286" s="38"/>
      <c r="T286" s="36"/>
      <c r="Y286" s="54">
        <f t="shared" si="9"/>
        <v>13259866</v>
      </c>
    </row>
    <row r="287" spans="1:25" x14ac:dyDescent="0.25">
      <c r="A287" s="20">
        <f>+VLOOKUP(D287,Back!Q:R,2,0)</f>
        <v>8</v>
      </c>
      <c r="B287" s="20" t="str">
        <f t="shared" si="8"/>
        <v>2016 AGO</v>
      </c>
      <c r="C287" s="20">
        <v>2016</v>
      </c>
      <c r="D287" s="21" t="s">
        <v>158</v>
      </c>
      <c r="E287" s="21" t="s">
        <v>64</v>
      </c>
      <c r="F287" s="21">
        <v>1036598360</v>
      </c>
      <c r="G287" s="21" t="s">
        <v>146</v>
      </c>
      <c r="H287" s="22">
        <v>63454938</v>
      </c>
      <c r="I287" s="22">
        <v>550700</v>
      </c>
      <c r="J287" s="22">
        <v>11055000</v>
      </c>
      <c r="K287" s="23">
        <v>51849238</v>
      </c>
      <c r="L287" s="23">
        <v>40000000</v>
      </c>
      <c r="M287" s="24">
        <v>1.29623095</v>
      </c>
      <c r="N287" s="25" t="str">
        <f>IFERROR(VLOOKUP(F287,Back!C:F,4,0),"NO")</f>
        <v>Si</v>
      </c>
      <c r="O287" s="26">
        <v>26</v>
      </c>
      <c r="P287" s="27" t="str">
        <f>IFERROR(VLOOKUP(F287,Back!C:E,3,0),"")</f>
        <v>IPS Pto De Vista Punto Clave</v>
      </c>
      <c r="Q287" s="27" t="str">
        <f>IFERROR(VLOOKUP(P287,Back!M:N,2,0),"")</f>
        <v>Antioquia</v>
      </c>
      <c r="R287" s="27" t="str">
        <f>IF(N287="Si",IFERROR(VLOOKUP(F287,'TD Cumpl'!B:AB,27,0),"No Aplica"),"No Aplica")</f>
        <v>Fluctúa</v>
      </c>
      <c r="S287" s="38"/>
      <c r="T287" s="36"/>
      <c r="Y287" s="54">
        <f t="shared" si="9"/>
        <v>63454938</v>
      </c>
    </row>
    <row r="288" spans="1:25" x14ac:dyDescent="0.25">
      <c r="A288" s="20">
        <f>+VLOOKUP(D288,Back!Q:R,2,0)</f>
        <v>8</v>
      </c>
      <c r="B288" s="20" t="str">
        <f t="shared" si="8"/>
        <v>2016 AGO</v>
      </c>
      <c r="C288" s="20">
        <v>2016</v>
      </c>
      <c r="D288" s="21" t="s">
        <v>158</v>
      </c>
      <c r="E288" s="21" t="s">
        <v>20</v>
      </c>
      <c r="F288" s="21">
        <v>1017141451</v>
      </c>
      <c r="G288" s="21" t="s">
        <v>44</v>
      </c>
      <c r="H288" s="22">
        <v>68895653</v>
      </c>
      <c r="I288" s="22">
        <v>1854000</v>
      </c>
      <c r="J288" s="22">
        <v>17259400</v>
      </c>
      <c r="K288" s="23">
        <v>49782253</v>
      </c>
      <c r="L288" s="23">
        <v>36000000</v>
      </c>
      <c r="M288" s="24">
        <v>1.3828403611111111</v>
      </c>
      <c r="N288" s="25" t="str">
        <f>IFERROR(VLOOKUP(F288,Back!C:F,4,0),"NO")</f>
        <v>Si</v>
      </c>
      <c r="O288" s="26">
        <v>26</v>
      </c>
      <c r="P288" s="27" t="str">
        <f>IFERROR(VLOOKUP(F288,Back!C:E,3,0),"")</f>
        <v>IPS Pto De Vista Molinos</v>
      </c>
      <c r="Q288" s="27" t="str">
        <f>IFERROR(VLOOKUP(P288,Back!M:N,2,0),"")</f>
        <v>Antioquia</v>
      </c>
      <c r="R288" s="27" t="str">
        <f>IF(N288="Si",IFERROR(VLOOKUP(F288,'TD Cumpl'!B:AB,27,0),"No Aplica"),"No Aplica")</f>
        <v>Siempre Cumple</v>
      </c>
      <c r="S288" s="38"/>
      <c r="T288" s="36"/>
      <c r="Y288" s="54">
        <f t="shared" si="9"/>
        <v>68895653</v>
      </c>
    </row>
    <row r="289" spans="1:25" x14ac:dyDescent="0.25">
      <c r="A289" s="20">
        <f>+VLOOKUP(D289,Back!Q:R,2,0)</f>
        <v>8</v>
      </c>
      <c r="B289" s="20" t="str">
        <f t="shared" si="8"/>
        <v>2016 AGO</v>
      </c>
      <c r="C289" s="20">
        <v>2016</v>
      </c>
      <c r="D289" s="21" t="s">
        <v>158</v>
      </c>
      <c r="E289" s="21" t="s">
        <v>67</v>
      </c>
      <c r="F289" s="21">
        <v>43758991</v>
      </c>
      <c r="G289" s="21" t="s">
        <v>69</v>
      </c>
      <c r="H289" s="22">
        <v>38702624</v>
      </c>
      <c r="I289" s="22">
        <v>142700</v>
      </c>
      <c r="J289" s="22">
        <v>7748000</v>
      </c>
      <c r="K289" s="23">
        <v>30811924</v>
      </c>
      <c r="L289" s="23">
        <v>30100000</v>
      </c>
      <c r="M289" s="24">
        <v>1.0236519601328904</v>
      </c>
      <c r="N289" s="25" t="str">
        <f>IFERROR(VLOOKUP(F289,Back!C:F,4,0),"NO")</f>
        <v>NO</v>
      </c>
      <c r="O289" s="26">
        <v>26</v>
      </c>
      <c r="P289" s="27" t="str">
        <f>IFERROR(VLOOKUP(F289,Back!C:E,3,0),"")</f>
        <v/>
      </c>
      <c r="Q289" s="27" t="str">
        <f>IFERROR(VLOOKUP(P289,Back!M:N,2,0),"")</f>
        <v/>
      </c>
      <c r="R289" s="27" t="str">
        <f>IF(N289="Si",IFERROR(VLOOKUP(F289,'TD Cumpl'!B:AB,27,0),"No Aplica"),"No Aplica")</f>
        <v>No Aplica</v>
      </c>
      <c r="S289" s="38"/>
      <c r="T289" s="36"/>
      <c r="Y289" s="54">
        <f t="shared" si="9"/>
        <v>38702624</v>
      </c>
    </row>
    <row r="290" spans="1:25" x14ac:dyDescent="0.25">
      <c r="A290" s="20">
        <f>+VLOOKUP(D290,Back!Q:R,2,0)</f>
        <v>8</v>
      </c>
      <c r="B290" s="20" t="str">
        <f t="shared" si="8"/>
        <v>2016 AGO</v>
      </c>
      <c r="C290" s="20">
        <v>2016</v>
      </c>
      <c r="D290" s="21" t="s">
        <v>158</v>
      </c>
      <c r="E290" s="21" t="s">
        <v>38</v>
      </c>
      <c r="F290" s="21">
        <v>43745192</v>
      </c>
      <c r="G290" s="21" t="s">
        <v>45</v>
      </c>
      <c r="H290" s="22">
        <v>28551847</v>
      </c>
      <c r="I290" s="22">
        <v>0</v>
      </c>
      <c r="J290" s="22">
        <v>0</v>
      </c>
      <c r="K290" s="23">
        <v>28551847</v>
      </c>
      <c r="L290" s="23">
        <v>21000000</v>
      </c>
      <c r="M290" s="24">
        <v>1.3596117619047619</v>
      </c>
      <c r="N290" s="25" t="str">
        <f>IFERROR(VLOOKUP(F290,Back!C:F,4,0),"NO")</f>
        <v>Si</v>
      </c>
      <c r="O290" s="26">
        <v>26</v>
      </c>
      <c r="P290" s="27" t="str">
        <f>IFERROR(VLOOKUP(F290,Back!C:E,3,0),"")</f>
        <v>IPS Punto de Vista Mayorca</v>
      </c>
      <c r="Q290" s="27" t="str">
        <f>IFERROR(VLOOKUP(P290,Back!M:N,2,0),"")</f>
        <v>Antioquia</v>
      </c>
      <c r="R290" s="27" t="str">
        <f>IF(N290="Si",IFERROR(VLOOKUP(F290,'TD Cumpl'!B:AB,27,0),"No Aplica"),"No Aplica")</f>
        <v>Cumple</v>
      </c>
      <c r="S290" s="38"/>
      <c r="T290" s="36"/>
      <c r="Y290" s="54">
        <f t="shared" si="9"/>
        <v>28551847</v>
      </c>
    </row>
    <row r="291" spans="1:25" x14ac:dyDescent="0.25">
      <c r="A291" s="20">
        <f>+VLOOKUP(D291,Back!Q:R,2,0)</f>
        <v>8</v>
      </c>
      <c r="B291" s="20" t="str">
        <f t="shared" si="8"/>
        <v>2016 AGO</v>
      </c>
      <c r="C291" s="20">
        <v>2016</v>
      </c>
      <c r="D291" s="21" t="s">
        <v>158</v>
      </c>
      <c r="E291" s="21" t="s">
        <v>13</v>
      </c>
      <c r="F291" s="21">
        <v>43866877</v>
      </c>
      <c r="G291" s="21" t="s">
        <v>46</v>
      </c>
      <c r="H291" s="22">
        <v>57916567</v>
      </c>
      <c r="I291" s="22">
        <v>1824260</v>
      </c>
      <c r="J291" s="22">
        <v>14553700</v>
      </c>
      <c r="K291" s="23">
        <v>41538607</v>
      </c>
      <c r="L291" s="23">
        <v>40000000</v>
      </c>
      <c r="M291" s="24">
        <v>1.038465175</v>
      </c>
      <c r="N291" s="25" t="str">
        <f>IFERROR(VLOOKUP(F291,Back!C:F,4,0),"NO")</f>
        <v>Si</v>
      </c>
      <c r="O291" s="26">
        <v>26</v>
      </c>
      <c r="P291" s="27" t="str">
        <f>IFERROR(VLOOKUP(F291,Back!C:E,3,0),"")</f>
        <v>IPS Pto De Vista Centro</v>
      </c>
      <c r="Q291" s="27" t="str">
        <f>IFERROR(VLOOKUP(P291,Back!M:N,2,0),"")</f>
        <v>Antioquia</v>
      </c>
      <c r="R291" s="27" t="str">
        <f>IF(N291="Si",IFERROR(VLOOKUP(F291,'TD Cumpl'!B:AB,27,0),"No Aplica"),"No Aplica")</f>
        <v>Siempre Cumple</v>
      </c>
      <c r="S291" s="38"/>
      <c r="T291" s="36"/>
      <c r="Y291" s="54">
        <f t="shared" si="9"/>
        <v>57916567</v>
      </c>
    </row>
    <row r="292" spans="1:25" x14ac:dyDescent="0.25">
      <c r="A292" s="20">
        <f>+VLOOKUP(D292,Back!Q:R,2,0)</f>
        <v>8</v>
      </c>
      <c r="B292" s="20" t="str">
        <f t="shared" si="8"/>
        <v>2016 AGO</v>
      </c>
      <c r="C292" s="20">
        <v>2016</v>
      </c>
      <c r="D292" s="21" t="s">
        <v>158</v>
      </c>
      <c r="E292" s="21" t="s">
        <v>17</v>
      </c>
      <c r="F292" s="21">
        <v>43113640</v>
      </c>
      <c r="G292" s="21" t="s">
        <v>47</v>
      </c>
      <c r="H292" s="22">
        <v>37893733</v>
      </c>
      <c r="I292" s="22">
        <v>285400</v>
      </c>
      <c r="J292" s="22">
        <v>6795300</v>
      </c>
      <c r="K292" s="23">
        <v>30813033</v>
      </c>
      <c r="L292" s="23">
        <v>30100000</v>
      </c>
      <c r="M292" s="24">
        <v>1.0236888039867109</v>
      </c>
      <c r="N292" s="25" t="str">
        <f>IFERROR(VLOOKUP(F292,Back!C:F,4,0),"NO")</f>
        <v>Si</v>
      </c>
      <c r="O292" s="26">
        <v>26</v>
      </c>
      <c r="P292" s="27" t="str">
        <f>IFERROR(VLOOKUP(F292,Back!C:E,3,0),"")</f>
        <v>IPS Pto De Vista San Diego</v>
      </c>
      <c r="Q292" s="27" t="str">
        <f>IFERROR(VLOOKUP(P292,Back!M:N,2,0),"")</f>
        <v>Antioquia</v>
      </c>
      <c r="R292" s="27" t="str">
        <f>IF(N292="Si",IFERROR(VLOOKUP(F292,'TD Cumpl'!B:AB,27,0),"No Aplica"),"No Aplica")</f>
        <v>Cumple</v>
      </c>
      <c r="S292" s="38"/>
      <c r="T292" s="36"/>
      <c r="Y292" s="54">
        <f t="shared" si="9"/>
        <v>37893733</v>
      </c>
    </row>
    <row r="293" spans="1:25" x14ac:dyDescent="0.25">
      <c r="A293" s="20">
        <f>+VLOOKUP(D293,Back!Q:R,2,0)</f>
        <v>8</v>
      </c>
      <c r="B293" s="20" t="str">
        <f t="shared" si="8"/>
        <v>2016 AGO</v>
      </c>
      <c r="C293" s="20">
        <v>2016</v>
      </c>
      <c r="D293" s="21" t="s">
        <v>158</v>
      </c>
      <c r="E293" s="21" t="s">
        <v>24</v>
      </c>
      <c r="F293" s="21">
        <v>39448823</v>
      </c>
      <c r="G293" s="21" t="s">
        <v>48</v>
      </c>
      <c r="H293" s="22">
        <v>44236778</v>
      </c>
      <c r="I293" s="22">
        <v>1178700</v>
      </c>
      <c r="J293" s="22">
        <v>7151364</v>
      </c>
      <c r="K293" s="23">
        <v>35906714</v>
      </c>
      <c r="L293" s="23">
        <v>30100000</v>
      </c>
      <c r="M293" s="24">
        <v>1.1929140863787375</v>
      </c>
      <c r="N293" s="25" t="str">
        <f>IFERROR(VLOOKUP(F293,Back!C:F,4,0),"NO")</f>
        <v>Si</v>
      </c>
      <c r="O293" s="26">
        <v>26</v>
      </c>
      <c r="P293" s="27" t="str">
        <f>IFERROR(VLOOKUP(F293,Back!C:E,3,0),"")</f>
        <v>IPS Pto De Vista Rionegro</v>
      </c>
      <c r="Q293" s="27" t="str">
        <f>IFERROR(VLOOKUP(P293,Back!M:N,2,0),"")</f>
        <v>Antioquia</v>
      </c>
      <c r="R293" s="27" t="str">
        <f>IF(N293="Si",IFERROR(VLOOKUP(F293,'TD Cumpl'!B:AB,27,0),"No Aplica"),"No Aplica")</f>
        <v>Siempre Cumple</v>
      </c>
      <c r="S293" s="38"/>
      <c r="T293" s="36"/>
      <c r="Y293" s="54">
        <f t="shared" si="9"/>
        <v>44236778</v>
      </c>
    </row>
    <row r="294" spans="1:25" x14ac:dyDescent="0.25">
      <c r="A294" s="20">
        <f>+VLOOKUP(D294,Back!Q:R,2,0)</f>
        <v>8</v>
      </c>
      <c r="B294" s="20" t="str">
        <f t="shared" si="8"/>
        <v>2016 AGO</v>
      </c>
      <c r="C294" s="20">
        <v>2016</v>
      </c>
      <c r="D294" s="21" t="s">
        <v>158</v>
      </c>
      <c r="E294" s="21" t="s">
        <v>10</v>
      </c>
      <c r="F294" s="21">
        <v>43109744</v>
      </c>
      <c r="G294" s="21" t="s">
        <v>53</v>
      </c>
      <c r="H294" s="22">
        <v>57483458</v>
      </c>
      <c r="I294" s="22">
        <v>1564700</v>
      </c>
      <c r="J294" s="22">
        <v>12645400</v>
      </c>
      <c r="K294" s="23">
        <v>43273358</v>
      </c>
      <c r="L294" s="23">
        <v>40000000</v>
      </c>
      <c r="M294" s="24">
        <v>1.08183395</v>
      </c>
      <c r="N294" s="25" t="str">
        <f>IFERROR(VLOOKUP(F294,Back!C:F,4,0),"NO")</f>
        <v>NO</v>
      </c>
      <c r="O294" s="26">
        <v>26</v>
      </c>
      <c r="P294" s="27" t="str">
        <f>IFERROR(VLOOKUP(F294,Back!C:E,3,0),"")</f>
        <v/>
      </c>
      <c r="Q294" s="27" t="str">
        <f>IFERROR(VLOOKUP(P294,Back!M:N,2,0),"")</f>
        <v/>
      </c>
      <c r="R294" s="27" t="str">
        <f>IF(N294="Si",IFERROR(VLOOKUP(F294,'TD Cumpl'!B:AB,27,0),"No Aplica"),"No Aplica")</f>
        <v>No Aplica</v>
      </c>
      <c r="S294" s="38"/>
      <c r="T294" s="36"/>
      <c r="Y294" s="54">
        <f t="shared" si="9"/>
        <v>57483458</v>
      </c>
    </row>
    <row r="295" spans="1:25" x14ac:dyDescent="0.25">
      <c r="A295" s="20">
        <f>+VLOOKUP(D295,Back!Q:R,2,0)</f>
        <v>8</v>
      </c>
      <c r="B295" s="20" t="str">
        <f t="shared" si="8"/>
        <v>2016 AGO</v>
      </c>
      <c r="C295" s="20">
        <v>2016</v>
      </c>
      <c r="D295" s="21" t="s">
        <v>158</v>
      </c>
      <c r="E295" s="21" t="s">
        <v>16</v>
      </c>
      <c r="F295" s="21">
        <v>43599983</v>
      </c>
      <c r="G295" s="21" t="s">
        <v>478</v>
      </c>
      <c r="H295" s="22">
        <v>24718545</v>
      </c>
      <c r="I295" s="22">
        <v>396000</v>
      </c>
      <c r="J295" s="22">
        <v>6570900</v>
      </c>
      <c r="K295" s="23">
        <v>17751645</v>
      </c>
      <c r="L295" s="23">
        <v>20792307.692307692</v>
      </c>
      <c r="M295" s="24">
        <v>0.85376021087680354</v>
      </c>
      <c r="N295" s="25" t="str">
        <f>IFERROR(VLOOKUP(F295,Back!C:F,4,0),"NO")</f>
        <v>NO</v>
      </c>
      <c r="O295" s="26">
        <v>26</v>
      </c>
      <c r="P295" s="27" t="str">
        <f>IFERROR(VLOOKUP(F295,Back!C:E,3,0),"")</f>
        <v/>
      </c>
      <c r="Q295" s="27" t="str">
        <f>IFERROR(VLOOKUP(P295,Back!M:N,2,0),"")</f>
        <v/>
      </c>
      <c r="R295" s="27" t="str">
        <f>IF(N295="Si",IFERROR(VLOOKUP(F295,'TD Cumpl'!B:AB,27,0),"No Aplica"),"No Aplica")</f>
        <v>No Aplica</v>
      </c>
      <c r="S295" s="38"/>
      <c r="T295" s="36"/>
      <c r="Y295" s="54">
        <f t="shared" si="9"/>
        <v>24718545</v>
      </c>
    </row>
    <row r="296" spans="1:25" x14ac:dyDescent="0.25">
      <c r="A296" s="20">
        <f>+VLOOKUP(D296,Back!Q:R,2,0)</f>
        <v>8</v>
      </c>
      <c r="B296" s="20" t="str">
        <f t="shared" si="8"/>
        <v>2016 AGO</v>
      </c>
      <c r="C296" s="20">
        <v>2016</v>
      </c>
      <c r="D296" s="21" t="s">
        <v>158</v>
      </c>
      <c r="E296" s="21" t="s">
        <v>15</v>
      </c>
      <c r="F296" s="21">
        <v>42689970</v>
      </c>
      <c r="G296" s="21" t="s">
        <v>29</v>
      </c>
      <c r="H296" s="22">
        <v>71004799</v>
      </c>
      <c r="I296" s="22">
        <v>1984700</v>
      </c>
      <c r="J296" s="22">
        <v>15220300</v>
      </c>
      <c r="K296" s="23">
        <v>53799799</v>
      </c>
      <c r="L296" s="23">
        <v>40000000</v>
      </c>
      <c r="M296" s="24">
        <v>1.3449949750000001</v>
      </c>
      <c r="N296" s="25" t="str">
        <f>IFERROR(VLOOKUP(F296,Back!C:F,4,0),"NO")</f>
        <v>NO</v>
      </c>
      <c r="O296" s="26">
        <v>26</v>
      </c>
      <c r="P296" s="27" t="str">
        <f>IFERROR(VLOOKUP(F296,Back!C:E,3,0),"")</f>
        <v/>
      </c>
      <c r="Q296" s="27" t="str">
        <f>IFERROR(VLOOKUP(P296,Back!M:N,2,0),"")</f>
        <v/>
      </c>
      <c r="R296" s="27" t="str">
        <f>IF(N296="Si",IFERROR(VLOOKUP(F296,'TD Cumpl'!B:AB,27,0),"No Aplica"),"No Aplica")</f>
        <v>No Aplica</v>
      </c>
      <c r="S296" s="38"/>
      <c r="T296" s="36"/>
      <c r="Y296" s="54">
        <f t="shared" si="9"/>
        <v>71004799</v>
      </c>
    </row>
    <row r="297" spans="1:25" x14ac:dyDescent="0.25">
      <c r="A297" s="20">
        <f>+VLOOKUP(D297,Back!Q:R,2,0)</f>
        <v>8</v>
      </c>
      <c r="B297" s="20" t="str">
        <f t="shared" si="8"/>
        <v>2016 AGO</v>
      </c>
      <c r="C297" s="20">
        <v>2016</v>
      </c>
      <c r="D297" s="21" t="s">
        <v>158</v>
      </c>
      <c r="E297" s="21" t="s">
        <v>23</v>
      </c>
      <c r="F297" s="21">
        <v>43907427</v>
      </c>
      <c r="G297" s="21" t="s">
        <v>144</v>
      </c>
      <c r="H297" s="22">
        <v>44308115</v>
      </c>
      <c r="I297" s="22">
        <v>128430</v>
      </c>
      <c r="J297" s="22">
        <v>5473700</v>
      </c>
      <c r="K297" s="23">
        <v>38705985</v>
      </c>
      <c r="L297" s="23">
        <v>36000000</v>
      </c>
      <c r="M297" s="24">
        <v>1.0751662500000001</v>
      </c>
      <c r="N297" s="25" t="str">
        <f>IFERROR(VLOOKUP(F297,Back!C:F,4,0),"NO")</f>
        <v>Si</v>
      </c>
      <c r="O297" s="26">
        <v>26</v>
      </c>
      <c r="P297" s="27" t="str">
        <f>IFERROR(VLOOKUP(F297,Back!C:E,3,0),"")</f>
        <v>IPS Pto De Vista Industriales</v>
      </c>
      <c r="Q297" s="27" t="str">
        <f>IFERROR(VLOOKUP(P297,Back!M:N,2,0),"")</f>
        <v>Antioquia</v>
      </c>
      <c r="R297" s="27" t="str">
        <f>IF(N297="Si",IFERROR(VLOOKUP(F297,'TD Cumpl'!B:AB,27,0),"No Aplica"),"No Aplica")</f>
        <v>Siempre Cumple</v>
      </c>
      <c r="S297" s="38"/>
      <c r="T297" s="36"/>
      <c r="Y297" s="54">
        <f t="shared" si="9"/>
        <v>44308115</v>
      </c>
    </row>
    <row r="298" spans="1:25" x14ac:dyDescent="0.25">
      <c r="A298" s="20">
        <f>+VLOOKUP(D298,Back!Q:R,2,0)</f>
        <v>8</v>
      </c>
      <c r="B298" s="20" t="str">
        <f t="shared" si="8"/>
        <v>2016 AGO</v>
      </c>
      <c r="C298" s="20">
        <v>2016</v>
      </c>
      <c r="D298" s="21" t="s">
        <v>158</v>
      </c>
      <c r="E298" s="21" t="s">
        <v>12</v>
      </c>
      <c r="F298" s="21">
        <v>91511871</v>
      </c>
      <c r="G298" s="21" t="s">
        <v>49</v>
      </c>
      <c r="H298" s="22">
        <v>40739394</v>
      </c>
      <c r="I298" s="22">
        <v>2040130</v>
      </c>
      <c r="J298" s="22">
        <v>12795600</v>
      </c>
      <c r="K298" s="23">
        <v>25903664</v>
      </c>
      <c r="L298" s="23">
        <v>26000000</v>
      </c>
      <c r="M298" s="24">
        <v>0.99629476923076921</v>
      </c>
      <c r="N298" s="25" t="str">
        <f>IFERROR(VLOOKUP(F298,Back!C:F,4,0),"NO")</f>
        <v>NO</v>
      </c>
      <c r="O298" s="26">
        <v>26</v>
      </c>
      <c r="P298" s="27" t="str">
        <f>IFERROR(VLOOKUP(F298,Back!C:E,3,0),"")</f>
        <v/>
      </c>
      <c r="Q298" s="27" t="str">
        <f>IFERROR(VLOOKUP(P298,Back!M:N,2,0),"")</f>
        <v/>
      </c>
      <c r="R298" s="27" t="str">
        <f>IF(N298="Si",IFERROR(VLOOKUP(F298,'TD Cumpl'!B:AB,27,0),"No Aplica"),"No Aplica")</f>
        <v>No Aplica</v>
      </c>
      <c r="S298" s="38"/>
      <c r="T298" s="36"/>
      <c r="Y298" s="54">
        <f t="shared" si="9"/>
        <v>40739394</v>
      </c>
    </row>
    <row r="299" spans="1:25" x14ac:dyDescent="0.25">
      <c r="A299" s="20">
        <f>+VLOOKUP(D299,Back!Q:R,2,0)</f>
        <v>8</v>
      </c>
      <c r="B299" s="20" t="str">
        <f t="shared" si="8"/>
        <v>2016 AGO</v>
      </c>
      <c r="C299" s="20">
        <v>2016</v>
      </c>
      <c r="D299" s="21" t="s">
        <v>158</v>
      </c>
      <c r="E299" s="21" t="s">
        <v>62</v>
      </c>
      <c r="F299" s="21">
        <v>32256379</v>
      </c>
      <c r="G299" s="21" t="s">
        <v>61</v>
      </c>
      <c r="H299" s="22">
        <v>19225723</v>
      </c>
      <c r="I299" s="22">
        <v>0</v>
      </c>
      <c r="J299" s="22">
        <v>5967900</v>
      </c>
      <c r="K299" s="23">
        <v>13257823</v>
      </c>
      <c r="L299" s="23">
        <v>40100000</v>
      </c>
      <c r="M299" s="24">
        <v>0.33061902743142146</v>
      </c>
      <c r="N299" s="25" t="str">
        <f>IFERROR(VLOOKUP(F299,Back!C:F,4,0),"NO")</f>
        <v>Si</v>
      </c>
      <c r="O299" s="26">
        <v>26</v>
      </c>
      <c r="P299" s="27" t="str">
        <f>IFERROR(VLOOKUP(F299,Back!C:E,3,0),"")</f>
        <v>Ferias Empresariales Antioquia</v>
      </c>
      <c r="Q299" s="27" t="str">
        <f>IFERROR(VLOOKUP(P299,Back!M:N,2,0),"")</f>
        <v>Antioquia</v>
      </c>
      <c r="R299" s="27" t="str">
        <f>IF(N299="Si",IFERROR(VLOOKUP(F299,'TD Cumpl'!B:AB,27,0),"No Aplica"),"No Aplica")</f>
        <v>Fluctúa</v>
      </c>
      <c r="S299" s="38"/>
      <c r="T299" s="36"/>
      <c r="Y299" s="54">
        <f t="shared" si="9"/>
        <v>19225723</v>
      </c>
    </row>
    <row r="300" spans="1:25" x14ac:dyDescent="0.25">
      <c r="A300" s="20">
        <f>+VLOOKUP(D300,Back!Q:R,2,0)</f>
        <v>8</v>
      </c>
      <c r="B300" s="20" t="str">
        <f t="shared" si="8"/>
        <v>2016 AGO</v>
      </c>
      <c r="C300" s="20">
        <v>2016</v>
      </c>
      <c r="D300" s="21" t="s">
        <v>158</v>
      </c>
      <c r="E300" s="21" t="s">
        <v>4</v>
      </c>
      <c r="F300" s="21">
        <v>79701425</v>
      </c>
      <c r="G300" s="21" t="s">
        <v>27</v>
      </c>
      <c r="H300" s="22">
        <v>31696878</v>
      </c>
      <c r="I300" s="22">
        <v>420000</v>
      </c>
      <c r="J300" s="22">
        <v>7280300</v>
      </c>
      <c r="K300" s="23">
        <v>23996578</v>
      </c>
      <c r="L300" s="23">
        <v>21000000</v>
      </c>
      <c r="M300" s="24">
        <v>1.1426941904761905</v>
      </c>
      <c r="N300" s="25" t="str">
        <f>IFERROR(VLOOKUP(F300,Back!C:F,4,0),"NO")</f>
        <v>No</v>
      </c>
      <c r="O300" s="26">
        <v>26</v>
      </c>
      <c r="P300" s="27" t="str">
        <f>IFERROR(VLOOKUP(F300,Back!C:E,3,0),"")</f>
        <v>IPS Pto De Vista Olaya</v>
      </c>
      <c r="Q300" s="27" t="str">
        <f>IFERROR(VLOOKUP(P300,Back!M:N,2,0),"")</f>
        <v>Centro</v>
      </c>
      <c r="R300" s="27" t="str">
        <f>IF(N300="Si",IFERROR(VLOOKUP(F300,'TD Cumpl'!B:AB,27,0),"No Aplica"),"No Aplica")</f>
        <v>No Aplica</v>
      </c>
      <c r="S300" s="38"/>
      <c r="T300" s="36"/>
      <c r="Y300" s="54">
        <f t="shared" si="9"/>
        <v>31696878</v>
      </c>
    </row>
    <row r="301" spans="1:25" x14ac:dyDescent="0.25">
      <c r="A301" s="20">
        <f>+VLOOKUP(D301,Back!Q:R,2,0)</f>
        <v>8</v>
      </c>
      <c r="B301" s="20" t="str">
        <f t="shared" si="8"/>
        <v>2016 AGO</v>
      </c>
      <c r="C301" s="20">
        <v>2016</v>
      </c>
      <c r="D301" s="21" t="s">
        <v>158</v>
      </c>
      <c r="E301" s="21" t="s">
        <v>5</v>
      </c>
      <c r="F301" s="21">
        <v>34542470</v>
      </c>
      <c r="G301" s="21" t="s">
        <v>28</v>
      </c>
      <c r="H301" s="22">
        <v>31543160</v>
      </c>
      <c r="I301" s="22">
        <v>734400</v>
      </c>
      <c r="J301" s="22">
        <v>0</v>
      </c>
      <c r="K301" s="23">
        <v>30808760</v>
      </c>
      <c r="L301" s="23">
        <v>21000000</v>
      </c>
      <c r="M301" s="24">
        <v>1.4670838095238095</v>
      </c>
      <c r="N301" s="25" t="str">
        <f>IFERROR(VLOOKUP(F301,Back!C:F,4,0),"NO")</f>
        <v>Si</v>
      </c>
      <c r="O301" s="26">
        <v>26</v>
      </c>
      <c r="P301" s="27" t="str">
        <f>IFERROR(VLOOKUP(F301,Back!C:E,3,0),"")</f>
        <v>Optica Salud Sura Chipichape</v>
      </c>
      <c r="Q301" s="27" t="str">
        <f>IFERROR(VLOOKUP(P301,Back!M:N,2,0),"")</f>
        <v>Occidente</v>
      </c>
      <c r="R301" s="27" t="str">
        <f>IF(N301="Si",IFERROR(VLOOKUP(F301,'TD Cumpl'!B:AB,27,0),"No Aplica"),"No Aplica")</f>
        <v>Siempre Cumple</v>
      </c>
      <c r="S301" s="38"/>
      <c r="T301" s="36"/>
      <c r="Y301" s="54">
        <f t="shared" si="9"/>
        <v>31543160</v>
      </c>
    </row>
    <row r="302" spans="1:25" x14ac:dyDescent="0.25">
      <c r="A302" s="20">
        <f>+VLOOKUP(D302,Back!Q:R,2,0)</f>
        <v>8</v>
      </c>
      <c r="B302" s="20" t="str">
        <f t="shared" si="8"/>
        <v>2016 AGO</v>
      </c>
      <c r="C302" s="20">
        <v>2016</v>
      </c>
      <c r="D302" s="21" t="s">
        <v>158</v>
      </c>
      <c r="E302" s="21" t="s">
        <v>72</v>
      </c>
      <c r="F302" s="21">
        <v>43636530</v>
      </c>
      <c r="G302" s="21" t="s">
        <v>483</v>
      </c>
      <c r="H302" s="22">
        <v>32923694</v>
      </c>
      <c r="I302" s="22">
        <v>1284100</v>
      </c>
      <c r="J302" s="22">
        <v>10098400</v>
      </c>
      <c r="K302" s="23">
        <v>21541194</v>
      </c>
      <c r="L302" s="23">
        <v>40000000</v>
      </c>
      <c r="M302" s="24">
        <v>0.53852984999999998</v>
      </c>
      <c r="N302" s="25" t="str">
        <f>IFERROR(VLOOKUP(F302,Back!C:F,4,0),"NO")</f>
        <v>NO</v>
      </c>
      <c r="O302" s="26">
        <v>26</v>
      </c>
      <c r="P302" s="27" t="str">
        <f>IFERROR(VLOOKUP(F302,Back!C:E,3,0),"")</f>
        <v/>
      </c>
      <c r="Q302" s="27" t="str">
        <f>IFERROR(VLOOKUP(P302,Back!M:N,2,0),"")</f>
        <v/>
      </c>
      <c r="R302" s="27" t="str">
        <f>IF(N302="Si",IFERROR(VLOOKUP(F302,'TD Cumpl'!B:AB,27,0),"No Aplica"),"No Aplica")</f>
        <v>No Aplica</v>
      </c>
      <c r="S302" s="38"/>
      <c r="T302" s="36"/>
      <c r="Y302" s="54">
        <f t="shared" si="9"/>
        <v>32923694</v>
      </c>
    </row>
    <row r="303" spans="1:25" x14ac:dyDescent="0.25">
      <c r="A303" s="20">
        <f>+VLOOKUP(D303,Back!Q:R,2,0)</f>
        <v>8</v>
      </c>
      <c r="B303" s="20" t="str">
        <f t="shared" si="8"/>
        <v>2016 AGO</v>
      </c>
      <c r="C303" s="20">
        <v>2016</v>
      </c>
      <c r="D303" s="21" t="s">
        <v>158</v>
      </c>
      <c r="E303" s="21" t="s">
        <v>7</v>
      </c>
      <c r="F303" s="21">
        <v>43745952</v>
      </c>
      <c r="G303" s="21" t="s">
        <v>50</v>
      </c>
      <c r="H303" s="22">
        <v>69576638</v>
      </c>
      <c r="I303" s="22">
        <v>760700</v>
      </c>
      <c r="J303" s="22">
        <v>12568500</v>
      </c>
      <c r="K303" s="23">
        <v>56247438</v>
      </c>
      <c r="L303" s="23">
        <v>40100000</v>
      </c>
      <c r="M303" s="24">
        <v>1.4026792518703242</v>
      </c>
      <c r="N303" s="25" t="str">
        <f>IFERROR(VLOOKUP(F303,Back!C:F,4,0),"NO")</f>
        <v>Si</v>
      </c>
      <c r="O303" s="26">
        <v>26</v>
      </c>
      <c r="P303" s="27" t="str">
        <f>IFERROR(VLOOKUP(F303,Back!C:E,3,0),"")</f>
        <v>IPS Pto De Vista Unicentro</v>
      </c>
      <c r="Q303" s="27" t="str">
        <f>IFERROR(VLOOKUP(P303,Back!M:N,2,0),"")</f>
        <v>Antioquia</v>
      </c>
      <c r="R303" s="27" t="str">
        <f>IF(N303="Si",IFERROR(VLOOKUP(F303,'TD Cumpl'!B:AB,27,0),"No Aplica"),"No Aplica")</f>
        <v>Siempre Cumple</v>
      </c>
      <c r="S303" s="38"/>
      <c r="T303" s="36"/>
      <c r="Y303" s="54">
        <f t="shared" si="9"/>
        <v>69576638</v>
      </c>
    </row>
    <row r="304" spans="1:25" x14ac:dyDescent="0.25">
      <c r="A304" s="20">
        <f>+VLOOKUP(D304,Back!Q:R,2,0)</f>
        <v>8</v>
      </c>
      <c r="B304" s="20" t="str">
        <f t="shared" si="8"/>
        <v>2016 AGO</v>
      </c>
      <c r="C304" s="20">
        <v>2016</v>
      </c>
      <c r="D304" s="21" t="s">
        <v>158</v>
      </c>
      <c r="E304" s="21" t="s">
        <v>8</v>
      </c>
      <c r="F304" s="21">
        <v>43259130</v>
      </c>
      <c r="G304" s="21" t="s">
        <v>51</v>
      </c>
      <c r="H304" s="22">
        <v>45688559</v>
      </c>
      <c r="I304" s="22">
        <v>1923900</v>
      </c>
      <c r="J304" s="22">
        <v>13247300</v>
      </c>
      <c r="K304" s="23">
        <v>30517359</v>
      </c>
      <c r="L304" s="23">
        <v>40000000</v>
      </c>
      <c r="M304" s="24">
        <v>0.76293397500000004</v>
      </c>
      <c r="N304" s="25" t="str">
        <f>IFERROR(VLOOKUP(F304,Back!C:F,4,0),"NO")</f>
        <v>Si</v>
      </c>
      <c r="O304" s="26">
        <v>26</v>
      </c>
      <c r="P304" s="27" t="str">
        <f>IFERROR(VLOOKUP(F304,Back!C:E,3,0),"")</f>
        <v>IPS Pto De Vista Molinos</v>
      </c>
      <c r="Q304" s="27" t="str">
        <f>IFERROR(VLOOKUP(P304,Back!M:N,2,0),"")</f>
        <v>Antioquia</v>
      </c>
      <c r="R304" s="27" t="str">
        <f>IF(N304="Si",IFERROR(VLOOKUP(F304,'TD Cumpl'!B:AB,27,0),"No Aplica"),"No Aplica")</f>
        <v>Fluctúa</v>
      </c>
      <c r="S304" s="38"/>
      <c r="T304" s="36"/>
      <c r="Y304" s="54">
        <f t="shared" si="9"/>
        <v>45688559</v>
      </c>
    </row>
    <row r="305" spans="1:25" x14ac:dyDescent="0.25">
      <c r="A305" s="20">
        <f>+VLOOKUP(D305,Back!Q:R,2,0)</f>
        <v>9</v>
      </c>
      <c r="B305" s="20" t="str">
        <f t="shared" si="8"/>
        <v>2016 SEP</v>
      </c>
      <c r="C305" s="20">
        <v>2016</v>
      </c>
      <c r="D305" s="21" t="s">
        <v>165</v>
      </c>
      <c r="E305" s="21" t="s">
        <v>9</v>
      </c>
      <c r="F305" s="21">
        <v>43169964</v>
      </c>
      <c r="G305" s="21" t="s">
        <v>155</v>
      </c>
      <c r="H305" s="22">
        <v>36814792</v>
      </c>
      <c r="I305" s="22">
        <v>1133400</v>
      </c>
      <c r="J305" s="22">
        <v>9057800</v>
      </c>
      <c r="K305" s="23">
        <v>26623592</v>
      </c>
      <c r="L305" s="23">
        <v>26000000</v>
      </c>
      <c r="M305" s="24">
        <v>1.0239843076923076</v>
      </c>
      <c r="N305" s="25" t="str">
        <f>IFERROR(VLOOKUP(F305,Back!C:F,4,0),"NO")</f>
        <v>Si</v>
      </c>
      <c r="O305" s="26">
        <v>26</v>
      </c>
      <c r="P305" s="27" t="str">
        <f>IFERROR(VLOOKUP(F305,Back!C:E,3,0),"")</f>
        <v>IPS Pto De Vista Molinos</v>
      </c>
      <c r="Q305" s="27" t="str">
        <f>IFERROR(VLOOKUP(P305,Back!M:N,2,0),"")</f>
        <v>Antioquia</v>
      </c>
      <c r="R305" s="27" t="str">
        <f>IF(N305="Si",IFERROR(VLOOKUP(F305,'TD Cumpl'!B:AB,27,0),"No Aplica"),"No Aplica")</f>
        <v>Cumple</v>
      </c>
      <c r="S305" s="38"/>
      <c r="T305" s="36"/>
      <c r="Y305" s="54">
        <f t="shared" si="9"/>
        <v>36814792</v>
      </c>
    </row>
    <row r="306" spans="1:25" x14ac:dyDescent="0.25">
      <c r="A306" s="20">
        <f>+VLOOKUP(D306,Back!Q:R,2,0)</f>
        <v>9</v>
      </c>
      <c r="B306" s="20" t="str">
        <f t="shared" si="8"/>
        <v>2016 SEP</v>
      </c>
      <c r="C306" s="20">
        <v>2016</v>
      </c>
      <c r="D306" s="21" t="s">
        <v>165</v>
      </c>
      <c r="E306" s="21" t="s">
        <v>11</v>
      </c>
      <c r="F306" s="21">
        <v>43253531</v>
      </c>
      <c r="G306" s="21" t="s">
        <v>39</v>
      </c>
      <c r="H306" s="22">
        <v>50653408</v>
      </c>
      <c r="I306" s="22">
        <v>396000</v>
      </c>
      <c r="J306" s="22">
        <v>9107500</v>
      </c>
      <c r="K306" s="23">
        <v>41149908</v>
      </c>
      <c r="L306" s="23">
        <v>40000000</v>
      </c>
      <c r="M306" s="24">
        <v>1.0287477</v>
      </c>
      <c r="N306" s="25" t="str">
        <f>IFERROR(VLOOKUP(F306,Back!C:F,4,0),"NO")</f>
        <v>Si</v>
      </c>
      <c r="O306" s="26">
        <v>26</v>
      </c>
      <c r="P306" s="27" t="str">
        <f>IFERROR(VLOOKUP(F306,Back!C:E,3,0),"")</f>
        <v>IPS Punto de Vista Bello</v>
      </c>
      <c r="Q306" s="27" t="str">
        <f>IFERROR(VLOOKUP(P306,Back!M:N,2,0),"")</f>
        <v>Antioquia</v>
      </c>
      <c r="R306" s="27" t="str">
        <f>IF(N306="Si",IFERROR(VLOOKUP(F306,'TD Cumpl'!B:AB,27,0),"No Aplica"),"No Aplica")</f>
        <v>Cumple</v>
      </c>
      <c r="S306" s="38"/>
      <c r="T306" s="36"/>
      <c r="Y306" s="54">
        <f t="shared" si="9"/>
        <v>50653408</v>
      </c>
    </row>
    <row r="307" spans="1:25" x14ac:dyDescent="0.25">
      <c r="A307" s="20">
        <f>+VLOOKUP(D307,Back!Q:R,2,0)</f>
        <v>9</v>
      </c>
      <c r="B307" s="20" t="str">
        <f t="shared" si="8"/>
        <v>2016 SEP</v>
      </c>
      <c r="C307" s="20">
        <v>2016</v>
      </c>
      <c r="D307" s="21" t="s">
        <v>165</v>
      </c>
      <c r="E307" s="21" t="s">
        <v>66</v>
      </c>
      <c r="F307" s="21">
        <v>3438422</v>
      </c>
      <c r="G307" s="21" t="s">
        <v>71</v>
      </c>
      <c r="H307" s="22">
        <v>37311624</v>
      </c>
      <c r="I307" s="22">
        <v>816000</v>
      </c>
      <c r="J307" s="22">
        <v>6235000</v>
      </c>
      <c r="K307" s="23">
        <v>30260624</v>
      </c>
      <c r="L307" s="23">
        <v>30100000</v>
      </c>
      <c r="M307" s="24">
        <v>1.0053363455149502</v>
      </c>
      <c r="N307" s="25" t="str">
        <f>IFERROR(VLOOKUP(F307,Back!C:F,4,0),"NO")</f>
        <v>Si</v>
      </c>
      <c r="O307" s="26">
        <v>26</v>
      </c>
      <c r="P307" s="27" t="str">
        <f>IFERROR(VLOOKUP(F307,Back!C:E,3,0),"")</f>
        <v>IPS Pto De Vista Punto Clave</v>
      </c>
      <c r="Q307" s="27" t="str">
        <f>IFERROR(VLOOKUP(P307,Back!M:N,2,0),"")</f>
        <v>Antioquia</v>
      </c>
      <c r="R307" s="27" t="str">
        <f>IF(N307="Si",IFERROR(VLOOKUP(F307,'TD Cumpl'!B:AB,27,0),"No Aplica"),"No Aplica")</f>
        <v>Fluctúa</v>
      </c>
      <c r="S307" s="38"/>
      <c r="T307" s="36"/>
      <c r="Y307" s="54">
        <f t="shared" si="9"/>
        <v>37311624</v>
      </c>
    </row>
    <row r="308" spans="1:25" x14ac:dyDescent="0.25">
      <c r="A308" s="20">
        <f>+VLOOKUP(D308,Back!Q:R,2,0)</f>
        <v>9</v>
      </c>
      <c r="B308" s="20" t="str">
        <f t="shared" si="8"/>
        <v>2016 SEP</v>
      </c>
      <c r="C308" s="20">
        <v>2016</v>
      </c>
      <c r="D308" s="21" t="s">
        <v>165</v>
      </c>
      <c r="E308" s="21" t="s">
        <v>6</v>
      </c>
      <c r="F308" s="21">
        <v>43821410</v>
      </c>
      <c r="G308" s="21" t="s">
        <v>40</v>
      </c>
      <c r="H308" s="22">
        <v>75326919</v>
      </c>
      <c r="I308" s="22">
        <v>1478100</v>
      </c>
      <c r="J308" s="22">
        <v>11865400</v>
      </c>
      <c r="K308" s="23">
        <v>61983419</v>
      </c>
      <c r="L308" s="23">
        <v>40100000</v>
      </c>
      <c r="M308" s="24">
        <v>1.5457211720698254</v>
      </c>
      <c r="N308" s="25" t="str">
        <f>IFERROR(VLOOKUP(F308,Back!C:F,4,0),"NO")</f>
        <v>Si</v>
      </c>
      <c r="O308" s="26">
        <v>26</v>
      </c>
      <c r="P308" s="27" t="str">
        <f>IFERROR(VLOOKUP(F308,Back!C:E,3,0),"")</f>
        <v>IPS Pto De Vista Unicentro</v>
      </c>
      <c r="Q308" s="27" t="str">
        <f>IFERROR(VLOOKUP(P308,Back!M:N,2,0),"")</f>
        <v>Antioquia</v>
      </c>
      <c r="R308" s="27" t="str">
        <f>IF(N308="Si",IFERROR(VLOOKUP(F308,'TD Cumpl'!B:AB,27,0),"No Aplica"),"No Aplica")</f>
        <v>Siempre Cumple</v>
      </c>
      <c r="S308" s="38"/>
      <c r="T308" s="36"/>
      <c r="Y308" s="54">
        <f t="shared" si="9"/>
        <v>75326919</v>
      </c>
    </row>
    <row r="309" spans="1:25" x14ac:dyDescent="0.25">
      <c r="A309" s="20">
        <f>+VLOOKUP(D309,Back!Q:R,2,0)</f>
        <v>9</v>
      </c>
      <c r="B309" s="20" t="str">
        <f t="shared" si="8"/>
        <v>2016 SEP</v>
      </c>
      <c r="C309" s="20">
        <v>2016</v>
      </c>
      <c r="D309" s="21" t="s">
        <v>165</v>
      </c>
      <c r="E309" s="21" t="s">
        <v>18</v>
      </c>
      <c r="F309" s="21">
        <v>39442617</v>
      </c>
      <c r="G309" s="21" t="s">
        <v>41</v>
      </c>
      <c r="H309" s="22">
        <v>61511276</v>
      </c>
      <c r="I309" s="22">
        <v>705400</v>
      </c>
      <c r="J309" s="22">
        <v>13166400</v>
      </c>
      <c r="K309" s="23">
        <v>47639476</v>
      </c>
      <c r="L309" s="23">
        <v>40000000</v>
      </c>
      <c r="M309" s="24">
        <v>1.1909869</v>
      </c>
      <c r="N309" s="25" t="str">
        <f>IFERROR(VLOOKUP(F309,Back!C:F,4,0),"NO")</f>
        <v>Si</v>
      </c>
      <c r="O309" s="26">
        <v>26</v>
      </c>
      <c r="P309" s="27" t="str">
        <f>IFERROR(VLOOKUP(F309,Back!C:E,3,0),"")</f>
        <v>IPS Pto De Vista San Diego</v>
      </c>
      <c r="Q309" s="27" t="str">
        <f>IFERROR(VLOOKUP(P309,Back!M:N,2,0),"")</f>
        <v>Antioquia</v>
      </c>
      <c r="R309" s="27" t="str">
        <f>IF(N309="Si",IFERROR(VLOOKUP(F309,'TD Cumpl'!B:AB,27,0),"No Aplica"),"No Aplica")</f>
        <v>Cumple</v>
      </c>
      <c r="S309" s="38"/>
      <c r="T309" s="36"/>
      <c r="Y309" s="54">
        <f t="shared" si="9"/>
        <v>61511276</v>
      </c>
    </row>
    <row r="310" spans="1:25" x14ac:dyDescent="0.25">
      <c r="A310" s="20">
        <f>+VLOOKUP(D310,Back!Q:R,2,0)</f>
        <v>9</v>
      </c>
      <c r="B310" s="20" t="str">
        <f t="shared" si="8"/>
        <v>2016 SEP</v>
      </c>
      <c r="C310" s="20">
        <v>2016</v>
      </c>
      <c r="D310" s="21" t="s">
        <v>165</v>
      </c>
      <c r="E310" s="21" t="s">
        <v>56</v>
      </c>
      <c r="F310" s="21">
        <v>43971430</v>
      </c>
      <c r="G310" s="21" t="s">
        <v>142</v>
      </c>
      <c r="H310" s="22">
        <v>62637226</v>
      </c>
      <c r="I310" s="22">
        <v>2426700</v>
      </c>
      <c r="J310" s="22">
        <v>11342500</v>
      </c>
      <c r="K310" s="23">
        <v>48868026</v>
      </c>
      <c r="L310" s="23">
        <v>40100000</v>
      </c>
      <c r="M310" s="24">
        <v>1.2186540149625935</v>
      </c>
      <c r="N310" s="25" t="str">
        <f>IFERROR(VLOOKUP(F310,Back!C:F,4,0),"NO")</f>
        <v>Si</v>
      </c>
      <c r="O310" s="26">
        <v>26</v>
      </c>
      <c r="P310" s="27" t="str">
        <f>IFERROR(VLOOKUP(F310,Back!C:E,3,0),"")</f>
        <v>IPS Pto De Vista Centro</v>
      </c>
      <c r="Q310" s="27" t="str">
        <f>IFERROR(VLOOKUP(P310,Back!M:N,2,0),"")</f>
        <v>Antioquia</v>
      </c>
      <c r="R310" s="27" t="str">
        <f>IF(N310="Si",IFERROR(VLOOKUP(F310,'TD Cumpl'!B:AB,27,0),"No Aplica"),"No Aplica")</f>
        <v>Siempre Cumple</v>
      </c>
      <c r="S310" s="38"/>
      <c r="T310" s="36"/>
      <c r="Y310" s="54">
        <f t="shared" si="9"/>
        <v>62637226</v>
      </c>
    </row>
    <row r="311" spans="1:25" x14ac:dyDescent="0.25">
      <c r="A311" s="20">
        <f>+VLOOKUP(D311,Back!Q:R,2,0)</f>
        <v>9</v>
      </c>
      <c r="B311" s="20" t="str">
        <f t="shared" si="8"/>
        <v>2016 SEP</v>
      </c>
      <c r="C311" s="20">
        <v>2016</v>
      </c>
      <c r="D311" s="21" t="s">
        <v>165</v>
      </c>
      <c r="E311" s="21" t="s">
        <v>59</v>
      </c>
      <c r="F311" s="21">
        <v>1030634664</v>
      </c>
      <c r="G311" s="21" t="s">
        <v>58</v>
      </c>
      <c r="H311" s="22">
        <v>53933698</v>
      </c>
      <c r="I311" s="22">
        <v>729700</v>
      </c>
      <c r="J311" s="22">
        <v>11860600</v>
      </c>
      <c r="K311" s="23">
        <v>41343398</v>
      </c>
      <c r="L311" s="23">
        <v>40000000</v>
      </c>
      <c r="M311" s="24">
        <v>1.0335849500000001</v>
      </c>
      <c r="N311" s="25" t="str">
        <f>IFERROR(VLOOKUP(F311,Back!C:F,4,0),"NO")</f>
        <v>NO</v>
      </c>
      <c r="O311" s="26">
        <v>26</v>
      </c>
      <c r="P311" s="27" t="str">
        <f>IFERROR(VLOOKUP(F311,Back!C:E,3,0),"")</f>
        <v/>
      </c>
      <c r="Q311" s="27" t="str">
        <f>IFERROR(VLOOKUP(P311,Back!M:N,2,0),"")</f>
        <v/>
      </c>
      <c r="R311" s="27" t="str">
        <f>IF(N311="Si",IFERROR(VLOOKUP(F311,'TD Cumpl'!B:AB,27,0),"No Aplica"),"No Aplica")</f>
        <v>No Aplica</v>
      </c>
      <c r="S311" s="38"/>
      <c r="T311" s="36"/>
      <c r="Y311" s="54">
        <f t="shared" si="9"/>
        <v>53933698</v>
      </c>
    </row>
    <row r="312" spans="1:25" x14ac:dyDescent="0.25">
      <c r="A312" s="20">
        <f>+VLOOKUP(D312,Back!Q:R,2,0)</f>
        <v>9</v>
      </c>
      <c r="B312" s="20" t="str">
        <f t="shared" si="8"/>
        <v>2016 SEP</v>
      </c>
      <c r="C312" s="20">
        <v>2016</v>
      </c>
      <c r="D312" s="21" t="s">
        <v>165</v>
      </c>
      <c r="E312" s="21" t="s">
        <v>34</v>
      </c>
      <c r="F312" s="21">
        <v>43554403</v>
      </c>
      <c r="G312" s="21" t="s">
        <v>35</v>
      </c>
      <c r="H312" s="22">
        <v>33642102</v>
      </c>
      <c r="I312" s="22">
        <v>396000</v>
      </c>
      <c r="J312" s="22">
        <v>3405000</v>
      </c>
      <c r="K312" s="23">
        <v>29841102</v>
      </c>
      <c r="L312" s="23">
        <v>27692307.692307692</v>
      </c>
      <c r="M312" s="24">
        <v>1.07759535</v>
      </c>
      <c r="N312" s="25" t="str">
        <f>IFERROR(VLOOKUP(F312,Back!C:F,4,0),"NO")</f>
        <v>Si</v>
      </c>
      <c r="O312" s="26">
        <v>26</v>
      </c>
      <c r="P312" s="27" t="str">
        <f>IFERROR(VLOOKUP(F312,Back!C:E,3,0),"")</f>
        <v>IPS Pto De Vista Centro</v>
      </c>
      <c r="Q312" s="27" t="str">
        <f>IFERROR(VLOOKUP(P312,Back!M:N,2,0),"")</f>
        <v>Antioquia</v>
      </c>
      <c r="R312" s="27" t="str">
        <f>IF(N312="Si",IFERROR(VLOOKUP(F312,'TD Cumpl'!B:AB,27,0),"No Aplica"),"No Aplica")</f>
        <v>Siempre Cumple</v>
      </c>
      <c r="S312" s="38"/>
      <c r="T312" s="36"/>
      <c r="Y312" s="54">
        <f t="shared" si="9"/>
        <v>33642102</v>
      </c>
    </row>
    <row r="313" spans="1:25" x14ac:dyDescent="0.25">
      <c r="A313" s="20">
        <f>+VLOOKUP(D313,Back!Q:R,2,0)</f>
        <v>9</v>
      </c>
      <c r="B313" s="20" t="str">
        <f t="shared" si="8"/>
        <v>2016 SEP</v>
      </c>
      <c r="C313" s="20">
        <v>2016</v>
      </c>
      <c r="D313" s="21" t="s">
        <v>165</v>
      </c>
      <c r="E313" s="21" t="s">
        <v>1</v>
      </c>
      <c r="F313" s="21">
        <v>23857915</v>
      </c>
      <c r="G313" s="21" t="s">
        <v>116</v>
      </c>
      <c r="H313" s="22">
        <v>35507137</v>
      </c>
      <c r="I313" s="22">
        <v>544000</v>
      </c>
      <c r="J313" s="22">
        <v>4637200</v>
      </c>
      <c r="K313" s="23">
        <v>30325937</v>
      </c>
      <c r="L313" s="23">
        <v>26000000</v>
      </c>
      <c r="M313" s="24">
        <v>1.1663821923076922</v>
      </c>
      <c r="N313" s="25" t="str">
        <f>IFERROR(VLOOKUP(F313,Back!C:F,4,0),"NO")</f>
        <v>NO</v>
      </c>
      <c r="O313" s="26">
        <v>26</v>
      </c>
      <c r="P313" s="27" t="str">
        <f>IFERROR(VLOOKUP(F313,Back!C:E,3,0),"")</f>
        <v/>
      </c>
      <c r="Q313" s="27" t="str">
        <f>IFERROR(VLOOKUP(P313,Back!M:N,2,0),"")</f>
        <v/>
      </c>
      <c r="R313" s="27" t="str">
        <f>IF(N313="Si",IFERROR(VLOOKUP(F313,'TD Cumpl'!B:AB,27,0),"No Aplica"),"No Aplica")</f>
        <v>No Aplica</v>
      </c>
      <c r="S313" s="38"/>
      <c r="T313" s="36"/>
      <c r="Y313" s="54">
        <f t="shared" si="9"/>
        <v>35507137</v>
      </c>
    </row>
    <row r="314" spans="1:25" x14ac:dyDescent="0.25">
      <c r="A314" s="20">
        <f>+VLOOKUP(D314,Back!Q:R,2,0)</f>
        <v>9</v>
      </c>
      <c r="B314" s="20" t="str">
        <f t="shared" si="8"/>
        <v>2016 SEP</v>
      </c>
      <c r="C314" s="20">
        <v>2016</v>
      </c>
      <c r="D314" s="21" t="s">
        <v>165</v>
      </c>
      <c r="E314" s="21" t="s">
        <v>3</v>
      </c>
      <c r="F314" s="21">
        <v>52725011</v>
      </c>
      <c r="G314" s="21" t="s">
        <v>42</v>
      </c>
      <c r="H314" s="22">
        <v>27986188</v>
      </c>
      <c r="I314" s="22">
        <v>828000</v>
      </c>
      <c r="J314" s="22">
        <v>5108200</v>
      </c>
      <c r="K314" s="23">
        <v>22049988</v>
      </c>
      <c r="L314" s="23">
        <v>21000000</v>
      </c>
      <c r="M314" s="24">
        <v>1.0499994285714285</v>
      </c>
      <c r="N314" s="25" t="str">
        <f>IFERROR(VLOOKUP(F314,Back!C:F,4,0),"NO")</f>
        <v>Si</v>
      </c>
      <c r="O314" s="26">
        <v>26</v>
      </c>
      <c r="P314" s="27" t="str">
        <f>IFERROR(VLOOKUP(F314,Back!C:E,3,0),"")</f>
        <v>IPS Pto De Vista Olaya</v>
      </c>
      <c r="Q314" s="27" t="str">
        <f>IFERROR(VLOOKUP(P314,Back!M:N,2,0),"")</f>
        <v>Centro</v>
      </c>
      <c r="R314" s="27" t="str">
        <f>IF(N314="Si",IFERROR(VLOOKUP(F314,'TD Cumpl'!B:AB,27,0),"No Aplica"),"No Aplica")</f>
        <v>Fluctúa</v>
      </c>
      <c r="S314" s="38"/>
      <c r="T314" s="36"/>
      <c r="Y314" s="54">
        <f t="shared" si="9"/>
        <v>27986188</v>
      </c>
    </row>
    <row r="315" spans="1:25" x14ac:dyDescent="0.25">
      <c r="A315" s="20">
        <f>+VLOOKUP(D315,Back!Q:R,2,0)</f>
        <v>9</v>
      </c>
      <c r="B315" s="20" t="str">
        <f t="shared" si="8"/>
        <v>2016 SEP</v>
      </c>
      <c r="C315" s="20">
        <v>2016</v>
      </c>
      <c r="D315" s="21" t="s">
        <v>165</v>
      </c>
      <c r="E315" s="21" t="s">
        <v>25</v>
      </c>
      <c r="F315" s="21">
        <v>1040030764</v>
      </c>
      <c r="G315" s="21" t="s">
        <v>43</v>
      </c>
      <c r="H315" s="22">
        <v>41815651</v>
      </c>
      <c r="I315" s="22">
        <v>2404700</v>
      </c>
      <c r="J315" s="22">
        <v>6238081</v>
      </c>
      <c r="K315" s="23">
        <v>33172870</v>
      </c>
      <c r="L315" s="23">
        <v>30100000</v>
      </c>
      <c r="M315" s="24">
        <v>1.1020887043189369</v>
      </c>
      <c r="N315" s="25" t="str">
        <f>IFERROR(VLOOKUP(F315,Back!C:F,4,0),"NO")</f>
        <v>Si</v>
      </c>
      <c r="O315" s="26">
        <v>26</v>
      </c>
      <c r="P315" s="27" t="str">
        <f>IFERROR(VLOOKUP(F315,Back!C:E,3,0),"")</f>
        <v>IPS Pto De Vista Rionegro</v>
      </c>
      <c r="Q315" s="27" t="str">
        <f>IFERROR(VLOOKUP(P315,Back!M:N,2,0),"")</f>
        <v>Antioquia</v>
      </c>
      <c r="R315" s="27" t="str">
        <f>IF(N315="Si",IFERROR(VLOOKUP(F315,'TD Cumpl'!B:AB,27,0),"No Aplica"),"No Aplica")</f>
        <v>Cumple</v>
      </c>
      <c r="S315" s="38"/>
      <c r="T315" s="36"/>
      <c r="Y315" s="54">
        <f t="shared" si="9"/>
        <v>41815651</v>
      </c>
    </row>
    <row r="316" spans="1:25" x14ac:dyDescent="0.25">
      <c r="A316" s="20">
        <f>+VLOOKUP(D316,Back!Q:R,2,0)</f>
        <v>9</v>
      </c>
      <c r="B316" s="20" t="str">
        <f t="shared" si="8"/>
        <v>2016 SEP</v>
      </c>
      <c r="C316" s="20">
        <v>2016</v>
      </c>
      <c r="D316" s="21" t="s">
        <v>165</v>
      </c>
      <c r="E316" s="21" t="s">
        <v>33</v>
      </c>
      <c r="F316" s="21">
        <v>31307503</v>
      </c>
      <c r="G316" s="21" t="s">
        <v>36</v>
      </c>
      <c r="H316" s="22">
        <v>12798834</v>
      </c>
      <c r="I316" s="22">
        <v>0</v>
      </c>
      <c r="J316" s="22">
        <v>0</v>
      </c>
      <c r="K316" s="23">
        <v>12798834</v>
      </c>
      <c r="L316" s="23">
        <v>30100000</v>
      </c>
      <c r="M316" s="24">
        <v>0.42521043189368773</v>
      </c>
      <c r="N316" s="25" t="str">
        <f>IFERROR(VLOOKUP(F316,Back!C:F,4,0),"NO")</f>
        <v>NO</v>
      </c>
      <c r="O316" s="26">
        <v>26</v>
      </c>
      <c r="P316" s="27" t="str">
        <f>IFERROR(VLOOKUP(F316,Back!C:E,3,0),"")</f>
        <v/>
      </c>
      <c r="Q316" s="27" t="str">
        <f>IFERROR(VLOOKUP(P316,Back!M:N,2,0),"")</f>
        <v/>
      </c>
      <c r="R316" s="27" t="str">
        <f>IF(N316="Si",IFERROR(VLOOKUP(F316,'TD Cumpl'!B:AB,27,0),"No Aplica"),"No Aplica")</f>
        <v>No Aplica</v>
      </c>
      <c r="S316" s="38"/>
      <c r="T316" s="36"/>
      <c r="Y316" s="54">
        <f t="shared" si="9"/>
        <v>12798834</v>
      </c>
    </row>
    <row r="317" spans="1:25" x14ac:dyDescent="0.25">
      <c r="A317" s="20">
        <f>+VLOOKUP(D317,Back!Q:R,2,0)</f>
        <v>9</v>
      </c>
      <c r="B317" s="20" t="str">
        <f t="shared" si="8"/>
        <v>2016 SEP</v>
      </c>
      <c r="C317" s="20">
        <v>2016</v>
      </c>
      <c r="D317" s="21" t="s">
        <v>165</v>
      </c>
      <c r="E317" s="21" t="s">
        <v>22</v>
      </c>
      <c r="F317" s="21">
        <v>42164020</v>
      </c>
      <c r="G317" s="21" t="s">
        <v>105</v>
      </c>
      <c r="H317" s="22">
        <v>54406845</v>
      </c>
      <c r="I317" s="22">
        <v>1584260</v>
      </c>
      <c r="J317" s="22">
        <v>10689500</v>
      </c>
      <c r="K317" s="23">
        <v>42133085</v>
      </c>
      <c r="L317" s="23">
        <v>36000000</v>
      </c>
      <c r="M317" s="24">
        <v>1.1703634722222223</v>
      </c>
      <c r="N317" s="25" t="str">
        <f>IFERROR(VLOOKUP(F317,Back!C:F,4,0),"NO")</f>
        <v>Si</v>
      </c>
      <c r="O317" s="26">
        <v>26</v>
      </c>
      <c r="P317" s="27" t="str">
        <f>IFERROR(VLOOKUP(F317,Back!C:E,3,0),"")</f>
        <v>IPS Pto De Vista Molinos</v>
      </c>
      <c r="Q317" s="27" t="str">
        <f>IFERROR(VLOOKUP(P317,Back!M:N,2,0),"")</f>
        <v>Antioquia</v>
      </c>
      <c r="R317" s="27" t="str">
        <f>IF(N317="Si",IFERROR(VLOOKUP(F317,'TD Cumpl'!B:AB,27,0),"No Aplica"),"No Aplica")</f>
        <v>Siempre Cumple</v>
      </c>
      <c r="S317" s="38"/>
      <c r="T317" s="36"/>
      <c r="Y317" s="54">
        <f t="shared" si="9"/>
        <v>54406845</v>
      </c>
    </row>
    <row r="318" spans="1:25" x14ac:dyDescent="0.25">
      <c r="A318" s="20">
        <f>+VLOOKUP(D318,Back!Q:R,2,0)</f>
        <v>9</v>
      </c>
      <c r="B318" s="20" t="str">
        <f t="shared" si="8"/>
        <v>2016 SEP</v>
      </c>
      <c r="C318" s="20">
        <v>2016</v>
      </c>
      <c r="D318" s="21" t="s">
        <v>165</v>
      </c>
      <c r="E318" s="21" t="s">
        <v>21</v>
      </c>
      <c r="F318" s="21">
        <v>1035417626</v>
      </c>
      <c r="G318" s="21" t="s">
        <v>80</v>
      </c>
      <c r="H318" s="22">
        <v>65088423</v>
      </c>
      <c r="I318" s="22">
        <v>1125400</v>
      </c>
      <c r="J318" s="22">
        <v>8998578</v>
      </c>
      <c r="K318" s="23">
        <v>54964445</v>
      </c>
      <c r="L318" s="23">
        <v>40000000</v>
      </c>
      <c r="M318" s="24">
        <v>1.374111125</v>
      </c>
      <c r="N318" s="25" t="str">
        <f>IFERROR(VLOOKUP(F318,Back!C:F,4,0),"NO")</f>
        <v>Si</v>
      </c>
      <c r="O318" s="26">
        <v>26</v>
      </c>
      <c r="P318" s="27" t="str">
        <f>IFERROR(VLOOKUP(F318,Back!C:E,3,0),"")</f>
        <v>IPS Pto De Vista Unicentro</v>
      </c>
      <c r="Q318" s="27" t="str">
        <f>IFERROR(VLOOKUP(P318,Back!M:N,2,0),"")</f>
        <v>Antioquia</v>
      </c>
      <c r="R318" s="27" t="str">
        <f>IF(N318="Si",IFERROR(VLOOKUP(F318,'TD Cumpl'!B:AB,27,0),"No Aplica"),"No Aplica")</f>
        <v>Cumple</v>
      </c>
      <c r="S318" s="38"/>
      <c r="T318" s="36"/>
      <c r="Y318" s="54">
        <f t="shared" si="9"/>
        <v>65088423</v>
      </c>
    </row>
    <row r="319" spans="1:25" x14ac:dyDescent="0.25">
      <c r="A319" s="20">
        <f>+VLOOKUP(D319,Back!Q:R,2,0)</f>
        <v>9</v>
      </c>
      <c r="B319" s="20" t="str">
        <f t="shared" si="8"/>
        <v>2016 SEP</v>
      </c>
      <c r="C319" s="20">
        <v>2016</v>
      </c>
      <c r="D319" s="21" t="s">
        <v>165</v>
      </c>
      <c r="E319" s="21" t="s">
        <v>81</v>
      </c>
      <c r="F319" s="21">
        <v>1017200970</v>
      </c>
      <c r="G319" s="21" t="s">
        <v>82</v>
      </c>
      <c r="H319" s="22">
        <v>43132236</v>
      </c>
      <c r="I319" s="22">
        <v>1212000</v>
      </c>
      <c r="J319" s="22">
        <v>7402100</v>
      </c>
      <c r="K319" s="23">
        <v>34518136</v>
      </c>
      <c r="L319" s="23">
        <v>32000000</v>
      </c>
      <c r="M319" s="24">
        <v>1.0786917499999999</v>
      </c>
      <c r="N319" s="25" t="str">
        <f>IFERROR(VLOOKUP(F319,Back!C:F,4,0),"NO")</f>
        <v>Si</v>
      </c>
      <c r="O319" s="26">
        <v>26</v>
      </c>
      <c r="P319" s="27" t="str">
        <f>IFERROR(VLOOKUP(F319,Back!C:E,3,0),"")</f>
        <v>IPS Pto De Vista San Diego</v>
      </c>
      <c r="Q319" s="27" t="str">
        <f>IFERROR(VLOOKUP(P319,Back!M:N,2,0),"")</f>
        <v>Antioquia</v>
      </c>
      <c r="R319" s="27" t="str">
        <f>IF(N319="Si",IFERROR(VLOOKUP(F319,'TD Cumpl'!B:AB,27,0),"No Aplica"),"No Aplica")</f>
        <v>Cumple</v>
      </c>
      <c r="S319" s="38"/>
      <c r="T319" s="36"/>
      <c r="Y319" s="54">
        <f t="shared" si="9"/>
        <v>43132236</v>
      </c>
    </row>
    <row r="320" spans="1:25" x14ac:dyDescent="0.25">
      <c r="A320" s="20">
        <f>+VLOOKUP(D320,Back!Q:R,2,0)</f>
        <v>9</v>
      </c>
      <c r="B320" s="20" t="str">
        <f t="shared" si="8"/>
        <v>2016 SEP</v>
      </c>
      <c r="C320" s="20">
        <v>2016</v>
      </c>
      <c r="D320" s="21" t="s">
        <v>165</v>
      </c>
      <c r="E320" s="21" t="s">
        <v>57</v>
      </c>
      <c r="F320" s="21">
        <v>43874518</v>
      </c>
      <c r="G320" s="21" t="s">
        <v>60</v>
      </c>
      <c r="H320" s="22">
        <v>46362948</v>
      </c>
      <c r="I320" s="22">
        <v>0</v>
      </c>
      <c r="J320" s="22">
        <v>8247800</v>
      </c>
      <c r="K320" s="23">
        <v>38115148</v>
      </c>
      <c r="L320" s="23">
        <v>36000000</v>
      </c>
      <c r="M320" s="24">
        <v>1.0587541111111112</v>
      </c>
      <c r="N320" s="25" t="str">
        <f>IFERROR(VLOOKUP(F320,Back!C:F,4,0),"NO")</f>
        <v>Si</v>
      </c>
      <c r="O320" s="26">
        <v>26</v>
      </c>
      <c r="P320" s="27" t="str">
        <f>IFERROR(VLOOKUP(F320,Back!C:E,3,0),"")</f>
        <v>IPS Pto De Vista Punto Clave</v>
      </c>
      <c r="Q320" s="27" t="str">
        <f>IFERROR(VLOOKUP(P320,Back!M:N,2,0),"")</f>
        <v>Antioquia</v>
      </c>
      <c r="R320" s="27" t="str">
        <f>IF(N320="Si",IFERROR(VLOOKUP(F320,'TD Cumpl'!B:AB,27,0),"No Aplica"),"No Aplica")</f>
        <v>Fluctúa</v>
      </c>
      <c r="S320" s="38"/>
      <c r="T320" s="36"/>
      <c r="Y320" s="54">
        <f t="shared" si="9"/>
        <v>46362948</v>
      </c>
    </row>
    <row r="321" spans="1:25" x14ac:dyDescent="0.25">
      <c r="A321" s="20">
        <f>+VLOOKUP(D321,Back!Q:R,2,0)</f>
        <v>9</v>
      </c>
      <c r="B321" s="20" t="str">
        <f t="shared" si="8"/>
        <v>2016 SEP</v>
      </c>
      <c r="C321" s="20">
        <v>2016</v>
      </c>
      <c r="D321" s="21" t="s">
        <v>165</v>
      </c>
      <c r="E321" s="21" t="s">
        <v>2</v>
      </c>
      <c r="F321" s="21">
        <v>52260671</v>
      </c>
      <c r="G321" s="21" t="s">
        <v>26</v>
      </c>
      <c r="H321" s="22">
        <v>21670651</v>
      </c>
      <c r="I321" s="22">
        <v>420000</v>
      </c>
      <c r="J321" s="22">
        <v>3873200</v>
      </c>
      <c r="K321" s="23">
        <v>17377451</v>
      </c>
      <c r="L321" s="23">
        <v>26000000</v>
      </c>
      <c r="M321" s="24">
        <v>0.6683635</v>
      </c>
      <c r="N321" s="25" t="str">
        <f>IFERROR(VLOOKUP(F321,Back!C:F,4,0),"NO")</f>
        <v>Si</v>
      </c>
      <c r="O321" s="26">
        <v>26</v>
      </c>
      <c r="P321" s="27" t="str">
        <f>IFERROR(VLOOKUP(F321,Back!C:E,3,0),"")</f>
        <v>IPS Pto De Vista Santa Bárbara</v>
      </c>
      <c r="Q321" s="27" t="str">
        <f>IFERROR(VLOOKUP(P321,Back!M:N,2,0),"")</f>
        <v>Centro</v>
      </c>
      <c r="R321" s="27" t="str">
        <f>IF(N321="Si",IFERROR(VLOOKUP(F321,'TD Cumpl'!B:AB,27,0),"No Aplica"),"No Aplica")</f>
        <v>Siempre Cumple</v>
      </c>
      <c r="S321" s="38"/>
      <c r="T321" s="36"/>
      <c r="Y321" s="54">
        <f t="shared" si="9"/>
        <v>21670651</v>
      </c>
    </row>
    <row r="322" spans="1:25" x14ac:dyDescent="0.25">
      <c r="A322" s="20">
        <f>+VLOOKUP(D322,Back!Q:R,2,0)</f>
        <v>9</v>
      </c>
      <c r="B322" s="20" t="str">
        <f t="shared" ref="B322:B385" si="10">MID(UPPER(C322&amp;" "&amp;D322),1,8)</f>
        <v>2016 SEP</v>
      </c>
      <c r="C322" s="20">
        <v>2016</v>
      </c>
      <c r="D322" s="21" t="s">
        <v>165</v>
      </c>
      <c r="E322" s="21" t="s">
        <v>37</v>
      </c>
      <c r="F322" s="21">
        <v>1036779770</v>
      </c>
      <c r="G322" s="21" t="s">
        <v>52</v>
      </c>
      <c r="H322" s="22">
        <v>39892485</v>
      </c>
      <c r="I322" s="22">
        <v>1352700</v>
      </c>
      <c r="J322" s="22">
        <v>6230725</v>
      </c>
      <c r="K322" s="23">
        <v>32309060</v>
      </c>
      <c r="L322" s="23">
        <v>30100000</v>
      </c>
      <c r="M322" s="24">
        <v>1.0733906976744185</v>
      </c>
      <c r="N322" s="25" t="str">
        <f>IFERROR(VLOOKUP(F322,Back!C:F,4,0),"NO")</f>
        <v>No</v>
      </c>
      <c r="O322" s="26">
        <v>26</v>
      </c>
      <c r="P322" s="27" t="str">
        <f>IFERROR(VLOOKUP(F322,Back!C:E,3,0),"")</f>
        <v>IPS Pto De Vista Rionegro</v>
      </c>
      <c r="Q322" s="27" t="str">
        <f>IFERROR(VLOOKUP(P322,Back!M:N,2,0),"")</f>
        <v>Antioquia</v>
      </c>
      <c r="R322" s="27" t="str">
        <f>IF(N322="Si",IFERROR(VLOOKUP(F322,'TD Cumpl'!B:AB,27,0),"No Aplica"),"No Aplica")</f>
        <v>No Aplica</v>
      </c>
      <c r="S322" s="38"/>
      <c r="T322" s="36"/>
      <c r="Y322" s="54">
        <f t="shared" ref="Y322:Y385" si="11">+H322-X322-V322-T322</f>
        <v>39892485</v>
      </c>
    </row>
    <row r="323" spans="1:25" x14ac:dyDescent="0.25">
      <c r="A323" s="20">
        <f>+VLOOKUP(D323,Back!Q:R,2,0)</f>
        <v>9</v>
      </c>
      <c r="B323" s="20" t="str">
        <f t="shared" si="10"/>
        <v>2016 SEP</v>
      </c>
      <c r="C323" s="20">
        <v>2016</v>
      </c>
      <c r="D323" s="21" t="s">
        <v>165</v>
      </c>
      <c r="E323" s="21" t="s">
        <v>79</v>
      </c>
      <c r="F323" s="21">
        <v>1030611855</v>
      </c>
      <c r="G323" s="21" t="s">
        <v>73</v>
      </c>
      <c r="H323" s="22">
        <v>21114491</v>
      </c>
      <c r="I323" s="22">
        <v>606000</v>
      </c>
      <c r="J323" s="22">
        <v>2809500</v>
      </c>
      <c r="K323" s="23">
        <v>17698991</v>
      </c>
      <c r="L323" s="23">
        <v>20800000</v>
      </c>
      <c r="M323" s="24">
        <v>0.85091302884615383</v>
      </c>
      <c r="N323" s="25" t="str">
        <f>IFERROR(VLOOKUP(F323,Back!C:F,4,0),"NO")</f>
        <v>NO</v>
      </c>
      <c r="O323" s="26">
        <v>26</v>
      </c>
      <c r="P323" s="27" t="str">
        <f>IFERROR(VLOOKUP(F323,Back!C:E,3,0),"")</f>
        <v/>
      </c>
      <c r="Q323" s="27" t="str">
        <f>IFERROR(VLOOKUP(P323,Back!M:N,2,0),"")</f>
        <v/>
      </c>
      <c r="R323" s="27" t="str">
        <f>IF(N323="Si",IFERROR(VLOOKUP(F323,'TD Cumpl'!B:AB,27,0),"No Aplica"),"No Aplica")</f>
        <v>No Aplica</v>
      </c>
      <c r="S323" s="38"/>
      <c r="T323" s="36"/>
      <c r="Y323" s="54">
        <f t="shared" si="11"/>
        <v>21114491</v>
      </c>
    </row>
    <row r="324" spans="1:25" x14ac:dyDescent="0.25">
      <c r="A324" s="20">
        <f>+VLOOKUP(D324,Back!Q:R,2,0)</f>
        <v>9</v>
      </c>
      <c r="B324" s="20" t="str">
        <f t="shared" si="10"/>
        <v>2016 SEP</v>
      </c>
      <c r="C324" s="20">
        <v>2016</v>
      </c>
      <c r="D324" s="21" t="s">
        <v>165</v>
      </c>
      <c r="E324" s="21" t="s">
        <v>64</v>
      </c>
      <c r="F324" s="21">
        <v>1036598360</v>
      </c>
      <c r="G324" s="21" t="s">
        <v>146</v>
      </c>
      <c r="H324" s="22">
        <v>45901215</v>
      </c>
      <c r="I324" s="22">
        <v>1121500</v>
      </c>
      <c r="J324" s="22">
        <v>9635200</v>
      </c>
      <c r="K324" s="23">
        <v>35144515</v>
      </c>
      <c r="L324" s="23">
        <v>34288461.538461536</v>
      </c>
      <c r="M324" s="24">
        <v>1.0249662254627034</v>
      </c>
      <c r="N324" s="25" t="str">
        <f>IFERROR(VLOOKUP(F324,Back!C:F,4,0),"NO")</f>
        <v>Si</v>
      </c>
      <c r="O324" s="26">
        <v>26</v>
      </c>
      <c r="P324" s="27" t="str">
        <f>IFERROR(VLOOKUP(F324,Back!C:E,3,0),"")</f>
        <v>IPS Pto De Vista Punto Clave</v>
      </c>
      <c r="Q324" s="27" t="str">
        <f>IFERROR(VLOOKUP(P324,Back!M:N,2,0),"")</f>
        <v>Antioquia</v>
      </c>
      <c r="R324" s="27" t="str">
        <f>IF(N324="Si",IFERROR(VLOOKUP(F324,'TD Cumpl'!B:AB,27,0),"No Aplica"),"No Aplica")</f>
        <v>Fluctúa</v>
      </c>
      <c r="S324" s="38"/>
      <c r="T324" s="36"/>
      <c r="Y324" s="54">
        <f t="shared" si="11"/>
        <v>45901215</v>
      </c>
    </row>
    <row r="325" spans="1:25" x14ac:dyDescent="0.25">
      <c r="A325" s="20">
        <f>+VLOOKUP(D325,Back!Q:R,2,0)</f>
        <v>9</v>
      </c>
      <c r="B325" s="20" t="str">
        <f t="shared" si="10"/>
        <v>2016 SEP</v>
      </c>
      <c r="C325" s="20">
        <v>2016</v>
      </c>
      <c r="D325" s="21" t="s">
        <v>165</v>
      </c>
      <c r="E325" s="21" t="s">
        <v>20</v>
      </c>
      <c r="F325" s="21">
        <v>1017141451</v>
      </c>
      <c r="G325" s="21" t="s">
        <v>44</v>
      </c>
      <c r="H325" s="22">
        <v>63921680</v>
      </c>
      <c r="I325" s="22">
        <v>550700</v>
      </c>
      <c r="J325" s="22">
        <v>12033100</v>
      </c>
      <c r="K325" s="23">
        <v>51337880</v>
      </c>
      <c r="L325" s="23">
        <v>36000000</v>
      </c>
      <c r="M325" s="24">
        <v>1.4260522222222223</v>
      </c>
      <c r="N325" s="25" t="str">
        <f>IFERROR(VLOOKUP(F325,Back!C:F,4,0),"NO")</f>
        <v>Si</v>
      </c>
      <c r="O325" s="26">
        <v>26</v>
      </c>
      <c r="P325" s="27" t="str">
        <f>IFERROR(VLOOKUP(F325,Back!C:E,3,0),"")</f>
        <v>IPS Pto De Vista Molinos</v>
      </c>
      <c r="Q325" s="27" t="str">
        <f>IFERROR(VLOOKUP(P325,Back!M:N,2,0),"")</f>
        <v>Antioquia</v>
      </c>
      <c r="R325" s="27" t="str">
        <f>IF(N325="Si",IFERROR(VLOOKUP(F325,'TD Cumpl'!B:AB,27,0),"No Aplica"),"No Aplica")</f>
        <v>Siempre Cumple</v>
      </c>
      <c r="S325" s="38"/>
      <c r="T325" s="36"/>
      <c r="Y325" s="54">
        <f t="shared" si="11"/>
        <v>63921680</v>
      </c>
    </row>
    <row r="326" spans="1:25" x14ac:dyDescent="0.25">
      <c r="A326" s="20">
        <f>+VLOOKUP(D326,Back!Q:R,2,0)</f>
        <v>9</v>
      </c>
      <c r="B326" s="20" t="str">
        <f t="shared" si="10"/>
        <v>2016 SEP</v>
      </c>
      <c r="C326" s="20">
        <v>2016</v>
      </c>
      <c r="D326" s="21" t="s">
        <v>165</v>
      </c>
      <c r="E326" s="21" t="s">
        <v>67</v>
      </c>
      <c r="F326" s="21">
        <v>43758991</v>
      </c>
      <c r="G326" s="21" t="s">
        <v>69</v>
      </c>
      <c r="H326" s="22">
        <v>19491788</v>
      </c>
      <c r="I326" s="22">
        <v>1036700</v>
      </c>
      <c r="J326" s="22">
        <v>4760300</v>
      </c>
      <c r="K326" s="23">
        <v>13694788</v>
      </c>
      <c r="L326" s="23">
        <v>30100000</v>
      </c>
      <c r="M326" s="24">
        <v>0.45497634551495014</v>
      </c>
      <c r="N326" s="25" t="str">
        <f>IFERROR(VLOOKUP(F326,Back!C:F,4,0),"NO")</f>
        <v>NO</v>
      </c>
      <c r="O326" s="26">
        <v>26</v>
      </c>
      <c r="P326" s="27" t="str">
        <f>IFERROR(VLOOKUP(F326,Back!C:E,3,0),"")</f>
        <v/>
      </c>
      <c r="Q326" s="27" t="str">
        <f>IFERROR(VLOOKUP(P326,Back!M:N,2,0),"")</f>
        <v/>
      </c>
      <c r="R326" s="27" t="str">
        <f>IF(N326="Si",IFERROR(VLOOKUP(F326,'TD Cumpl'!B:AB,27,0),"No Aplica"),"No Aplica")</f>
        <v>No Aplica</v>
      </c>
      <c r="S326" s="38"/>
      <c r="T326" s="36"/>
      <c r="Y326" s="54">
        <f t="shared" si="11"/>
        <v>19491788</v>
      </c>
    </row>
    <row r="327" spans="1:25" x14ac:dyDescent="0.25">
      <c r="A327" s="20">
        <f>+VLOOKUP(D327,Back!Q:R,2,0)</f>
        <v>9</v>
      </c>
      <c r="B327" s="20" t="str">
        <f t="shared" si="10"/>
        <v>2016 SEP</v>
      </c>
      <c r="C327" s="20">
        <v>2016</v>
      </c>
      <c r="D327" s="21" t="s">
        <v>165</v>
      </c>
      <c r="E327" s="21" t="s">
        <v>38</v>
      </c>
      <c r="F327" s="21">
        <v>43745192</v>
      </c>
      <c r="G327" s="21" t="s">
        <v>45</v>
      </c>
      <c r="H327" s="22">
        <v>31067967</v>
      </c>
      <c r="I327" s="22">
        <v>0</v>
      </c>
      <c r="J327" s="22">
        <v>0</v>
      </c>
      <c r="K327" s="23">
        <v>31067967</v>
      </c>
      <c r="L327" s="23">
        <v>21000000</v>
      </c>
      <c r="M327" s="24">
        <v>1.479427</v>
      </c>
      <c r="N327" s="25" t="str">
        <f>IFERROR(VLOOKUP(F327,Back!C:F,4,0),"NO")</f>
        <v>Si</v>
      </c>
      <c r="O327" s="26">
        <v>26</v>
      </c>
      <c r="P327" s="27" t="str">
        <f>IFERROR(VLOOKUP(F327,Back!C:E,3,0),"")</f>
        <v>IPS Punto de Vista Mayorca</v>
      </c>
      <c r="Q327" s="27" t="str">
        <f>IFERROR(VLOOKUP(P327,Back!M:N,2,0),"")</f>
        <v>Antioquia</v>
      </c>
      <c r="R327" s="27" t="str">
        <f>IF(N327="Si",IFERROR(VLOOKUP(F327,'TD Cumpl'!B:AB,27,0),"No Aplica"),"No Aplica")</f>
        <v>Cumple</v>
      </c>
      <c r="S327" s="38"/>
      <c r="T327" s="36"/>
      <c r="Y327" s="54">
        <f t="shared" si="11"/>
        <v>31067967</v>
      </c>
    </row>
    <row r="328" spans="1:25" x14ac:dyDescent="0.25">
      <c r="A328" s="20">
        <f>+VLOOKUP(D328,Back!Q:R,2,0)</f>
        <v>9</v>
      </c>
      <c r="B328" s="20" t="str">
        <f t="shared" si="10"/>
        <v>2016 SEP</v>
      </c>
      <c r="C328" s="20">
        <v>2016</v>
      </c>
      <c r="D328" s="21" t="s">
        <v>165</v>
      </c>
      <c r="E328" s="21" t="s">
        <v>13</v>
      </c>
      <c r="F328" s="21">
        <v>43866877</v>
      </c>
      <c r="G328" s="21" t="s">
        <v>46</v>
      </c>
      <c r="H328" s="22">
        <v>31699519</v>
      </c>
      <c r="I328" s="22">
        <v>1166200</v>
      </c>
      <c r="J328" s="22">
        <v>9676400</v>
      </c>
      <c r="K328" s="23">
        <v>20856919</v>
      </c>
      <c r="L328" s="23">
        <v>12307692.307692308</v>
      </c>
      <c r="M328" s="24">
        <v>1.69462466875</v>
      </c>
      <c r="N328" s="25" t="str">
        <f>IFERROR(VLOOKUP(F328,Back!C:F,4,0),"NO")</f>
        <v>Si</v>
      </c>
      <c r="O328" s="26">
        <v>26</v>
      </c>
      <c r="P328" s="27" t="str">
        <f>IFERROR(VLOOKUP(F328,Back!C:E,3,0),"")</f>
        <v>IPS Pto De Vista Centro</v>
      </c>
      <c r="Q328" s="27" t="str">
        <f>IFERROR(VLOOKUP(P328,Back!M:N,2,0),"")</f>
        <v>Antioquia</v>
      </c>
      <c r="R328" s="27" t="str">
        <f>IF(N328="Si",IFERROR(VLOOKUP(F328,'TD Cumpl'!B:AB,27,0),"No Aplica"),"No Aplica")</f>
        <v>Siempre Cumple</v>
      </c>
      <c r="S328" s="38"/>
      <c r="T328" s="36"/>
      <c r="Y328" s="54">
        <f t="shared" si="11"/>
        <v>31699519</v>
      </c>
    </row>
    <row r="329" spans="1:25" x14ac:dyDescent="0.25">
      <c r="A329" s="20">
        <f>+VLOOKUP(D329,Back!Q:R,2,0)</f>
        <v>9</v>
      </c>
      <c r="B329" s="20" t="str">
        <f t="shared" si="10"/>
        <v>2016 SEP</v>
      </c>
      <c r="C329" s="20">
        <v>2016</v>
      </c>
      <c r="D329" s="21" t="s">
        <v>165</v>
      </c>
      <c r="E329" s="21" t="s">
        <v>17</v>
      </c>
      <c r="F329" s="21">
        <v>43113640</v>
      </c>
      <c r="G329" s="21" t="s">
        <v>47</v>
      </c>
      <c r="H329" s="22">
        <v>36140412</v>
      </c>
      <c r="I329" s="22">
        <v>990000</v>
      </c>
      <c r="J329" s="22">
        <v>4794900</v>
      </c>
      <c r="K329" s="23">
        <v>30355512</v>
      </c>
      <c r="L329" s="23">
        <v>30100000</v>
      </c>
      <c r="M329" s="24">
        <v>1.0084887707641197</v>
      </c>
      <c r="N329" s="25" t="str">
        <f>IFERROR(VLOOKUP(F329,Back!C:F,4,0),"NO")</f>
        <v>Si</v>
      </c>
      <c r="O329" s="26">
        <v>26</v>
      </c>
      <c r="P329" s="27" t="str">
        <f>IFERROR(VLOOKUP(F329,Back!C:E,3,0),"")</f>
        <v>IPS Pto De Vista San Diego</v>
      </c>
      <c r="Q329" s="27" t="str">
        <f>IFERROR(VLOOKUP(P329,Back!M:N,2,0),"")</f>
        <v>Antioquia</v>
      </c>
      <c r="R329" s="27" t="str">
        <f>IF(N329="Si",IFERROR(VLOOKUP(F329,'TD Cumpl'!B:AB,27,0),"No Aplica"),"No Aplica")</f>
        <v>Cumple</v>
      </c>
      <c r="S329" s="38"/>
      <c r="T329" s="36"/>
      <c r="Y329" s="54">
        <f t="shared" si="11"/>
        <v>36140412</v>
      </c>
    </row>
    <row r="330" spans="1:25" x14ac:dyDescent="0.25">
      <c r="A330" s="20">
        <f>+VLOOKUP(D330,Back!Q:R,2,0)</f>
        <v>9</v>
      </c>
      <c r="B330" s="20" t="str">
        <f t="shared" si="10"/>
        <v>2016 SEP</v>
      </c>
      <c r="C330" s="20">
        <v>2016</v>
      </c>
      <c r="D330" s="21" t="s">
        <v>165</v>
      </c>
      <c r="E330" s="21" t="s">
        <v>24</v>
      </c>
      <c r="F330" s="21">
        <v>39448823</v>
      </c>
      <c r="G330" s="21" t="s">
        <v>48</v>
      </c>
      <c r="H330" s="22">
        <v>42090862</v>
      </c>
      <c r="I330" s="22">
        <v>919400</v>
      </c>
      <c r="J330" s="22">
        <v>5924786</v>
      </c>
      <c r="K330" s="23">
        <v>35246676</v>
      </c>
      <c r="L330" s="23">
        <v>30100000</v>
      </c>
      <c r="M330" s="24">
        <v>1.1709859136212624</v>
      </c>
      <c r="N330" s="25" t="str">
        <f>IFERROR(VLOOKUP(F330,Back!C:F,4,0),"NO")</f>
        <v>Si</v>
      </c>
      <c r="O330" s="26">
        <v>26</v>
      </c>
      <c r="P330" s="27" t="str">
        <f>IFERROR(VLOOKUP(F330,Back!C:E,3,0),"")</f>
        <v>IPS Pto De Vista Rionegro</v>
      </c>
      <c r="Q330" s="27" t="str">
        <f>IFERROR(VLOOKUP(P330,Back!M:N,2,0),"")</f>
        <v>Antioquia</v>
      </c>
      <c r="R330" s="27" t="str">
        <f>IF(N330="Si",IFERROR(VLOOKUP(F330,'TD Cumpl'!B:AB,27,0),"No Aplica"),"No Aplica")</f>
        <v>Siempre Cumple</v>
      </c>
      <c r="S330" s="38"/>
      <c r="T330" s="36"/>
      <c r="Y330" s="54">
        <f t="shared" si="11"/>
        <v>42090862</v>
      </c>
    </row>
    <row r="331" spans="1:25" x14ac:dyDescent="0.25">
      <c r="A331" s="20">
        <f>+VLOOKUP(D331,Back!Q:R,2,0)</f>
        <v>9</v>
      </c>
      <c r="B331" s="20" t="str">
        <f t="shared" si="10"/>
        <v>2016 SEP</v>
      </c>
      <c r="C331" s="20">
        <v>2016</v>
      </c>
      <c r="D331" s="21" t="s">
        <v>165</v>
      </c>
      <c r="E331" s="21" t="s">
        <v>10</v>
      </c>
      <c r="F331" s="21">
        <v>43109744</v>
      </c>
      <c r="G331" s="21" t="s">
        <v>53</v>
      </c>
      <c r="H331" s="22">
        <v>52998693</v>
      </c>
      <c r="I331" s="22">
        <v>1444200</v>
      </c>
      <c r="J331" s="22">
        <v>9224534</v>
      </c>
      <c r="K331" s="23">
        <v>42329959</v>
      </c>
      <c r="L331" s="23">
        <v>40000000</v>
      </c>
      <c r="M331" s="24">
        <v>1.0582489749999999</v>
      </c>
      <c r="N331" s="25" t="str">
        <f>IFERROR(VLOOKUP(F331,Back!C:F,4,0),"NO")</f>
        <v>NO</v>
      </c>
      <c r="O331" s="26">
        <v>26</v>
      </c>
      <c r="P331" s="27" t="str">
        <f>IFERROR(VLOOKUP(F331,Back!C:E,3,0),"")</f>
        <v/>
      </c>
      <c r="Q331" s="27" t="str">
        <f>IFERROR(VLOOKUP(P331,Back!M:N,2,0),"")</f>
        <v/>
      </c>
      <c r="R331" s="27" t="str">
        <f>IF(N331="Si",IFERROR(VLOOKUP(F331,'TD Cumpl'!B:AB,27,0),"No Aplica"),"No Aplica")</f>
        <v>No Aplica</v>
      </c>
      <c r="S331" s="38"/>
      <c r="T331" s="36"/>
      <c r="Y331" s="54">
        <f t="shared" si="11"/>
        <v>52998693</v>
      </c>
    </row>
    <row r="332" spans="1:25" x14ac:dyDescent="0.25">
      <c r="A332" s="20">
        <f>+VLOOKUP(D332,Back!Q:R,2,0)</f>
        <v>9</v>
      </c>
      <c r="B332" s="20" t="str">
        <f t="shared" si="10"/>
        <v>2016 SEP</v>
      </c>
      <c r="C332" s="20">
        <v>2016</v>
      </c>
      <c r="D332" s="21" t="s">
        <v>165</v>
      </c>
      <c r="E332" s="21" t="s">
        <v>16</v>
      </c>
      <c r="F332" s="21">
        <v>43599983</v>
      </c>
      <c r="G332" s="21" t="s">
        <v>478</v>
      </c>
      <c r="H332" s="22">
        <v>18097328</v>
      </c>
      <c r="I332" s="22">
        <v>792000</v>
      </c>
      <c r="J332" s="22">
        <v>3042800</v>
      </c>
      <c r="K332" s="23">
        <v>14262528</v>
      </c>
      <c r="L332" s="23">
        <v>40000000</v>
      </c>
      <c r="M332" s="24">
        <v>0.35656320000000002</v>
      </c>
      <c r="N332" s="25" t="str">
        <f>IFERROR(VLOOKUP(F332,Back!C:F,4,0),"NO")</f>
        <v>NO</v>
      </c>
      <c r="O332" s="26">
        <v>26</v>
      </c>
      <c r="P332" s="27" t="str">
        <f>IFERROR(VLOOKUP(F332,Back!C:E,3,0),"")</f>
        <v/>
      </c>
      <c r="Q332" s="27" t="str">
        <f>IFERROR(VLOOKUP(P332,Back!M:N,2,0),"")</f>
        <v/>
      </c>
      <c r="R332" s="27" t="str">
        <f>IF(N332="Si",IFERROR(VLOOKUP(F332,'TD Cumpl'!B:AB,27,0),"No Aplica"),"No Aplica")</f>
        <v>No Aplica</v>
      </c>
      <c r="S332" s="38"/>
      <c r="T332" s="36"/>
      <c r="Y332" s="54">
        <f t="shared" si="11"/>
        <v>18097328</v>
      </c>
    </row>
    <row r="333" spans="1:25" x14ac:dyDescent="0.25">
      <c r="A333" s="20">
        <f>+VLOOKUP(D333,Back!Q:R,2,0)</f>
        <v>9</v>
      </c>
      <c r="B333" s="20" t="str">
        <f t="shared" si="10"/>
        <v>2016 SEP</v>
      </c>
      <c r="C333" s="20">
        <v>2016</v>
      </c>
      <c r="D333" s="21" t="s">
        <v>165</v>
      </c>
      <c r="E333" s="21" t="s">
        <v>15</v>
      </c>
      <c r="F333" s="21">
        <v>42689970</v>
      </c>
      <c r="G333" s="21" t="s">
        <v>29</v>
      </c>
      <c r="H333" s="22">
        <v>61374021</v>
      </c>
      <c r="I333" s="22">
        <v>1260000</v>
      </c>
      <c r="J333" s="22">
        <v>11467700</v>
      </c>
      <c r="K333" s="23">
        <v>48646321</v>
      </c>
      <c r="L333" s="23">
        <v>40000000</v>
      </c>
      <c r="M333" s="24">
        <v>1.2161580249999999</v>
      </c>
      <c r="N333" s="25" t="str">
        <f>IFERROR(VLOOKUP(F333,Back!C:F,4,0),"NO")</f>
        <v>NO</v>
      </c>
      <c r="O333" s="26">
        <v>26</v>
      </c>
      <c r="P333" s="27" t="str">
        <f>IFERROR(VLOOKUP(F333,Back!C:E,3,0),"")</f>
        <v/>
      </c>
      <c r="Q333" s="27" t="str">
        <f>IFERROR(VLOOKUP(P333,Back!M:N,2,0),"")</f>
        <v/>
      </c>
      <c r="R333" s="27" t="str">
        <f>IF(N333="Si",IFERROR(VLOOKUP(F333,'TD Cumpl'!B:AB,27,0),"No Aplica"),"No Aplica")</f>
        <v>No Aplica</v>
      </c>
      <c r="S333" s="38"/>
      <c r="T333" s="36"/>
      <c r="Y333" s="54">
        <f t="shared" si="11"/>
        <v>61374021</v>
      </c>
    </row>
    <row r="334" spans="1:25" x14ac:dyDescent="0.25">
      <c r="A334" s="20">
        <f>+VLOOKUP(D334,Back!Q:R,2,0)</f>
        <v>9</v>
      </c>
      <c r="B334" s="20" t="str">
        <f t="shared" si="10"/>
        <v>2016 SEP</v>
      </c>
      <c r="C334" s="20">
        <v>2016</v>
      </c>
      <c r="D334" s="21" t="s">
        <v>165</v>
      </c>
      <c r="E334" s="21" t="s">
        <v>23</v>
      </c>
      <c r="F334" s="21">
        <v>43907427</v>
      </c>
      <c r="G334" s="21" t="s">
        <v>144</v>
      </c>
      <c r="H334" s="22">
        <v>45335771</v>
      </c>
      <c r="I334" s="22">
        <v>756000</v>
      </c>
      <c r="J334" s="22">
        <v>4446600</v>
      </c>
      <c r="K334" s="23">
        <v>40133171</v>
      </c>
      <c r="L334" s="23">
        <v>36000000</v>
      </c>
      <c r="M334" s="24">
        <v>1.1148103055555556</v>
      </c>
      <c r="N334" s="25" t="str">
        <f>IFERROR(VLOOKUP(F334,Back!C:F,4,0),"NO")</f>
        <v>Si</v>
      </c>
      <c r="O334" s="26">
        <v>26</v>
      </c>
      <c r="P334" s="27" t="str">
        <f>IFERROR(VLOOKUP(F334,Back!C:E,3,0),"")</f>
        <v>IPS Pto De Vista Industriales</v>
      </c>
      <c r="Q334" s="27" t="str">
        <f>IFERROR(VLOOKUP(P334,Back!M:N,2,0),"")</f>
        <v>Antioquia</v>
      </c>
      <c r="R334" s="27" t="str">
        <f>IF(N334="Si",IFERROR(VLOOKUP(F334,'TD Cumpl'!B:AB,27,0),"No Aplica"),"No Aplica")</f>
        <v>Siempre Cumple</v>
      </c>
      <c r="S334" s="38"/>
      <c r="T334" s="36"/>
      <c r="Y334" s="54">
        <f t="shared" si="11"/>
        <v>45335771</v>
      </c>
    </row>
    <row r="335" spans="1:25" x14ac:dyDescent="0.25">
      <c r="A335" s="20">
        <f>+VLOOKUP(D335,Back!Q:R,2,0)</f>
        <v>9</v>
      </c>
      <c r="B335" s="20" t="str">
        <f t="shared" si="10"/>
        <v>2016 SEP</v>
      </c>
      <c r="C335" s="20">
        <v>2016</v>
      </c>
      <c r="D335" s="21" t="s">
        <v>165</v>
      </c>
      <c r="E335" s="21" t="s">
        <v>12</v>
      </c>
      <c r="F335" s="21">
        <v>91511871</v>
      </c>
      <c r="G335" s="21" t="s">
        <v>49</v>
      </c>
      <c r="H335" s="22">
        <v>32318309</v>
      </c>
      <c r="I335" s="22">
        <v>1101400</v>
      </c>
      <c r="J335" s="22">
        <v>10171200</v>
      </c>
      <c r="K335" s="23">
        <v>21045709</v>
      </c>
      <c r="L335" s="23">
        <v>26000000</v>
      </c>
      <c r="M335" s="24">
        <v>0.80945034615384615</v>
      </c>
      <c r="N335" s="25" t="str">
        <f>IFERROR(VLOOKUP(F335,Back!C:F,4,0),"NO")</f>
        <v>NO</v>
      </c>
      <c r="O335" s="26">
        <v>26</v>
      </c>
      <c r="P335" s="27" t="str">
        <f>IFERROR(VLOOKUP(F335,Back!C:E,3,0),"")</f>
        <v/>
      </c>
      <c r="Q335" s="27" t="str">
        <f>IFERROR(VLOOKUP(P335,Back!M:N,2,0),"")</f>
        <v/>
      </c>
      <c r="R335" s="27" t="str">
        <f>IF(N335="Si",IFERROR(VLOOKUP(F335,'TD Cumpl'!B:AB,27,0),"No Aplica"),"No Aplica")</f>
        <v>No Aplica</v>
      </c>
      <c r="S335" s="38"/>
      <c r="T335" s="36"/>
      <c r="Y335" s="54">
        <f t="shared" si="11"/>
        <v>32318309</v>
      </c>
    </row>
    <row r="336" spans="1:25" x14ac:dyDescent="0.25">
      <c r="A336" s="20">
        <f>+VLOOKUP(D336,Back!Q:R,2,0)</f>
        <v>9</v>
      </c>
      <c r="B336" s="20" t="str">
        <f t="shared" si="10"/>
        <v>2016 SEP</v>
      </c>
      <c r="C336" s="20">
        <v>2016</v>
      </c>
      <c r="D336" s="21" t="s">
        <v>165</v>
      </c>
      <c r="E336" s="21" t="s">
        <v>62</v>
      </c>
      <c r="F336" s="21">
        <v>32256379</v>
      </c>
      <c r="G336" s="21" t="s">
        <v>61</v>
      </c>
      <c r="H336" s="22">
        <v>20256550</v>
      </c>
      <c r="I336" s="22">
        <v>0</v>
      </c>
      <c r="J336" s="22">
        <v>3023000</v>
      </c>
      <c r="K336" s="23">
        <v>17233550</v>
      </c>
      <c r="L336" s="23">
        <v>40100000</v>
      </c>
      <c r="M336" s="24">
        <v>0.4297643391521197</v>
      </c>
      <c r="N336" s="25" t="str">
        <f>IFERROR(VLOOKUP(F336,Back!C:F,4,0),"NO")</f>
        <v>Si</v>
      </c>
      <c r="O336" s="26">
        <v>26</v>
      </c>
      <c r="P336" s="27" t="str">
        <f>IFERROR(VLOOKUP(F336,Back!C:E,3,0),"")</f>
        <v>Ferias Empresariales Antioquia</v>
      </c>
      <c r="Q336" s="27" t="str">
        <f>IFERROR(VLOOKUP(P336,Back!M:N,2,0),"")</f>
        <v>Antioquia</v>
      </c>
      <c r="R336" s="27" t="str">
        <f>IF(N336="Si",IFERROR(VLOOKUP(F336,'TD Cumpl'!B:AB,27,0),"No Aplica"),"No Aplica")</f>
        <v>Fluctúa</v>
      </c>
      <c r="S336" s="38"/>
      <c r="T336" s="36"/>
      <c r="Y336" s="54">
        <f t="shared" si="11"/>
        <v>20256550</v>
      </c>
    </row>
    <row r="337" spans="1:25" x14ac:dyDescent="0.25">
      <c r="A337" s="20">
        <f>+VLOOKUP(D337,Back!Q:R,2,0)</f>
        <v>9</v>
      </c>
      <c r="B337" s="20" t="str">
        <f t="shared" si="10"/>
        <v>2016 SEP</v>
      </c>
      <c r="C337" s="20">
        <v>2016</v>
      </c>
      <c r="D337" s="21" t="s">
        <v>165</v>
      </c>
      <c r="E337" s="21" t="s">
        <v>4</v>
      </c>
      <c r="F337" s="21">
        <v>79701425</v>
      </c>
      <c r="G337" s="21" t="s">
        <v>27</v>
      </c>
      <c r="H337" s="22">
        <v>28291623</v>
      </c>
      <c r="I337" s="22">
        <v>300000</v>
      </c>
      <c r="J337" s="22">
        <v>6397100</v>
      </c>
      <c r="K337" s="23">
        <v>21594523</v>
      </c>
      <c r="L337" s="23">
        <v>21000000</v>
      </c>
      <c r="M337" s="24">
        <v>1.028310619047619</v>
      </c>
      <c r="N337" s="25" t="str">
        <f>IFERROR(VLOOKUP(F337,Back!C:F,4,0),"NO")</f>
        <v>No</v>
      </c>
      <c r="O337" s="26">
        <v>26</v>
      </c>
      <c r="P337" s="27" t="str">
        <f>IFERROR(VLOOKUP(F337,Back!C:E,3,0),"")</f>
        <v>IPS Pto De Vista Olaya</v>
      </c>
      <c r="Q337" s="27" t="str">
        <f>IFERROR(VLOOKUP(P337,Back!M:N,2,0),"")</f>
        <v>Centro</v>
      </c>
      <c r="R337" s="27" t="str">
        <f>IF(N337="Si",IFERROR(VLOOKUP(F337,'TD Cumpl'!B:AB,27,0),"No Aplica"),"No Aplica")</f>
        <v>No Aplica</v>
      </c>
      <c r="S337" s="38"/>
      <c r="T337" s="36"/>
      <c r="Y337" s="54">
        <f t="shared" si="11"/>
        <v>28291623</v>
      </c>
    </row>
    <row r="338" spans="1:25" x14ac:dyDescent="0.25">
      <c r="A338" s="20">
        <f>+VLOOKUP(D338,Back!Q:R,2,0)</f>
        <v>9</v>
      </c>
      <c r="B338" s="20" t="str">
        <f t="shared" si="10"/>
        <v>2016 SEP</v>
      </c>
      <c r="C338" s="20">
        <v>2016</v>
      </c>
      <c r="D338" s="21" t="s">
        <v>165</v>
      </c>
      <c r="E338" s="21" t="s">
        <v>5</v>
      </c>
      <c r="F338" s="21">
        <v>34542470</v>
      </c>
      <c r="G338" s="21" t="s">
        <v>28</v>
      </c>
      <c r="H338" s="22">
        <v>22571622</v>
      </c>
      <c r="I338" s="22">
        <v>538830</v>
      </c>
      <c r="J338" s="22">
        <v>0</v>
      </c>
      <c r="K338" s="23">
        <v>22032792</v>
      </c>
      <c r="L338" s="23">
        <v>21000000</v>
      </c>
      <c r="M338" s="24">
        <v>1.0491805714285714</v>
      </c>
      <c r="N338" s="25" t="str">
        <f>IFERROR(VLOOKUP(F338,Back!C:F,4,0),"NO")</f>
        <v>Si</v>
      </c>
      <c r="O338" s="26">
        <v>26</v>
      </c>
      <c r="P338" s="27" t="str">
        <f>IFERROR(VLOOKUP(F338,Back!C:E,3,0),"")</f>
        <v>Optica Salud Sura Chipichape</v>
      </c>
      <c r="Q338" s="27" t="str">
        <f>IFERROR(VLOOKUP(P338,Back!M:N,2,0),"")</f>
        <v>Occidente</v>
      </c>
      <c r="R338" s="27" t="str">
        <f>IF(N338="Si",IFERROR(VLOOKUP(F338,'TD Cumpl'!B:AB,27,0),"No Aplica"),"No Aplica")</f>
        <v>Siempre Cumple</v>
      </c>
      <c r="S338" s="38"/>
      <c r="T338" s="36"/>
      <c r="Y338" s="54">
        <f t="shared" si="11"/>
        <v>22571622</v>
      </c>
    </row>
    <row r="339" spans="1:25" x14ac:dyDescent="0.25">
      <c r="A339" s="20">
        <f>+VLOOKUP(D339,Back!Q:R,2,0)</f>
        <v>9</v>
      </c>
      <c r="B339" s="20" t="str">
        <f t="shared" si="10"/>
        <v>2016 SEP</v>
      </c>
      <c r="C339" s="20">
        <v>2016</v>
      </c>
      <c r="D339" s="21" t="s">
        <v>165</v>
      </c>
      <c r="E339" s="21" t="s">
        <v>72</v>
      </c>
      <c r="F339" s="21">
        <v>43636530</v>
      </c>
      <c r="G339" s="21" t="s">
        <v>483</v>
      </c>
      <c r="H339" s="22">
        <v>55090147</v>
      </c>
      <c r="I339" s="22">
        <v>3208200</v>
      </c>
      <c r="J339" s="22">
        <v>10929600</v>
      </c>
      <c r="K339" s="23">
        <v>40952347</v>
      </c>
      <c r="L339" s="23">
        <v>40000000</v>
      </c>
      <c r="M339" s="24">
        <v>1.0238086749999999</v>
      </c>
      <c r="N339" s="25" t="str">
        <f>IFERROR(VLOOKUP(F339,Back!C:F,4,0),"NO")</f>
        <v>NO</v>
      </c>
      <c r="O339" s="26">
        <v>26</v>
      </c>
      <c r="P339" s="27" t="str">
        <f>IFERROR(VLOOKUP(F339,Back!C:E,3,0),"")</f>
        <v/>
      </c>
      <c r="Q339" s="27" t="str">
        <f>IFERROR(VLOOKUP(P339,Back!M:N,2,0),"")</f>
        <v/>
      </c>
      <c r="R339" s="27" t="str">
        <f>IF(N339="Si",IFERROR(VLOOKUP(F339,'TD Cumpl'!B:AB,27,0),"No Aplica"),"No Aplica")</f>
        <v>No Aplica</v>
      </c>
      <c r="S339" s="38"/>
      <c r="T339" s="36"/>
      <c r="Y339" s="54">
        <f t="shared" si="11"/>
        <v>55090147</v>
      </c>
    </row>
    <row r="340" spans="1:25" x14ac:dyDescent="0.25">
      <c r="A340" s="20">
        <f>+VLOOKUP(D340,Back!Q:R,2,0)</f>
        <v>9</v>
      </c>
      <c r="B340" s="20" t="str">
        <f t="shared" si="10"/>
        <v>2016 SEP</v>
      </c>
      <c r="C340" s="20">
        <v>2016</v>
      </c>
      <c r="D340" s="21" t="s">
        <v>165</v>
      </c>
      <c r="E340" s="21" t="s">
        <v>7</v>
      </c>
      <c r="F340" s="21">
        <v>43745952</v>
      </c>
      <c r="G340" s="21" t="s">
        <v>50</v>
      </c>
      <c r="H340" s="22">
        <v>76045001</v>
      </c>
      <c r="I340" s="22">
        <v>1066200</v>
      </c>
      <c r="J340" s="22">
        <v>14223000</v>
      </c>
      <c r="K340" s="23">
        <v>60755801</v>
      </c>
      <c r="L340" s="23">
        <v>40100000</v>
      </c>
      <c r="M340" s="24">
        <v>1.5151072568578554</v>
      </c>
      <c r="N340" s="25" t="str">
        <f>IFERROR(VLOOKUP(F340,Back!C:F,4,0),"NO")</f>
        <v>Si</v>
      </c>
      <c r="O340" s="26">
        <v>26</v>
      </c>
      <c r="P340" s="27" t="str">
        <f>IFERROR(VLOOKUP(F340,Back!C:E,3,0),"")</f>
        <v>IPS Pto De Vista Unicentro</v>
      </c>
      <c r="Q340" s="27" t="str">
        <f>IFERROR(VLOOKUP(P340,Back!M:N,2,0),"")</f>
        <v>Antioquia</v>
      </c>
      <c r="R340" s="27" t="str">
        <f>IF(N340="Si",IFERROR(VLOOKUP(F340,'TD Cumpl'!B:AB,27,0),"No Aplica"),"No Aplica")</f>
        <v>Siempre Cumple</v>
      </c>
      <c r="S340" s="38"/>
      <c r="T340" s="36"/>
      <c r="Y340" s="54">
        <f t="shared" si="11"/>
        <v>76045001</v>
      </c>
    </row>
    <row r="341" spans="1:25" x14ac:dyDescent="0.25">
      <c r="A341" s="20">
        <f>+VLOOKUP(D341,Back!Q:R,2,0)</f>
        <v>9</v>
      </c>
      <c r="B341" s="20" t="str">
        <f t="shared" si="10"/>
        <v>2016 SEP</v>
      </c>
      <c r="C341" s="20">
        <v>2016</v>
      </c>
      <c r="D341" s="21" t="s">
        <v>165</v>
      </c>
      <c r="E341" s="21" t="s">
        <v>8</v>
      </c>
      <c r="F341" s="21">
        <v>43259130</v>
      </c>
      <c r="G341" s="21" t="s">
        <v>51</v>
      </c>
      <c r="H341" s="22">
        <v>52134248</v>
      </c>
      <c r="I341" s="22">
        <v>0</v>
      </c>
      <c r="J341" s="22">
        <v>11404400</v>
      </c>
      <c r="K341" s="23">
        <v>40729848</v>
      </c>
      <c r="L341" s="23">
        <v>40000000</v>
      </c>
      <c r="M341" s="24">
        <v>1.0182462000000001</v>
      </c>
      <c r="N341" s="25" t="str">
        <f>IFERROR(VLOOKUP(F341,Back!C:F,4,0),"NO")</f>
        <v>Si</v>
      </c>
      <c r="O341" s="26">
        <v>26</v>
      </c>
      <c r="P341" s="27" t="str">
        <f>IFERROR(VLOOKUP(F341,Back!C:E,3,0),"")</f>
        <v>IPS Pto De Vista Molinos</v>
      </c>
      <c r="Q341" s="27" t="str">
        <f>IFERROR(VLOOKUP(P341,Back!M:N,2,0),"")</f>
        <v>Antioquia</v>
      </c>
      <c r="R341" s="27" t="str">
        <f>IF(N341="Si",IFERROR(VLOOKUP(F341,'TD Cumpl'!B:AB,27,0),"No Aplica"),"No Aplica")</f>
        <v>Fluctúa</v>
      </c>
      <c r="S341" s="38"/>
      <c r="T341" s="36"/>
      <c r="Y341" s="54">
        <f t="shared" si="11"/>
        <v>52134248</v>
      </c>
    </row>
    <row r="342" spans="1:25" x14ac:dyDescent="0.25">
      <c r="A342" s="20">
        <f>+VLOOKUP(D342,Back!Q:R,2,0)</f>
        <v>10</v>
      </c>
      <c r="B342" s="20" t="str">
        <f t="shared" si="10"/>
        <v>2016 OCT</v>
      </c>
      <c r="C342" s="20">
        <v>2016</v>
      </c>
      <c r="D342" s="21" t="s">
        <v>173</v>
      </c>
      <c r="E342" s="21" t="s">
        <v>9</v>
      </c>
      <c r="F342" s="21">
        <v>43169964</v>
      </c>
      <c r="G342" s="21" t="s">
        <v>155</v>
      </c>
      <c r="H342" s="22">
        <v>41402930</v>
      </c>
      <c r="I342" s="22">
        <v>285400</v>
      </c>
      <c r="J342" s="22">
        <v>10922300</v>
      </c>
      <c r="K342" s="23">
        <v>30195230</v>
      </c>
      <c r="L342" s="23">
        <v>26000000</v>
      </c>
      <c r="M342" s="24">
        <v>1.1613549999999999</v>
      </c>
      <c r="N342" s="25" t="str">
        <f>IFERROR(VLOOKUP(F342,Back!C:F,4,0),"NO")</f>
        <v>Si</v>
      </c>
      <c r="O342" s="26">
        <v>25</v>
      </c>
      <c r="P342" s="27" t="str">
        <f>IFERROR(VLOOKUP(F342,Back!C:E,3,0),"")</f>
        <v>IPS Pto De Vista Molinos</v>
      </c>
      <c r="Q342" s="27" t="str">
        <f>IFERROR(VLOOKUP(P342,Back!M:N,2,0),"")</f>
        <v>Antioquia</v>
      </c>
      <c r="R342" s="27" t="str">
        <f>IF(N342="Si",IFERROR(VLOOKUP(F342,'TD Cumpl'!B:AB,27,0),"No Aplica"),"No Aplica")</f>
        <v>Cumple</v>
      </c>
      <c r="S342" s="38"/>
      <c r="T342" s="36"/>
      <c r="Y342" s="54">
        <f t="shared" si="11"/>
        <v>41402930</v>
      </c>
    </row>
    <row r="343" spans="1:25" x14ac:dyDescent="0.25">
      <c r="A343" s="20">
        <f>+VLOOKUP(D343,Back!Q:R,2,0)</f>
        <v>10</v>
      </c>
      <c r="B343" s="20" t="str">
        <f t="shared" si="10"/>
        <v>2016 OCT</v>
      </c>
      <c r="C343" s="20">
        <v>2016</v>
      </c>
      <c r="D343" s="21" t="s">
        <v>173</v>
      </c>
      <c r="E343" s="21" t="s">
        <v>11</v>
      </c>
      <c r="F343" s="21">
        <v>43253531</v>
      </c>
      <c r="G343" s="21" t="s">
        <v>39</v>
      </c>
      <c r="H343" s="22">
        <v>50481696</v>
      </c>
      <c r="I343" s="22">
        <v>2384900</v>
      </c>
      <c r="J343" s="22">
        <v>10837600</v>
      </c>
      <c r="K343" s="23">
        <v>37259196</v>
      </c>
      <c r="L343" s="23">
        <v>36960000</v>
      </c>
      <c r="M343" s="24">
        <v>1.0080951298701299</v>
      </c>
      <c r="N343" s="25" t="str">
        <f>IFERROR(VLOOKUP(F343,Back!C:F,4,0),"NO")</f>
        <v>Si</v>
      </c>
      <c r="O343" s="26">
        <v>25</v>
      </c>
      <c r="P343" s="27" t="str">
        <f>IFERROR(VLOOKUP(F343,Back!C:E,3,0),"")</f>
        <v>IPS Punto de Vista Bello</v>
      </c>
      <c r="Q343" s="27" t="str">
        <f>IFERROR(VLOOKUP(P343,Back!M:N,2,0),"")</f>
        <v>Antioquia</v>
      </c>
      <c r="R343" s="27" t="str">
        <f>IF(N343="Si",IFERROR(VLOOKUP(F343,'TD Cumpl'!B:AB,27,0),"No Aplica"),"No Aplica")</f>
        <v>Cumple</v>
      </c>
      <c r="S343" s="38"/>
      <c r="T343" s="36"/>
      <c r="Y343" s="54">
        <f t="shared" si="11"/>
        <v>50481696</v>
      </c>
    </row>
    <row r="344" spans="1:25" x14ac:dyDescent="0.25">
      <c r="A344" s="20">
        <f>+VLOOKUP(D344,Back!Q:R,2,0)</f>
        <v>10</v>
      </c>
      <c r="B344" s="20" t="str">
        <f t="shared" si="10"/>
        <v>2016 OCT</v>
      </c>
      <c r="C344" s="20">
        <v>2016</v>
      </c>
      <c r="D344" s="21" t="s">
        <v>173</v>
      </c>
      <c r="E344" s="21" t="s">
        <v>66</v>
      </c>
      <c r="F344" s="21">
        <v>3438422</v>
      </c>
      <c r="G344" s="21" t="s">
        <v>71</v>
      </c>
      <c r="H344" s="22">
        <v>36799990</v>
      </c>
      <c r="I344" s="22">
        <v>0</v>
      </c>
      <c r="J344" s="22">
        <v>6560100</v>
      </c>
      <c r="K344" s="23">
        <v>30239890</v>
      </c>
      <c r="L344" s="23">
        <v>30100000</v>
      </c>
      <c r="M344" s="24">
        <v>1.0046475083056479</v>
      </c>
      <c r="N344" s="25" t="str">
        <f>IFERROR(VLOOKUP(F344,Back!C:F,4,0),"NO")</f>
        <v>Si</v>
      </c>
      <c r="O344" s="26">
        <v>25</v>
      </c>
      <c r="P344" s="27" t="str">
        <f>IFERROR(VLOOKUP(F344,Back!C:E,3,0),"")</f>
        <v>IPS Pto De Vista Punto Clave</v>
      </c>
      <c r="Q344" s="27" t="str">
        <f>IFERROR(VLOOKUP(P344,Back!M:N,2,0),"")</f>
        <v>Antioquia</v>
      </c>
      <c r="R344" s="27" t="str">
        <f>IF(N344="Si",IFERROR(VLOOKUP(F344,'TD Cumpl'!B:AB,27,0),"No Aplica"),"No Aplica")</f>
        <v>Fluctúa</v>
      </c>
      <c r="S344" s="38"/>
      <c r="T344" s="36"/>
      <c r="Y344" s="54">
        <f t="shared" si="11"/>
        <v>36799990</v>
      </c>
    </row>
    <row r="345" spans="1:25" x14ac:dyDescent="0.25">
      <c r="A345" s="20">
        <f>+VLOOKUP(D345,Back!Q:R,2,0)</f>
        <v>10</v>
      </c>
      <c r="B345" s="20" t="str">
        <f t="shared" si="10"/>
        <v>2016 OCT</v>
      </c>
      <c r="C345" s="20">
        <v>2016</v>
      </c>
      <c r="D345" s="21" t="s">
        <v>173</v>
      </c>
      <c r="E345" s="21" t="s">
        <v>6</v>
      </c>
      <c r="F345" s="21">
        <v>43821410</v>
      </c>
      <c r="G345" s="21" t="s">
        <v>40</v>
      </c>
      <c r="H345" s="22">
        <v>76683289</v>
      </c>
      <c r="I345" s="22">
        <v>210000</v>
      </c>
      <c r="J345" s="22">
        <v>12560000</v>
      </c>
      <c r="K345" s="23">
        <v>63913289</v>
      </c>
      <c r="L345" s="23">
        <v>40100000</v>
      </c>
      <c r="M345" s="24">
        <v>1.5938476059850375</v>
      </c>
      <c r="N345" s="25" t="str">
        <f>IFERROR(VLOOKUP(F345,Back!C:F,4,0),"NO")</f>
        <v>Si</v>
      </c>
      <c r="O345" s="26">
        <v>25</v>
      </c>
      <c r="P345" s="27" t="str">
        <f>IFERROR(VLOOKUP(F345,Back!C:E,3,0),"")</f>
        <v>IPS Pto De Vista Unicentro</v>
      </c>
      <c r="Q345" s="27" t="str">
        <f>IFERROR(VLOOKUP(P345,Back!M:N,2,0),"")</f>
        <v>Antioquia</v>
      </c>
      <c r="R345" s="27" t="str">
        <f>IF(N345="Si",IFERROR(VLOOKUP(F345,'TD Cumpl'!B:AB,27,0),"No Aplica"),"No Aplica")</f>
        <v>Siempre Cumple</v>
      </c>
      <c r="S345" s="38"/>
      <c r="T345" s="36"/>
      <c r="Y345" s="54">
        <f t="shared" si="11"/>
        <v>76683289</v>
      </c>
    </row>
    <row r="346" spans="1:25" x14ac:dyDescent="0.25">
      <c r="A346" s="20">
        <f>+VLOOKUP(D346,Back!Q:R,2,0)</f>
        <v>10</v>
      </c>
      <c r="B346" s="20" t="str">
        <f t="shared" si="10"/>
        <v>2016 OCT</v>
      </c>
      <c r="C346" s="20">
        <v>2016</v>
      </c>
      <c r="D346" s="21" t="s">
        <v>173</v>
      </c>
      <c r="E346" s="21" t="s">
        <v>18</v>
      </c>
      <c r="F346" s="21">
        <v>39442617</v>
      </c>
      <c r="G346" s="21" t="s">
        <v>41</v>
      </c>
      <c r="H346" s="22">
        <v>59021184</v>
      </c>
      <c r="I346" s="22">
        <v>538700</v>
      </c>
      <c r="J346" s="22">
        <v>12024400</v>
      </c>
      <c r="K346" s="23">
        <v>46458084</v>
      </c>
      <c r="L346" s="23">
        <v>40000000</v>
      </c>
      <c r="M346" s="24">
        <v>1.1614521</v>
      </c>
      <c r="N346" s="25" t="str">
        <f>IFERROR(VLOOKUP(F346,Back!C:F,4,0),"NO")</f>
        <v>Si</v>
      </c>
      <c r="O346" s="26">
        <v>25</v>
      </c>
      <c r="P346" s="27" t="str">
        <f>IFERROR(VLOOKUP(F346,Back!C:E,3,0),"")</f>
        <v>IPS Pto De Vista San Diego</v>
      </c>
      <c r="Q346" s="27" t="str">
        <f>IFERROR(VLOOKUP(P346,Back!M:N,2,0),"")</f>
        <v>Antioquia</v>
      </c>
      <c r="R346" s="27" t="str">
        <f>IF(N346="Si",IFERROR(VLOOKUP(F346,'TD Cumpl'!B:AB,27,0),"No Aplica"),"No Aplica")</f>
        <v>Cumple</v>
      </c>
      <c r="S346" s="38"/>
      <c r="T346" s="36"/>
      <c r="Y346" s="54">
        <f t="shared" si="11"/>
        <v>59021184</v>
      </c>
    </row>
    <row r="347" spans="1:25" x14ac:dyDescent="0.25">
      <c r="A347" s="20">
        <f>+VLOOKUP(D347,Back!Q:R,2,0)</f>
        <v>10</v>
      </c>
      <c r="B347" s="20" t="str">
        <f t="shared" si="10"/>
        <v>2016 OCT</v>
      </c>
      <c r="C347" s="20">
        <v>2016</v>
      </c>
      <c r="D347" s="21" t="s">
        <v>173</v>
      </c>
      <c r="E347" s="21" t="s">
        <v>56</v>
      </c>
      <c r="F347" s="21">
        <v>43971430</v>
      </c>
      <c r="G347" s="21" t="s">
        <v>142</v>
      </c>
      <c r="H347" s="22">
        <v>60511087</v>
      </c>
      <c r="I347" s="22">
        <v>0</v>
      </c>
      <c r="J347" s="22">
        <v>16069000</v>
      </c>
      <c r="K347" s="23">
        <v>44442087</v>
      </c>
      <c r="L347" s="23">
        <v>40000000</v>
      </c>
      <c r="M347" s="24">
        <v>1.111052175</v>
      </c>
      <c r="N347" s="25" t="str">
        <f>IFERROR(VLOOKUP(F347,Back!C:F,4,0),"NO")</f>
        <v>Si</v>
      </c>
      <c r="O347" s="26">
        <v>25</v>
      </c>
      <c r="P347" s="27" t="str">
        <f>IFERROR(VLOOKUP(F347,Back!C:E,3,0),"")</f>
        <v>IPS Pto De Vista Centro</v>
      </c>
      <c r="Q347" s="27" t="str">
        <f>IFERROR(VLOOKUP(P347,Back!M:N,2,0),"")</f>
        <v>Antioquia</v>
      </c>
      <c r="R347" s="27" t="str">
        <f>IF(N347="Si",IFERROR(VLOOKUP(F347,'TD Cumpl'!B:AB,27,0),"No Aplica"),"No Aplica")</f>
        <v>Siempre Cumple</v>
      </c>
      <c r="S347" s="38"/>
      <c r="T347" s="36"/>
      <c r="Y347" s="54">
        <f t="shared" si="11"/>
        <v>60511087</v>
      </c>
    </row>
    <row r="348" spans="1:25" x14ac:dyDescent="0.25">
      <c r="A348" s="20">
        <f>+VLOOKUP(D348,Back!Q:R,2,0)</f>
        <v>10</v>
      </c>
      <c r="B348" s="20" t="str">
        <f t="shared" si="10"/>
        <v>2016 OCT</v>
      </c>
      <c r="C348" s="20">
        <v>2016</v>
      </c>
      <c r="D348" s="21" t="s">
        <v>173</v>
      </c>
      <c r="E348" s="21" t="s">
        <v>59</v>
      </c>
      <c r="F348" s="21">
        <v>1030634664</v>
      </c>
      <c r="G348" s="21" t="s">
        <v>58</v>
      </c>
      <c r="H348" s="22">
        <v>52364260</v>
      </c>
      <c r="I348" s="22">
        <v>705400</v>
      </c>
      <c r="J348" s="22">
        <v>11312900</v>
      </c>
      <c r="K348" s="23">
        <v>40345960</v>
      </c>
      <c r="L348" s="23">
        <v>40000000</v>
      </c>
      <c r="M348" s="24">
        <v>1.0086489999999999</v>
      </c>
      <c r="N348" s="25" t="str">
        <f>IFERROR(VLOOKUP(F348,Back!C:F,4,0),"NO")</f>
        <v>NO</v>
      </c>
      <c r="O348" s="26">
        <v>25</v>
      </c>
      <c r="P348" s="27" t="str">
        <f>IFERROR(VLOOKUP(F348,Back!C:E,3,0),"")</f>
        <v/>
      </c>
      <c r="Q348" s="27" t="str">
        <f>IFERROR(VLOOKUP(P348,Back!M:N,2,0),"")</f>
        <v/>
      </c>
      <c r="R348" s="27" t="str">
        <f>IF(N348="Si",IFERROR(VLOOKUP(F348,'TD Cumpl'!B:AB,27,0),"No Aplica"),"No Aplica")</f>
        <v>No Aplica</v>
      </c>
      <c r="S348" s="38"/>
      <c r="T348" s="36"/>
      <c r="Y348" s="54">
        <f t="shared" si="11"/>
        <v>52364260</v>
      </c>
    </row>
    <row r="349" spans="1:25" x14ac:dyDescent="0.25">
      <c r="A349" s="20">
        <f>+VLOOKUP(D349,Back!Q:R,2,0)</f>
        <v>10</v>
      </c>
      <c r="B349" s="20" t="str">
        <f t="shared" si="10"/>
        <v>2016 OCT</v>
      </c>
      <c r="C349" s="20">
        <v>2016</v>
      </c>
      <c r="D349" s="21" t="s">
        <v>173</v>
      </c>
      <c r="E349" s="21" t="s">
        <v>34</v>
      </c>
      <c r="F349" s="21">
        <v>43554403</v>
      </c>
      <c r="G349" s="21" t="s">
        <v>35</v>
      </c>
      <c r="H349" s="22">
        <v>55559653</v>
      </c>
      <c r="I349" s="22">
        <v>1101400</v>
      </c>
      <c r="J349" s="22">
        <v>13217933</v>
      </c>
      <c r="K349" s="23">
        <v>41240320</v>
      </c>
      <c r="L349" s="23">
        <v>40000000</v>
      </c>
      <c r="M349" s="24">
        <v>1.0310079999999999</v>
      </c>
      <c r="N349" s="25" t="str">
        <f>IFERROR(VLOOKUP(F349,Back!C:F,4,0),"NO")</f>
        <v>Si</v>
      </c>
      <c r="O349" s="26">
        <v>25</v>
      </c>
      <c r="P349" s="27" t="str">
        <f>IFERROR(VLOOKUP(F349,Back!C:E,3,0),"")</f>
        <v>IPS Pto De Vista Centro</v>
      </c>
      <c r="Q349" s="27" t="str">
        <f>IFERROR(VLOOKUP(P349,Back!M:N,2,0),"")</f>
        <v>Antioquia</v>
      </c>
      <c r="R349" s="27" t="str">
        <f>IF(N349="Si",IFERROR(VLOOKUP(F349,'TD Cumpl'!B:AB,27,0),"No Aplica"),"No Aplica")</f>
        <v>Siempre Cumple</v>
      </c>
      <c r="S349" s="38"/>
      <c r="T349" s="36"/>
      <c r="Y349" s="54">
        <f t="shared" si="11"/>
        <v>55559653</v>
      </c>
    </row>
    <row r="350" spans="1:25" x14ac:dyDescent="0.25">
      <c r="A350" s="20">
        <f>+VLOOKUP(D350,Back!Q:R,2,0)</f>
        <v>10</v>
      </c>
      <c r="B350" s="20" t="str">
        <f t="shared" si="10"/>
        <v>2016 OCT</v>
      </c>
      <c r="C350" s="20">
        <v>2016</v>
      </c>
      <c r="D350" s="21" t="s">
        <v>173</v>
      </c>
      <c r="E350" s="21" t="s">
        <v>1</v>
      </c>
      <c r="F350" s="21">
        <v>23857915</v>
      </c>
      <c r="G350" s="21" t="s">
        <v>116</v>
      </c>
      <c r="H350" s="22">
        <v>34088561</v>
      </c>
      <c r="I350" s="22">
        <v>716000</v>
      </c>
      <c r="J350" s="22">
        <v>6554100</v>
      </c>
      <c r="K350" s="23">
        <v>26818461</v>
      </c>
      <c r="L350" s="23">
        <v>26000000</v>
      </c>
      <c r="M350" s="24">
        <v>1.0314792692307693</v>
      </c>
      <c r="N350" s="25" t="str">
        <f>IFERROR(VLOOKUP(F350,Back!C:F,4,0),"NO")</f>
        <v>NO</v>
      </c>
      <c r="O350" s="26">
        <v>25</v>
      </c>
      <c r="P350" s="27" t="str">
        <f>IFERROR(VLOOKUP(F350,Back!C:E,3,0),"")</f>
        <v/>
      </c>
      <c r="Q350" s="27" t="str">
        <f>IFERROR(VLOOKUP(P350,Back!M:N,2,0),"")</f>
        <v/>
      </c>
      <c r="R350" s="27" t="str">
        <f>IF(N350="Si",IFERROR(VLOOKUP(F350,'TD Cumpl'!B:AB,27,0),"No Aplica"),"No Aplica")</f>
        <v>No Aplica</v>
      </c>
      <c r="S350" s="38"/>
      <c r="T350" s="36"/>
      <c r="Y350" s="54">
        <f t="shared" si="11"/>
        <v>34088561</v>
      </c>
    </row>
    <row r="351" spans="1:25" x14ac:dyDescent="0.25">
      <c r="A351" s="20">
        <f>+VLOOKUP(D351,Back!Q:R,2,0)</f>
        <v>10</v>
      </c>
      <c r="B351" s="20" t="str">
        <f t="shared" si="10"/>
        <v>2016 OCT</v>
      </c>
      <c r="C351" s="20">
        <v>2016</v>
      </c>
      <c r="D351" s="21" t="s">
        <v>173</v>
      </c>
      <c r="E351" s="21" t="s">
        <v>3</v>
      </c>
      <c r="F351" s="21">
        <v>52725011</v>
      </c>
      <c r="G351" s="21" t="s">
        <v>42</v>
      </c>
      <c r="H351" s="22">
        <v>30875201</v>
      </c>
      <c r="I351" s="22">
        <v>420000</v>
      </c>
      <c r="J351" s="22">
        <v>6320900</v>
      </c>
      <c r="K351" s="23">
        <v>24134301</v>
      </c>
      <c r="L351" s="23">
        <v>21840000</v>
      </c>
      <c r="M351" s="24">
        <v>1.1050504120879121</v>
      </c>
      <c r="N351" s="25" t="str">
        <f>IFERROR(VLOOKUP(F351,Back!C:F,4,0),"NO")</f>
        <v>Si</v>
      </c>
      <c r="O351" s="26">
        <v>25</v>
      </c>
      <c r="P351" s="27" t="str">
        <f>IFERROR(VLOOKUP(F351,Back!C:E,3,0),"")</f>
        <v>IPS Pto De Vista Olaya</v>
      </c>
      <c r="Q351" s="27" t="str">
        <f>IFERROR(VLOOKUP(P351,Back!M:N,2,0),"")</f>
        <v>Centro</v>
      </c>
      <c r="R351" s="27" t="str">
        <f>IF(N351="Si",IFERROR(VLOOKUP(F351,'TD Cumpl'!B:AB,27,0),"No Aplica"),"No Aplica")</f>
        <v>Fluctúa</v>
      </c>
      <c r="S351" s="38"/>
      <c r="T351" s="36"/>
      <c r="Y351" s="54">
        <f t="shared" si="11"/>
        <v>30875201</v>
      </c>
    </row>
    <row r="352" spans="1:25" x14ac:dyDescent="0.25">
      <c r="A352" s="20">
        <f>+VLOOKUP(D352,Back!Q:R,2,0)</f>
        <v>10</v>
      </c>
      <c r="B352" s="20" t="str">
        <f t="shared" si="10"/>
        <v>2016 OCT</v>
      </c>
      <c r="C352" s="20">
        <v>2016</v>
      </c>
      <c r="D352" s="21" t="s">
        <v>173</v>
      </c>
      <c r="E352" s="21" t="s">
        <v>25</v>
      </c>
      <c r="F352" s="21">
        <v>1040030764</v>
      </c>
      <c r="G352" s="21" t="s">
        <v>43</v>
      </c>
      <c r="H352" s="22">
        <v>41164018</v>
      </c>
      <c r="I352" s="22">
        <v>1479400</v>
      </c>
      <c r="J352" s="22">
        <v>7316643</v>
      </c>
      <c r="K352" s="23">
        <v>32367975</v>
      </c>
      <c r="L352" s="23">
        <v>30100000</v>
      </c>
      <c r="M352" s="24">
        <v>1.0753480066445182</v>
      </c>
      <c r="N352" s="25" t="str">
        <f>IFERROR(VLOOKUP(F352,Back!C:F,4,0),"NO")</f>
        <v>Si</v>
      </c>
      <c r="O352" s="26">
        <v>25</v>
      </c>
      <c r="P352" s="27" t="str">
        <f>IFERROR(VLOOKUP(F352,Back!C:E,3,0),"")</f>
        <v>IPS Pto De Vista Rionegro</v>
      </c>
      <c r="Q352" s="27" t="str">
        <f>IFERROR(VLOOKUP(P352,Back!M:N,2,0),"")</f>
        <v>Antioquia</v>
      </c>
      <c r="R352" s="27" t="str">
        <f>IF(N352="Si",IFERROR(VLOOKUP(F352,'TD Cumpl'!B:AB,27,0),"No Aplica"),"No Aplica")</f>
        <v>Cumple</v>
      </c>
      <c r="S352" s="38"/>
      <c r="T352" s="36"/>
      <c r="Y352" s="54">
        <f t="shared" si="11"/>
        <v>41164018</v>
      </c>
    </row>
    <row r="353" spans="1:25" x14ac:dyDescent="0.25">
      <c r="A353" s="20">
        <f>+VLOOKUP(D353,Back!Q:R,2,0)</f>
        <v>10</v>
      </c>
      <c r="B353" s="20" t="str">
        <f t="shared" si="10"/>
        <v>2016 OCT</v>
      </c>
      <c r="C353" s="20">
        <v>2016</v>
      </c>
      <c r="D353" s="21" t="s">
        <v>173</v>
      </c>
      <c r="E353" s="21" t="s">
        <v>33</v>
      </c>
      <c r="F353" s="21">
        <v>31307503</v>
      </c>
      <c r="G353" s="21" t="s">
        <v>36</v>
      </c>
      <c r="H353" s="22">
        <v>29222312</v>
      </c>
      <c r="I353" s="22">
        <v>0</v>
      </c>
      <c r="J353" s="22">
        <v>0</v>
      </c>
      <c r="K353" s="23">
        <v>29222312</v>
      </c>
      <c r="L353" s="23">
        <v>30100000</v>
      </c>
      <c r="M353" s="24">
        <v>0.97084093023255813</v>
      </c>
      <c r="N353" s="25" t="str">
        <f>IFERROR(VLOOKUP(F353,Back!C:F,4,0),"NO")</f>
        <v>NO</v>
      </c>
      <c r="O353" s="26">
        <v>25</v>
      </c>
      <c r="P353" s="27" t="str">
        <f>IFERROR(VLOOKUP(F353,Back!C:E,3,0),"")</f>
        <v/>
      </c>
      <c r="Q353" s="27" t="str">
        <f>IFERROR(VLOOKUP(P353,Back!M:N,2,0),"")</f>
        <v/>
      </c>
      <c r="R353" s="27" t="str">
        <f>IF(N353="Si",IFERROR(VLOOKUP(F353,'TD Cumpl'!B:AB,27,0),"No Aplica"),"No Aplica")</f>
        <v>No Aplica</v>
      </c>
      <c r="S353" s="38"/>
      <c r="T353" s="36"/>
      <c r="Y353" s="54">
        <f t="shared" si="11"/>
        <v>29222312</v>
      </c>
    </row>
    <row r="354" spans="1:25" x14ac:dyDescent="0.25">
      <c r="A354" s="20">
        <f>+VLOOKUP(D354,Back!Q:R,2,0)</f>
        <v>10</v>
      </c>
      <c r="B354" s="20" t="str">
        <f t="shared" si="10"/>
        <v>2016 OCT</v>
      </c>
      <c r="C354" s="20">
        <v>2016</v>
      </c>
      <c r="D354" s="21" t="s">
        <v>173</v>
      </c>
      <c r="E354" s="21" t="s">
        <v>22</v>
      </c>
      <c r="F354" s="21">
        <v>42164020</v>
      </c>
      <c r="G354" s="21" t="s">
        <v>105</v>
      </c>
      <c r="H354" s="22">
        <v>52088390</v>
      </c>
      <c r="I354" s="22">
        <v>1812400</v>
      </c>
      <c r="J354" s="22">
        <v>11279200</v>
      </c>
      <c r="K354" s="23">
        <v>38996790</v>
      </c>
      <c r="L354" s="23">
        <v>27360000</v>
      </c>
      <c r="M354" s="24">
        <v>1.4253212719298245</v>
      </c>
      <c r="N354" s="25" t="str">
        <f>IFERROR(VLOOKUP(F354,Back!C:F,4,0),"NO")</f>
        <v>Si</v>
      </c>
      <c r="O354" s="26">
        <v>25</v>
      </c>
      <c r="P354" s="27" t="str">
        <f>IFERROR(VLOOKUP(F354,Back!C:E,3,0),"")</f>
        <v>IPS Pto De Vista Molinos</v>
      </c>
      <c r="Q354" s="27" t="str">
        <f>IFERROR(VLOOKUP(P354,Back!M:N,2,0),"")</f>
        <v>Antioquia</v>
      </c>
      <c r="R354" s="27" t="str">
        <f>IF(N354="Si",IFERROR(VLOOKUP(F354,'TD Cumpl'!B:AB,27,0),"No Aplica"),"No Aplica")</f>
        <v>Siempre Cumple</v>
      </c>
      <c r="S354" s="38"/>
      <c r="T354" s="36"/>
      <c r="Y354" s="54">
        <f t="shared" si="11"/>
        <v>52088390</v>
      </c>
    </row>
    <row r="355" spans="1:25" x14ac:dyDescent="0.25">
      <c r="A355" s="20">
        <f>+VLOOKUP(D355,Back!Q:R,2,0)</f>
        <v>10</v>
      </c>
      <c r="B355" s="20" t="str">
        <f t="shared" si="10"/>
        <v>2016 OCT</v>
      </c>
      <c r="C355" s="20">
        <v>2016</v>
      </c>
      <c r="D355" s="21" t="s">
        <v>173</v>
      </c>
      <c r="E355" s="21" t="s">
        <v>21</v>
      </c>
      <c r="F355" s="21">
        <v>1035417626</v>
      </c>
      <c r="G355" s="21" t="s">
        <v>80</v>
      </c>
      <c r="H355" s="22">
        <v>57799245</v>
      </c>
      <c r="I355" s="22">
        <v>1478100</v>
      </c>
      <c r="J355" s="22">
        <v>12023400</v>
      </c>
      <c r="K355" s="23">
        <v>44297745</v>
      </c>
      <c r="L355" s="23">
        <v>38400000</v>
      </c>
      <c r="M355" s="24">
        <v>1.1535871093750001</v>
      </c>
      <c r="N355" s="25" t="str">
        <f>IFERROR(VLOOKUP(F355,Back!C:F,4,0),"NO")</f>
        <v>Si</v>
      </c>
      <c r="O355" s="26">
        <v>25</v>
      </c>
      <c r="P355" s="27" t="str">
        <f>IFERROR(VLOOKUP(F355,Back!C:E,3,0),"")</f>
        <v>IPS Pto De Vista Unicentro</v>
      </c>
      <c r="Q355" s="27" t="str">
        <f>IFERROR(VLOOKUP(P355,Back!M:N,2,0),"")</f>
        <v>Antioquia</v>
      </c>
      <c r="R355" s="27" t="str">
        <f>IF(N355="Si",IFERROR(VLOOKUP(F355,'TD Cumpl'!B:AB,27,0),"No Aplica"),"No Aplica")</f>
        <v>Cumple</v>
      </c>
      <c r="S355" s="38"/>
      <c r="T355" s="36"/>
      <c r="Y355" s="54">
        <f t="shared" si="11"/>
        <v>57799245</v>
      </c>
    </row>
    <row r="356" spans="1:25" x14ac:dyDescent="0.25">
      <c r="A356" s="20">
        <f>+VLOOKUP(D356,Back!Q:R,2,0)</f>
        <v>10</v>
      </c>
      <c r="B356" s="20" t="str">
        <f t="shared" si="10"/>
        <v>2016 OCT</v>
      </c>
      <c r="C356" s="20">
        <v>2016</v>
      </c>
      <c r="D356" s="21" t="s">
        <v>173</v>
      </c>
      <c r="E356" s="21" t="s">
        <v>81</v>
      </c>
      <c r="F356" s="21">
        <v>1017200970</v>
      </c>
      <c r="G356" s="21" t="s">
        <v>82</v>
      </c>
      <c r="H356" s="22">
        <v>51184149</v>
      </c>
      <c r="I356" s="22">
        <v>495400</v>
      </c>
      <c r="J356" s="22">
        <v>10706700</v>
      </c>
      <c r="K356" s="23">
        <v>39982049</v>
      </c>
      <c r="L356" s="23">
        <v>34272000</v>
      </c>
      <c r="M356" s="24">
        <v>1.166609739729225</v>
      </c>
      <c r="N356" s="25" t="str">
        <f>IFERROR(VLOOKUP(F356,Back!C:F,4,0),"NO")</f>
        <v>Si</v>
      </c>
      <c r="O356" s="26">
        <v>25</v>
      </c>
      <c r="P356" s="27" t="str">
        <f>IFERROR(VLOOKUP(F356,Back!C:E,3,0),"")</f>
        <v>IPS Pto De Vista San Diego</v>
      </c>
      <c r="Q356" s="27" t="str">
        <f>IFERROR(VLOOKUP(P356,Back!M:N,2,0),"")</f>
        <v>Antioquia</v>
      </c>
      <c r="R356" s="27" t="str">
        <f>IF(N356="Si",IFERROR(VLOOKUP(F356,'TD Cumpl'!B:AB,27,0),"No Aplica"),"No Aplica")</f>
        <v>Cumple</v>
      </c>
      <c r="S356" s="38"/>
      <c r="T356" s="36"/>
      <c r="Y356" s="54">
        <f t="shared" si="11"/>
        <v>51184149</v>
      </c>
    </row>
    <row r="357" spans="1:25" x14ac:dyDescent="0.25">
      <c r="A357" s="20">
        <f>+VLOOKUP(D357,Back!Q:R,2,0)</f>
        <v>10</v>
      </c>
      <c r="B357" s="20" t="str">
        <f t="shared" si="10"/>
        <v>2016 OCT</v>
      </c>
      <c r="C357" s="20">
        <v>2016</v>
      </c>
      <c r="D357" s="21" t="s">
        <v>173</v>
      </c>
      <c r="E357" s="21" t="s">
        <v>57</v>
      </c>
      <c r="F357" s="21">
        <v>43874518</v>
      </c>
      <c r="G357" s="21" t="s">
        <v>60</v>
      </c>
      <c r="H357" s="22">
        <v>48563976</v>
      </c>
      <c r="I357" s="22">
        <v>1628900</v>
      </c>
      <c r="J357" s="22">
        <v>10241400</v>
      </c>
      <c r="K357" s="23">
        <v>36693676</v>
      </c>
      <c r="L357" s="23">
        <v>36000000</v>
      </c>
      <c r="M357" s="24">
        <v>1.0192687777777778</v>
      </c>
      <c r="N357" s="25" t="str">
        <f>IFERROR(VLOOKUP(F357,Back!C:F,4,0),"NO")</f>
        <v>Si</v>
      </c>
      <c r="O357" s="26">
        <v>25</v>
      </c>
      <c r="P357" s="27" t="str">
        <f>IFERROR(VLOOKUP(F357,Back!C:E,3,0),"")</f>
        <v>IPS Pto De Vista Punto Clave</v>
      </c>
      <c r="Q357" s="27" t="str">
        <f>IFERROR(VLOOKUP(P357,Back!M:N,2,0),"")</f>
        <v>Antioquia</v>
      </c>
      <c r="R357" s="27" t="str">
        <f>IF(N357="Si",IFERROR(VLOOKUP(F357,'TD Cumpl'!B:AB,27,0),"No Aplica"),"No Aplica")</f>
        <v>Fluctúa</v>
      </c>
      <c r="S357" s="38"/>
      <c r="T357" s="36"/>
      <c r="Y357" s="54">
        <f t="shared" si="11"/>
        <v>48563976</v>
      </c>
    </row>
    <row r="358" spans="1:25" x14ac:dyDescent="0.25">
      <c r="A358" s="20">
        <f>+VLOOKUP(D358,Back!Q:R,2,0)</f>
        <v>10</v>
      </c>
      <c r="B358" s="20" t="str">
        <f t="shared" si="10"/>
        <v>2016 OCT</v>
      </c>
      <c r="C358" s="20">
        <v>2016</v>
      </c>
      <c r="D358" s="21" t="s">
        <v>173</v>
      </c>
      <c r="E358" s="21" t="s">
        <v>2</v>
      </c>
      <c r="F358" s="21">
        <v>52260671</v>
      </c>
      <c r="G358" s="21" t="s">
        <v>26</v>
      </c>
      <c r="H358" s="22">
        <v>34362795</v>
      </c>
      <c r="I358" s="22">
        <v>420000</v>
      </c>
      <c r="J358" s="22">
        <v>5146300</v>
      </c>
      <c r="K358" s="23">
        <v>28796495</v>
      </c>
      <c r="L358" s="23">
        <v>26000000</v>
      </c>
      <c r="M358" s="24">
        <v>1.1075575</v>
      </c>
      <c r="N358" s="25" t="str">
        <f>IFERROR(VLOOKUP(F358,Back!C:F,4,0),"NO")</f>
        <v>Si</v>
      </c>
      <c r="O358" s="26">
        <v>25</v>
      </c>
      <c r="P358" s="27" t="str">
        <f>IFERROR(VLOOKUP(F358,Back!C:E,3,0),"")</f>
        <v>IPS Pto De Vista Santa Bárbara</v>
      </c>
      <c r="Q358" s="27" t="str">
        <f>IFERROR(VLOOKUP(P358,Back!M:N,2,0),"")</f>
        <v>Centro</v>
      </c>
      <c r="R358" s="27" t="str">
        <f>IF(N358="Si",IFERROR(VLOOKUP(F358,'TD Cumpl'!B:AB,27,0),"No Aplica"),"No Aplica")</f>
        <v>Siempre Cumple</v>
      </c>
      <c r="S358" s="38"/>
      <c r="T358" s="36"/>
      <c r="Y358" s="54">
        <f t="shared" si="11"/>
        <v>34362795</v>
      </c>
    </row>
    <row r="359" spans="1:25" x14ac:dyDescent="0.25">
      <c r="A359" s="20">
        <f>+VLOOKUP(D359,Back!Q:R,2,0)</f>
        <v>10</v>
      </c>
      <c r="B359" s="20" t="str">
        <f t="shared" si="10"/>
        <v>2016 OCT</v>
      </c>
      <c r="C359" s="20">
        <v>2016</v>
      </c>
      <c r="D359" s="21" t="s">
        <v>173</v>
      </c>
      <c r="E359" s="21" t="s">
        <v>37</v>
      </c>
      <c r="F359" s="21">
        <v>1036779770</v>
      </c>
      <c r="G359" s="21" t="s">
        <v>52</v>
      </c>
      <c r="H359" s="22">
        <v>31495590</v>
      </c>
      <c r="I359" s="22">
        <v>1830800</v>
      </c>
      <c r="J359" s="22">
        <v>5438350</v>
      </c>
      <c r="K359" s="23">
        <v>24226440</v>
      </c>
      <c r="L359" s="23">
        <v>30100000</v>
      </c>
      <c r="M359" s="24">
        <v>0.80486511627906976</v>
      </c>
      <c r="N359" s="25" t="str">
        <f>IFERROR(VLOOKUP(F359,Back!C:F,4,0),"NO")</f>
        <v>No</v>
      </c>
      <c r="O359" s="26">
        <v>25</v>
      </c>
      <c r="P359" s="27" t="str">
        <f>IFERROR(VLOOKUP(F359,Back!C:E,3,0),"")</f>
        <v>IPS Pto De Vista Rionegro</v>
      </c>
      <c r="Q359" s="27" t="str">
        <f>IFERROR(VLOOKUP(P359,Back!M:N,2,0),"")</f>
        <v>Antioquia</v>
      </c>
      <c r="R359" s="27" t="str">
        <f>IF(N359="Si",IFERROR(VLOOKUP(F359,'TD Cumpl'!B:AB,27,0),"No Aplica"),"No Aplica")</f>
        <v>No Aplica</v>
      </c>
      <c r="S359" s="38"/>
      <c r="T359" s="36"/>
      <c r="Y359" s="54">
        <f t="shared" si="11"/>
        <v>31495590</v>
      </c>
    </row>
    <row r="360" spans="1:25" x14ac:dyDescent="0.25">
      <c r="A360" s="20">
        <f>+VLOOKUP(D360,Back!Q:R,2,0)</f>
        <v>10</v>
      </c>
      <c r="B360" s="20" t="str">
        <f t="shared" si="10"/>
        <v>2016 OCT</v>
      </c>
      <c r="C360" s="20">
        <v>2016</v>
      </c>
      <c r="D360" s="21" t="s">
        <v>173</v>
      </c>
      <c r="E360" s="21" t="s">
        <v>64</v>
      </c>
      <c r="F360" s="21">
        <v>1036598360</v>
      </c>
      <c r="G360" s="21" t="s">
        <v>146</v>
      </c>
      <c r="H360" s="22">
        <v>37828525</v>
      </c>
      <c r="I360" s="22">
        <v>792000</v>
      </c>
      <c r="J360" s="22">
        <v>6201500</v>
      </c>
      <c r="K360" s="23">
        <v>30835025</v>
      </c>
      <c r="L360" s="23">
        <v>30100000</v>
      </c>
      <c r="M360" s="24">
        <v>1.0244194352159468</v>
      </c>
      <c r="N360" s="25" t="str">
        <f>IFERROR(VLOOKUP(F360,Back!C:F,4,0),"NO")</f>
        <v>Si</v>
      </c>
      <c r="O360" s="26">
        <v>25</v>
      </c>
      <c r="P360" s="27" t="str">
        <f>IFERROR(VLOOKUP(F360,Back!C:E,3,0),"")</f>
        <v>IPS Pto De Vista Punto Clave</v>
      </c>
      <c r="Q360" s="27" t="str">
        <f>IFERROR(VLOOKUP(P360,Back!M:N,2,0),"")</f>
        <v>Antioquia</v>
      </c>
      <c r="R360" s="27" t="str">
        <f>IF(N360="Si",IFERROR(VLOOKUP(F360,'TD Cumpl'!B:AB,27,0),"No Aplica"),"No Aplica")</f>
        <v>Fluctúa</v>
      </c>
      <c r="S360" s="38"/>
      <c r="T360" s="36"/>
      <c r="Y360" s="54">
        <f t="shared" si="11"/>
        <v>37828525</v>
      </c>
    </row>
    <row r="361" spans="1:25" x14ac:dyDescent="0.25">
      <c r="A361" s="20">
        <f>+VLOOKUP(D361,Back!Q:R,2,0)</f>
        <v>10</v>
      </c>
      <c r="B361" s="20" t="str">
        <f t="shared" si="10"/>
        <v>2016 OCT</v>
      </c>
      <c r="C361" s="20">
        <v>2016</v>
      </c>
      <c r="D361" s="21" t="s">
        <v>173</v>
      </c>
      <c r="E361" s="21" t="s">
        <v>20</v>
      </c>
      <c r="F361" s="21">
        <v>1017141451</v>
      </c>
      <c r="G361" s="21" t="s">
        <v>44</v>
      </c>
      <c r="H361" s="22">
        <v>25891974</v>
      </c>
      <c r="I361" s="22">
        <v>1323200</v>
      </c>
      <c r="J361" s="22">
        <v>8078000</v>
      </c>
      <c r="K361" s="23">
        <v>16490774</v>
      </c>
      <c r="L361" s="23">
        <v>11520000</v>
      </c>
      <c r="M361" s="24">
        <v>1.4314907986111112</v>
      </c>
      <c r="N361" s="25" t="str">
        <f>IFERROR(VLOOKUP(F361,Back!C:F,4,0),"NO")</f>
        <v>Si</v>
      </c>
      <c r="O361" s="26">
        <v>25</v>
      </c>
      <c r="P361" s="27" t="str">
        <f>IFERROR(VLOOKUP(F361,Back!C:E,3,0),"")</f>
        <v>IPS Pto De Vista Molinos</v>
      </c>
      <c r="Q361" s="27" t="str">
        <f>IFERROR(VLOOKUP(P361,Back!M:N,2,0),"")</f>
        <v>Antioquia</v>
      </c>
      <c r="R361" s="27" t="str">
        <f>IF(N361="Si",IFERROR(VLOOKUP(F361,'TD Cumpl'!B:AB,27,0),"No Aplica"),"No Aplica")</f>
        <v>Siempre Cumple</v>
      </c>
      <c r="S361" s="38"/>
      <c r="T361" s="36"/>
      <c r="Y361" s="54">
        <f t="shared" si="11"/>
        <v>25891974</v>
      </c>
    </row>
    <row r="362" spans="1:25" x14ac:dyDescent="0.25">
      <c r="A362" s="20">
        <f>+VLOOKUP(D362,Back!Q:R,2,0)</f>
        <v>10</v>
      </c>
      <c r="B362" s="20" t="str">
        <f t="shared" si="10"/>
        <v>2016 OCT</v>
      </c>
      <c r="C362" s="20">
        <v>2016</v>
      </c>
      <c r="D362" s="21" t="s">
        <v>173</v>
      </c>
      <c r="E362" s="21" t="s">
        <v>38</v>
      </c>
      <c r="F362" s="21">
        <v>43745192</v>
      </c>
      <c r="G362" s="21" t="s">
        <v>45</v>
      </c>
      <c r="H362" s="22">
        <v>26213809</v>
      </c>
      <c r="I362" s="22">
        <v>178200</v>
      </c>
      <c r="J362" s="22">
        <v>0</v>
      </c>
      <c r="K362" s="23">
        <v>26035609</v>
      </c>
      <c r="L362" s="23">
        <v>21000000</v>
      </c>
      <c r="M362" s="24">
        <v>1.2397909047619047</v>
      </c>
      <c r="N362" s="25" t="str">
        <f>IFERROR(VLOOKUP(F362,Back!C:F,4,0),"NO")</f>
        <v>Si</v>
      </c>
      <c r="O362" s="26">
        <v>25</v>
      </c>
      <c r="P362" s="27" t="str">
        <f>IFERROR(VLOOKUP(F362,Back!C:E,3,0),"")</f>
        <v>IPS Punto de Vista Mayorca</v>
      </c>
      <c r="Q362" s="27" t="str">
        <f>IFERROR(VLOOKUP(P362,Back!M:N,2,0),"")</f>
        <v>Antioquia</v>
      </c>
      <c r="R362" s="27" t="str">
        <f>IF(N362="Si",IFERROR(VLOOKUP(F362,'TD Cumpl'!B:AB,27,0),"No Aplica"),"No Aplica")</f>
        <v>Cumple</v>
      </c>
      <c r="S362" s="38"/>
      <c r="T362" s="36"/>
      <c r="Y362" s="54">
        <f t="shared" si="11"/>
        <v>26213809</v>
      </c>
    </row>
    <row r="363" spans="1:25" x14ac:dyDescent="0.25">
      <c r="A363" s="20">
        <f>+VLOOKUP(D363,Back!Q:R,2,0)</f>
        <v>10</v>
      </c>
      <c r="B363" s="20" t="str">
        <f t="shared" si="10"/>
        <v>2016 OCT</v>
      </c>
      <c r="C363" s="20">
        <v>2016</v>
      </c>
      <c r="D363" s="21" t="s">
        <v>173</v>
      </c>
      <c r="E363" s="21" t="s">
        <v>13</v>
      </c>
      <c r="F363" s="21">
        <v>43866877</v>
      </c>
      <c r="G363" s="21" t="s">
        <v>46</v>
      </c>
      <c r="H363" s="22">
        <v>50785314</v>
      </c>
      <c r="I363" s="22">
        <v>420000</v>
      </c>
      <c r="J363" s="22">
        <v>9285500</v>
      </c>
      <c r="K363" s="23">
        <v>41079814</v>
      </c>
      <c r="L363" s="23">
        <v>40000000</v>
      </c>
      <c r="M363" s="24">
        <v>1.02699535</v>
      </c>
      <c r="N363" s="25" t="str">
        <f>IFERROR(VLOOKUP(F363,Back!C:F,4,0),"NO")</f>
        <v>Si</v>
      </c>
      <c r="O363" s="26">
        <v>25</v>
      </c>
      <c r="P363" s="27" t="str">
        <f>IFERROR(VLOOKUP(F363,Back!C:E,3,0),"")</f>
        <v>IPS Pto De Vista Centro</v>
      </c>
      <c r="Q363" s="27" t="str">
        <f>IFERROR(VLOOKUP(P363,Back!M:N,2,0),"")</f>
        <v>Antioquia</v>
      </c>
      <c r="R363" s="27" t="str">
        <f>IF(N363="Si",IFERROR(VLOOKUP(F363,'TD Cumpl'!B:AB,27,0),"No Aplica"),"No Aplica")</f>
        <v>Siempre Cumple</v>
      </c>
      <c r="S363" s="38"/>
      <c r="T363" s="36"/>
      <c r="Y363" s="54">
        <f t="shared" si="11"/>
        <v>50785314</v>
      </c>
    </row>
    <row r="364" spans="1:25" x14ac:dyDescent="0.25">
      <c r="A364" s="20">
        <f>+VLOOKUP(D364,Back!Q:R,2,0)</f>
        <v>10</v>
      </c>
      <c r="B364" s="20" t="str">
        <f t="shared" si="10"/>
        <v>2016 OCT</v>
      </c>
      <c r="C364" s="20">
        <v>2016</v>
      </c>
      <c r="D364" s="21" t="s">
        <v>173</v>
      </c>
      <c r="E364" s="21" t="s">
        <v>17</v>
      </c>
      <c r="F364" s="21">
        <v>43113640</v>
      </c>
      <c r="G364" s="21" t="s">
        <v>47</v>
      </c>
      <c r="H364" s="22">
        <v>22405984</v>
      </c>
      <c r="I364" s="22">
        <v>538700</v>
      </c>
      <c r="J364" s="22">
        <v>5944700</v>
      </c>
      <c r="K364" s="23">
        <v>15922584</v>
      </c>
      <c r="L364" s="23">
        <v>30100000</v>
      </c>
      <c r="M364" s="24">
        <v>0.52898950166112957</v>
      </c>
      <c r="N364" s="25" t="str">
        <f>IFERROR(VLOOKUP(F364,Back!C:F,4,0),"NO")</f>
        <v>Si</v>
      </c>
      <c r="O364" s="26">
        <v>25</v>
      </c>
      <c r="P364" s="27" t="str">
        <f>IFERROR(VLOOKUP(F364,Back!C:E,3,0),"")</f>
        <v>IPS Pto De Vista San Diego</v>
      </c>
      <c r="Q364" s="27" t="str">
        <f>IFERROR(VLOOKUP(P364,Back!M:N,2,0),"")</f>
        <v>Antioquia</v>
      </c>
      <c r="R364" s="27" t="str">
        <f>IF(N364="Si",IFERROR(VLOOKUP(F364,'TD Cumpl'!B:AB,27,0),"No Aplica"),"No Aplica")</f>
        <v>Cumple</v>
      </c>
      <c r="S364" s="38"/>
      <c r="T364" s="36"/>
      <c r="Y364" s="54">
        <f t="shared" si="11"/>
        <v>22405984</v>
      </c>
    </row>
    <row r="365" spans="1:25" x14ac:dyDescent="0.25">
      <c r="A365" s="20">
        <f>+VLOOKUP(D365,Back!Q:R,2,0)</f>
        <v>10</v>
      </c>
      <c r="B365" s="20" t="str">
        <f t="shared" si="10"/>
        <v>2016 OCT</v>
      </c>
      <c r="C365" s="20">
        <v>2016</v>
      </c>
      <c r="D365" s="21" t="s">
        <v>173</v>
      </c>
      <c r="E365" s="21" t="s">
        <v>24</v>
      </c>
      <c r="F365" s="21">
        <v>39448823</v>
      </c>
      <c r="G365" s="21" t="s">
        <v>48</v>
      </c>
      <c r="H365" s="22">
        <v>35852219</v>
      </c>
      <c r="I365" s="22">
        <v>0</v>
      </c>
      <c r="J365" s="22">
        <v>5179012</v>
      </c>
      <c r="K365" s="23">
        <v>30673207</v>
      </c>
      <c r="L365" s="23">
        <v>30100000</v>
      </c>
      <c r="M365" s="24">
        <v>1.0190434219269102</v>
      </c>
      <c r="N365" s="25" t="str">
        <f>IFERROR(VLOOKUP(F365,Back!C:F,4,0),"NO")</f>
        <v>Si</v>
      </c>
      <c r="O365" s="26">
        <v>25</v>
      </c>
      <c r="P365" s="27" t="str">
        <f>IFERROR(VLOOKUP(F365,Back!C:E,3,0),"")</f>
        <v>IPS Pto De Vista Rionegro</v>
      </c>
      <c r="Q365" s="27" t="str">
        <f>IFERROR(VLOOKUP(P365,Back!M:N,2,0),"")</f>
        <v>Antioquia</v>
      </c>
      <c r="R365" s="27" t="str">
        <f>IF(N365="Si",IFERROR(VLOOKUP(F365,'TD Cumpl'!B:AB,27,0),"No Aplica"),"No Aplica")</f>
        <v>Siempre Cumple</v>
      </c>
      <c r="S365" s="38"/>
      <c r="T365" s="36"/>
      <c r="Y365" s="54">
        <f t="shared" si="11"/>
        <v>35852219</v>
      </c>
    </row>
    <row r="366" spans="1:25" x14ac:dyDescent="0.25">
      <c r="A366" s="20">
        <f>+VLOOKUP(D366,Back!Q:R,2,0)</f>
        <v>10</v>
      </c>
      <c r="B366" s="20" t="str">
        <f t="shared" si="10"/>
        <v>2016 OCT</v>
      </c>
      <c r="C366" s="20">
        <v>2016</v>
      </c>
      <c r="D366" s="21" t="s">
        <v>173</v>
      </c>
      <c r="E366" s="21" t="s">
        <v>10</v>
      </c>
      <c r="F366" s="21">
        <v>43109744</v>
      </c>
      <c r="G366" s="21" t="s">
        <v>53</v>
      </c>
      <c r="H366" s="22">
        <v>52574423</v>
      </c>
      <c r="I366" s="22">
        <v>408000</v>
      </c>
      <c r="J366" s="22">
        <v>11352056</v>
      </c>
      <c r="K366" s="23">
        <v>40814367</v>
      </c>
      <c r="L366" s="23">
        <v>40000000</v>
      </c>
      <c r="M366" s="24">
        <v>1.0203591750000001</v>
      </c>
      <c r="N366" s="25" t="str">
        <f>IFERROR(VLOOKUP(F366,Back!C:F,4,0),"NO")</f>
        <v>NO</v>
      </c>
      <c r="O366" s="26">
        <v>25</v>
      </c>
      <c r="P366" s="27" t="str">
        <f>IFERROR(VLOOKUP(F366,Back!C:E,3,0),"")</f>
        <v/>
      </c>
      <c r="Q366" s="27" t="str">
        <f>IFERROR(VLOOKUP(P366,Back!M:N,2,0),"")</f>
        <v/>
      </c>
      <c r="R366" s="27" t="str">
        <f>IF(N366="Si",IFERROR(VLOOKUP(F366,'TD Cumpl'!B:AB,27,0),"No Aplica"),"No Aplica")</f>
        <v>No Aplica</v>
      </c>
      <c r="S366" s="38"/>
      <c r="T366" s="36"/>
      <c r="Y366" s="54">
        <f t="shared" si="11"/>
        <v>52574423</v>
      </c>
    </row>
    <row r="367" spans="1:25" x14ac:dyDescent="0.25">
      <c r="A367" s="20">
        <f>+VLOOKUP(D367,Back!Q:R,2,0)</f>
        <v>10</v>
      </c>
      <c r="B367" s="20" t="str">
        <f t="shared" si="10"/>
        <v>2016 OCT</v>
      </c>
      <c r="C367" s="20">
        <v>2016</v>
      </c>
      <c r="D367" s="21" t="s">
        <v>173</v>
      </c>
      <c r="E367" s="21" t="s">
        <v>15</v>
      </c>
      <c r="F367" s="21">
        <v>42689970</v>
      </c>
      <c r="G367" s="21" t="s">
        <v>29</v>
      </c>
      <c r="H367" s="22">
        <v>58751420</v>
      </c>
      <c r="I367" s="22">
        <v>796800</v>
      </c>
      <c r="J367" s="22">
        <v>11915478</v>
      </c>
      <c r="K367" s="23">
        <v>46039142</v>
      </c>
      <c r="L367" s="23">
        <v>40000000</v>
      </c>
      <c r="M367" s="24">
        <v>1.15097855</v>
      </c>
      <c r="N367" s="25" t="str">
        <f>IFERROR(VLOOKUP(F367,Back!C:F,4,0),"NO")</f>
        <v>NO</v>
      </c>
      <c r="O367" s="26">
        <v>25</v>
      </c>
      <c r="P367" s="27" t="str">
        <f>IFERROR(VLOOKUP(F367,Back!C:E,3,0),"")</f>
        <v/>
      </c>
      <c r="Q367" s="27" t="str">
        <f>IFERROR(VLOOKUP(P367,Back!M:N,2,0),"")</f>
        <v/>
      </c>
      <c r="R367" s="27" t="str">
        <f>IF(N367="Si",IFERROR(VLOOKUP(F367,'TD Cumpl'!B:AB,27,0),"No Aplica"),"No Aplica")</f>
        <v>No Aplica</v>
      </c>
      <c r="S367" s="38"/>
      <c r="T367" s="36"/>
      <c r="Y367" s="54">
        <f t="shared" si="11"/>
        <v>58751420</v>
      </c>
    </row>
    <row r="368" spans="1:25" x14ac:dyDescent="0.25">
      <c r="A368" s="20">
        <f>+VLOOKUP(D368,Back!Q:R,2,0)</f>
        <v>10</v>
      </c>
      <c r="B368" s="20" t="str">
        <f t="shared" si="10"/>
        <v>2016 OCT</v>
      </c>
      <c r="C368" s="20">
        <v>2016</v>
      </c>
      <c r="D368" s="21" t="s">
        <v>173</v>
      </c>
      <c r="E368" s="21" t="s">
        <v>23</v>
      </c>
      <c r="F368" s="21">
        <v>43907427</v>
      </c>
      <c r="G368" s="21" t="s">
        <v>144</v>
      </c>
      <c r="H368" s="22">
        <v>33798382</v>
      </c>
      <c r="I368" s="22">
        <v>256860</v>
      </c>
      <c r="J368" s="22">
        <v>5179300</v>
      </c>
      <c r="K368" s="23">
        <v>28362222</v>
      </c>
      <c r="L368" s="23">
        <v>27360000</v>
      </c>
      <c r="M368" s="24">
        <v>1.0366309210526317</v>
      </c>
      <c r="N368" s="25" t="str">
        <f>IFERROR(VLOOKUP(F368,Back!C:F,4,0),"NO")</f>
        <v>Si</v>
      </c>
      <c r="O368" s="26">
        <v>25</v>
      </c>
      <c r="P368" s="27" t="str">
        <f>IFERROR(VLOOKUP(F368,Back!C:E,3,0),"")</f>
        <v>IPS Pto De Vista Industriales</v>
      </c>
      <c r="Q368" s="27" t="str">
        <f>IFERROR(VLOOKUP(P368,Back!M:N,2,0),"")</f>
        <v>Antioquia</v>
      </c>
      <c r="R368" s="27" t="str">
        <f>IF(N368="Si",IFERROR(VLOOKUP(F368,'TD Cumpl'!B:AB,27,0),"No Aplica"),"No Aplica")</f>
        <v>Siempre Cumple</v>
      </c>
      <c r="S368" s="38"/>
      <c r="T368" s="36"/>
      <c r="Y368" s="54">
        <f t="shared" si="11"/>
        <v>33798382</v>
      </c>
    </row>
    <row r="369" spans="1:25" x14ac:dyDescent="0.25">
      <c r="A369" s="20">
        <f>+VLOOKUP(D369,Back!Q:R,2,0)</f>
        <v>10</v>
      </c>
      <c r="B369" s="20" t="str">
        <f t="shared" si="10"/>
        <v>2016 OCT</v>
      </c>
      <c r="C369" s="20">
        <v>2016</v>
      </c>
      <c r="D369" s="21" t="s">
        <v>173</v>
      </c>
      <c r="E369" s="21" t="s">
        <v>12</v>
      </c>
      <c r="F369" s="21">
        <v>91511871</v>
      </c>
      <c r="G369" s="21" t="s">
        <v>49</v>
      </c>
      <c r="H369" s="22">
        <v>37832428</v>
      </c>
      <c r="I369" s="22">
        <v>974000</v>
      </c>
      <c r="J369" s="22">
        <v>10552500</v>
      </c>
      <c r="K369" s="23">
        <v>26305928</v>
      </c>
      <c r="L369" s="23">
        <v>26000000</v>
      </c>
      <c r="M369" s="24">
        <v>1.0117664615384616</v>
      </c>
      <c r="N369" s="25" t="str">
        <f>IFERROR(VLOOKUP(F369,Back!C:F,4,0),"NO")</f>
        <v>NO</v>
      </c>
      <c r="O369" s="26">
        <v>25</v>
      </c>
      <c r="P369" s="27" t="str">
        <f>IFERROR(VLOOKUP(F369,Back!C:E,3,0),"")</f>
        <v/>
      </c>
      <c r="Q369" s="27" t="str">
        <f>IFERROR(VLOOKUP(P369,Back!M:N,2,0),"")</f>
        <v/>
      </c>
      <c r="R369" s="27" t="str">
        <f>IF(N369="Si",IFERROR(VLOOKUP(F369,'TD Cumpl'!B:AB,27,0),"No Aplica"),"No Aplica")</f>
        <v>No Aplica</v>
      </c>
      <c r="S369" s="38"/>
      <c r="T369" s="36"/>
      <c r="Y369" s="54">
        <f t="shared" si="11"/>
        <v>37832428</v>
      </c>
    </row>
    <row r="370" spans="1:25" x14ac:dyDescent="0.25">
      <c r="A370" s="20">
        <f>+VLOOKUP(D370,Back!Q:R,2,0)</f>
        <v>10</v>
      </c>
      <c r="B370" s="20" t="str">
        <f t="shared" si="10"/>
        <v>2016 OCT</v>
      </c>
      <c r="C370" s="20">
        <v>2016</v>
      </c>
      <c r="D370" s="21" t="s">
        <v>173</v>
      </c>
      <c r="E370" s="21" t="s">
        <v>62</v>
      </c>
      <c r="F370" s="21">
        <v>32256379</v>
      </c>
      <c r="G370" s="21" t="s">
        <v>61</v>
      </c>
      <c r="H370" s="22">
        <v>30089200</v>
      </c>
      <c r="I370" s="22">
        <v>0</v>
      </c>
      <c r="J370" s="22">
        <v>3013000</v>
      </c>
      <c r="K370" s="23">
        <v>27076200</v>
      </c>
      <c r="L370" s="23">
        <v>40100000</v>
      </c>
      <c r="M370" s="24">
        <v>0.67521695760598499</v>
      </c>
      <c r="N370" s="25" t="str">
        <f>IFERROR(VLOOKUP(F370,Back!C:F,4,0),"NO")</f>
        <v>Si</v>
      </c>
      <c r="O370" s="26">
        <v>25</v>
      </c>
      <c r="P370" s="27" t="str">
        <f>IFERROR(VLOOKUP(F370,Back!C:E,3,0),"")</f>
        <v>Ferias Empresariales Antioquia</v>
      </c>
      <c r="Q370" s="27" t="str">
        <f>IFERROR(VLOOKUP(P370,Back!M:N,2,0),"")</f>
        <v>Antioquia</v>
      </c>
      <c r="R370" s="27" t="str">
        <f>IF(N370="Si",IFERROR(VLOOKUP(F370,'TD Cumpl'!B:AB,27,0),"No Aplica"),"No Aplica")</f>
        <v>Fluctúa</v>
      </c>
      <c r="S370" s="38"/>
      <c r="T370" s="36"/>
      <c r="Y370" s="54">
        <f t="shared" si="11"/>
        <v>30089200</v>
      </c>
    </row>
    <row r="371" spans="1:25" x14ac:dyDescent="0.25">
      <c r="A371" s="20">
        <f>+VLOOKUP(D371,Back!Q:R,2,0)</f>
        <v>10</v>
      </c>
      <c r="B371" s="20" t="str">
        <f t="shared" si="10"/>
        <v>2016 OCT</v>
      </c>
      <c r="C371" s="20">
        <v>2016</v>
      </c>
      <c r="D371" s="21" t="s">
        <v>173</v>
      </c>
      <c r="E371" s="21" t="s">
        <v>4</v>
      </c>
      <c r="F371" s="21">
        <v>79701425</v>
      </c>
      <c r="G371" s="21" t="s">
        <v>27</v>
      </c>
      <c r="H371" s="22">
        <v>26159388</v>
      </c>
      <c r="I371" s="22">
        <v>544000</v>
      </c>
      <c r="J371" s="22">
        <v>6251900</v>
      </c>
      <c r="K371" s="23">
        <v>19363488</v>
      </c>
      <c r="L371" s="23">
        <v>15960000</v>
      </c>
      <c r="M371" s="24">
        <v>1.2132511278195488</v>
      </c>
      <c r="N371" s="25" t="str">
        <f>IFERROR(VLOOKUP(F371,Back!C:F,4,0),"NO")</f>
        <v>No</v>
      </c>
      <c r="O371" s="26">
        <v>25</v>
      </c>
      <c r="P371" s="27" t="str">
        <f>IFERROR(VLOOKUP(F371,Back!C:E,3,0),"")</f>
        <v>IPS Pto De Vista Olaya</v>
      </c>
      <c r="Q371" s="27" t="str">
        <f>IFERROR(VLOOKUP(P371,Back!M:N,2,0),"")</f>
        <v>Centro</v>
      </c>
      <c r="R371" s="27" t="str">
        <f>IF(N371="Si",IFERROR(VLOOKUP(F371,'TD Cumpl'!B:AB,27,0),"No Aplica"),"No Aplica")</f>
        <v>No Aplica</v>
      </c>
      <c r="S371" s="38"/>
      <c r="T371" s="36"/>
      <c r="Y371" s="54">
        <f t="shared" si="11"/>
        <v>26159388</v>
      </c>
    </row>
    <row r="372" spans="1:25" x14ac:dyDescent="0.25">
      <c r="A372" s="20">
        <f>+VLOOKUP(D372,Back!Q:R,2,0)</f>
        <v>10</v>
      </c>
      <c r="B372" s="20" t="str">
        <f t="shared" si="10"/>
        <v>2016 OCT</v>
      </c>
      <c r="C372" s="20">
        <v>2016</v>
      </c>
      <c r="D372" s="21" t="s">
        <v>173</v>
      </c>
      <c r="E372" s="21" t="s">
        <v>5</v>
      </c>
      <c r="F372" s="21">
        <v>34542470</v>
      </c>
      <c r="G372" s="21" t="s">
        <v>28</v>
      </c>
      <c r="H372" s="22">
        <v>25366379</v>
      </c>
      <c r="I372" s="22">
        <v>1374030</v>
      </c>
      <c r="J372" s="22">
        <v>0</v>
      </c>
      <c r="K372" s="23">
        <v>23992349</v>
      </c>
      <c r="L372" s="23">
        <v>21000000</v>
      </c>
      <c r="M372" s="24">
        <v>1.1424928095238096</v>
      </c>
      <c r="N372" s="25" t="str">
        <f>IFERROR(VLOOKUP(F372,Back!C:F,4,0),"NO")</f>
        <v>Si</v>
      </c>
      <c r="O372" s="26">
        <v>25</v>
      </c>
      <c r="P372" s="27" t="str">
        <f>IFERROR(VLOOKUP(F372,Back!C:E,3,0),"")</f>
        <v>Optica Salud Sura Chipichape</v>
      </c>
      <c r="Q372" s="27" t="str">
        <f>IFERROR(VLOOKUP(P372,Back!M:N,2,0),"")</f>
        <v>Occidente</v>
      </c>
      <c r="R372" s="27" t="str">
        <f>IF(N372="Si",IFERROR(VLOOKUP(F372,'TD Cumpl'!B:AB,27,0),"No Aplica"),"No Aplica")</f>
        <v>Siempre Cumple</v>
      </c>
      <c r="S372" s="38"/>
      <c r="T372" s="36"/>
      <c r="Y372" s="54">
        <f t="shared" si="11"/>
        <v>25366379</v>
      </c>
    </row>
    <row r="373" spans="1:25" x14ac:dyDescent="0.25">
      <c r="A373" s="20">
        <f>+VLOOKUP(D373,Back!Q:R,2,0)</f>
        <v>10</v>
      </c>
      <c r="B373" s="20" t="str">
        <f t="shared" si="10"/>
        <v>2016 OCT</v>
      </c>
      <c r="C373" s="20">
        <v>2016</v>
      </c>
      <c r="D373" s="21" t="s">
        <v>173</v>
      </c>
      <c r="E373" s="21" t="s">
        <v>72</v>
      </c>
      <c r="F373" s="21">
        <v>43636530</v>
      </c>
      <c r="G373" s="21" t="s">
        <v>483</v>
      </c>
      <c r="H373" s="22">
        <v>50117791</v>
      </c>
      <c r="I373" s="22">
        <v>891400</v>
      </c>
      <c r="J373" s="22">
        <v>11062900</v>
      </c>
      <c r="K373" s="23">
        <v>38163491</v>
      </c>
      <c r="L373" s="23">
        <v>40000000</v>
      </c>
      <c r="M373" s="24">
        <v>0.95408727500000001</v>
      </c>
      <c r="N373" s="25" t="str">
        <f>IFERROR(VLOOKUP(F373,Back!C:F,4,0),"NO")</f>
        <v>NO</v>
      </c>
      <c r="O373" s="26">
        <v>25</v>
      </c>
      <c r="P373" s="27" t="str">
        <f>IFERROR(VLOOKUP(F373,Back!C:E,3,0),"")</f>
        <v/>
      </c>
      <c r="Q373" s="27" t="str">
        <f>IFERROR(VLOOKUP(P373,Back!M:N,2,0),"")</f>
        <v/>
      </c>
      <c r="R373" s="27" t="str">
        <f>IF(N373="Si",IFERROR(VLOOKUP(F373,'TD Cumpl'!B:AB,27,0),"No Aplica"),"No Aplica")</f>
        <v>No Aplica</v>
      </c>
      <c r="S373" s="38"/>
      <c r="T373" s="36"/>
      <c r="Y373" s="54">
        <f t="shared" si="11"/>
        <v>50117791</v>
      </c>
    </row>
    <row r="374" spans="1:25" x14ac:dyDescent="0.25">
      <c r="A374" s="20">
        <f>+VLOOKUP(D374,Back!Q:R,2,0)</f>
        <v>10</v>
      </c>
      <c r="B374" s="20" t="str">
        <f t="shared" si="10"/>
        <v>2016 OCT</v>
      </c>
      <c r="C374" s="20">
        <v>2016</v>
      </c>
      <c r="D374" s="21" t="s">
        <v>173</v>
      </c>
      <c r="E374" s="21" t="s">
        <v>7</v>
      </c>
      <c r="F374" s="21">
        <v>43745952</v>
      </c>
      <c r="G374" s="21" t="s">
        <v>50</v>
      </c>
      <c r="H374" s="22">
        <v>78430164</v>
      </c>
      <c r="I374" s="22">
        <v>2553800</v>
      </c>
      <c r="J374" s="22">
        <v>15969200</v>
      </c>
      <c r="K374" s="23">
        <v>59907164</v>
      </c>
      <c r="L374" s="23">
        <v>40100000</v>
      </c>
      <c r="M374" s="24">
        <v>1.4939442394014963</v>
      </c>
      <c r="N374" s="25" t="str">
        <f>IFERROR(VLOOKUP(F374,Back!C:F,4,0),"NO")</f>
        <v>Si</v>
      </c>
      <c r="O374" s="26">
        <v>25</v>
      </c>
      <c r="P374" s="27" t="str">
        <f>IFERROR(VLOOKUP(F374,Back!C:E,3,0),"")</f>
        <v>IPS Pto De Vista Unicentro</v>
      </c>
      <c r="Q374" s="27" t="str">
        <f>IFERROR(VLOOKUP(P374,Back!M:N,2,0),"")</f>
        <v>Antioquia</v>
      </c>
      <c r="R374" s="27" t="str">
        <f>IF(N374="Si",IFERROR(VLOOKUP(F374,'TD Cumpl'!B:AB,27,0),"No Aplica"),"No Aplica")</f>
        <v>Siempre Cumple</v>
      </c>
      <c r="S374" s="38"/>
      <c r="T374" s="36"/>
      <c r="Y374" s="54">
        <f t="shared" si="11"/>
        <v>78430164</v>
      </c>
    </row>
    <row r="375" spans="1:25" x14ac:dyDescent="0.25">
      <c r="A375" s="20">
        <f>+VLOOKUP(D375,Back!Q:R,2,0)</f>
        <v>10</v>
      </c>
      <c r="B375" s="20" t="str">
        <f t="shared" si="10"/>
        <v>2016 OCT</v>
      </c>
      <c r="C375" s="20">
        <v>2016</v>
      </c>
      <c r="D375" s="21" t="s">
        <v>173</v>
      </c>
      <c r="E375" s="21" t="s">
        <v>8</v>
      </c>
      <c r="F375" s="21">
        <v>43259130</v>
      </c>
      <c r="G375" s="21" t="s">
        <v>51</v>
      </c>
      <c r="H375" s="22">
        <v>60974849</v>
      </c>
      <c r="I375" s="22">
        <v>840000</v>
      </c>
      <c r="J375" s="22">
        <v>13786600</v>
      </c>
      <c r="K375" s="23">
        <v>46348249</v>
      </c>
      <c r="L375" s="23">
        <v>40100000</v>
      </c>
      <c r="M375" s="24">
        <v>1.1558166832917707</v>
      </c>
      <c r="N375" s="25" t="str">
        <f>IFERROR(VLOOKUP(F375,Back!C:F,4,0),"NO")</f>
        <v>Si</v>
      </c>
      <c r="O375" s="26">
        <v>25</v>
      </c>
      <c r="P375" s="27" t="str">
        <f>IFERROR(VLOOKUP(F375,Back!C:E,3,0),"")</f>
        <v>IPS Pto De Vista Molinos</v>
      </c>
      <c r="Q375" s="27" t="str">
        <f>IFERROR(VLOOKUP(P375,Back!M:N,2,0),"")</f>
        <v>Antioquia</v>
      </c>
      <c r="R375" s="27" t="str">
        <f>IF(N375="Si",IFERROR(VLOOKUP(F375,'TD Cumpl'!B:AB,27,0),"No Aplica"),"No Aplica")</f>
        <v>Fluctúa</v>
      </c>
      <c r="S375" s="38"/>
      <c r="T375" s="36"/>
      <c r="Y375" s="54">
        <f t="shared" si="11"/>
        <v>60974849</v>
      </c>
    </row>
    <row r="376" spans="1:25" x14ac:dyDescent="0.25">
      <c r="A376" s="20">
        <f>+VLOOKUP(D376,Back!Q:R,2,0)</f>
        <v>11</v>
      </c>
      <c r="B376" s="20" t="str">
        <f t="shared" si="10"/>
        <v>2016 NOV</v>
      </c>
      <c r="C376" s="20">
        <v>2016</v>
      </c>
      <c r="D376" s="21" t="s">
        <v>175</v>
      </c>
      <c r="E376" s="21" t="s">
        <v>9</v>
      </c>
      <c r="F376" s="21">
        <v>43169964</v>
      </c>
      <c r="G376" s="21" t="s">
        <v>155</v>
      </c>
      <c r="H376" s="22">
        <v>42497642</v>
      </c>
      <c r="I376" s="22">
        <v>572700</v>
      </c>
      <c r="J376" s="22">
        <v>12638300</v>
      </c>
      <c r="K376" s="23">
        <v>29286642</v>
      </c>
      <c r="L376" s="23">
        <v>26000000</v>
      </c>
      <c r="M376" s="24">
        <v>1.1264093076923076</v>
      </c>
      <c r="N376" s="25" t="str">
        <f>IFERROR(VLOOKUP(F376,Back!C:F,4,0),"NO")</f>
        <v>Si</v>
      </c>
      <c r="O376" s="26">
        <v>24</v>
      </c>
      <c r="P376" s="27" t="str">
        <f>IFERROR(VLOOKUP(F376,Back!C:E,3,0),"")</f>
        <v>IPS Pto De Vista Molinos</v>
      </c>
      <c r="Q376" s="27" t="str">
        <f>IFERROR(VLOOKUP(P376,Back!M:N,2,0),"")</f>
        <v>Antioquia</v>
      </c>
      <c r="R376" s="27" t="str">
        <f>IF(N376="Si",IFERROR(VLOOKUP(F376,'TD Cumpl'!B:AB,27,0),"No Aplica"),"No Aplica")</f>
        <v>Cumple</v>
      </c>
      <c r="S376" s="38"/>
      <c r="T376" s="36"/>
      <c r="Y376" s="54">
        <f t="shared" si="11"/>
        <v>42497642</v>
      </c>
    </row>
    <row r="377" spans="1:25" x14ac:dyDescent="0.25">
      <c r="A377" s="20">
        <f>+VLOOKUP(D377,Back!Q:R,2,0)</f>
        <v>11</v>
      </c>
      <c r="B377" s="20" t="str">
        <f t="shared" si="10"/>
        <v>2016 NOV</v>
      </c>
      <c r="C377" s="20">
        <v>2016</v>
      </c>
      <c r="D377" s="21" t="s">
        <v>175</v>
      </c>
      <c r="E377" s="21" t="s">
        <v>11</v>
      </c>
      <c r="F377" s="21">
        <v>43253531</v>
      </c>
      <c r="G377" s="21" t="s">
        <v>39</v>
      </c>
      <c r="H377" s="22">
        <v>56703174</v>
      </c>
      <c r="I377" s="22">
        <v>2301400</v>
      </c>
      <c r="J377" s="22">
        <v>11595100</v>
      </c>
      <c r="K377" s="23">
        <v>42806674</v>
      </c>
      <c r="L377" s="23">
        <v>40000000</v>
      </c>
      <c r="M377" s="24">
        <v>1.0701668499999999</v>
      </c>
      <c r="N377" s="25" t="str">
        <f>IFERROR(VLOOKUP(F377,Back!C:F,4,0),"NO")</f>
        <v>Si</v>
      </c>
      <c r="O377" s="26">
        <v>24</v>
      </c>
      <c r="P377" s="27" t="str">
        <f>IFERROR(VLOOKUP(F377,Back!C:E,3,0),"")</f>
        <v>IPS Punto de Vista Bello</v>
      </c>
      <c r="Q377" s="27" t="str">
        <f>IFERROR(VLOOKUP(P377,Back!M:N,2,0),"")</f>
        <v>Antioquia</v>
      </c>
      <c r="R377" s="27" t="str">
        <f>IF(N377="Si",IFERROR(VLOOKUP(F377,'TD Cumpl'!B:AB,27,0),"No Aplica"),"No Aplica")</f>
        <v>Cumple</v>
      </c>
      <c r="S377" s="38"/>
      <c r="T377" s="36"/>
      <c r="Y377" s="54">
        <f t="shared" si="11"/>
        <v>56703174</v>
      </c>
    </row>
    <row r="378" spans="1:25" x14ac:dyDescent="0.25">
      <c r="A378" s="20">
        <f>+VLOOKUP(D378,Back!Q:R,2,0)</f>
        <v>11</v>
      </c>
      <c r="B378" s="20" t="str">
        <f t="shared" si="10"/>
        <v>2016 NOV</v>
      </c>
      <c r="C378" s="20">
        <v>2016</v>
      </c>
      <c r="D378" s="21" t="s">
        <v>175</v>
      </c>
      <c r="E378" s="21" t="s">
        <v>66</v>
      </c>
      <c r="F378" s="21">
        <v>3438422</v>
      </c>
      <c r="G378" s="21" t="s">
        <v>71</v>
      </c>
      <c r="H378" s="22">
        <v>26278460</v>
      </c>
      <c r="I378" s="22">
        <v>352700</v>
      </c>
      <c r="J378" s="22">
        <v>5671300</v>
      </c>
      <c r="K378" s="23">
        <v>20254460</v>
      </c>
      <c r="L378" s="23">
        <v>30100000</v>
      </c>
      <c r="M378" s="24">
        <v>0.67290564784053153</v>
      </c>
      <c r="N378" s="25" t="str">
        <f>IFERROR(VLOOKUP(F378,Back!C:F,4,0),"NO")</f>
        <v>Si</v>
      </c>
      <c r="O378" s="26">
        <v>24</v>
      </c>
      <c r="P378" s="27" t="str">
        <f>IFERROR(VLOOKUP(F378,Back!C:E,3,0),"")</f>
        <v>IPS Pto De Vista Punto Clave</v>
      </c>
      <c r="Q378" s="27" t="str">
        <f>IFERROR(VLOOKUP(P378,Back!M:N,2,0),"")</f>
        <v>Antioquia</v>
      </c>
      <c r="R378" s="27" t="str">
        <f>IF(N378="Si",IFERROR(VLOOKUP(F378,'TD Cumpl'!B:AB,27,0),"No Aplica"),"No Aplica")</f>
        <v>Fluctúa</v>
      </c>
      <c r="S378" s="38"/>
      <c r="T378" s="36"/>
      <c r="Y378" s="54">
        <f t="shared" si="11"/>
        <v>26278460</v>
      </c>
    </row>
    <row r="379" spans="1:25" x14ac:dyDescent="0.25">
      <c r="A379" s="20">
        <f>+VLOOKUP(D379,Back!Q:R,2,0)</f>
        <v>11</v>
      </c>
      <c r="B379" s="20" t="str">
        <f t="shared" si="10"/>
        <v>2016 NOV</v>
      </c>
      <c r="C379" s="20">
        <v>2016</v>
      </c>
      <c r="D379" s="21" t="s">
        <v>175</v>
      </c>
      <c r="E379" s="21" t="s">
        <v>6</v>
      </c>
      <c r="F379" s="21">
        <v>43821410</v>
      </c>
      <c r="G379" s="21" t="s">
        <v>40</v>
      </c>
      <c r="H379" s="22">
        <v>76750189</v>
      </c>
      <c r="I379" s="22">
        <v>1892560</v>
      </c>
      <c r="J379" s="22">
        <v>12045700</v>
      </c>
      <c r="K379" s="23">
        <v>62811929</v>
      </c>
      <c r="L379" s="23">
        <v>40100000</v>
      </c>
      <c r="M379" s="24">
        <v>1.5663822693266833</v>
      </c>
      <c r="N379" s="25" t="str">
        <f>IFERROR(VLOOKUP(F379,Back!C:F,4,0),"NO")</f>
        <v>Si</v>
      </c>
      <c r="O379" s="26">
        <v>24</v>
      </c>
      <c r="P379" s="27" t="str">
        <f>IFERROR(VLOOKUP(F379,Back!C:E,3,0),"")</f>
        <v>IPS Pto De Vista Unicentro</v>
      </c>
      <c r="Q379" s="27" t="str">
        <f>IFERROR(VLOOKUP(P379,Back!M:N,2,0),"")</f>
        <v>Antioquia</v>
      </c>
      <c r="R379" s="27" t="str">
        <f>IF(N379="Si",IFERROR(VLOOKUP(F379,'TD Cumpl'!B:AB,27,0),"No Aplica"),"No Aplica")</f>
        <v>Siempre Cumple</v>
      </c>
      <c r="S379" s="38"/>
      <c r="T379" s="36"/>
      <c r="Y379" s="54">
        <f t="shared" si="11"/>
        <v>76750189</v>
      </c>
    </row>
    <row r="380" spans="1:25" x14ac:dyDescent="0.25">
      <c r="A380" s="20">
        <f>+VLOOKUP(D380,Back!Q:R,2,0)</f>
        <v>11</v>
      </c>
      <c r="B380" s="20" t="str">
        <f t="shared" si="10"/>
        <v>2016 NOV</v>
      </c>
      <c r="C380" s="20">
        <v>2016</v>
      </c>
      <c r="D380" s="21" t="s">
        <v>175</v>
      </c>
      <c r="E380" s="21" t="s">
        <v>84</v>
      </c>
      <c r="F380" s="21">
        <v>1020736461</v>
      </c>
      <c r="G380" s="21" t="s">
        <v>156</v>
      </c>
      <c r="H380" s="22">
        <v>23327303</v>
      </c>
      <c r="I380" s="22">
        <v>438800</v>
      </c>
      <c r="J380" s="22">
        <v>2933500</v>
      </c>
      <c r="K380" s="23">
        <v>19955003</v>
      </c>
      <c r="L380" s="23">
        <v>16466666.666666666</v>
      </c>
      <c r="M380" s="24">
        <v>1.2118422874493928</v>
      </c>
      <c r="N380" s="25" t="str">
        <f>IFERROR(VLOOKUP(F380,Back!C:F,4,0),"NO")</f>
        <v>Si</v>
      </c>
      <c r="O380" s="26">
        <v>24</v>
      </c>
      <c r="P380" s="27" t="str">
        <f>IFERROR(VLOOKUP(F380,Back!C:E,3,0),"")</f>
        <v>IPS Pto De Vista Santa Bárbara</v>
      </c>
      <c r="Q380" s="27" t="str">
        <f>IFERROR(VLOOKUP(P380,Back!M:N,2,0),"")</f>
        <v>Centro</v>
      </c>
      <c r="R380" s="27" t="str">
        <f>IF(N380="Si",IFERROR(VLOOKUP(F380,'TD Cumpl'!B:AB,27,0),"No Aplica"),"No Aplica")</f>
        <v>Siempre Cumple</v>
      </c>
      <c r="S380" s="38"/>
      <c r="T380" s="36"/>
      <c r="Y380" s="54">
        <f t="shared" si="11"/>
        <v>23327303</v>
      </c>
    </row>
    <row r="381" spans="1:25" x14ac:dyDescent="0.25">
      <c r="A381" s="20">
        <f>+VLOOKUP(D381,Back!Q:R,2,0)</f>
        <v>11</v>
      </c>
      <c r="B381" s="20" t="str">
        <f t="shared" si="10"/>
        <v>2016 NOV</v>
      </c>
      <c r="C381" s="20">
        <v>2016</v>
      </c>
      <c r="D381" s="21" t="s">
        <v>175</v>
      </c>
      <c r="E381" s="21" t="s">
        <v>18</v>
      </c>
      <c r="F381" s="21">
        <v>39442617</v>
      </c>
      <c r="G381" s="21" t="s">
        <v>41</v>
      </c>
      <c r="H381" s="22">
        <v>57625472</v>
      </c>
      <c r="I381" s="22">
        <v>2076000</v>
      </c>
      <c r="J381" s="22">
        <v>10682000</v>
      </c>
      <c r="K381" s="23">
        <v>44867472</v>
      </c>
      <c r="L381" s="23">
        <v>40000000</v>
      </c>
      <c r="M381" s="24">
        <v>1.1216868</v>
      </c>
      <c r="N381" s="25" t="str">
        <f>IFERROR(VLOOKUP(F381,Back!C:F,4,0),"NO")</f>
        <v>Si</v>
      </c>
      <c r="O381" s="26">
        <v>24</v>
      </c>
      <c r="P381" s="27" t="str">
        <f>IFERROR(VLOOKUP(F381,Back!C:E,3,0),"")</f>
        <v>IPS Pto De Vista San Diego</v>
      </c>
      <c r="Q381" s="27" t="str">
        <f>IFERROR(VLOOKUP(P381,Back!M:N,2,0),"")</f>
        <v>Antioquia</v>
      </c>
      <c r="R381" s="27" t="str">
        <f>IF(N381="Si",IFERROR(VLOOKUP(F381,'TD Cumpl'!B:AB,27,0),"No Aplica"),"No Aplica")</f>
        <v>Cumple</v>
      </c>
      <c r="S381" s="38"/>
      <c r="T381" s="36"/>
      <c r="Y381" s="54">
        <f t="shared" si="11"/>
        <v>57625472</v>
      </c>
    </row>
    <row r="382" spans="1:25" x14ac:dyDescent="0.25">
      <c r="A382" s="20">
        <f>+VLOOKUP(D382,Back!Q:R,2,0)</f>
        <v>11</v>
      </c>
      <c r="B382" s="20" t="str">
        <f t="shared" si="10"/>
        <v>2016 NOV</v>
      </c>
      <c r="C382" s="20">
        <v>2016</v>
      </c>
      <c r="D382" s="21" t="s">
        <v>175</v>
      </c>
      <c r="E382" s="21" t="s">
        <v>54</v>
      </c>
      <c r="F382" s="21">
        <v>1013628003</v>
      </c>
      <c r="G382" s="21" t="s">
        <v>55</v>
      </c>
      <c r="H382" s="22">
        <v>3312797</v>
      </c>
      <c r="I382" s="22">
        <v>0</v>
      </c>
      <c r="J382" s="22">
        <v>1936100</v>
      </c>
      <c r="K382" s="23">
        <v>1376697</v>
      </c>
      <c r="L382" s="23">
        <v>7000000</v>
      </c>
      <c r="M382" s="24">
        <v>0.19667100000000001</v>
      </c>
      <c r="N382" s="25" t="str">
        <f>IFERROR(VLOOKUP(F382,Back!C:F,4,0),"NO")</f>
        <v>NO</v>
      </c>
      <c r="O382" s="26">
        <v>24</v>
      </c>
      <c r="P382" s="27" t="str">
        <f>IFERROR(VLOOKUP(F382,Back!C:E,3,0),"")</f>
        <v/>
      </c>
      <c r="Q382" s="27" t="str">
        <f>IFERROR(VLOOKUP(P382,Back!M:N,2,0),"")</f>
        <v/>
      </c>
      <c r="R382" s="27" t="str">
        <f>IF(N382="Si",IFERROR(VLOOKUP(F382,'TD Cumpl'!B:AB,27,0),"No Aplica"),"No Aplica")</f>
        <v>No Aplica</v>
      </c>
      <c r="S382" s="38"/>
      <c r="T382" s="36"/>
      <c r="Y382" s="54">
        <f t="shared" si="11"/>
        <v>3312797</v>
      </c>
    </row>
    <row r="383" spans="1:25" x14ac:dyDescent="0.25">
      <c r="A383" s="20">
        <f>+VLOOKUP(D383,Back!Q:R,2,0)</f>
        <v>11</v>
      </c>
      <c r="B383" s="20" t="str">
        <f t="shared" si="10"/>
        <v>2016 NOV</v>
      </c>
      <c r="C383" s="20">
        <v>2016</v>
      </c>
      <c r="D383" s="21" t="s">
        <v>175</v>
      </c>
      <c r="E383" s="21" t="s">
        <v>56</v>
      </c>
      <c r="F383" s="21">
        <v>43971430</v>
      </c>
      <c r="G383" s="21" t="s">
        <v>142</v>
      </c>
      <c r="H383" s="22">
        <v>37393853</v>
      </c>
      <c r="I383" s="22">
        <v>495400</v>
      </c>
      <c r="J383" s="22">
        <v>8406900</v>
      </c>
      <c r="K383" s="23">
        <v>28491553</v>
      </c>
      <c r="L383" s="23">
        <v>21666666.666666668</v>
      </c>
      <c r="M383" s="24">
        <v>1.3149947538461537</v>
      </c>
      <c r="N383" s="25" t="str">
        <f>IFERROR(VLOOKUP(F383,Back!C:F,4,0),"NO")</f>
        <v>Si</v>
      </c>
      <c r="O383" s="26">
        <v>24</v>
      </c>
      <c r="P383" s="27" t="str">
        <f>IFERROR(VLOOKUP(F383,Back!C:E,3,0),"")</f>
        <v>IPS Pto De Vista Centro</v>
      </c>
      <c r="Q383" s="27" t="str">
        <f>IFERROR(VLOOKUP(P383,Back!M:N,2,0),"")</f>
        <v>Antioquia</v>
      </c>
      <c r="R383" s="27" t="str">
        <f>IF(N383="Si",IFERROR(VLOOKUP(F383,'TD Cumpl'!B:AB,27,0),"No Aplica"),"No Aplica")</f>
        <v>Siempre Cumple</v>
      </c>
      <c r="S383" s="38"/>
      <c r="T383" s="36"/>
      <c r="Y383" s="54">
        <f t="shared" si="11"/>
        <v>37393853</v>
      </c>
    </row>
    <row r="384" spans="1:25" x14ac:dyDescent="0.25">
      <c r="A384" s="20">
        <f>+VLOOKUP(D384,Back!Q:R,2,0)</f>
        <v>11</v>
      </c>
      <c r="B384" s="20" t="str">
        <f t="shared" si="10"/>
        <v>2016 NOV</v>
      </c>
      <c r="C384" s="20">
        <v>2016</v>
      </c>
      <c r="D384" s="21" t="s">
        <v>175</v>
      </c>
      <c r="E384" s="21" t="s">
        <v>59</v>
      </c>
      <c r="F384" s="21">
        <v>1030634664</v>
      </c>
      <c r="G384" s="21" t="s">
        <v>58</v>
      </c>
      <c r="H384" s="22">
        <v>39968371</v>
      </c>
      <c r="I384" s="22">
        <v>396000</v>
      </c>
      <c r="J384" s="22">
        <v>12029900</v>
      </c>
      <c r="K384" s="23">
        <v>27542471</v>
      </c>
      <c r="L384" s="23">
        <v>40000000</v>
      </c>
      <c r="M384" s="24">
        <v>0.68856177500000004</v>
      </c>
      <c r="N384" s="25" t="str">
        <f>IFERROR(VLOOKUP(F384,Back!C:F,4,0),"NO")</f>
        <v>NO</v>
      </c>
      <c r="O384" s="26">
        <v>24</v>
      </c>
      <c r="P384" s="27" t="str">
        <f>IFERROR(VLOOKUP(F384,Back!C:E,3,0),"")</f>
        <v/>
      </c>
      <c r="Q384" s="27" t="str">
        <f>IFERROR(VLOOKUP(P384,Back!M:N,2,0),"")</f>
        <v/>
      </c>
      <c r="R384" s="27" t="str">
        <f>IF(N384="Si",IFERROR(VLOOKUP(F384,'TD Cumpl'!B:AB,27,0),"No Aplica"),"No Aplica")</f>
        <v>No Aplica</v>
      </c>
      <c r="S384" s="38"/>
      <c r="T384" s="36"/>
      <c r="Y384" s="54">
        <f t="shared" si="11"/>
        <v>39968371</v>
      </c>
    </row>
    <row r="385" spans="1:25" x14ac:dyDescent="0.25">
      <c r="A385" s="20">
        <f>+VLOOKUP(D385,Back!Q:R,2,0)</f>
        <v>11</v>
      </c>
      <c r="B385" s="20" t="str">
        <f t="shared" si="10"/>
        <v>2016 NOV</v>
      </c>
      <c r="C385" s="20">
        <v>2016</v>
      </c>
      <c r="D385" s="21" t="s">
        <v>175</v>
      </c>
      <c r="E385" s="21" t="s">
        <v>34</v>
      </c>
      <c r="F385" s="21">
        <v>43554403</v>
      </c>
      <c r="G385" s="21" t="s">
        <v>35</v>
      </c>
      <c r="H385" s="22">
        <v>53841424</v>
      </c>
      <c r="I385" s="22">
        <v>681400</v>
      </c>
      <c r="J385" s="22">
        <v>10777700</v>
      </c>
      <c r="K385" s="23">
        <v>42382324</v>
      </c>
      <c r="L385" s="23">
        <v>40000000</v>
      </c>
      <c r="M385" s="24">
        <v>1.0595581000000001</v>
      </c>
      <c r="N385" s="25" t="str">
        <f>IFERROR(VLOOKUP(F385,Back!C:F,4,0),"NO")</f>
        <v>Si</v>
      </c>
      <c r="O385" s="26">
        <v>24</v>
      </c>
      <c r="P385" s="27" t="str">
        <f>IFERROR(VLOOKUP(F385,Back!C:E,3,0),"")</f>
        <v>IPS Pto De Vista Centro</v>
      </c>
      <c r="Q385" s="27" t="str">
        <f>IFERROR(VLOOKUP(P385,Back!M:N,2,0),"")</f>
        <v>Antioquia</v>
      </c>
      <c r="R385" s="27" t="str">
        <f>IF(N385="Si",IFERROR(VLOOKUP(F385,'TD Cumpl'!B:AB,27,0),"No Aplica"),"No Aplica")</f>
        <v>Siempre Cumple</v>
      </c>
      <c r="S385" s="38"/>
      <c r="T385" s="36"/>
      <c r="Y385" s="54">
        <f t="shared" si="11"/>
        <v>53841424</v>
      </c>
    </row>
    <row r="386" spans="1:25" x14ac:dyDescent="0.25">
      <c r="A386" s="20">
        <f>+VLOOKUP(D386,Back!Q:R,2,0)</f>
        <v>11</v>
      </c>
      <c r="B386" s="20" t="str">
        <f t="shared" ref="B386:B448" si="12">MID(UPPER(C386&amp;" "&amp;D386),1,8)</f>
        <v>2016 NOV</v>
      </c>
      <c r="C386" s="20">
        <v>2016</v>
      </c>
      <c r="D386" s="21" t="s">
        <v>175</v>
      </c>
      <c r="E386" s="21" t="s">
        <v>1</v>
      </c>
      <c r="F386" s="21">
        <v>23857915</v>
      </c>
      <c r="G386" s="21" t="s">
        <v>116</v>
      </c>
      <c r="H386" s="22">
        <v>31463916</v>
      </c>
      <c r="I386" s="22">
        <v>940000</v>
      </c>
      <c r="J386" s="22">
        <v>4953400</v>
      </c>
      <c r="K386" s="23">
        <v>25570516</v>
      </c>
      <c r="L386" s="23">
        <v>26000000</v>
      </c>
      <c r="M386" s="24">
        <v>0.98348138461538459</v>
      </c>
      <c r="N386" s="25" t="str">
        <f>IFERROR(VLOOKUP(F386,Back!C:F,4,0),"NO")</f>
        <v>NO</v>
      </c>
      <c r="O386" s="26">
        <v>24</v>
      </c>
      <c r="P386" s="27" t="str">
        <f>IFERROR(VLOOKUP(F386,Back!C:E,3,0),"")</f>
        <v/>
      </c>
      <c r="Q386" s="27" t="str">
        <f>IFERROR(VLOOKUP(P386,Back!M:N,2,0),"")</f>
        <v/>
      </c>
      <c r="R386" s="27" t="str">
        <f>IF(N386="Si",IFERROR(VLOOKUP(F386,'TD Cumpl'!B:AB,27,0),"No Aplica"),"No Aplica")</f>
        <v>No Aplica</v>
      </c>
      <c r="S386" s="38"/>
      <c r="T386" s="36"/>
      <c r="Y386" s="54">
        <f t="shared" ref="Y386:Y436" si="13">+H386-X386-V386-T386</f>
        <v>31463916</v>
      </c>
    </row>
    <row r="387" spans="1:25" x14ac:dyDescent="0.25">
      <c r="A387" s="20">
        <f>+VLOOKUP(D387,Back!Q:R,2,0)</f>
        <v>11</v>
      </c>
      <c r="B387" s="20" t="str">
        <f t="shared" si="12"/>
        <v>2016 NOV</v>
      </c>
      <c r="C387" s="20">
        <v>2016</v>
      </c>
      <c r="D387" s="21" t="s">
        <v>175</v>
      </c>
      <c r="E387" s="21" t="s">
        <v>3</v>
      </c>
      <c r="F387" s="21">
        <v>52725011</v>
      </c>
      <c r="G387" s="21" t="s">
        <v>42</v>
      </c>
      <c r="H387" s="22">
        <v>19547492</v>
      </c>
      <c r="I387" s="22">
        <v>1384000</v>
      </c>
      <c r="J387" s="22">
        <v>3585000</v>
      </c>
      <c r="K387" s="23">
        <v>14578492</v>
      </c>
      <c r="L387" s="23">
        <v>14000000</v>
      </c>
      <c r="M387" s="24">
        <v>1.0413208571428572</v>
      </c>
      <c r="N387" s="25" t="str">
        <f>IFERROR(VLOOKUP(F387,Back!C:F,4,0),"NO")</f>
        <v>Si</v>
      </c>
      <c r="O387" s="26">
        <v>24</v>
      </c>
      <c r="P387" s="27" t="str">
        <f>IFERROR(VLOOKUP(F387,Back!C:E,3,0),"")</f>
        <v>IPS Pto De Vista Olaya</v>
      </c>
      <c r="Q387" s="27" t="str">
        <f>IFERROR(VLOOKUP(P387,Back!M:N,2,0),"")</f>
        <v>Centro</v>
      </c>
      <c r="R387" s="27" t="str">
        <f>IF(N387="Si",IFERROR(VLOOKUP(F387,'TD Cumpl'!B:AB,27,0),"No Aplica"),"No Aplica")</f>
        <v>Fluctúa</v>
      </c>
      <c r="S387" s="38"/>
      <c r="T387" s="36"/>
      <c r="Y387" s="54">
        <f t="shared" si="13"/>
        <v>19547492</v>
      </c>
    </row>
    <row r="388" spans="1:25" x14ac:dyDescent="0.25">
      <c r="A388" s="20">
        <f>+VLOOKUP(D388,Back!Q:R,2,0)</f>
        <v>11</v>
      </c>
      <c r="B388" s="20" t="str">
        <f t="shared" si="12"/>
        <v>2016 NOV</v>
      </c>
      <c r="C388" s="20">
        <v>2016</v>
      </c>
      <c r="D388" s="21" t="s">
        <v>175</v>
      </c>
      <c r="E388" s="21" t="s">
        <v>25</v>
      </c>
      <c r="F388" s="21">
        <v>1040030764</v>
      </c>
      <c r="G388" s="21" t="s">
        <v>43</v>
      </c>
      <c r="H388" s="22">
        <v>37934035</v>
      </c>
      <c r="I388" s="22">
        <v>911500</v>
      </c>
      <c r="J388" s="22">
        <v>6804462</v>
      </c>
      <c r="K388" s="23">
        <v>30218073</v>
      </c>
      <c r="L388" s="23">
        <v>30100000</v>
      </c>
      <c r="M388" s="24">
        <v>1.0039226910299004</v>
      </c>
      <c r="N388" s="25" t="str">
        <f>IFERROR(VLOOKUP(F388,Back!C:F,4,0),"NO")</f>
        <v>Si</v>
      </c>
      <c r="O388" s="26">
        <v>24</v>
      </c>
      <c r="P388" s="27" t="str">
        <f>IFERROR(VLOOKUP(F388,Back!C:E,3,0),"")</f>
        <v>IPS Pto De Vista Rionegro</v>
      </c>
      <c r="Q388" s="27" t="str">
        <f>IFERROR(VLOOKUP(P388,Back!M:N,2,0),"")</f>
        <v>Antioquia</v>
      </c>
      <c r="R388" s="27" t="str">
        <f>IF(N388="Si",IFERROR(VLOOKUP(F388,'TD Cumpl'!B:AB,27,0),"No Aplica"),"No Aplica")</f>
        <v>Cumple</v>
      </c>
      <c r="S388" s="38"/>
      <c r="T388" s="36"/>
      <c r="Y388" s="54">
        <f t="shared" si="13"/>
        <v>37934035</v>
      </c>
    </row>
    <row r="389" spans="1:25" x14ac:dyDescent="0.25">
      <c r="A389" s="20">
        <f>+VLOOKUP(D389,Back!Q:R,2,0)</f>
        <v>11</v>
      </c>
      <c r="B389" s="20" t="str">
        <f t="shared" si="12"/>
        <v>2016 NOV</v>
      </c>
      <c r="C389" s="20">
        <v>2016</v>
      </c>
      <c r="D389" s="21" t="s">
        <v>175</v>
      </c>
      <c r="E389" s="21" t="s">
        <v>33</v>
      </c>
      <c r="F389" s="21">
        <v>31307503</v>
      </c>
      <c r="G389" s="21" t="s">
        <v>36</v>
      </c>
      <c r="H389" s="22">
        <v>46803161</v>
      </c>
      <c r="I389" s="22">
        <v>0</v>
      </c>
      <c r="J389" s="22">
        <v>0</v>
      </c>
      <c r="K389" s="23">
        <v>46803161</v>
      </c>
      <c r="L389" s="23">
        <v>30100000</v>
      </c>
      <c r="M389" s="24">
        <v>1.554922292358804</v>
      </c>
      <c r="N389" s="25" t="str">
        <f>IFERROR(VLOOKUP(F389,Back!C:F,4,0),"NO")</f>
        <v>NO</v>
      </c>
      <c r="O389" s="26">
        <v>24</v>
      </c>
      <c r="P389" s="27" t="str">
        <f>IFERROR(VLOOKUP(F389,Back!C:E,3,0),"")</f>
        <v/>
      </c>
      <c r="Q389" s="27" t="str">
        <f>IFERROR(VLOOKUP(P389,Back!M:N,2,0),"")</f>
        <v/>
      </c>
      <c r="R389" s="27" t="str">
        <f>IF(N389="Si",IFERROR(VLOOKUP(F389,'TD Cumpl'!B:AB,27,0),"No Aplica"),"No Aplica")</f>
        <v>No Aplica</v>
      </c>
      <c r="S389" s="38"/>
      <c r="T389" s="36"/>
      <c r="Y389" s="54">
        <f t="shared" si="13"/>
        <v>46803161</v>
      </c>
    </row>
    <row r="390" spans="1:25" x14ac:dyDescent="0.25">
      <c r="A390" s="20">
        <f>+VLOOKUP(D390,Back!Q:R,2,0)</f>
        <v>11</v>
      </c>
      <c r="B390" s="20" t="str">
        <f t="shared" si="12"/>
        <v>2016 NOV</v>
      </c>
      <c r="C390" s="20">
        <v>2016</v>
      </c>
      <c r="D390" s="21" t="s">
        <v>175</v>
      </c>
      <c r="E390" s="21" t="s">
        <v>22</v>
      </c>
      <c r="F390" s="21">
        <v>42164020</v>
      </c>
      <c r="G390" s="21" t="s">
        <v>105</v>
      </c>
      <c r="H390" s="22">
        <v>45317853</v>
      </c>
      <c r="I390" s="22">
        <v>1661400</v>
      </c>
      <c r="J390" s="22">
        <v>6107000</v>
      </c>
      <c r="K390" s="23">
        <v>37549453</v>
      </c>
      <c r="L390" s="23">
        <v>36000000</v>
      </c>
      <c r="M390" s="24">
        <v>1.0430403611111112</v>
      </c>
      <c r="N390" s="25" t="str">
        <f>IFERROR(VLOOKUP(F390,Back!C:F,4,0),"NO")</f>
        <v>Si</v>
      </c>
      <c r="O390" s="26">
        <v>24</v>
      </c>
      <c r="P390" s="27" t="str">
        <f>IFERROR(VLOOKUP(F390,Back!C:E,3,0),"")</f>
        <v>IPS Pto De Vista Molinos</v>
      </c>
      <c r="Q390" s="27" t="str">
        <f>IFERROR(VLOOKUP(P390,Back!M:N,2,0),"")</f>
        <v>Antioquia</v>
      </c>
      <c r="R390" s="27" t="str">
        <f>IF(N390="Si",IFERROR(VLOOKUP(F390,'TD Cumpl'!B:AB,27,0),"No Aplica"),"No Aplica")</f>
        <v>Siempre Cumple</v>
      </c>
      <c r="S390" s="38"/>
      <c r="T390" s="36"/>
      <c r="Y390" s="54">
        <f t="shared" si="13"/>
        <v>45317853</v>
      </c>
    </row>
    <row r="391" spans="1:25" x14ac:dyDescent="0.25">
      <c r="A391" s="20">
        <f>+VLOOKUP(D391,Back!Q:R,2,0)</f>
        <v>11</v>
      </c>
      <c r="B391" s="20" t="str">
        <f t="shared" si="12"/>
        <v>2016 NOV</v>
      </c>
      <c r="C391" s="20">
        <v>2016</v>
      </c>
      <c r="D391" s="21" t="s">
        <v>175</v>
      </c>
      <c r="E391" s="21" t="s">
        <v>21</v>
      </c>
      <c r="F391" s="21">
        <v>1035417626</v>
      </c>
      <c r="G391" s="21" t="s">
        <v>80</v>
      </c>
      <c r="H391" s="22">
        <v>55860464</v>
      </c>
      <c r="I391" s="22">
        <v>1770000</v>
      </c>
      <c r="J391" s="22">
        <v>11204300</v>
      </c>
      <c r="K391" s="23">
        <v>42886164</v>
      </c>
      <c r="L391" s="23">
        <v>40000000</v>
      </c>
      <c r="M391" s="24">
        <v>1.0721541000000001</v>
      </c>
      <c r="N391" s="25" t="str">
        <f>IFERROR(VLOOKUP(F391,Back!C:F,4,0),"NO")</f>
        <v>Si</v>
      </c>
      <c r="O391" s="26">
        <v>24</v>
      </c>
      <c r="P391" s="27" t="str">
        <f>IFERROR(VLOOKUP(F391,Back!C:E,3,0),"")</f>
        <v>IPS Pto De Vista Unicentro</v>
      </c>
      <c r="Q391" s="27" t="str">
        <f>IFERROR(VLOOKUP(P391,Back!M:N,2,0),"")</f>
        <v>Antioquia</v>
      </c>
      <c r="R391" s="27" t="str">
        <f>IF(N391="Si",IFERROR(VLOOKUP(F391,'TD Cumpl'!B:AB,27,0),"No Aplica"),"No Aplica")</f>
        <v>Cumple</v>
      </c>
      <c r="S391" s="38"/>
      <c r="T391" s="36"/>
      <c r="Y391" s="54">
        <f t="shared" si="13"/>
        <v>55860464</v>
      </c>
    </row>
    <row r="392" spans="1:25" x14ac:dyDescent="0.25">
      <c r="A392" s="20">
        <f>+VLOOKUP(D392,Back!Q:R,2,0)</f>
        <v>11</v>
      </c>
      <c r="B392" s="20" t="str">
        <f t="shared" si="12"/>
        <v>2016 NOV</v>
      </c>
      <c r="C392" s="20">
        <v>2016</v>
      </c>
      <c r="D392" s="21" t="s">
        <v>175</v>
      </c>
      <c r="E392" s="21" t="s">
        <v>81</v>
      </c>
      <c r="F392" s="21">
        <v>1017200970</v>
      </c>
      <c r="G392" s="21" t="s">
        <v>82</v>
      </c>
      <c r="H392" s="22">
        <v>44456076</v>
      </c>
      <c r="I392" s="22">
        <v>1065200</v>
      </c>
      <c r="J392" s="22">
        <v>4084000</v>
      </c>
      <c r="K392" s="23">
        <v>39306876</v>
      </c>
      <c r="L392" s="23">
        <v>38000000</v>
      </c>
      <c r="M392" s="24">
        <v>1.0343914736842106</v>
      </c>
      <c r="N392" s="25" t="str">
        <f>IFERROR(VLOOKUP(F392,Back!C:F,4,0),"NO")</f>
        <v>Si</v>
      </c>
      <c r="O392" s="26">
        <v>24</v>
      </c>
      <c r="P392" s="27" t="str">
        <f>IFERROR(VLOOKUP(F392,Back!C:E,3,0),"")</f>
        <v>IPS Pto De Vista San Diego</v>
      </c>
      <c r="Q392" s="27" t="str">
        <f>IFERROR(VLOOKUP(P392,Back!M:N,2,0),"")</f>
        <v>Antioquia</v>
      </c>
      <c r="R392" s="27" t="str">
        <f>IF(N392="Si",IFERROR(VLOOKUP(F392,'TD Cumpl'!B:AB,27,0),"No Aplica"),"No Aplica")</f>
        <v>Cumple</v>
      </c>
      <c r="S392" s="38"/>
      <c r="T392" s="36"/>
      <c r="Y392" s="54">
        <f t="shared" si="13"/>
        <v>44456076</v>
      </c>
    </row>
    <row r="393" spans="1:25" x14ac:dyDescent="0.25">
      <c r="A393" s="20">
        <f>+VLOOKUP(D393,Back!Q:R,2,0)</f>
        <v>11</v>
      </c>
      <c r="B393" s="20" t="str">
        <f t="shared" si="12"/>
        <v>2016 NOV</v>
      </c>
      <c r="C393" s="20">
        <v>2016</v>
      </c>
      <c r="D393" s="21" t="s">
        <v>175</v>
      </c>
      <c r="E393" s="21" t="s">
        <v>57</v>
      </c>
      <c r="F393" s="21">
        <v>43874518</v>
      </c>
      <c r="G393" s="21" t="s">
        <v>60</v>
      </c>
      <c r="H393" s="22">
        <v>47804613</v>
      </c>
      <c r="I393" s="22">
        <v>1553500</v>
      </c>
      <c r="J393" s="22">
        <v>10113400</v>
      </c>
      <c r="K393" s="23">
        <v>36137713</v>
      </c>
      <c r="L393" s="23">
        <v>36000000</v>
      </c>
      <c r="M393" s="24">
        <v>1.0038253611111112</v>
      </c>
      <c r="N393" s="25" t="str">
        <f>IFERROR(VLOOKUP(F393,Back!C:F,4,0),"NO")</f>
        <v>Si</v>
      </c>
      <c r="O393" s="26">
        <v>24</v>
      </c>
      <c r="P393" s="27" t="str">
        <f>IFERROR(VLOOKUP(F393,Back!C:E,3,0),"")</f>
        <v>IPS Pto De Vista Punto Clave</v>
      </c>
      <c r="Q393" s="27" t="str">
        <f>IFERROR(VLOOKUP(P393,Back!M:N,2,0),"")</f>
        <v>Antioquia</v>
      </c>
      <c r="R393" s="27" t="str">
        <f>IF(N393="Si",IFERROR(VLOOKUP(F393,'TD Cumpl'!B:AB,27,0),"No Aplica"),"No Aplica")</f>
        <v>Fluctúa</v>
      </c>
      <c r="S393" s="38"/>
      <c r="T393" s="36"/>
      <c r="Y393" s="54">
        <f t="shared" si="13"/>
        <v>47804613</v>
      </c>
    </row>
    <row r="394" spans="1:25" x14ac:dyDescent="0.25">
      <c r="A394" s="20">
        <f>+VLOOKUP(D394,Back!Q:R,2,0)</f>
        <v>11</v>
      </c>
      <c r="B394" s="20" t="str">
        <f t="shared" si="12"/>
        <v>2016 NOV</v>
      </c>
      <c r="C394" s="20">
        <v>2016</v>
      </c>
      <c r="D394" s="21" t="s">
        <v>175</v>
      </c>
      <c r="E394" s="21" t="s">
        <v>2</v>
      </c>
      <c r="F394" s="21">
        <v>52260671</v>
      </c>
      <c r="G394" s="21" t="s">
        <v>26</v>
      </c>
      <c r="H394" s="22">
        <v>34150255</v>
      </c>
      <c r="I394" s="22">
        <v>786200</v>
      </c>
      <c r="J394" s="22">
        <v>6085100</v>
      </c>
      <c r="K394" s="23">
        <v>27278955</v>
      </c>
      <c r="L394" s="23">
        <v>26000000</v>
      </c>
      <c r="M394" s="24">
        <v>1.0491905769230769</v>
      </c>
      <c r="N394" s="25" t="str">
        <f>IFERROR(VLOOKUP(F394,Back!C:F,4,0),"NO")</f>
        <v>Si</v>
      </c>
      <c r="O394" s="26">
        <v>24</v>
      </c>
      <c r="P394" s="27" t="str">
        <f>IFERROR(VLOOKUP(F394,Back!C:E,3,0),"")</f>
        <v>IPS Pto De Vista Santa Bárbara</v>
      </c>
      <c r="Q394" s="27" t="str">
        <f>IFERROR(VLOOKUP(P394,Back!M:N,2,0),"")</f>
        <v>Centro</v>
      </c>
      <c r="R394" s="27" t="str">
        <f>IF(N394="Si",IFERROR(VLOOKUP(F394,'TD Cumpl'!B:AB,27,0),"No Aplica"),"No Aplica")</f>
        <v>Siempre Cumple</v>
      </c>
      <c r="S394" s="38"/>
      <c r="T394" s="36"/>
      <c r="Y394" s="54">
        <f t="shared" si="13"/>
        <v>34150255</v>
      </c>
    </row>
    <row r="395" spans="1:25" x14ac:dyDescent="0.25">
      <c r="A395" s="20">
        <f>+VLOOKUP(D395,Back!Q:R,2,0)</f>
        <v>11</v>
      </c>
      <c r="B395" s="20" t="str">
        <f t="shared" si="12"/>
        <v>2016 NOV</v>
      </c>
      <c r="C395" s="20">
        <v>2016</v>
      </c>
      <c r="D395" s="21" t="s">
        <v>175</v>
      </c>
      <c r="E395" s="21" t="s">
        <v>37</v>
      </c>
      <c r="F395" s="21">
        <v>1036779770</v>
      </c>
      <c r="G395" s="21" t="s">
        <v>52</v>
      </c>
      <c r="H395" s="22">
        <v>38154294</v>
      </c>
      <c r="I395" s="22">
        <v>1535500</v>
      </c>
      <c r="J395" s="22">
        <v>5875538</v>
      </c>
      <c r="K395" s="23">
        <v>30743256</v>
      </c>
      <c r="L395" s="23">
        <v>30100000</v>
      </c>
      <c r="M395" s="24">
        <v>1.0213706312292359</v>
      </c>
      <c r="N395" s="25" t="str">
        <f>IFERROR(VLOOKUP(F395,Back!C:F,4,0),"NO")</f>
        <v>No</v>
      </c>
      <c r="O395" s="26">
        <v>24</v>
      </c>
      <c r="P395" s="27" t="str">
        <f>IFERROR(VLOOKUP(F395,Back!C:E,3,0),"")</f>
        <v>IPS Pto De Vista Rionegro</v>
      </c>
      <c r="Q395" s="27" t="str">
        <f>IFERROR(VLOOKUP(P395,Back!M:N,2,0),"")</f>
        <v>Antioquia</v>
      </c>
      <c r="R395" s="27" t="str">
        <f>IF(N395="Si",IFERROR(VLOOKUP(F395,'TD Cumpl'!B:AB,27,0),"No Aplica"),"No Aplica")</f>
        <v>No Aplica</v>
      </c>
      <c r="S395" s="38"/>
      <c r="T395" s="36"/>
      <c r="Y395" s="54">
        <f t="shared" si="13"/>
        <v>38154294</v>
      </c>
    </row>
    <row r="396" spans="1:25" x14ac:dyDescent="0.25">
      <c r="A396" s="20">
        <f>+VLOOKUP(D396,Back!Q:R,2,0)</f>
        <v>11</v>
      </c>
      <c r="B396" s="20" t="str">
        <f t="shared" si="12"/>
        <v>2016 NOV</v>
      </c>
      <c r="C396" s="20">
        <v>2016</v>
      </c>
      <c r="D396" s="21" t="s">
        <v>175</v>
      </c>
      <c r="E396" s="21" t="s">
        <v>64</v>
      </c>
      <c r="F396" s="21">
        <v>1036598360</v>
      </c>
      <c r="G396" s="21" t="s">
        <v>146</v>
      </c>
      <c r="H396" s="22">
        <v>21259680</v>
      </c>
      <c r="I396" s="22">
        <v>420000</v>
      </c>
      <c r="J396" s="22">
        <v>3883300</v>
      </c>
      <c r="K396" s="23">
        <v>16956380</v>
      </c>
      <c r="L396" s="23">
        <v>30100000</v>
      </c>
      <c r="M396" s="24">
        <v>0.56333488372093021</v>
      </c>
      <c r="N396" s="25" t="str">
        <f>IFERROR(VLOOKUP(F396,Back!C:F,4,0),"NO")</f>
        <v>Si</v>
      </c>
      <c r="O396" s="26">
        <v>24</v>
      </c>
      <c r="P396" s="27" t="str">
        <f>IFERROR(VLOOKUP(F396,Back!C:E,3,0),"")</f>
        <v>IPS Pto De Vista Punto Clave</v>
      </c>
      <c r="Q396" s="27" t="str">
        <f>IFERROR(VLOOKUP(P396,Back!M:N,2,0),"")</f>
        <v>Antioquia</v>
      </c>
      <c r="R396" s="27" t="str">
        <f>IF(N396="Si",IFERROR(VLOOKUP(F396,'TD Cumpl'!B:AB,27,0),"No Aplica"),"No Aplica")</f>
        <v>Fluctúa</v>
      </c>
      <c r="S396" s="38"/>
      <c r="T396" s="36"/>
      <c r="Y396" s="54">
        <f t="shared" si="13"/>
        <v>21259680</v>
      </c>
    </row>
    <row r="397" spans="1:25" x14ac:dyDescent="0.25">
      <c r="A397" s="20">
        <f>+VLOOKUP(D397,Back!Q:R,2,0)</f>
        <v>11</v>
      </c>
      <c r="B397" s="20" t="str">
        <f t="shared" si="12"/>
        <v>2016 NOV</v>
      </c>
      <c r="C397" s="20">
        <v>2016</v>
      </c>
      <c r="D397" s="21" t="s">
        <v>175</v>
      </c>
      <c r="E397" s="21" t="s">
        <v>20</v>
      </c>
      <c r="F397" s="21">
        <v>1017141451</v>
      </c>
      <c r="G397" s="21" t="s">
        <v>44</v>
      </c>
      <c r="H397" s="22">
        <v>56248486</v>
      </c>
      <c r="I397" s="22">
        <v>1957600</v>
      </c>
      <c r="J397" s="22">
        <v>11859000</v>
      </c>
      <c r="K397" s="23">
        <v>42431886</v>
      </c>
      <c r="L397" s="23">
        <v>36000000</v>
      </c>
      <c r="M397" s="24">
        <v>1.1786635000000001</v>
      </c>
      <c r="N397" s="25" t="str">
        <f>IFERROR(VLOOKUP(F397,Back!C:F,4,0),"NO")</f>
        <v>Si</v>
      </c>
      <c r="O397" s="26">
        <v>24</v>
      </c>
      <c r="P397" s="27" t="str">
        <f>IFERROR(VLOOKUP(F397,Back!C:E,3,0),"")</f>
        <v>IPS Pto De Vista Molinos</v>
      </c>
      <c r="Q397" s="27" t="str">
        <f>IFERROR(VLOOKUP(P397,Back!M:N,2,0),"")</f>
        <v>Antioquia</v>
      </c>
      <c r="R397" s="27" t="str">
        <f>IF(N397="Si",IFERROR(VLOOKUP(F397,'TD Cumpl'!B:AB,27,0),"No Aplica"),"No Aplica")</f>
        <v>Siempre Cumple</v>
      </c>
      <c r="S397" s="38"/>
      <c r="T397" s="36"/>
      <c r="Y397" s="54">
        <f t="shared" si="13"/>
        <v>56248486</v>
      </c>
    </row>
    <row r="398" spans="1:25" x14ac:dyDescent="0.25">
      <c r="A398" s="20">
        <f>+VLOOKUP(D398,Back!Q:R,2,0)</f>
        <v>11</v>
      </c>
      <c r="B398" s="20" t="str">
        <f t="shared" si="12"/>
        <v>2016 NOV</v>
      </c>
      <c r="C398" s="20">
        <v>2016</v>
      </c>
      <c r="D398" s="21" t="s">
        <v>175</v>
      </c>
      <c r="E398" s="21" t="s">
        <v>38</v>
      </c>
      <c r="F398" s="21">
        <v>43745192</v>
      </c>
      <c r="G398" s="21" t="s">
        <v>45</v>
      </c>
      <c r="H398" s="22">
        <v>15435591</v>
      </c>
      <c r="I398" s="22">
        <v>160200</v>
      </c>
      <c r="J398" s="22">
        <v>0</v>
      </c>
      <c r="K398" s="23">
        <v>15275391</v>
      </c>
      <c r="L398" s="23">
        <v>21000000</v>
      </c>
      <c r="M398" s="24">
        <v>0.72739957142857148</v>
      </c>
      <c r="N398" s="25" t="str">
        <f>IFERROR(VLOOKUP(F398,Back!C:F,4,0),"NO")</f>
        <v>Si</v>
      </c>
      <c r="O398" s="26">
        <v>24</v>
      </c>
      <c r="P398" s="27" t="str">
        <f>IFERROR(VLOOKUP(F398,Back!C:E,3,0),"")</f>
        <v>IPS Punto de Vista Mayorca</v>
      </c>
      <c r="Q398" s="27" t="str">
        <f>IFERROR(VLOOKUP(P398,Back!M:N,2,0),"")</f>
        <v>Antioquia</v>
      </c>
      <c r="R398" s="27" t="str">
        <f>IF(N398="Si",IFERROR(VLOOKUP(F398,'TD Cumpl'!B:AB,27,0),"No Aplica"),"No Aplica")</f>
        <v>Cumple</v>
      </c>
      <c r="S398" s="38"/>
      <c r="T398" s="36"/>
      <c r="Y398" s="54">
        <f t="shared" si="13"/>
        <v>15435591</v>
      </c>
    </row>
    <row r="399" spans="1:25" x14ac:dyDescent="0.25">
      <c r="A399" s="20">
        <f>+VLOOKUP(D399,Back!Q:R,2,0)</f>
        <v>11</v>
      </c>
      <c r="B399" s="20" t="str">
        <f t="shared" si="12"/>
        <v>2016 NOV</v>
      </c>
      <c r="C399" s="20">
        <v>2016</v>
      </c>
      <c r="D399" s="21" t="s">
        <v>175</v>
      </c>
      <c r="E399" s="21" t="s">
        <v>13</v>
      </c>
      <c r="F399" s="21">
        <v>43866877</v>
      </c>
      <c r="G399" s="21" t="s">
        <v>46</v>
      </c>
      <c r="H399" s="22">
        <v>42231606</v>
      </c>
      <c r="I399" s="22">
        <v>606000</v>
      </c>
      <c r="J399" s="22">
        <v>10548013</v>
      </c>
      <c r="K399" s="23">
        <v>31077593</v>
      </c>
      <c r="L399" s="23">
        <v>40000000</v>
      </c>
      <c r="M399" s="24">
        <v>0.77693982500000003</v>
      </c>
      <c r="N399" s="25" t="str">
        <f>IFERROR(VLOOKUP(F399,Back!C:F,4,0),"NO")</f>
        <v>Si</v>
      </c>
      <c r="O399" s="26">
        <v>24</v>
      </c>
      <c r="P399" s="27" t="str">
        <f>IFERROR(VLOOKUP(F399,Back!C:E,3,0),"")</f>
        <v>IPS Pto De Vista Centro</v>
      </c>
      <c r="Q399" s="27" t="str">
        <f>IFERROR(VLOOKUP(P399,Back!M:N,2,0),"")</f>
        <v>Antioquia</v>
      </c>
      <c r="R399" s="27" t="str">
        <f>IF(N399="Si",IFERROR(VLOOKUP(F399,'TD Cumpl'!B:AB,27,0),"No Aplica"),"No Aplica")</f>
        <v>Siempre Cumple</v>
      </c>
      <c r="S399" s="38"/>
      <c r="T399" s="36"/>
      <c r="Y399" s="54">
        <f t="shared" si="13"/>
        <v>42231606</v>
      </c>
    </row>
    <row r="400" spans="1:25" x14ac:dyDescent="0.25">
      <c r="A400" s="20">
        <f>+VLOOKUP(D400,Back!Q:R,2,0)</f>
        <v>11</v>
      </c>
      <c r="B400" s="20" t="str">
        <f t="shared" si="12"/>
        <v>2016 NOV</v>
      </c>
      <c r="C400" s="20">
        <v>2016</v>
      </c>
      <c r="D400" s="21" t="s">
        <v>175</v>
      </c>
      <c r="E400" s="21" t="s">
        <v>17</v>
      </c>
      <c r="F400" s="21">
        <v>43113640</v>
      </c>
      <c r="G400" s="21" t="s">
        <v>47</v>
      </c>
      <c r="H400" s="22">
        <v>37342552</v>
      </c>
      <c r="I400" s="22">
        <v>915400</v>
      </c>
      <c r="J400" s="22">
        <v>5396300</v>
      </c>
      <c r="K400" s="23">
        <v>31030852</v>
      </c>
      <c r="L400" s="23">
        <v>30100000</v>
      </c>
      <c r="M400" s="24">
        <v>1.0309253156146179</v>
      </c>
      <c r="N400" s="25" t="str">
        <f>IFERROR(VLOOKUP(F400,Back!C:F,4,0),"NO")</f>
        <v>Si</v>
      </c>
      <c r="O400" s="26">
        <v>24</v>
      </c>
      <c r="P400" s="27" t="str">
        <f>IFERROR(VLOOKUP(F400,Back!C:E,3,0),"")</f>
        <v>IPS Pto De Vista San Diego</v>
      </c>
      <c r="Q400" s="27" t="str">
        <f>IFERROR(VLOOKUP(P400,Back!M:N,2,0),"")</f>
        <v>Antioquia</v>
      </c>
      <c r="R400" s="27" t="str">
        <f>IF(N400="Si",IFERROR(VLOOKUP(F400,'TD Cumpl'!B:AB,27,0),"No Aplica"),"No Aplica")</f>
        <v>Cumple</v>
      </c>
      <c r="S400" s="38"/>
      <c r="T400" s="36"/>
      <c r="Y400" s="54">
        <f t="shared" si="13"/>
        <v>37342552</v>
      </c>
    </row>
    <row r="401" spans="1:25" x14ac:dyDescent="0.25">
      <c r="A401" s="20">
        <f>+VLOOKUP(D401,Back!Q:R,2,0)</f>
        <v>11</v>
      </c>
      <c r="B401" s="20" t="str">
        <f t="shared" si="12"/>
        <v>2016 NOV</v>
      </c>
      <c r="C401" s="20">
        <v>2016</v>
      </c>
      <c r="D401" s="21" t="s">
        <v>175</v>
      </c>
      <c r="E401" s="21" t="s">
        <v>24</v>
      </c>
      <c r="F401" s="21">
        <v>39448823</v>
      </c>
      <c r="G401" s="21" t="s">
        <v>48</v>
      </c>
      <c r="H401" s="22">
        <v>38596912</v>
      </c>
      <c r="I401" s="22">
        <v>990800</v>
      </c>
      <c r="J401" s="22">
        <v>5490405</v>
      </c>
      <c r="K401" s="23">
        <v>32115707</v>
      </c>
      <c r="L401" s="23">
        <v>30100000</v>
      </c>
      <c r="M401" s="24">
        <v>1.0669670099667774</v>
      </c>
      <c r="N401" s="25" t="str">
        <f>IFERROR(VLOOKUP(F401,Back!C:F,4,0),"NO")</f>
        <v>Si</v>
      </c>
      <c r="O401" s="26">
        <v>24</v>
      </c>
      <c r="P401" s="27" t="str">
        <f>IFERROR(VLOOKUP(F401,Back!C:E,3,0),"")</f>
        <v>IPS Pto De Vista Rionegro</v>
      </c>
      <c r="Q401" s="27" t="str">
        <f>IFERROR(VLOOKUP(P401,Back!M:N,2,0),"")</f>
        <v>Antioquia</v>
      </c>
      <c r="R401" s="27" t="str">
        <f>IF(N401="Si",IFERROR(VLOOKUP(F401,'TD Cumpl'!B:AB,27,0),"No Aplica"),"No Aplica")</f>
        <v>Siempre Cumple</v>
      </c>
      <c r="S401" s="38"/>
      <c r="T401" s="36"/>
      <c r="Y401" s="54">
        <f t="shared" si="13"/>
        <v>38596912</v>
      </c>
    </row>
    <row r="402" spans="1:25" x14ac:dyDescent="0.25">
      <c r="A402" s="20">
        <f>+VLOOKUP(D402,Back!Q:R,2,0)</f>
        <v>11</v>
      </c>
      <c r="B402" s="20" t="str">
        <f t="shared" si="12"/>
        <v>2016 NOV</v>
      </c>
      <c r="C402" s="20">
        <v>2016</v>
      </c>
      <c r="D402" s="21" t="s">
        <v>175</v>
      </c>
      <c r="E402" s="21" t="s">
        <v>10</v>
      </c>
      <c r="F402" s="21">
        <v>43109744</v>
      </c>
      <c r="G402" s="21" t="s">
        <v>53</v>
      </c>
      <c r="H402" s="22">
        <v>52177473</v>
      </c>
      <c r="I402" s="22">
        <v>1265400</v>
      </c>
      <c r="J402" s="22">
        <v>10677046</v>
      </c>
      <c r="K402" s="23">
        <v>40235027</v>
      </c>
      <c r="L402" s="23">
        <v>40000000</v>
      </c>
      <c r="M402" s="24">
        <v>1.005875675</v>
      </c>
      <c r="N402" s="25" t="str">
        <f>IFERROR(VLOOKUP(F402,Back!C:F,4,0),"NO")</f>
        <v>NO</v>
      </c>
      <c r="O402" s="26">
        <v>24</v>
      </c>
      <c r="P402" s="27" t="str">
        <f>IFERROR(VLOOKUP(F402,Back!C:E,3,0),"")</f>
        <v/>
      </c>
      <c r="Q402" s="27" t="str">
        <f>IFERROR(VLOOKUP(P402,Back!M:N,2,0),"")</f>
        <v/>
      </c>
      <c r="R402" s="27" t="str">
        <f>IF(N402="Si",IFERROR(VLOOKUP(F402,'TD Cumpl'!B:AB,27,0),"No Aplica"),"No Aplica")</f>
        <v>No Aplica</v>
      </c>
      <c r="S402" s="38"/>
      <c r="T402" s="36"/>
      <c r="Y402" s="54">
        <f t="shared" si="13"/>
        <v>52177473</v>
      </c>
    </row>
    <row r="403" spans="1:25" x14ac:dyDescent="0.25">
      <c r="A403" s="20">
        <f>+VLOOKUP(D403,Back!Q:R,2,0)</f>
        <v>11</v>
      </c>
      <c r="B403" s="20" t="str">
        <f t="shared" si="12"/>
        <v>2016 NOV</v>
      </c>
      <c r="C403" s="20">
        <v>2016</v>
      </c>
      <c r="D403" s="21" t="s">
        <v>175</v>
      </c>
      <c r="E403" s="21" t="s">
        <v>15</v>
      </c>
      <c r="F403" s="21">
        <v>42689970</v>
      </c>
      <c r="G403" s="21" t="s">
        <v>29</v>
      </c>
      <c r="H403" s="22">
        <v>61473433</v>
      </c>
      <c r="I403" s="22">
        <v>1390700</v>
      </c>
      <c r="J403" s="22">
        <v>11399700</v>
      </c>
      <c r="K403" s="23">
        <v>48683033</v>
      </c>
      <c r="L403" s="23">
        <v>40000000</v>
      </c>
      <c r="M403" s="24">
        <v>1.217075825</v>
      </c>
      <c r="N403" s="25" t="str">
        <f>IFERROR(VLOOKUP(F403,Back!C:F,4,0),"NO")</f>
        <v>NO</v>
      </c>
      <c r="O403" s="26">
        <v>24</v>
      </c>
      <c r="P403" s="27" t="str">
        <f>IFERROR(VLOOKUP(F403,Back!C:E,3,0),"")</f>
        <v/>
      </c>
      <c r="Q403" s="27" t="str">
        <f>IFERROR(VLOOKUP(P403,Back!M:N,2,0),"")</f>
        <v/>
      </c>
      <c r="R403" s="27" t="str">
        <f>IF(N403="Si",IFERROR(VLOOKUP(F403,'TD Cumpl'!B:AB,27,0),"No Aplica"),"No Aplica")</f>
        <v>No Aplica</v>
      </c>
      <c r="S403" s="38"/>
      <c r="T403" s="36"/>
      <c r="Y403" s="54">
        <f t="shared" si="13"/>
        <v>61473433</v>
      </c>
    </row>
    <row r="404" spans="1:25" x14ac:dyDescent="0.25">
      <c r="A404" s="20">
        <f>+VLOOKUP(D404,Back!Q:R,2,0)</f>
        <v>11</v>
      </c>
      <c r="B404" s="20" t="str">
        <f t="shared" si="12"/>
        <v>2016 NOV</v>
      </c>
      <c r="C404" s="20">
        <v>2016</v>
      </c>
      <c r="D404" s="21" t="s">
        <v>175</v>
      </c>
      <c r="E404" s="21" t="s">
        <v>23</v>
      </c>
      <c r="F404" s="21">
        <v>43907427</v>
      </c>
      <c r="G404" s="21" t="s">
        <v>144</v>
      </c>
      <c r="H404" s="22">
        <v>8983388</v>
      </c>
      <c r="I404" s="22">
        <v>0</v>
      </c>
      <c r="J404" s="22">
        <v>1204000</v>
      </c>
      <c r="K404" s="23">
        <v>7779388</v>
      </c>
      <c r="L404" s="23">
        <v>18000000</v>
      </c>
      <c r="M404" s="24">
        <v>0.4321882222222222</v>
      </c>
      <c r="N404" s="25" t="str">
        <f>IFERROR(VLOOKUP(F404,Back!C:F,4,0),"NO")</f>
        <v>Si</v>
      </c>
      <c r="O404" s="26">
        <v>24</v>
      </c>
      <c r="P404" s="27" t="str">
        <f>IFERROR(VLOOKUP(F404,Back!C:E,3,0),"")</f>
        <v>IPS Pto De Vista Industriales</v>
      </c>
      <c r="Q404" s="27" t="str">
        <f>IFERROR(VLOOKUP(P404,Back!M:N,2,0),"")</f>
        <v>Antioquia</v>
      </c>
      <c r="R404" s="27" t="str">
        <f>IF(N404="Si",IFERROR(VLOOKUP(F404,'TD Cumpl'!B:AB,27,0),"No Aplica"),"No Aplica")</f>
        <v>Siempre Cumple</v>
      </c>
      <c r="S404" s="38"/>
      <c r="T404" s="36"/>
      <c r="Y404" s="54">
        <f t="shared" si="13"/>
        <v>8983388</v>
      </c>
    </row>
    <row r="405" spans="1:25" x14ac:dyDescent="0.25">
      <c r="A405" s="20">
        <f>+VLOOKUP(D405,Back!Q:R,2,0)</f>
        <v>11</v>
      </c>
      <c r="B405" s="20" t="str">
        <f t="shared" si="12"/>
        <v>2016 NOV</v>
      </c>
      <c r="C405" s="20">
        <v>2016</v>
      </c>
      <c r="D405" s="21" t="s">
        <v>175</v>
      </c>
      <c r="E405" s="21" t="s">
        <v>12</v>
      </c>
      <c r="F405" s="21">
        <v>91511871</v>
      </c>
      <c r="G405" s="21" t="s">
        <v>49</v>
      </c>
      <c r="H405" s="22">
        <v>36734397</v>
      </c>
      <c r="I405" s="22">
        <v>420000</v>
      </c>
      <c r="J405" s="22">
        <v>10206400</v>
      </c>
      <c r="K405" s="23">
        <v>26107997</v>
      </c>
      <c r="L405" s="23">
        <v>26000000</v>
      </c>
      <c r="M405" s="24">
        <v>1.0041537307692308</v>
      </c>
      <c r="N405" s="25" t="str">
        <f>IFERROR(VLOOKUP(F405,Back!C:F,4,0),"NO")</f>
        <v>NO</v>
      </c>
      <c r="O405" s="26">
        <v>24</v>
      </c>
      <c r="P405" s="27" t="str">
        <f>IFERROR(VLOOKUP(F405,Back!C:E,3,0),"")</f>
        <v/>
      </c>
      <c r="Q405" s="27" t="str">
        <f>IFERROR(VLOOKUP(P405,Back!M:N,2,0),"")</f>
        <v/>
      </c>
      <c r="R405" s="27" t="str">
        <f>IF(N405="Si",IFERROR(VLOOKUP(F405,'TD Cumpl'!B:AB,27,0),"No Aplica"),"No Aplica")</f>
        <v>No Aplica</v>
      </c>
      <c r="S405" s="38"/>
      <c r="T405" s="36"/>
      <c r="Y405" s="54">
        <f t="shared" si="13"/>
        <v>36734397</v>
      </c>
    </row>
    <row r="406" spans="1:25" x14ac:dyDescent="0.25">
      <c r="A406" s="20">
        <f>+VLOOKUP(D406,Back!Q:R,2,0)</f>
        <v>11</v>
      </c>
      <c r="B406" s="20" t="str">
        <f t="shared" si="12"/>
        <v>2016 NOV</v>
      </c>
      <c r="C406" s="20">
        <v>2016</v>
      </c>
      <c r="D406" s="21" t="s">
        <v>175</v>
      </c>
      <c r="E406" s="21" t="s">
        <v>62</v>
      </c>
      <c r="F406" s="21">
        <v>32256379</v>
      </c>
      <c r="G406" s="21" t="s">
        <v>61</v>
      </c>
      <c r="H406" s="22">
        <v>20540722</v>
      </c>
      <c r="I406" s="22">
        <v>0</v>
      </c>
      <c r="J406" s="22">
        <v>1524500</v>
      </c>
      <c r="K406" s="23">
        <v>19016222</v>
      </c>
      <c r="L406" s="23">
        <v>40100000</v>
      </c>
      <c r="M406" s="24">
        <v>0.47421999999999997</v>
      </c>
      <c r="N406" s="25" t="str">
        <f>IFERROR(VLOOKUP(F406,Back!C:F,4,0),"NO")</f>
        <v>Si</v>
      </c>
      <c r="O406" s="26">
        <v>24</v>
      </c>
      <c r="P406" s="27" t="str">
        <f>IFERROR(VLOOKUP(F406,Back!C:E,3,0),"")</f>
        <v>Ferias Empresariales Antioquia</v>
      </c>
      <c r="Q406" s="27" t="str">
        <f>IFERROR(VLOOKUP(P406,Back!M:N,2,0),"")</f>
        <v>Antioquia</v>
      </c>
      <c r="R406" s="27" t="str">
        <f>IF(N406="Si",IFERROR(VLOOKUP(F406,'TD Cumpl'!B:AB,27,0),"No Aplica"),"No Aplica")</f>
        <v>Fluctúa</v>
      </c>
      <c r="S406" s="38"/>
      <c r="T406" s="36"/>
      <c r="Y406" s="54">
        <f t="shared" si="13"/>
        <v>20540722</v>
      </c>
    </row>
    <row r="407" spans="1:25" x14ac:dyDescent="0.25">
      <c r="A407" s="20">
        <f>+VLOOKUP(D407,Back!Q:R,2,0)</f>
        <v>11</v>
      </c>
      <c r="B407" s="20" t="str">
        <f t="shared" si="12"/>
        <v>2016 NOV</v>
      </c>
      <c r="C407" s="20">
        <v>2016</v>
      </c>
      <c r="D407" s="21" t="s">
        <v>175</v>
      </c>
      <c r="E407" s="21" t="s">
        <v>4</v>
      </c>
      <c r="F407" s="21">
        <v>79701425</v>
      </c>
      <c r="G407" s="21" t="s">
        <v>27</v>
      </c>
      <c r="H407" s="22">
        <v>31746999</v>
      </c>
      <c r="I407" s="22">
        <v>420000</v>
      </c>
      <c r="J407" s="22">
        <v>5215800</v>
      </c>
      <c r="K407" s="23">
        <v>26111199</v>
      </c>
      <c r="L407" s="23">
        <v>21000000</v>
      </c>
      <c r="M407" s="24">
        <v>1.2433904285714286</v>
      </c>
      <c r="N407" s="25" t="str">
        <f>IFERROR(VLOOKUP(F407,Back!C:F,4,0),"NO")</f>
        <v>No</v>
      </c>
      <c r="O407" s="26">
        <v>24</v>
      </c>
      <c r="P407" s="27" t="str">
        <f>IFERROR(VLOOKUP(F407,Back!C:E,3,0),"")</f>
        <v>IPS Pto De Vista Olaya</v>
      </c>
      <c r="Q407" s="27" t="str">
        <f>IFERROR(VLOOKUP(P407,Back!M:N,2,0),"")</f>
        <v>Centro</v>
      </c>
      <c r="R407" s="27" t="str">
        <f>IF(N407="Si",IFERROR(VLOOKUP(F407,'TD Cumpl'!B:AB,27,0),"No Aplica"),"No Aplica")</f>
        <v>No Aplica</v>
      </c>
      <c r="S407" s="38"/>
      <c r="T407" s="36"/>
      <c r="Y407" s="54">
        <f t="shared" si="13"/>
        <v>31746999</v>
      </c>
    </row>
    <row r="408" spans="1:25" x14ac:dyDescent="0.25">
      <c r="A408" s="20">
        <f>+VLOOKUP(D408,Back!Q:R,2,0)</f>
        <v>11</v>
      </c>
      <c r="B408" s="20" t="str">
        <f t="shared" si="12"/>
        <v>2016 NOV</v>
      </c>
      <c r="C408" s="20">
        <v>2016</v>
      </c>
      <c r="D408" s="21" t="s">
        <v>175</v>
      </c>
      <c r="E408" s="21" t="s">
        <v>5</v>
      </c>
      <c r="F408" s="21">
        <v>34542470</v>
      </c>
      <c r="G408" s="21" t="s">
        <v>28</v>
      </c>
      <c r="H408" s="22">
        <v>25974657</v>
      </c>
      <c r="I408" s="22">
        <v>531000</v>
      </c>
      <c r="J408" s="22">
        <v>0</v>
      </c>
      <c r="K408" s="23">
        <v>25443657</v>
      </c>
      <c r="L408" s="23">
        <v>21000000</v>
      </c>
      <c r="M408" s="24">
        <v>1.2116027142857142</v>
      </c>
      <c r="N408" s="25" t="str">
        <f>IFERROR(VLOOKUP(F408,Back!C:F,4,0),"NO")</f>
        <v>Si</v>
      </c>
      <c r="O408" s="26">
        <v>24</v>
      </c>
      <c r="P408" s="27" t="str">
        <f>IFERROR(VLOOKUP(F408,Back!C:E,3,0),"")</f>
        <v>Optica Salud Sura Chipichape</v>
      </c>
      <c r="Q408" s="27" t="str">
        <f>IFERROR(VLOOKUP(P408,Back!M:N,2,0),"")</f>
        <v>Occidente</v>
      </c>
      <c r="R408" s="27" t="str">
        <f>IF(N408="Si",IFERROR(VLOOKUP(F408,'TD Cumpl'!B:AB,27,0),"No Aplica"),"No Aplica")</f>
        <v>Siempre Cumple</v>
      </c>
      <c r="S408" s="38"/>
      <c r="T408" s="36"/>
      <c r="Y408" s="54">
        <f t="shared" si="13"/>
        <v>25974657</v>
      </c>
    </row>
    <row r="409" spans="1:25" x14ac:dyDescent="0.25">
      <c r="A409" s="20">
        <f>+VLOOKUP(D409,Back!Q:R,2,0)</f>
        <v>11</v>
      </c>
      <c r="B409" s="20" t="str">
        <f t="shared" si="12"/>
        <v>2016 NOV</v>
      </c>
      <c r="C409" s="20">
        <v>2016</v>
      </c>
      <c r="D409" s="21" t="s">
        <v>175</v>
      </c>
      <c r="E409" s="21" t="s">
        <v>72</v>
      </c>
      <c r="F409" s="21">
        <v>43636530</v>
      </c>
      <c r="G409" s="21" t="s">
        <v>483</v>
      </c>
      <c r="H409" s="22">
        <v>29792300</v>
      </c>
      <c r="I409" s="22">
        <v>1398000</v>
      </c>
      <c r="J409" s="22">
        <v>9952800</v>
      </c>
      <c r="K409" s="23">
        <v>18441500</v>
      </c>
      <c r="L409" s="23">
        <v>40000000</v>
      </c>
      <c r="M409" s="24">
        <v>0.46103749999999999</v>
      </c>
      <c r="N409" s="25" t="str">
        <f>IFERROR(VLOOKUP(F409,Back!C:F,4,0),"NO")</f>
        <v>NO</v>
      </c>
      <c r="O409" s="26">
        <v>24</v>
      </c>
      <c r="P409" s="27" t="str">
        <f>IFERROR(VLOOKUP(F409,Back!C:E,3,0),"")</f>
        <v/>
      </c>
      <c r="Q409" s="27" t="str">
        <f>IFERROR(VLOOKUP(P409,Back!M:N,2,0),"")</f>
        <v/>
      </c>
      <c r="R409" s="27" t="str">
        <f>IF(N409="Si",IFERROR(VLOOKUP(F409,'TD Cumpl'!B:AB,27,0),"No Aplica"),"No Aplica")</f>
        <v>No Aplica</v>
      </c>
      <c r="S409" s="38"/>
      <c r="T409" s="36"/>
      <c r="Y409" s="54">
        <f t="shared" si="13"/>
        <v>29792300</v>
      </c>
    </row>
    <row r="410" spans="1:25" x14ac:dyDescent="0.25">
      <c r="A410" s="20">
        <f>+VLOOKUP(D410,Back!Q:R,2,0)</f>
        <v>11</v>
      </c>
      <c r="B410" s="20" t="str">
        <f t="shared" si="12"/>
        <v>2016 NOV</v>
      </c>
      <c r="C410" s="20">
        <v>2016</v>
      </c>
      <c r="D410" s="21" t="s">
        <v>175</v>
      </c>
      <c r="E410" s="21" t="s">
        <v>7</v>
      </c>
      <c r="F410" s="21">
        <v>43745952</v>
      </c>
      <c r="G410" s="21" t="s">
        <v>50</v>
      </c>
      <c r="H410" s="22">
        <v>68703047</v>
      </c>
      <c r="I410" s="22">
        <v>285400</v>
      </c>
      <c r="J410" s="22">
        <v>13484900</v>
      </c>
      <c r="K410" s="23">
        <v>54932747</v>
      </c>
      <c r="L410" s="23">
        <v>40100000</v>
      </c>
      <c r="M410" s="24">
        <v>1.369893940149626</v>
      </c>
      <c r="N410" s="25" t="str">
        <f>IFERROR(VLOOKUP(F410,Back!C:F,4,0),"NO")</f>
        <v>Si</v>
      </c>
      <c r="O410" s="26">
        <v>24</v>
      </c>
      <c r="P410" s="27" t="str">
        <f>IFERROR(VLOOKUP(F410,Back!C:E,3,0),"")</f>
        <v>IPS Pto De Vista Unicentro</v>
      </c>
      <c r="Q410" s="27" t="str">
        <f>IFERROR(VLOOKUP(P410,Back!M:N,2,0),"")</f>
        <v>Antioquia</v>
      </c>
      <c r="R410" s="27" t="str">
        <f>IF(N410="Si",IFERROR(VLOOKUP(F410,'TD Cumpl'!B:AB,27,0),"No Aplica"),"No Aplica")</f>
        <v>Siempre Cumple</v>
      </c>
      <c r="S410" s="38"/>
      <c r="T410" s="36"/>
      <c r="Y410" s="54">
        <f t="shared" si="13"/>
        <v>68703047</v>
      </c>
    </row>
    <row r="411" spans="1:25" x14ac:dyDescent="0.25">
      <c r="A411" s="20">
        <f>+VLOOKUP(D411,Back!Q:R,2,0)</f>
        <v>11</v>
      </c>
      <c r="B411" s="20" t="str">
        <f t="shared" si="12"/>
        <v>2016 NOV</v>
      </c>
      <c r="C411" s="20">
        <v>2016</v>
      </c>
      <c r="D411" s="21" t="s">
        <v>175</v>
      </c>
      <c r="E411" s="21" t="s">
        <v>8</v>
      </c>
      <c r="F411" s="21">
        <v>43259130</v>
      </c>
      <c r="G411" s="21" t="s">
        <v>51</v>
      </c>
      <c r="H411" s="22">
        <v>54581443</v>
      </c>
      <c r="I411" s="22">
        <v>2494700</v>
      </c>
      <c r="J411" s="22">
        <v>15360400</v>
      </c>
      <c r="K411" s="23">
        <v>36726343</v>
      </c>
      <c r="L411" s="23">
        <v>40100000</v>
      </c>
      <c r="M411" s="24">
        <v>0.91586890274314214</v>
      </c>
      <c r="N411" s="25" t="str">
        <f>IFERROR(VLOOKUP(F411,Back!C:F,4,0),"NO")</f>
        <v>Si</v>
      </c>
      <c r="O411" s="26">
        <v>24</v>
      </c>
      <c r="P411" s="27" t="str">
        <f>IFERROR(VLOOKUP(F411,Back!C:E,3,0),"")</f>
        <v>IPS Pto De Vista Molinos</v>
      </c>
      <c r="Q411" s="27" t="str">
        <f>IFERROR(VLOOKUP(P411,Back!M:N,2,0),"")</f>
        <v>Antioquia</v>
      </c>
      <c r="R411" s="27" t="str">
        <f>IF(N411="Si",IFERROR(VLOOKUP(F411,'TD Cumpl'!B:AB,27,0),"No Aplica"),"No Aplica")</f>
        <v>Fluctúa</v>
      </c>
      <c r="S411" s="38"/>
      <c r="T411" s="36"/>
      <c r="Y411" s="54">
        <f t="shared" si="13"/>
        <v>54581443</v>
      </c>
    </row>
    <row r="412" spans="1:25" x14ac:dyDescent="0.25">
      <c r="A412" s="20">
        <f>+VLOOKUP(D412,Back!Q:R,2,0)</f>
        <v>12</v>
      </c>
      <c r="B412" s="20" t="str">
        <f t="shared" si="12"/>
        <v>2016 DIC</v>
      </c>
      <c r="C412" s="20">
        <v>2016</v>
      </c>
      <c r="D412" s="21" t="s">
        <v>187</v>
      </c>
      <c r="E412" s="21" t="s">
        <v>9</v>
      </c>
      <c r="F412" s="21">
        <v>43169964</v>
      </c>
      <c r="G412" s="21" t="s">
        <v>155</v>
      </c>
      <c r="H412" s="22">
        <v>62495645</v>
      </c>
      <c r="I412" s="22">
        <v>1309400</v>
      </c>
      <c r="J412" s="22">
        <v>13511100</v>
      </c>
      <c r="K412" s="23">
        <v>47675145</v>
      </c>
      <c r="L412" s="23">
        <v>26000000</v>
      </c>
      <c r="M412" s="24">
        <v>1.833659423076923</v>
      </c>
      <c r="N412" s="25" t="str">
        <f>IFERROR(VLOOKUP(F412,Back!C:F,4,0),"NO")</f>
        <v>Si</v>
      </c>
      <c r="O412" s="26">
        <v>26</v>
      </c>
      <c r="P412" s="27" t="str">
        <f>IFERROR(VLOOKUP(F412,Back!C:E,3,0),"")</f>
        <v>IPS Pto De Vista Molinos</v>
      </c>
      <c r="Q412" s="27" t="str">
        <f>IFERROR(VLOOKUP(P412,Back!M:N,2,0),"")</f>
        <v>Antioquia</v>
      </c>
      <c r="R412" s="27" t="str">
        <f>IF(N412="Si",IFERROR(VLOOKUP(F412,'TD Cumpl'!B:AB,27,0),"No Aplica"),"No Aplica")</f>
        <v>Cumple</v>
      </c>
      <c r="S412" s="38"/>
      <c r="T412" s="36"/>
      <c r="Y412" s="54">
        <f t="shared" si="13"/>
        <v>62495645</v>
      </c>
    </row>
    <row r="413" spans="1:25" x14ac:dyDescent="0.25">
      <c r="A413" s="20">
        <f>+VLOOKUP(D413,Back!Q:R,2,0)</f>
        <v>12</v>
      </c>
      <c r="B413" s="20" t="str">
        <f t="shared" si="12"/>
        <v>2016 DIC</v>
      </c>
      <c r="C413" s="20">
        <v>2016</v>
      </c>
      <c r="D413" s="21" t="s">
        <v>187</v>
      </c>
      <c r="E413" s="21" t="s">
        <v>11</v>
      </c>
      <c r="F413" s="21">
        <v>43253531</v>
      </c>
      <c r="G413" s="21" t="s">
        <v>39</v>
      </c>
      <c r="H413" s="22">
        <v>52543880</v>
      </c>
      <c r="I413" s="22">
        <v>1669400</v>
      </c>
      <c r="J413" s="22">
        <v>8131156</v>
      </c>
      <c r="K413" s="23">
        <v>42743324</v>
      </c>
      <c r="L413" s="23">
        <v>33146153.846153848</v>
      </c>
      <c r="M413" s="24">
        <v>1.2895409886284519</v>
      </c>
      <c r="N413" s="25" t="str">
        <f>IFERROR(VLOOKUP(F413,Back!C:F,4,0),"NO")</f>
        <v>Si</v>
      </c>
      <c r="O413" s="26">
        <v>26</v>
      </c>
      <c r="P413" s="27" t="str">
        <f>IFERROR(VLOOKUP(F413,Back!C:E,3,0),"")</f>
        <v>IPS Punto de Vista Bello</v>
      </c>
      <c r="Q413" s="27" t="str">
        <f>IFERROR(VLOOKUP(P413,Back!M:N,2,0),"")</f>
        <v>Antioquia</v>
      </c>
      <c r="R413" s="27" t="str">
        <f>IF(N413="Si",IFERROR(VLOOKUP(F413,'TD Cumpl'!B:AB,27,0),"No Aplica"),"No Aplica")</f>
        <v>Cumple</v>
      </c>
      <c r="S413" s="38"/>
      <c r="T413" s="36"/>
      <c r="Y413" s="54">
        <f t="shared" si="13"/>
        <v>52543880</v>
      </c>
    </row>
    <row r="414" spans="1:25" x14ac:dyDescent="0.25">
      <c r="A414" s="20">
        <f>+VLOOKUP(D414,Back!Q:R,2,0)</f>
        <v>12</v>
      </c>
      <c r="B414" s="20" t="str">
        <f t="shared" si="12"/>
        <v>2016 DIC</v>
      </c>
      <c r="C414" s="20">
        <v>2016</v>
      </c>
      <c r="D414" s="21" t="s">
        <v>187</v>
      </c>
      <c r="E414" s="21" t="s">
        <v>66</v>
      </c>
      <c r="F414" s="21">
        <v>3438422</v>
      </c>
      <c r="G414" s="21" t="s">
        <v>71</v>
      </c>
      <c r="H414" s="22">
        <v>57262608</v>
      </c>
      <c r="I414" s="22">
        <v>166800</v>
      </c>
      <c r="J414" s="22">
        <v>8627900</v>
      </c>
      <c r="K414" s="23">
        <v>48467908</v>
      </c>
      <c r="L414" s="23">
        <v>30100000</v>
      </c>
      <c r="M414" s="24">
        <v>1.6102295016611297</v>
      </c>
      <c r="N414" s="25" t="str">
        <f>IFERROR(VLOOKUP(F414,Back!C:F,4,0),"NO")</f>
        <v>Si</v>
      </c>
      <c r="O414" s="26">
        <v>26</v>
      </c>
      <c r="P414" s="27" t="str">
        <f>IFERROR(VLOOKUP(F414,Back!C:E,3,0),"")</f>
        <v>IPS Pto De Vista Punto Clave</v>
      </c>
      <c r="Q414" s="27" t="str">
        <f>IFERROR(VLOOKUP(P414,Back!M:N,2,0),"")</f>
        <v>Antioquia</v>
      </c>
      <c r="R414" s="27" t="str">
        <f>IF(N414="Si",IFERROR(VLOOKUP(F414,'TD Cumpl'!B:AB,27,0),"No Aplica"),"No Aplica")</f>
        <v>Fluctúa</v>
      </c>
      <c r="S414" s="38"/>
      <c r="T414" s="36"/>
      <c r="Y414" s="54">
        <f t="shared" si="13"/>
        <v>57262608</v>
      </c>
    </row>
    <row r="415" spans="1:25" x14ac:dyDescent="0.25">
      <c r="A415" s="20">
        <f>+VLOOKUP(D415,Back!Q:R,2,0)</f>
        <v>12</v>
      </c>
      <c r="B415" s="20" t="str">
        <f t="shared" si="12"/>
        <v>2016 DIC</v>
      </c>
      <c r="C415" s="20">
        <v>2016</v>
      </c>
      <c r="D415" s="21" t="s">
        <v>187</v>
      </c>
      <c r="E415" s="21" t="s">
        <v>6</v>
      </c>
      <c r="F415" s="21">
        <v>43821410</v>
      </c>
      <c r="G415" s="21" t="s">
        <v>40</v>
      </c>
      <c r="H415" s="22">
        <v>85664518</v>
      </c>
      <c r="I415" s="22">
        <v>1366700</v>
      </c>
      <c r="J415" s="22">
        <v>11584300</v>
      </c>
      <c r="K415" s="23">
        <v>72713518</v>
      </c>
      <c r="L415" s="23">
        <v>40100000</v>
      </c>
      <c r="M415" s="24">
        <v>1.8133046882793018</v>
      </c>
      <c r="N415" s="25" t="str">
        <f>IFERROR(VLOOKUP(F415,Back!C:F,4,0),"NO")</f>
        <v>Si</v>
      </c>
      <c r="O415" s="26">
        <v>26</v>
      </c>
      <c r="P415" s="27" t="str">
        <f>IFERROR(VLOOKUP(F415,Back!C:E,3,0),"")</f>
        <v>IPS Pto De Vista Unicentro</v>
      </c>
      <c r="Q415" s="27" t="str">
        <f>IFERROR(VLOOKUP(P415,Back!M:N,2,0),"")</f>
        <v>Antioquia</v>
      </c>
      <c r="R415" s="27" t="str">
        <f>IF(N415="Si",IFERROR(VLOOKUP(F415,'TD Cumpl'!B:AB,27,0),"No Aplica"),"No Aplica")</f>
        <v>Siempre Cumple</v>
      </c>
      <c r="S415" s="38"/>
      <c r="T415" s="36"/>
      <c r="Y415" s="54">
        <f t="shared" si="13"/>
        <v>85664518</v>
      </c>
    </row>
    <row r="416" spans="1:25" x14ac:dyDescent="0.25">
      <c r="A416" s="20">
        <f>+VLOOKUP(D416,Back!Q:R,2,0)</f>
        <v>12</v>
      </c>
      <c r="B416" s="20" t="str">
        <f t="shared" si="12"/>
        <v>2016 DIC</v>
      </c>
      <c r="C416" s="20">
        <v>2016</v>
      </c>
      <c r="D416" s="21" t="s">
        <v>187</v>
      </c>
      <c r="E416" s="21" t="s">
        <v>84</v>
      </c>
      <c r="F416" s="21">
        <v>1020736461</v>
      </c>
      <c r="G416" s="21" t="s">
        <v>156</v>
      </c>
      <c r="H416" s="22">
        <v>29948898</v>
      </c>
      <c r="I416" s="22">
        <v>1305400</v>
      </c>
      <c r="J416" s="22">
        <v>3611000</v>
      </c>
      <c r="K416" s="23">
        <v>25032498</v>
      </c>
      <c r="L416" s="23">
        <v>20800000</v>
      </c>
      <c r="M416" s="24">
        <v>1.2034854807692308</v>
      </c>
      <c r="N416" s="25" t="str">
        <f>IFERROR(VLOOKUP(F416,Back!C:F,4,0),"NO")</f>
        <v>Si</v>
      </c>
      <c r="O416" s="26">
        <v>26</v>
      </c>
      <c r="P416" s="27" t="str">
        <f>IFERROR(VLOOKUP(F416,Back!C:E,3,0),"")</f>
        <v>IPS Pto De Vista Santa Bárbara</v>
      </c>
      <c r="Q416" s="27" t="str">
        <f>IFERROR(VLOOKUP(P416,Back!M:N,2,0),"")</f>
        <v>Centro</v>
      </c>
      <c r="R416" s="27" t="str">
        <f>IF(N416="Si",IFERROR(VLOOKUP(F416,'TD Cumpl'!B:AB,27,0),"No Aplica"),"No Aplica")</f>
        <v>Siempre Cumple</v>
      </c>
      <c r="S416" s="38"/>
      <c r="T416" s="36"/>
      <c r="Y416" s="54">
        <f t="shared" si="13"/>
        <v>29948898</v>
      </c>
    </row>
    <row r="417" spans="1:25" x14ac:dyDescent="0.25">
      <c r="A417" s="20">
        <f>+VLOOKUP(D417,Back!Q:R,2,0)</f>
        <v>12</v>
      </c>
      <c r="B417" s="20" t="str">
        <f t="shared" si="12"/>
        <v>2016 DIC</v>
      </c>
      <c r="C417" s="20">
        <v>2016</v>
      </c>
      <c r="D417" s="21" t="s">
        <v>187</v>
      </c>
      <c r="E417" s="21" t="s">
        <v>18</v>
      </c>
      <c r="F417" s="21">
        <v>39442617</v>
      </c>
      <c r="G417" s="21" t="s">
        <v>41</v>
      </c>
      <c r="H417" s="22">
        <v>67672254</v>
      </c>
      <c r="I417" s="22">
        <v>256860</v>
      </c>
      <c r="J417" s="22">
        <v>9852100</v>
      </c>
      <c r="K417" s="23">
        <v>57563294</v>
      </c>
      <c r="L417" s="23">
        <v>40000000</v>
      </c>
      <c r="M417" s="24">
        <v>1.4390823500000001</v>
      </c>
      <c r="N417" s="25" t="str">
        <f>IFERROR(VLOOKUP(F417,Back!C:F,4,0),"NO")</f>
        <v>Si</v>
      </c>
      <c r="O417" s="26">
        <v>26</v>
      </c>
      <c r="P417" s="27" t="str">
        <f>IFERROR(VLOOKUP(F417,Back!C:E,3,0),"")</f>
        <v>IPS Pto De Vista San Diego</v>
      </c>
      <c r="Q417" s="27" t="str">
        <f>IFERROR(VLOOKUP(P417,Back!M:N,2,0),"")</f>
        <v>Antioquia</v>
      </c>
      <c r="R417" s="27" t="str">
        <f>IF(N417="Si",IFERROR(VLOOKUP(F417,'TD Cumpl'!B:AB,27,0),"No Aplica"),"No Aplica")</f>
        <v>Cumple</v>
      </c>
      <c r="S417" s="38"/>
      <c r="T417" s="36"/>
      <c r="Y417" s="54">
        <f t="shared" si="13"/>
        <v>67672254</v>
      </c>
    </row>
    <row r="418" spans="1:25" x14ac:dyDescent="0.25">
      <c r="A418" s="20">
        <f>+VLOOKUP(D418,Back!Q:R,2,0)</f>
        <v>12</v>
      </c>
      <c r="B418" s="20" t="str">
        <f t="shared" si="12"/>
        <v>2016 DIC</v>
      </c>
      <c r="C418" s="20">
        <v>2016</v>
      </c>
      <c r="D418" s="21" t="s">
        <v>187</v>
      </c>
      <c r="E418" s="21" t="s">
        <v>83</v>
      </c>
      <c r="F418" s="21">
        <v>43800272</v>
      </c>
      <c r="G418" s="21" t="s">
        <v>85</v>
      </c>
      <c r="H418" s="22">
        <v>41848489</v>
      </c>
      <c r="I418" s="22">
        <v>1666600</v>
      </c>
      <c r="J418" s="22">
        <v>7731700</v>
      </c>
      <c r="K418" s="23">
        <v>32450189</v>
      </c>
      <c r="L418" s="23">
        <v>32000000</v>
      </c>
      <c r="M418" s="24">
        <v>1.0140684062500001</v>
      </c>
      <c r="N418" s="25" t="str">
        <f>IFERROR(VLOOKUP(F418,Back!C:F,4,0),"NO")</f>
        <v>NO</v>
      </c>
      <c r="O418" s="26">
        <v>26</v>
      </c>
      <c r="P418" s="27" t="str">
        <f>IFERROR(VLOOKUP(F418,Back!C:E,3,0),"")</f>
        <v/>
      </c>
      <c r="Q418" s="27" t="str">
        <f>IFERROR(VLOOKUP(P418,Back!M:N,2,0),"")</f>
        <v/>
      </c>
      <c r="R418" s="27" t="str">
        <f>IF(N418="Si",IFERROR(VLOOKUP(F418,'TD Cumpl'!B:AB,27,0),"No Aplica"),"No Aplica")</f>
        <v>No Aplica</v>
      </c>
      <c r="S418" s="38"/>
      <c r="T418" s="36"/>
      <c r="Y418" s="54">
        <f t="shared" si="13"/>
        <v>41848489</v>
      </c>
    </row>
    <row r="419" spans="1:25" x14ac:dyDescent="0.25">
      <c r="A419" s="20">
        <f>+VLOOKUP(D419,Back!Q:R,2,0)</f>
        <v>12</v>
      </c>
      <c r="B419" s="20" t="str">
        <f t="shared" si="12"/>
        <v>2016 DIC</v>
      </c>
      <c r="C419" s="20">
        <v>2016</v>
      </c>
      <c r="D419" s="21" t="s">
        <v>187</v>
      </c>
      <c r="E419" s="21" t="s">
        <v>54</v>
      </c>
      <c r="F419" s="21">
        <v>1013628003</v>
      </c>
      <c r="G419" s="21" t="s">
        <v>55</v>
      </c>
      <c r="H419" s="22">
        <v>6859925</v>
      </c>
      <c r="I419" s="22">
        <v>0</v>
      </c>
      <c r="J419" s="22">
        <v>983100</v>
      </c>
      <c r="K419" s="23">
        <v>5876825</v>
      </c>
      <c r="L419" s="23">
        <v>9692307.692307692</v>
      </c>
      <c r="M419" s="24">
        <v>0.60633908730158736</v>
      </c>
      <c r="N419" s="25" t="str">
        <f>IFERROR(VLOOKUP(F419,Back!C:F,4,0),"NO")</f>
        <v>NO</v>
      </c>
      <c r="O419" s="26">
        <v>26</v>
      </c>
      <c r="P419" s="27" t="str">
        <f>IFERROR(VLOOKUP(F419,Back!C:E,3,0),"")</f>
        <v/>
      </c>
      <c r="Q419" s="27" t="str">
        <f>IFERROR(VLOOKUP(P419,Back!M:N,2,0),"")</f>
        <v/>
      </c>
      <c r="R419" s="27" t="str">
        <f>IF(N419="Si",IFERROR(VLOOKUP(F419,'TD Cumpl'!B:AB,27,0),"No Aplica"),"No Aplica")</f>
        <v>No Aplica</v>
      </c>
      <c r="S419" s="38"/>
      <c r="T419" s="36"/>
      <c r="Y419" s="54">
        <f t="shared" si="13"/>
        <v>6859925</v>
      </c>
    </row>
    <row r="420" spans="1:25" x14ac:dyDescent="0.25">
      <c r="A420" s="20">
        <f>+VLOOKUP(D420,Back!Q:R,2,0)</f>
        <v>12</v>
      </c>
      <c r="B420" s="20" t="str">
        <f t="shared" si="12"/>
        <v>2016 DIC</v>
      </c>
      <c r="C420" s="20">
        <v>2016</v>
      </c>
      <c r="D420" s="21" t="s">
        <v>187</v>
      </c>
      <c r="E420" s="21" t="s">
        <v>56</v>
      </c>
      <c r="F420" s="21">
        <v>43971430</v>
      </c>
      <c r="G420" s="21" t="s">
        <v>142</v>
      </c>
      <c r="H420" s="22">
        <v>38817954</v>
      </c>
      <c r="I420" s="22">
        <v>293400</v>
      </c>
      <c r="J420" s="22">
        <v>5940100</v>
      </c>
      <c r="K420" s="23">
        <v>32584454</v>
      </c>
      <c r="L420" s="23">
        <v>27692307.692307692</v>
      </c>
      <c r="M420" s="24">
        <v>1.1766608388888888</v>
      </c>
      <c r="N420" s="25" t="str">
        <f>IFERROR(VLOOKUP(F420,Back!C:F,4,0),"NO")</f>
        <v>Si</v>
      </c>
      <c r="O420" s="26">
        <v>26</v>
      </c>
      <c r="P420" s="27" t="str">
        <f>IFERROR(VLOOKUP(F420,Back!C:E,3,0),"")</f>
        <v>IPS Pto De Vista Centro</v>
      </c>
      <c r="Q420" s="27" t="str">
        <f>IFERROR(VLOOKUP(P420,Back!M:N,2,0),"")</f>
        <v>Antioquia</v>
      </c>
      <c r="R420" s="27" t="str">
        <f>IF(N420="Si",IFERROR(VLOOKUP(F420,'TD Cumpl'!B:AB,27,0),"No Aplica"),"No Aplica")</f>
        <v>Siempre Cumple</v>
      </c>
      <c r="S420" s="38"/>
      <c r="T420" s="36"/>
      <c r="Y420" s="54">
        <f t="shared" si="13"/>
        <v>38817954</v>
      </c>
    </row>
    <row r="421" spans="1:25" x14ac:dyDescent="0.25">
      <c r="A421" s="20">
        <f>+VLOOKUP(D421,Back!Q:R,2,0)</f>
        <v>12</v>
      </c>
      <c r="B421" s="20" t="str">
        <f t="shared" si="12"/>
        <v>2016 DIC</v>
      </c>
      <c r="C421" s="20">
        <v>2016</v>
      </c>
      <c r="D421" s="21" t="s">
        <v>187</v>
      </c>
      <c r="E421" s="21" t="s">
        <v>59</v>
      </c>
      <c r="F421" s="21">
        <v>1030634664</v>
      </c>
      <c r="G421" s="21" t="s">
        <v>58</v>
      </c>
      <c r="H421" s="22">
        <v>54142522</v>
      </c>
      <c r="I421" s="22">
        <v>1422000</v>
      </c>
      <c r="J421" s="22">
        <v>10247900</v>
      </c>
      <c r="K421" s="23">
        <v>42472622</v>
      </c>
      <c r="L421" s="23">
        <v>40000000</v>
      </c>
      <c r="M421" s="24">
        <v>1.0618155499999999</v>
      </c>
      <c r="N421" s="25" t="str">
        <f>IFERROR(VLOOKUP(F421,Back!C:F,4,0),"NO")</f>
        <v>NO</v>
      </c>
      <c r="O421" s="26">
        <v>26</v>
      </c>
      <c r="P421" s="27" t="str">
        <f>IFERROR(VLOOKUP(F421,Back!C:E,3,0),"")</f>
        <v/>
      </c>
      <c r="Q421" s="27" t="str">
        <f>IFERROR(VLOOKUP(P421,Back!M:N,2,0),"")</f>
        <v/>
      </c>
      <c r="R421" s="27" t="str">
        <f>IF(N421="Si",IFERROR(VLOOKUP(F421,'TD Cumpl'!B:AB,27,0),"No Aplica"),"No Aplica")</f>
        <v>No Aplica</v>
      </c>
      <c r="S421" s="38"/>
      <c r="T421" s="36"/>
      <c r="Y421" s="54">
        <f t="shared" si="13"/>
        <v>54142522</v>
      </c>
    </row>
    <row r="422" spans="1:25" x14ac:dyDescent="0.25">
      <c r="A422" s="20">
        <f>+VLOOKUP(D422,Back!Q:R,2,0)</f>
        <v>12</v>
      </c>
      <c r="B422" s="20" t="str">
        <f t="shared" si="12"/>
        <v>2016 DIC</v>
      </c>
      <c r="C422" s="20">
        <v>2016</v>
      </c>
      <c r="D422" s="21" t="s">
        <v>187</v>
      </c>
      <c r="E422" s="21" t="s">
        <v>34</v>
      </c>
      <c r="F422" s="21">
        <v>43554403</v>
      </c>
      <c r="G422" s="21" t="s">
        <v>35</v>
      </c>
      <c r="H422" s="22">
        <v>63982759</v>
      </c>
      <c r="I422" s="22">
        <v>3165400</v>
      </c>
      <c r="J422" s="22">
        <v>13362400</v>
      </c>
      <c r="K422" s="23">
        <v>47454959</v>
      </c>
      <c r="L422" s="23">
        <v>40000000</v>
      </c>
      <c r="M422" s="24">
        <v>1.186373975</v>
      </c>
      <c r="N422" s="25" t="str">
        <f>IFERROR(VLOOKUP(F422,Back!C:F,4,0),"NO")</f>
        <v>Si</v>
      </c>
      <c r="O422" s="26">
        <v>26</v>
      </c>
      <c r="P422" s="27" t="str">
        <f>IFERROR(VLOOKUP(F422,Back!C:E,3,0),"")</f>
        <v>IPS Pto De Vista Centro</v>
      </c>
      <c r="Q422" s="27" t="str">
        <f>IFERROR(VLOOKUP(P422,Back!M:N,2,0),"")</f>
        <v>Antioquia</v>
      </c>
      <c r="R422" s="27" t="str">
        <f>IF(N422="Si",IFERROR(VLOOKUP(F422,'TD Cumpl'!B:AB,27,0),"No Aplica"),"No Aplica")</f>
        <v>Siempre Cumple</v>
      </c>
      <c r="S422" s="38"/>
      <c r="T422" s="36"/>
      <c r="Y422" s="54">
        <f t="shared" si="13"/>
        <v>63982759</v>
      </c>
    </row>
    <row r="423" spans="1:25" x14ac:dyDescent="0.25">
      <c r="A423" s="20">
        <f>+VLOOKUP(D423,Back!Q:R,2,0)</f>
        <v>12</v>
      </c>
      <c r="B423" s="20" t="str">
        <f t="shared" si="12"/>
        <v>2016 DIC</v>
      </c>
      <c r="C423" s="20">
        <v>2016</v>
      </c>
      <c r="D423" s="21" t="s">
        <v>187</v>
      </c>
      <c r="E423" s="21" t="s">
        <v>1</v>
      </c>
      <c r="F423" s="21">
        <v>23857915</v>
      </c>
      <c r="G423" s="21" t="s">
        <v>116</v>
      </c>
      <c r="H423" s="22">
        <v>28563107</v>
      </c>
      <c r="I423" s="22">
        <v>420000</v>
      </c>
      <c r="J423" s="22">
        <v>5978600</v>
      </c>
      <c r="K423" s="23">
        <v>22164507</v>
      </c>
      <c r="L423" s="23">
        <v>21000000</v>
      </c>
      <c r="M423" s="24">
        <v>1.0554527142857142</v>
      </c>
      <c r="N423" s="25" t="str">
        <f>IFERROR(VLOOKUP(F423,Back!C:F,4,0),"NO")</f>
        <v>NO</v>
      </c>
      <c r="O423" s="26">
        <v>26</v>
      </c>
      <c r="P423" s="27" t="str">
        <f>IFERROR(VLOOKUP(F423,Back!C:E,3,0),"")</f>
        <v/>
      </c>
      <c r="Q423" s="27" t="str">
        <f>IFERROR(VLOOKUP(P423,Back!M:N,2,0),"")</f>
        <v/>
      </c>
      <c r="R423" s="27" t="str">
        <f>IF(N423="Si",IFERROR(VLOOKUP(F423,'TD Cumpl'!B:AB,27,0),"No Aplica"),"No Aplica")</f>
        <v>No Aplica</v>
      </c>
      <c r="S423" s="38"/>
      <c r="T423" s="36"/>
      <c r="Y423" s="54">
        <f t="shared" si="13"/>
        <v>28563107</v>
      </c>
    </row>
    <row r="424" spans="1:25" x14ac:dyDescent="0.25">
      <c r="A424" s="20">
        <f>+VLOOKUP(D424,Back!Q:R,2,0)</f>
        <v>12</v>
      </c>
      <c r="B424" s="20" t="str">
        <f t="shared" si="12"/>
        <v>2016 DIC</v>
      </c>
      <c r="C424" s="20">
        <v>2016</v>
      </c>
      <c r="D424" s="21" t="s">
        <v>187</v>
      </c>
      <c r="E424" s="21" t="s">
        <v>3</v>
      </c>
      <c r="F424" s="21">
        <v>52725011</v>
      </c>
      <c r="G424" s="21" t="s">
        <v>42</v>
      </c>
      <c r="H424" s="22">
        <v>32310394</v>
      </c>
      <c r="I424" s="22">
        <v>1036000</v>
      </c>
      <c r="J424" s="22">
        <v>7237000</v>
      </c>
      <c r="K424" s="23">
        <v>24037394</v>
      </c>
      <c r="L424" s="23">
        <v>21000000</v>
      </c>
      <c r="M424" s="24">
        <v>1.1446378095238094</v>
      </c>
      <c r="N424" s="25" t="str">
        <f>IFERROR(VLOOKUP(F424,Back!C:F,4,0),"NO")</f>
        <v>Si</v>
      </c>
      <c r="O424" s="26">
        <v>26</v>
      </c>
      <c r="P424" s="27" t="str">
        <f>IFERROR(VLOOKUP(F424,Back!C:E,3,0),"")</f>
        <v>IPS Pto De Vista Olaya</v>
      </c>
      <c r="Q424" s="27" t="str">
        <f>IFERROR(VLOOKUP(P424,Back!M:N,2,0),"")</f>
        <v>Centro</v>
      </c>
      <c r="R424" s="27" t="str">
        <f>IF(N424="Si",IFERROR(VLOOKUP(F424,'TD Cumpl'!B:AB,27,0),"No Aplica"),"No Aplica")</f>
        <v>Fluctúa</v>
      </c>
      <c r="S424" s="38"/>
      <c r="T424" s="36"/>
      <c r="Y424" s="54">
        <f t="shared" si="13"/>
        <v>32310394</v>
      </c>
    </row>
    <row r="425" spans="1:25" x14ac:dyDescent="0.25">
      <c r="A425" s="20">
        <f>+VLOOKUP(D425,Back!Q:R,2,0)</f>
        <v>12</v>
      </c>
      <c r="B425" s="20" t="str">
        <f t="shared" si="12"/>
        <v>2016 DIC</v>
      </c>
      <c r="C425" s="20">
        <v>2016</v>
      </c>
      <c r="D425" s="21" t="s">
        <v>187</v>
      </c>
      <c r="E425" s="21" t="s">
        <v>25</v>
      </c>
      <c r="F425" s="21">
        <v>1040030764</v>
      </c>
      <c r="G425" s="21" t="s">
        <v>43</v>
      </c>
      <c r="H425" s="22">
        <v>50353471</v>
      </c>
      <c r="I425" s="22">
        <v>1664100</v>
      </c>
      <c r="J425" s="22">
        <v>7242591</v>
      </c>
      <c r="K425" s="23">
        <v>41446780</v>
      </c>
      <c r="L425" s="23">
        <v>30100000</v>
      </c>
      <c r="M425" s="24">
        <v>1.3769694352159469</v>
      </c>
      <c r="N425" s="25" t="str">
        <f>IFERROR(VLOOKUP(F425,Back!C:F,4,0),"NO")</f>
        <v>Si</v>
      </c>
      <c r="O425" s="26">
        <v>26</v>
      </c>
      <c r="P425" s="27" t="str">
        <f>IFERROR(VLOOKUP(F425,Back!C:E,3,0),"")</f>
        <v>IPS Pto De Vista Rionegro</v>
      </c>
      <c r="Q425" s="27" t="str">
        <f>IFERROR(VLOOKUP(P425,Back!M:N,2,0),"")</f>
        <v>Antioquia</v>
      </c>
      <c r="R425" s="27" t="str">
        <f>IF(N425="Si",IFERROR(VLOOKUP(F425,'TD Cumpl'!B:AB,27,0),"No Aplica"),"No Aplica")</f>
        <v>Cumple</v>
      </c>
      <c r="S425" s="38"/>
      <c r="T425" s="36"/>
      <c r="Y425" s="54">
        <f t="shared" si="13"/>
        <v>50353471</v>
      </c>
    </row>
    <row r="426" spans="1:25" x14ac:dyDescent="0.25">
      <c r="A426" s="20">
        <f>+VLOOKUP(D426,Back!Q:R,2,0)</f>
        <v>12</v>
      </c>
      <c r="B426" s="20" t="str">
        <f t="shared" si="12"/>
        <v>2016 DIC</v>
      </c>
      <c r="C426" s="20">
        <v>2016</v>
      </c>
      <c r="D426" s="21" t="s">
        <v>187</v>
      </c>
      <c r="E426" s="21" t="s">
        <v>33</v>
      </c>
      <c r="F426" s="21">
        <v>31307503</v>
      </c>
      <c r="G426" s="21" t="s">
        <v>36</v>
      </c>
      <c r="H426" s="22">
        <v>22389696</v>
      </c>
      <c r="I426" s="22">
        <v>378000</v>
      </c>
      <c r="J426" s="22">
        <v>2281278</v>
      </c>
      <c r="K426" s="23">
        <v>19730418</v>
      </c>
      <c r="L426" s="23">
        <v>13892308</v>
      </c>
      <c r="M426" s="24">
        <v>1.4202404668828246</v>
      </c>
      <c r="N426" s="25" t="str">
        <f>IFERROR(VLOOKUP(F426,Back!C:F,4,0),"NO")</f>
        <v>NO</v>
      </c>
      <c r="O426" s="26">
        <v>26</v>
      </c>
      <c r="P426" s="27" t="str">
        <f>IFERROR(VLOOKUP(F426,Back!C:E,3,0),"")</f>
        <v/>
      </c>
      <c r="Q426" s="27" t="str">
        <f>IFERROR(VLOOKUP(P426,Back!M:N,2,0),"")</f>
        <v/>
      </c>
      <c r="R426" s="27" t="str">
        <f>IF(N426="Si",IFERROR(VLOOKUP(F426,'TD Cumpl'!B:AB,27,0),"No Aplica"),"No Aplica")</f>
        <v>No Aplica</v>
      </c>
      <c r="S426" s="38"/>
      <c r="T426" s="36"/>
      <c r="Y426" s="54">
        <f t="shared" si="13"/>
        <v>22389696</v>
      </c>
    </row>
    <row r="427" spans="1:25" x14ac:dyDescent="0.25">
      <c r="A427" s="20">
        <f>+VLOOKUP(D427,Back!Q:R,2,0)</f>
        <v>12</v>
      </c>
      <c r="B427" s="20" t="str">
        <f t="shared" si="12"/>
        <v>2016 DIC</v>
      </c>
      <c r="C427" s="20">
        <v>2016</v>
      </c>
      <c r="D427" s="21" t="s">
        <v>187</v>
      </c>
      <c r="E427" s="21" t="s">
        <v>22</v>
      </c>
      <c r="F427" s="21">
        <v>42164020</v>
      </c>
      <c r="G427" s="21" t="s">
        <v>105</v>
      </c>
      <c r="H427" s="22">
        <v>55081590</v>
      </c>
      <c r="I427" s="22">
        <v>1494300</v>
      </c>
      <c r="J427" s="22">
        <v>9700500</v>
      </c>
      <c r="K427" s="23">
        <v>43886790</v>
      </c>
      <c r="L427" s="23">
        <v>36000000</v>
      </c>
      <c r="M427" s="24">
        <v>1.2190775</v>
      </c>
      <c r="N427" s="25" t="str">
        <f>IFERROR(VLOOKUP(F427,Back!C:F,4,0),"NO")</f>
        <v>Si</v>
      </c>
      <c r="O427" s="26">
        <v>26</v>
      </c>
      <c r="P427" s="27" t="str">
        <f>IFERROR(VLOOKUP(F427,Back!C:E,3,0),"")</f>
        <v>IPS Pto De Vista Molinos</v>
      </c>
      <c r="Q427" s="27" t="str">
        <f>IFERROR(VLOOKUP(P427,Back!M:N,2,0),"")</f>
        <v>Antioquia</v>
      </c>
      <c r="R427" s="27" t="str">
        <f>IF(N427="Si",IFERROR(VLOOKUP(F427,'TD Cumpl'!B:AB,27,0),"No Aplica"),"No Aplica")</f>
        <v>Siempre Cumple</v>
      </c>
      <c r="S427" s="38"/>
      <c r="T427" s="36"/>
      <c r="Y427" s="54">
        <f t="shared" si="13"/>
        <v>55081590</v>
      </c>
    </row>
    <row r="428" spans="1:25" x14ac:dyDescent="0.25">
      <c r="A428" s="20">
        <f>+VLOOKUP(D428,Back!Q:R,2,0)</f>
        <v>12</v>
      </c>
      <c r="B428" s="20" t="str">
        <f t="shared" si="12"/>
        <v>2016 DIC</v>
      </c>
      <c r="C428" s="20">
        <v>2016</v>
      </c>
      <c r="D428" s="21" t="s">
        <v>187</v>
      </c>
      <c r="E428" s="21" t="s">
        <v>21</v>
      </c>
      <c r="F428" s="21">
        <v>1035417626</v>
      </c>
      <c r="G428" s="21" t="s">
        <v>80</v>
      </c>
      <c r="H428" s="22">
        <v>71152687</v>
      </c>
      <c r="I428" s="22">
        <v>1993300</v>
      </c>
      <c r="J428" s="22">
        <v>13182600</v>
      </c>
      <c r="K428" s="23">
        <v>55976787</v>
      </c>
      <c r="L428" s="23">
        <v>36000000</v>
      </c>
      <c r="M428" s="24">
        <v>1.5549107499999999</v>
      </c>
      <c r="N428" s="25" t="str">
        <f>IFERROR(VLOOKUP(F428,Back!C:F,4,0),"NO")</f>
        <v>Si</v>
      </c>
      <c r="O428" s="26">
        <v>26</v>
      </c>
      <c r="P428" s="27" t="str">
        <f>IFERROR(VLOOKUP(F428,Back!C:E,3,0),"")</f>
        <v>IPS Pto De Vista Unicentro</v>
      </c>
      <c r="Q428" s="27" t="str">
        <f>IFERROR(VLOOKUP(P428,Back!M:N,2,0),"")</f>
        <v>Antioquia</v>
      </c>
      <c r="R428" s="27" t="str">
        <f>IF(N428="Si",IFERROR(VLOOKUP(F428,'TD Cumpl'!B:AB,27,0),"No Aplica"),"No Aplica")</f>
        <v>Cumple</v>
      </c>
      <c r="S428" s="38"/>
      <c r="T428" s="36"/>
      <c r="Y428" s="54">
        <f t="shared" si="13"/>
        <v>71152687</v>
      </c>
    </row>
    <row r="429" spans="1:25" x14ac:dyDescent="0.25">
      <c r="A429" s="20">
        <f>+VLOOKUP(D429,Back!Q:R,2,0)</f>
        <v>12</v>
      </c>
      <c r="B429" s="20" t="str">
        <f t="shared" si="12"/>
        <v>2016 DIC</v>
      </c>
      <c r="C429" s="20">
        <v>2016</v>
      </c>
      <c r="D429" s="21" t="s">
        <v>187</v>
      </c>
      <c r="E429" s="21" t="s">
        <v>81</v>
      </c>
      <c r="F429" s="21">
        <v>1017200970</v>
      </c>
      <c r="G429" s="21" t="s">
        <v>82</v>
      </c>
      <c r="H429" s="22">
        <v>54161475</v>
      </c>
      <c r="I429" s="22">
        <v>1592400</v>
      </c>
      <c r="J429" s="22">
        <v>9215700</v>
      </c>
      <c r="K429" s="23">
        <v>43353375</v>
      </c>
      <c r="L429" s="23">
        <v>40000000</v>
      </c>
      <c r="M429" s="24">
        <v>1.0838343749999999</v>
      </c>
      <c r="N429" s="25" t="str">
        <f>IFERROR(VLOOKUP(F429,Back!C:F,4,0),"NO")</f>
        <v>Si</v>
      </c>
      <c r="O429" s="26">
        <v>26</v>
      </c>
      <c r="P429" s="27" t="str">
        <f>IFERROR(VLOOKUP(F429,Back!C:E,3,0),"")</f>
        <v>IPS Pto De Vista San Diego</v>
      </c>
      <c r="Q429" s="27" t="str">
        <f>IFERROR(VLOOKUP(P429,Back!M:N,2,0),"")</f>
        <v>Antioquia</v>
      </c>
      <c r="R429" s="27" t="str">
        <f>IF(N429="Si",IFERROR(VLOOKUP(F429,'TD Cumpl'!B:AB,27,0),"No Aplica"),"No Aplica")</f>
        <v>Cumple</v>
      </c>
      <c r="S429" s="38"/>
      <c r="T429" s="36"/>
      <c r="Y429" s="54">
        <f t="shared" si="13"/>
        <v>54161475</v>
      </c>
    </row>
    <row r="430" spans="1:25" x14ac:dyDescent="0.25">
      <c r="A430" s="20">
        <f>+VLOOKUP(D430,Back!Q:R,2,0)</f>
        <v>12</v>
      </c>
      <c r="B430" s="20" t="str">
        <f t="shared" si="12"/>
        <v>2016 DIC</v>
      </c>
      <c r="C430" s="20">
        <v>2016</v>
      </c>
      <c r="D430" s="21" t="s">
        <v>187</v>
      </c>
      <c r="E430" s="21" t="s">
        <v>57</v>
      </c>
      <c r="F430" s="21">
        <v>43874518</v>
      </c>
      <c r="G430" s="21" t="s">
        <v>60</v>
      </c>
      <c r="H430" s="22">
        <v>54638181</v>
      </c>
      <c r="I430" s="22">
        <v>1565600</v>
      </c>
      <c r="J430" s="22">
        <v>10395600</v>
      </c>
      <c r="K430" s="23">
        <v>42676981</v>
      </c>
      <c r="L430" s="23">
        <v>40000000</v>
      </c>
      <c r="M430" s="24">
        <v>1.0669245249999999</v>
      </c>
      <c r="N430" s="25" t="str">
        <f>IFERROR(VLOOKUP(F430,Back!C:F,4,0),"NO")</f>
        <v>Si</v>
      </c>
      <c r="O430" s="26">
        <v>26</v>
      </c>
      <c r="P430" s="27" t="str">
        <f>IFERROR(VLOOKUP(F430,Back!C:E,3,0),"")</f>
        <v>IPS Pto De Vista Punto Clave</v>
      </c>
      <c r="Q430" s="27" t="str">
        <f>IFERROR(VLOOKUP(P430,Back!M:N,2,0),"")</f>
        <v>Antioquia</v>
      </c>
      <c r="R430" s="27" t="str">
        <f>IF(N430="Si",IFERROR(VLOOKUP(F430,'TD Cumpl'!B:AB,27,0),"No Aplica"),"No Aplica")</f>
        <v>Fluctúa</v>
      </c>
      <c r="S430" s="38"/>
      <c r="T430" s="36"/>
      <c r="Y430" s="54">
        <f t="shared" si="13"/>
        <v>54638181</v>
      </c>
    </row>
    <row r="431" spans="1:25" x14ac:dyDescent="0.25">
      <c r="A431" s="20">
        <f>+VLOOKUP(D431,Back!Q:R,2,0)</f>
        <v>12</v>
      </c>
      <c r="B431" s="20" t="str">
        <f t="shared" si="12"/>
        <v>2016 DIC</v>
      </c>
      <c r="C431" s="20">
        <v>2016</v>
      </c>
      <c r="D431" s="21" t="s">
        <v>187</v>
      </c>
      <c r="E431" s="21" t="s">
        <v>2</v>
      </c>
      <c r="F431" s="21">
        <v>52260671</v>
      </c>
      <c r="G431" s="21" t="s">
        <v>26</v>
      </c>
      <c r="H431" s="22">
        <v>35212342</v>
      </c>
      <c r="I431" s="22">
        <v>0</v>
      </c>
      <c r="J431" s="22">
        <v>5698100</v>
      </c>
      <c r="K431" s="23">
        <v>29514242</v>
      </c>
      <c r="L431" s="23">
        <v>26000000</v>
      </c>
      <c r="M431" s="24">
        <v>1.1351631538461537</v>
      </c>
      <c r="N431" s="25" t="str">
        <f>IFERROR(VLOOKUP(F431,Back!C:F,4,0),"NO")</f>
        <v>Si</v>
      </c>
      <c r="O431" s="26">
        <v>26</v>
      </c>
      <c r="P431" s="27" t="str">
        <f>IFERROR(VLOOKUP(F431,Back!C:E,3,0),"")</f>
        <v>IPS Pto De Vista Santa Bárbara</v>
      </c>
      <c r="Q431" s="27" t="str">
        <f>IFERROR(VLOOKUP(P431,Back!M:N,2,0),"")</f>
        <v>Centro</v>
      </c>
      <c r="R431" s="27" t="str">
        <f>IF(N431="Si",IFERROR(VLOOKUP(F431,'TD Cumpl'!B:AB,27,0),"No Aplica"),"No Aplica")</f>
        <v>Siempre Cumple</v>
      </c>
      <c r="S431" s="38"/>
      <c r="T431" s="36"/>
      <c r="Y431" s="54">
        <f t="shared" si="13"/>
        <v>35212342</v>
      </c>
    </row>
    <row r="432" spans="1:25" x14ac:dyDescent="0.25">
      <c r="A432" s="20">
        <f>+VLOOKUP(D432,Back!Q:R,2,0)</f>
        <v>12</v>
      </c>
      <c r="B432" s="20" t="str">
        <f t="shared" si="12"/>
        <v>2016 DIC</v>
      </c>
      <c r="C432" s="20">
        <v>2016</v>
      </c>
      <c r="D432" s="21" t="s">
        <v>187</v>
      </c>
      <c r="E432" s="21" t="s">
        <v>37</v>
      </c>
      <c r="F432" s="21">
        <v>1036779770</v>
      </c>
      <c r="G432" s="21" t="s">
        <v>52</v>
      </c>
      <c r="H432" s="22">
        <v>50027265</v>
      </c>
      <c r="I432" s="22">
        <v>1961500</v>
      </c>
      <c r="J432" s="22">
        <v>7483027</v>
      </c>
      <c r="K432" s="23">
        <v>40582738</v>
      </c>
      <c r="L432" s="23">
        <v>30100000</v>
      </c>
      <c r="M432" s="24">
        <v>1.3482637209302326</v>
      </c>
      <c r="N432" s="25" t="str">
        <f>IFERROR(VLOOKUP(F432,Back!C:F,4,0),"NO")</f>
        <v>No</v>
      </c>
      <c r="O432" s="26">
        <v>26</v>
      </c>
      <c r="P432" s="27" t="str">
        <f>IFERROR(VLOOKUP(F432,Back!C:E,3,0),"")</f>
        <v>IPS Pto De Vista Rionegro</v>
      </c>
      <c r="Q432" s="27" t="str">
        <f>IFERROR(VLOOKUP(P432,Back!M:N,2,0),"")</f>
        <v>Antioquia</v>
      </c>
      <c r="R432" s="27" t="str">
        <f>IF(N432="Si",IFERROR(VLOOKUP(F432,'TD Cumpl'!B:AB,27,0),"No Aplica"),"No Aplica")</f>
        <v>No Aplica</v>
      </c>
      <c r="S432" s="38"/>
      <c r="T432" s="36"/>
      <c r="Y432" s="54">
        <f t="shared" si="13"/>
        <v>50027265</v>
      </c>
    </row>
    <row r="433" spans="1:25" x14ac:dyDescent="0.25">
      <c r="A433" s="20">
        <f>+VLOOKUP(D433,Back!Q:R,2,0)</f>
        <v>12</v>
      </c>
      <c r="B433" s="20" t="str">
        <f t="shared" si="12"/>
        <v>2016 DIC</v>
      </c>
      <c r="C433" s="20">
        <v>2016</v>
      </c>
      <c r="D433" s="21" t="s">
        <v>187</v>
      </c>
      <c r="E433" s="21" t="s">
        <v>64</v>
      </c>
      <c r="F433" s="21">
        <v>1036598360</v>
      </c>
      <c r="G433" s="21" t="s">
        <v>146</v>
      </c>
      <c r="H433" s="22">
        <v>62248119</v>
      </c>
      <c r="I433" s="22">
        <v>1323400</v>
      </c>
      <c r="J433" s="22">
        <v>9935800</v>
      </c>
      <c r="K433" s="23">
        <v>50988919</v>
      </c>
      <c r="L433" s="23">
        <v>30100000</v>
      </c>
      <c r="M433" s="24">
        <v>1.6939840199335547</v>
      </c>
      <c r="N433" s="25" t="str">
        <f>IFERROR(VLOOKUP(F433,Back!C:F,4,0),"NO")</f>
        <v>Si</v>
      </c>
      <c r="O433" s="26">
        <v>26</v>
      </c>
      <c r="P433" s="27" t="str">
        <f>IFERROR(VLOOKUP(F433,Back!C:E,3,0),"")</f>
        <v>IPS Pto De Vista Punto Clave</v>
      </c>
      <c r="Q433" s="27" t="str">
        <f>IFERROR(VLOOKUP(P433,Back!M:N,2,0),"")</f>
        <v>Antioquia</v>
      </c>
      <c r="R433" s="27" t="str">
        <f>IF(N433="Si",IFERROR(VLOOKUP(F433,'TD Cumpl'!B:AB,27,0),"No Aplica"),"No Aplica")</f>
        <v>Fluctúa</v>
      </c>
      <c r="S433" s="38"/>
      <c r="T433" s="36"/>
      <c r="Y433" s="54">
        <f t="shared" si="13"/>
        <v>62248119</v>
      </c>
    </row>
    <row r="434" spans="1:25" x14ac:dyDescent="0.25">
      <c r="A434" s="20">
        <f>+VLOOKUP(D434,Back!Q:R,2,0)</f>
        <v>12</v>
      </c>
      <c r="B434" s="20" t="str">
        <f t="shared" si="12"/>
        <v>2016 DIC</v>
      </c>
      <c r="C434" s="20">
        <v>2016</v>
      </c>
      <c r="D434" s="21" t="s">
        <v>187</v>
      </c>
      <c r="E434" s="21" t="s">
        <v>20</v>
      </c>
      <c r="F434" s="21">
        <v>1017141451</v>
      </c>
      <c r="G434" s="21" t="s">
        <v>44</v>
      </c>
      <c r="H434" s="22">
        <v>65100908</v>
      </c>
      <c r="I434" s="22">
        <v>840000</v>
      </c>
      <c r="J434" s="22">
        <v>11533600</v>
      </c>
      <c r="K434" s="23">
        <v>52727308</v>
      </c>
      <c r="L434" s="23">
        <v>36000000</v>
      </c>
      <c r="M434" s="24">
        <v>1.4646474444444444</v>
      </c>
      <c r="N434" s="25" t="str">
        <f>IFERROR(VLOOKUP(F434,Back!C:F,4,0),"NO")</f>
        <v>Si</v>
      </c>
      <c r="O434" s="26">
        <v>26</v>
      </c>
      <c r="P434" s="27" t="str">
        <f>IFERROR(VLOOKUP(F434,Back!C:E,3,0),"")</f>
        <v>IPS Pto De Vista Molinos</v>
      </c>
      <c r="Q434" s="27" t="str">
        <f>IFERROR(VLOOKUP(P434,Back!M:N,2,0),"")</f>
        <v>Antioquia</v>
      </c>
      <c r="R434" s="27" t="str">
        <f>IF(N434="Si",IFERROR(VLOOKUP(F434,'TD Cumpl'!B:AB,27,0),"No Aplica"),"No Aplica")</f>
        <v>Siempre Cumple</v>
      </c>
      <c r="S434" s="38"/>
      <c r="T434" s="36"/>
      <c r="Y434" s="54">
        <f t="shared" si="13"/>
        <v>65100908</v>
      </c>
    </row>
    <row r="435" spans="1:25" x14ac:dyDescent="0.25">
      <c r="A435" s="20">
        <f>+VLOOKUP(D435,Back!Q:R,2,0)</f>
        <v>12</v>
      </c>
      <c r="B435" s="20" t="str">
        <f t="shared" si="12"/>
        <v>2016 DIC</v>
      </c>
      <c r="C435" s="20">
        <v>2016</v>
      </c>
      <c r="D435" s="21" t="s">
        <v>187</v>
      </c>
      <c r="E435" s="21" t="s">
        <v>38</v>
      </c>
      <c r="F435" s="21">
        <v>43745192</v>
      </c>
      <c r="G435" s="21" t="s">
        <v>45</v>
      </c>
      <c r="H435" s="22">
        <v>18989393</v>
      </c>
      <c r="I435" s="22">
        <v>495630</v>
      </c>
      <c r="J435" s="22">
        <v>125500</v>
      </c>
      <c r="K435" s="23">
        <v>18368263</v>
      </c>
      <c r="L435" s="23">
        <v>11307692.307692308</v>
      </c>
      <c r="M435" s="24">
        <v>1.6244042108843537</v>
      </c>
      <c r="N435" s="25" t="str">
        <f>IFERROR(VLOOKUP(F435,Back!C:F,4,0),"NO")</f>
        <v>Si</v>
      </c>
      <c r="O435" s="26">
        <v>26</v>
      </c>
      <c r="P435" s="27" t="str">
        <f>IFERROR(VLOOKUP(F435,Back!C:E,3,0),"")</f>
        <v>IPS Punto de Vista Mayorca</v>
      </c>
      <c r="Q435" s="27" t="str">
        <f>IFERROR(VLOOKUP(P435,Back!M:N,2,0),"")</f>
        <v>Antioquia</v>
      </c>
      <c r="R435" s="27" t="str">
        <f>IF(N435="Si",IFERROR(VLOOKUP(F435,'TD Cumpl'!B:AB,27,0),"No Aplica"),"No Aplica")</f>
        <v>Cumple</v>
      </c>
      <c r="S435" s="38"/>
      <c r="T435" s="36"/>
      <c r="Y435" s="54">
        <f t="shared" si="13"/>
        <v>18989393</v>
      </c>
    </row>
    <row r="436" spans="1:25" x14ac:dyDescent="0.25">
      <c r="A436" s="20">
        <f>+VLOOKUP(D436,Back!Q:R,2,0)</f>
        <v>12</v>
      </c>
      <c r="B436" s="20" t="str">
        <f t="shared" si="12"/>
        <v>2016 DIC</v>
      </c>
      <c r="C436" s="20">
        <v>2016</v>
      </c>
      <c r="D436" s="21" t="s">
        <v>187</v>
      </c>
      <c r="E436" s="21" t="s">
        <v>13</v>
      </c>
      <c r="F436" s="21">
        <v>43866877</v>
      </c>
      <c r="G436" s="21" t="s">
        <v>46</v>
      </c>
      <c r="H436" s="22">
        <v>68292897</v>
      </c>
      <c r="I436" s="22">
        <v>681400</v>
      </c>
      <c r="J436" s="22">
        <v>15684400</v>
      </c>
      <c r="K436" s="23">
        <v>51927097</v>
      </c>
      <c r="L436" s="23">
        <v>40000000</v>
      </c>
      <c r="M436" s="24">
        <v>1.298177425</v>
      </c>
      <c r="N436" s="25" t="str">
        <f>IFERROR(VLOOKUP(F436,Back!C:F,4,0),"NO")</f>
        <v>Si</v>
      </c>
      <c r="O436" s="26">
        <v>26</v>
      </c>
      <c r="P436" s="27" t="str">
        <f>IFERROR(VLOOKUP(F436,Back!C:E,3,0),"")</f>
        <v>IPS Pto De Vista Centro</v>
      </c>
      <c r="Q436" s="27" t="str">
        <f>IFERROR(VLOOKUP(P436,Back!M:N,2,0),"")</f>
        <v>Antioquia</v>
      </c>
      <c r="R436" s="27" t="str">
        <f>IF(N436="Si",IFERROR(VLOOKUP(F436,'TD Cumpl'!B:AB,27,0),"No Aplica"),"No Aplica")</f>
        <v>Siempre Cumple</v>
      </c>
      <c r="S436" s="38"/>
      <c r="T436" s="36"/>
      <c r="Y436" s="54">
        <f t="shared" si="13"/>
        <v>68292897</v>
      </c>
    </row>
    <row r="437" spans="1:25" x14ac:dyDescent="0.25">
      <c r="A437" s="20">
        <f>+VLOOKUP(D437,Back!Q:R,2,0)</f>
        <v>12</v>
      </c>
      <c r="B437" s="20" t="str">
        <f t="shared" si="12"/>
        <v>2016 DIC</v>
      </c>
      <c r="C437" s="20">
        <v>2016</v>
      </c>
      <c r="D437" s="21" t="s">
        <v>187</v>
      </c>
      <c r="E437" s="21" t="s">
        <v>17</v>
      </c>
      <c r="F437" s="21">
        <v>43113640</v>
      </c>
      <c r="G437" s="21" t="s">
        <v>47</v>
      </c>
      <c r="H437" s="22">
        <v>56235057</v>
      </c>
      <c r="I437" s="22">
        <v>1459030</v>
      </c>
      <c r="J437" s="22">
        <v>7236600</v>
      </c>
      <c r="K437" s="23">
        <v>47539427</v>
      </c>
      <c r="L437" s="23">
        <v>30100000</v>
      </c>
      <c r="M437" s="24">
        <v>1.5793829568106312</v>
      </c>
      <c r="N437" s="25" t="str">
        <f>IFERROR(VLOOKUP(F437,Back!C:F,4,0),"NO")</f>
        <v>Si</v>
      </c>
      <c r="O437" s="26">
        <v>26</v>
      </c>
      <c r="P437" s="27" t="str">
        <f>IFERROR(VLOOKUP(F437,Back!C:E,3,0),"")</f>
        <v>IPS Pto De Vista San Diego</v>
      </c>
      <c r="Q437" s="27" t="str">
        <f>IFERROR(VLOOKUP(P437,Back!M:N,2,0),"")</f>
        <v>Antioquia</v>
      </c>
      <c r="R437" s="27" t="str">
        <f>IF(N437="Si",IFERROR(VLOOKUP(F437,'TD Cumpl'!B:AB,27,0),"No Aplica"),"No Aplica")</f>
        <v>Cumple</v>
      </c>
      <c r="S437" s="38"/>
      <c r="T437" s="36"/>
      <c r="Y437" s="54">
        <f t="shared" ref="Y437:Y448" si="14">+H437-X437-V437-T437</f>
        <v>56235057</v>
      </c>
    </row>
    <row r="438" spans="1:25" x14ac:dyDescent="0.25">
      <c r="A438" s="20">
        <f>+VLOOKUP(D438,Back!Q:R,2,0)</f>
        <v>12</v>
      </c>
      <c r="B438" s="20" t="str">
        <f t="shared" si="12"/>
        <v>2016 DIC</v>
      </c>
      <c r="C438" s="20">
        <v>2016</v>
      </c>
      <c r="D438" s="21" t="s">
        <v>187</v>
      </c>
      <c r="E438" s="21" t="s">
        <v>24</v>
      </c>
      <c r="F438" s="21">
        <v>39448823</v>
      </c>
      <c r="G438" s="21" t="s">
        <v>48</v>
      </c>
      <c r="H438" s="22">
        <v>21192491</v>
      </c>
      <c r="I438" s="22">
        <v>1260000</v>
      </c>
      <c r="J438" s="22">
        <v>2533113</v>
      </c>
      <c r="K438" s="23">
        <v>17399378</v>
      </c>
      <c r="L438" s="23">
        <v>9261538.461538462</v>
      </c>
      <c r="M438" s="24">
        <v>1.8786703820598005</v>
      </c>
      <c r="N438" s="25" t="str">
        <f>IFERROR(VLOOKUP(F438,Back!C:F,4,0),"NO")</f>
        <v>Si</v>
      </c>
      <c r="O438" s="26">
        <v>26</v>
      </c>
      <c r="P438" s="27" t="str">
        <f>IFERROR(VLOOKUP(F438,Back!C:E,3,0),"")</f>
        <v>IPS Pto De Vista Rionegro</v>
      </c>
      <c r="Q438" s="27" t="str">
        <f>IFERROR(VLOOKUP(P438,Back!M:N,2,0),"")</f>
        <v>Antioquia</v>
      </c>
      <c r="R438" s="27" t="str">
        <f>IF(N438="Si",IFERROR(VLOOKUP(F438,'TD Cumpl'!B:AB,27,0),"No Aplica"),"No Aplica")</f>
        <v>Siempre Cumple</v>
      </c>
      <c r="S438" s="38"/>
      <c r="T438" s="36"/>
      <c r="Y438" s="54">
        <f t="shared" si="14"/>
        <v>21192491</v>
      </c>
    </row>
    <row r="439" spans="1:25" x14ac:dyDescent="0.25">
      <c r="A439" s="20">
        <f>+VLOOKUP(D439,Back!Q:R,2,0)</f>
        <v>12</v>
      </c>
      <c r="B439" s="20" t="str">
        <f t="shared" si="12"/>
        <v>2016 DIC</v>
      </c>
      <c r="C439" s="20">
        <v>2016</v>
      </c>
      <c r="D439" s="21" t="s">
        <v>187</v>
      </c>
      <c r="E439" s="21" t="s">
        <v>10</v>
      </c>
      <c r="F439" s="21">
        <v>43109744</v>
      </c>
      <c r="G439" s="21" t="s">
        <v>53</v>
      </c>
      <c r="H439" s="22">
        <v>54431896</v>
      </c>
      <c r="I439" s="22">
        <v>958700</v>
      </c>
      <c r="J439" s="22">
        <v>10299112</v>
      </c>
      <c r="K439" s="23">
        <v>43174084</v>
      </c>
      <c r="L439" s="23">
        <v>40000000</v>
      </c>
      <c r="M439" s="24">
        <v>1.0793520999999999</v>
      </c>
      <c r="N439" s="25" t="str">
        <f>IFERROR(VLOOKUP(F439,Back!C:F,4,0),"NO")</f>
        <v>NO</v>
      </c>
      <c r="O439" s="26">
        <v>26</v>
      </c>
      <c r="P439" s="27" t="str">
        <f>IFERROR(VLOOKUP(F439,Back!C:E,3,0),"")</f>
        <v/>
      </c>
      <c r="Q439" s="27" t="str">
        <f>IFERROR(VLOOKUP(P439,Back!M:N,2,0),"")</f>
        <v/>
      </c>
      <c r="R439" s="27" t="str">
        <f>IF(N439="Si",IFERROR(VLOOKUP(F439,'TD Cumpl'!B:AB,27,0),"No Aplica"),"No Aplica")</f>
        <v>No Aplica</v>
      </c>
      <c r="S439" s="38"/>
      <c r="T439" s="36"/>
      <c r="Y439" s="54">
        <f t="shared" si="14"/>
        <v>54431896</v>
      </c>
    </row>
    <row r="440" spans="1:25" x14ac:dyDescent="0.25">
      <c r="A440" s="20">
        <f>+VLOOKUP(D440,Back!Q:R,2,0)</f>
        <v>12</v>
      </c>
      <c r="B440" s="20" t="str">
        <f t="shared" si="12"/>
        <v>2016 DIC</v>
      </c>
      <c r="C440" s="20">
        <v>2016</v>
      </c>
      <c r="D440" s="21" t="s">
        <v>187</v>
      </c>
      <c r="E440" s="21" t="s">
        <v>15</v>
      </c>
      <c r="F440" s="21">
        <v>42689970</v>
      </c>
      <c r="G440" s="21" t="s">
        <v>29</v>
      </c>
      <c r="H440" s="22">
        <v>73254937</v>
      </c>
      <c r="I440" s="22">
        <v>1838100</v>
      </c>
      <c r="J440" s="22">
        <v>12418000</v>
      </c>
      <c r="K440" s="23">
        <v>58998837</v>
      </c>
      <c r="L440" s="23">
        <v>40000000</v>
      </c>
      <c r="M440" s="24">
        <v>1.474970925</v>
      </c>
      <c r="N440" s="25" t="str">
        <f>IFERROR(VLOOKUP(F440,Back!C:F,4,0),"NO")</f>
        <v>NO</v>
      </c>
      <c r="O440" s="26">
        <v>26</v>
      </c>
      <c r="P440" s="27" t="str">
        <f>IFERROR(VLOOKUP(F440,Back!C:E,3,0),"")</f>
        <v/>
      </c>
      <c r="Q440" s="27" t="str">
        <f>IFERROR(VLOOKUP(P440,Back!M:N,2,0),"")</f>
        <v/>
      </c>
      <c r="R440" s="27" t="str">
        <f>IF(N440="Si",IFERROR(VLOOKUP(F440,'TD Cumpl'!B:AB,27,0),"No Aplica"),"No Aplica")</f>
        <v>No Aplica</v>
      </c>
      <c r="S440" s="38"/>
      <c r="T440" s="36"/>
      <c r="Y440" s="54">
        <f t="shared" si="14"/>
        <v>73254937</v>
      </c>
    </row>
    <row r="441" spans="1:25" x14ac:dyDescent="0.25">
      <c r="A441" s="20">
        <f>+VLOOKUP(D441,Back!Q:R,2,0)</f>
        <v>12</v>
      </c>
      <c r="B441" s="20" t="str">
        <f t="shared" si="12"/>
        <v>2016 DIC</v>
      </c>
      <c r="C441" s="20">
        <v>2016</v>
      </c>
      <c r="D441" s="21" t="s">
        <v>187</v>
      </c>
      <c r="E441" s="21" t="s">
        <v>23</v>
      </c>
      <c r="F441" s="21">
        <v>43907427</v>
      </c>
      <c r="G441" s="21" t="s">
        <v>144</v>
      </c>
      <c r="H441" s="22">
        <v>53029054</v>
      </c>
      <c r="I441" s="22">
        <v>791460</v>
      </c>
      <c r="J441" s="22">
        <v>4929700</v>
      </c>
      <c r="K441" s="23">
        <v>47307894</v>
      </c>
      <c r="L441" s="23">
        <v>36000000</v>
      </c>
      <c r="M441" s="24">
        <v>1.3141081666666667</v>
      </c>
      <c r="N441" s="25" t="str">
        <f>IFERROR(VLOOKUP(F441,Back!C:F,4,0),"NO")</f>
        <v>Si</v>
      </c>
      <c r="O441" s="26">
        <v>26</v>
      </c>
      <c r="P441" s="27" t="str">
        <f>IFERROR(VLOOKUP(F441,Back!C:E,3,0),"")</f>
        <v>IPS Pto De Vista Industriales</v>
      </c>
      <c r="Q441" s="27" t="str">
        <f>IFERROR(VLOOKUP(P441,Back!M:N,2,0),"")</f>
        <v>Antioquia</v>
      </c>
      <c r="R441" s="27" t="str">
        <f>IF(N441="Si",IFERROR(VLOOKUP(F441,'TD Cumpl'!B:AB,27,0),"No Aplica"),"No Aplica")</f>
        <v>Siempre Cumple</v>
      </c>
      <c r="S441" s="38"/>
      <c r="T441" s="36"/>
      <c r="Y441" s="54">
        <f t="shared" si="14"/>
        <v>53029054</v>
      </c>
    </row>
    <row r="442" spans="1:25" x14ac:dyDescent="0.25">
      <c r="A442" s="20">
        <f>+VLOOKUP(D442,Back!Q:R,2,0)</f>
        <v>12</v>
      </c>
      <c r="B442" s="20" t="str">
        <f t="shared" si="12"/>
        <v>2016 DIC</v>
      </c>
      <c r="C442" s="20">
        <v>2016</v>
      </c>
      <c r="D442" s="21" t="s">
        <v>187</v>
      </c>
      <c r="E442" s="21" t="s">
        <v>12</v>
      </c>
      <c r="F442" s="21">
        <v>91511871</v>
      </c>
      <c r="G442" s="21" t="s">
        <v>49</v>
      </c>
      <c r="H442" s="22">
        <v>30193487</v>
      </c>
      <c r="I442" s="22">
        <v>0</v>
      </c>
      <c r="J442" s="22">
        <v>7090400</v>
      </c>
      <c r="K442" s="23">
        <v>23103087</v>
      </c>
      <c r="L442" s="23">
        <v>19000000</v>
      </c>
      <c r="M442" s="24">
        <v>1.215951947368421</v>
      </c>
      <c r="N442" s="25" t="str">
        <f>IFERROR(VLOOKUP(F442,Back!C:F,4,0),"NO")</f>
        <v>NO</v>
      </c>
      <c r="O442" s="26">
        <v>26</v>
      </c>
      <c r="P442" s="27" t="str">
        <f>IFERROR(VLOOKUP(F442,Back!C:E,3,0),"")</f>
        <v/>
      </c>
      <c r="Q442" s="27" t="str">
        <f>IFERROR(VLOOKUP(P442,Back!M:N,2,0),"")</f>
        <v/>
      </c>
      <c r="R442" s="27" t="str">
        <f>IF(N442="Si",IFERROR(VLOOKUP(F442,'TD Cumpl'!B:AB,27,0),"No Aplica"),"No Aplica")</f>
        <v>No Aplica</v>
      </c>
      <c r="S442" s="38"/>
      <c r="T442" s="36"/>
      <c r="Y442" s="54">
        <f t="shared" si="14"/>
        <v>30193487</v>
      </c>
    </row>
    <row r="443" spans="1:25" x14ac:dyDescent="0.25">
      <c r="A443" s="20">
        <f>+VLOOKUP(D443,Back!Q:R,2,0)</f>
        <v>12</v>
      </c>
      <c r="B443" s="20" t="str">
        <f t="shared" si="12"/>
        <v>2016 DIC</v>
      </c>
      <c r="C443" s="20">
        <v>2016</v>
      </c>
      <c r="D443" s="21" t="s">
        <v>187</v>
      </c>
      <c r="E443" s="21" t="s">
        <v>62</v>
      </c>
      <c r="F443" s="21">
        <v>32256379</v>
      </c>
      <c r="G443" s="21" t="s">
        <v>61</v>
      </c>
      <c r="H443" s="22">
        <v>37837791</v>
      </c>
      <c r="I443" s="22">
        <v>1905400</v>
      </c>
      <c r="J443" s="22">
        <v>4908000</v>
      </c>
      <c r="K443" s="23">
        <v>31024391</v>
      </c>
      <c r="L443" s="23">
        <v>23423076.92307692</v>
      </c>
      <c r="M443" s="24">
        <v>1.3245224400656816</v>
      </c>
      <c r="N443" s="25" t="str">
        <f>IFERROR(VLOOKUP(F443,Back!C:F,4,0),"NO")</f>
        <v>Si</v>
      </c>
      <c r="O443" s="26">
        <v>26</v>
      </c>
      <c r="P443" s="27" t="str">
        <f>IFERROR(VLOOKUP(F443,Back!C:E,3,0),"")</f>
        <v>Ferias Empresariales Antioquia</v>
      </c>
      <c r="Q443" s="27" t="str">
        <f>IFERROR(VLOOKUP(P443,Back!M:N,2,0),"")</f>
        <v>Antioquia</v>
      </c>
      <c r="R443" s="27" t="str">
        <f>IF(N443="Si",IFERROR(VLOOKUP(F443,'TD Cumpl'!B:AB,27,0),"No Aplica"),"No Aplica")</f>
        <v>Fluctúa</v>
      </c>
      <c r="S443" s="38"/>
      <c r="T443" s="36"/>
      <c r="Y443" s="54">
        <f t="shared" si="14"/>
        <v>37837791</v>
      </c>
    </row>
    <row r="444" spans="1:25" x14ac:dyDescent="0.25">
      <c r="A444" s="20">
        <f>+VLOOKUP(D444,Back!Q:R,2,0)</f>
        <v>12</v>
      </c>
      <c r="B444" s="20" t="str">
        <f t="shared" si="12"/>
        <v>2016 DIC</v>
      </c>
      <c r="C444" s="20">
        <v>2016</v>
      </c>
      <c r="D444" s="21" t="s">
        <v>187</v>
      </c>
      <c r="E444" s="21" t="s">
        <v>4</v>
      </c>
      <c r="F444" s="21">
        <v>79701425</v>
      </c>
      <c r="G444" s="21" t="s">
        <v>27</v>
      </c>
      <c r="H444" s="22">
        <v>31680871</v>
      </c>
      <c r="I444" s="22">
        <v>372000</v>
      </c>
      <c r="J444" s="22">
        <v>3179600</v>
      </c>
      <c r="K444" s="23">
        <v>28129271</v>
      </c>
      <c r="L444" s="23">
        <v>26000000</v>
      </c>
      <c r="M444" s="24">
        <v>1.0818950384615384</v>
      </c>
      <c r="N444" s="25" t="str">
        <f>IFERROR(VLOOKUP(F444,Back!C:F,4,0),"NO")</f>
        <v>No</v>
      </c>
      <c r="O444" s="26">
        <v>26</v>
      </c>
      <c r="P444" s="27" t="str">
        <f>IFERROR(VLOOKUP(F444,Back!C:E,3,0),"")</f>
        <v>IPS Pto De Vista Olaya</v>
      </c>
      <c r="Q444" s="27" t="str">
        <f>IFERROR(VLOOKUP(P444,Back!M:N,2,0),"")</f>
        <v>Centro</v>
      </c>
      <c r="R444" s="27" t="str">
        <f>IF(N444="Si",IFERROR(VLOOKUP(F444,'TD Cumpl'!B:AB,27,0),"No Aplica"),"No Aplica")</f>
        <v>No Aplica</v>
      </c>
      <c r="S444" s="38"/>
      <c r="T444" s="36"/>
      <c r="Y444" s="54">
        <f t="shared" si="14"/>
        <v>31680871</v>
      </c>
    </row>
    <row r="445" spans="1:25" x14ac:dyDescent="0.25">
      <c r="A445" s="20">
        <f>+VLOOKUP(D445,Back!Q:R,2,0)</f>
        <v>12</v>
      </c>
      <c r="B445" s="20" t="str">
        <f t="shared" si="12"/>
        <v>2016 DIC</v>
      </c>
      <c r="C445" s="20">
        <v>2016</v>
      </c>
      <c r="D445" s="21" t="s">
        <v>187</v>
      </c>
      <c r="E445" s="21" t="s">
        <v>5</v>
      </c>
      <c r="F445" s="21">
        <v>34542470</v>
      </c>
      <c r="G445" s="21" t="s">
        <v>28</v>
      </c>
      <c r="H445" s="22">
        <v>31420086</v>
      </c>
      <c r="I445" s="22">
        <v>932400</v>
      </c>
      <c r="J445" s="22">
        <v>0</v>
      </c>
      <c r="K445" s="23">
        <v>30487686</v>
      </c>
      <c r="L445" s="23">
        <v>21000000</v>
      </c>
      <c r="M445" s="24">
        <v>1.4517945714285714</v>
      </c>
      <c r="N445" s="25" t="str">
        <f>IFERROR(VLOOKUP(F445,Back!C:F,4,0),"NO")</f>
        <v>Si</v>
      </c>
      <c r="O445" s="26">
        <v>26</v>
      </c>
      <c r="P445" s="27" t="str">
        <f>IFERROR(VLOOKUP(F445,Back!C:E,3,0),"")</f>
        <v>Optica Salud Sura Chipichape</v>
      </c>
      <c r="Q445" s="27" t="str">
        <f>IFERROR(VLOOKUP(P445,Back!M:N,2,0),"")</f>
        <v>Occidente</v>
      </c>
      <c r="R445" s="27" t="str">
        <f>IF(N445="Si",IFERROR(VLOOKUP(F445,'TD Cumpl'!B:AB,27,0),"No Aplica"),"No Aplica")</f>
        <v>Siempre Cumple</v>
      </c>
      <c r="S445" s="38"/>
      <c r="T445" s="36"/>
      <c r="Y445" s="54">
        <f t="shared" si="14"/>
        <v>31420086</v>
      </c>
    </row>
    <row r="446" spans="1:25" x14ac:dyDescent="0.25">
      <c r="A446" s="20">
        <f>+VLOOKUP(D446,Back!Q:R,2,0)</f>
        <v>12</v>
      </c>
      <c r="B446" s="20" t="str">
        <f t="shared" si="12"/>
        <v>2016 DIC</v>
      </c>
      <c r="C446" s="20">
        <v>2016</v>
      </c>
      <c r="D446" s="21" t="s">
        <v>187</v>
      </c>
      <c r="E446" s="21" t="s">
        <v>72</v>
      </c>
      <c r="F446" s="21">
        <v>43636530</v>
      </c>
      <c r="G446" s="21" t="s">
        <v>483</v>
      </c>
      <c r="H446" s="22">
        <v>55991788</v>
      </c>
      <c r="I446" s="22">
        <v>2042200</v>
      </c>
      <c r="J446" s="22">
        <v>9551300</v>
      </c>
      <c r="K446" s="23">
        <v>44398288</v>
      </c>
      <c r="L446" s="23">
        <v>40000000</v>
      </c>
      <c r="M446" s="24">
        <v>1.1099572</v>
      </c>
      <c r="N446" s="25" t="str">
        <f>IFERROR(VLOOKUP(F446,Back!C:F,4,0),"NO")</f>
        <v>NO</v>
      </c>
      <c r="O446" s="26">
        <v>26</v>
      </c>
      <c r="P446" s="27" t="str">
        <f>IFERROR(VLOOKUP(F446,Back!C:E,3,0),"")</f>
        <v/>
      </c>
      <c r="Q446" s="27" t="str">
        <f>IFERROR(VLOOKUP(P446,Back!M:N,2,0),"")</f>
        <v/>
      </c>
      <c r="R446" s="27" t="str">
        <f>IF(N446="Si",IFERROR(VLOOKUP(F446,'TD Cumpl'!B:AB,27,0),"No Aplica"),"No Aplica")</f>
        <v>No Aplica</v>
      </c>
      <c r="S446" s="38"/>
      <c r="T446" s="36"/>
      <c r="Y446" s="54">
        <f t="shared" si="14"/>
        <v>55991788</v>
      </c>
    </row>
    <row r="447" spans="1:25" x14ac:dyDescent="0.25">
      <c r="A447" s="20">
        <f>+VLOOKUP(D447,Back!Q:R,2,0)</f>
        <v>12</v>
      </c>
      <c r="B447" s="20" t="str">
        <f t="shared" si="12"/>
        <v>2016 DIC</v>
      </c>
      <c r="C447" s="20">
        <v>2016</v>
      </c>
      <c r="D447" s="21" t="s">
        <v>187</v>
      </c>
      <c r="E447" s="21" t="s">
        <v>7</v>
      </c>
      <c r="F447" s="21">
        <v>43745952</v>
      </c>
      <c r="G447" s="21" t="s">
        <v>50</v>
      </c>
      <c r="H447" s="22">
        <v>90756427</v>
      </c>
      <c r="I447" s="22">
        <v>3458830</v>
      </c>
      <c r="J447" s="22">
        <v>14499300</v>
      </c>
      <c r="K447" s="23">
        <v>72798297</v>
      </c>
      <c r="L447" s="23">
        <v>40100000</v>
      </c>
      <c r="M447" s="24">
        <v>1.8154188778054863</v>
      </c>
      <c r="N447" s="25" t="str">
        <f>IFERROR(VLOOKUP(F447,Back!C:F,4,0),"NO")</f>
        <v>Si</v>
      </c>
      <c r="O447" s="26">
        <v>26</v>
      </c>
      <c r="P447" s="27" t="str">
        <f>IFERROR(VLOOKUP(F447,Back!C:E,3,0),"")</f>
        <v>IPS Pto De Vista Unicentro</v>
      </c>
      <c r="Q447" s="27" t="str">
        <f>IFERROR(VLOOKUP(P447,Back!M:N,2,0),"")</f>
        <v>Antioquia</v>
      </c>
      <c r="R447" s="27" t="str">
        <f>IF(N447="Si",IFERROR(VLOOKUP(F447,'TD Cumpl'!B:AB,27,0),"No Aplica"),"No Aplica")</f>
        <v>Siempre Cumple</v>
      </c>
      <c r="S447" s="38"/>
      <c r="T447" s="36"/>
      <c r="Y447" s="54">
        <f t="shared" si="14"/>
        <v>90756427</v>
      </c>
    </row>
    <row r="448" spans="1:25" x14ac:dyDescent="0.25">
      <c r="A448" s="281">
        <f>+VLOOKUP(D448,Back!Q:R,2,0)</f>
        <v>12</v>
      </c>
      <c r="B448" s="281" t="str">
        <f t="shared" si="12"/>
        <v>2016 DIC</v>
      </c>
      <c r="C448" s="281">
        <v>2016</v>
      </c>
      <c r="D448" s="282" t="s">
        <v>187</v>
      </c>
      <c r="E448" s="282" t="s">
        <v>8</v>
      </c>
      <c r="F448" s="282">
        <v>43259130</v>
      </c>
      <c r="G448" s="282" t="s">
        <v>51</v>
      </c>
      <c r="H448" s="283">
        <v>48054614</v>
      </c>
      <c r="I448" s="283">
        <v>1874100</v>
      </c>
      <c r="J448" s="283">
        <v>11492700</v>
      </c>
      <c r="K448" s="284">
        <v>34687814</v>
      </c>
      <c r="L448" s="284">
        <v>24676923.076923076</v>
      </c>
      <c r="M448" s="285">
        <v>1.4056782481296759</v>
      </c>
      <c r="N448" s="25" t="str">
        <f>IFERROR(VLOOKUP(F448,Back!C:F,4,0),"NO")</f>
        <v>Si</v>
      </c>
      <c r="O448" s="26">
        <v>26</v>
      </c>
      <c r="P448" s="27" t="str">
        <f>IFERROR(VLOOKUP(F448,Back!C:E,3,0),"")</f>
        <v>IPS Pto De Vista Molinos</v>
      </c>
      <c r="Q448" s="27" t="str">
        <f>IFERROR(VLOOKUP(P448,Back!M:N,2,0),"")</f>
        <v>Antioquia</v>
      </c>
      <c r="R448" s="27" t="str">
        <f>IF(N448="Si",IFERROR(VLOOKUP(F448,'TD Cumpl'!B:AB,27,0),"No Aplica"),"No Aplica")</f>
        <v>Fluctúa</v>
      </c>
      <c r="S448" s="38"/>
      <c r="T448" s="36"/>
      <c r="Y448" s="54">
        <f t="shared" si="14"/>
        <v>48054614</v>
      </c>
    </row>
    <row r="449" spans="1:25" x14ac:dyDescent="0.25">
      <c r="A449" s="20">
        <f>+VLOOKUP(D449,Back!Q:R,2,0)</f>
        <v>1</v>
      </c>
      <c r="B449" s="20" t="str">
        <f>MID(UPPER(C449&amp;" "&amp;D449),1,8)</f>
        <v>2017 ENE</v>
      </c>
      <c r="C449" s="20">
        <v>2017</v>
      </c>
      <c r="D449" s="21" t="s">
        <v>122</v>
      </c>
      <c r="E449" s="21" t="s">
        <v>9</v>
      </c>
      <c r="F449" s="21">
        <v>43169964</v>
      </c>
      <c r="G449" s="21" t="s">
        <v>155</v>
      </c>
      <c r="H449" s="22">
        <v>54961827</v>
      </c>
      <c r="I449" s="22">
        <v>1188800</v>
      </c>
      <c r="J449" s="22">
        <v>12570500</v>
      </c>
      <c r="K449" s="23">
        <v>41202527</v>
      </c>
      <c r="L449" s="23">
        <v>41000000</v>
      </c>
      <c r="M449" s="24">
        <v>1.0049396829268293</v>
      </c>
      <c r="N449" s="25" t="str">
        <f>IFERROR(VLOOKUP(F449,Back!C:F,4,0),"NO")</f>
        <v>Si</v>
      </c>
      <c r="O449" s="26">
        <v>25</v>
      </c>
      <c r="P449" s="27" t="str">
        <f>IFERROR(VLOOKUP(F449,Back!C:E,3,0),"")</f>
        <v>IPS Pto De Vista Molinos</v>
      </c>
      <c r="Q449" s="27" t="str">
        <f>IFERROR(VLOOKUP(P449,Back!M:N,2,0),"")</f>
        <v>Antioquia</v>
      </c>
      <c r="R449" s="27" t="str">
        <f>IF(N449="Si",IFERROR(VLOOKUP(F449,'TD Cumpl'!B:AB,27,0),"No Aplica"),"No Aplica")</f>
        <v>Cumple</v>
      </c>
      <c r="S449" s="38">
        <v>113</v>
      </c>
      <c r="T449" s="36">
        <v>8570400</v>
      </c>
      <c r="U449" s="26">
        <v>300</v>
      </c>
      <c r="V449" s="37">
        <v>28246405</v>
      </c>
      <c r="W449" s="19">
        <v>145</v>
      </c>
      <c r="X449" s="37">
        <v>12570500</v>
      </c>
      <c r="Y449" s="54">
        <f t="shared" ref="Y449:Y512" si="15">+H449-X449-V449-T449</f>
        <v>5574522</v>
      </c>
    </row>
    <row r="450" spans="1:25" x14ac:dyDescent="0.25">
      <c r="A450" s="20">
        <f>+VLOOKUP(D450,Back!Q:R,2,0)</f>
        <v>1</v>
      </c>
      <c r="B450" s="20" t="str">
        <f t="shared" ref="B450:B510" si="16">MID(UPPER(C450&amp;" "&amp;D450),1,8)</f>
        <v>2017 ENE</v>
      </c>
      <c r="C450" s="20">
        <v>2017</v>
      </c>
      <c r="D450" s="21" t="s">
        <v>122</v>
      </c>
      <c r="E450" s="21" t="s">
        <v>11</v>
      </c>
      <c r="F450" s="21">
        <v>43253531</v>
      </c>
      <c r="G450" s="21" t="s">
        <v>39</v>
      </c>
      <c r="H450" s="22">
        <v>45800632</v>
      </c>
      <c r="I450" s="22">
        <v>640000</v>
      </c>
      <c r="J450" s="22">
        <v>13883491</v>
      </c>
      <c r="K450" s="23">
        <v>31277141</v>
      </c>
      <c r="L450" s="23">
        <v>29000000</v>
      </c>
      <c r="M450" s="24">
        <v>1.0785221034482759</v>
      </c>
      <c r="N450" s="209" t="str">
        <f>IFERROR(VLOOKUP(F450,Back!C:F,4,0),"NO")</f>
        <v>Si</v>
      </c>
      <c r="O450" s="26">
        <v>25</v>
      </c>
      <c r="P450" s="28" t="str">
        <f>IFERROR(VLOOKUP(F450,Back!C:E,3,0),"")</f>
        <v>IPS Punto de Vista Bello</v>
      </c>
      <c r="Q450" s="28" t="str">
        <f>IFERROR(VLOOKUP(P450,Back!M:N,2,0),"")</f>
        <v>Antioquia</v>
      </c>
      <c r="R450" s="27" t="str">
        <f>IF(N450="Si",IFERROR(VLOOKUP(F450,'TD Cumpl'!B:AB,27,0),"No Aplica"),"No Aplica")</f>
        <v>Cumple</v>
      </c>
      <c r="S450" s="38">
        <v>92</v>
      </c>
      <c r="T450" s="36">
        <v>7144055</v>
      </c>
      <c r="U450" s="26">
        <v>186</v>
      </c>
      <c r="V450" s="37">
        <v>18346050</v>
      </c>
      <c r="W450" s="19">
        <v>170</v>
      </c>
      <c r="X450" s="37">
        <v>13883491</v>
      </c>
      <c r="Y450" s="46">
        <f t="shared" si="15"/>
        <v>6427036</v>
      </c>
    </row>
    <row r="451" spans="1:25" x14ac:dyDescent="0.25">
      <c r="A451" s="20">
        <f>+VLOOKUP(D451,Back!Q:R,2,0)</f>
        <v>1</v>
      </c>
      <c r="B451" s="20" t="str">
        <f t="shared" si="16"/>
        <v>2017 ENE</v>
      </c>
      <c r="C451" s="20">
        <v>2017</v>
      </c>
      <c r="D451" s="21" t="s">
        <v>122</v>
      </c>
      <c r="E451" s="21" t="s">
        <v>66</v>
      </c>
      <c r="F451" s="21">
        <v>3438422</v>
      </c>
      <c r="G451" s="21" t="s">
        <v>71</v>
      </c>
      <c r="H451" s="22">
        <v>45666555</v>
      </c>
      <c r="I451" s="22">
        <v>1101400</v>
      </c>
      <c r="J451" s="22">
        <v>10140200</v>
      </c>
      <c r="K451" s="23">
        <v>34424955</v>
      </c>
      <c r="L451" s="23">
        <v>30100000</v>
      </c>
      <c r="M451" s="24">
        <v>1.1436862126245848</v>
      </c>
      <c r="N451" s="209" t="str">
        <f>IFERROR(VLOOKUP(F451,Back!C:F,4,0),"NO")</f>
        <v>Si</v>
      </c>
      <c r="O451" s="26">
        <v>25</v>
      </c>
      <c r="P451" s="28" t="str">
        <f>IFERROR(VLOOKUP(F451,Back!C:E,3,0),"")</f>
        <v>IPS Pto De Vista Punto Clave</v>
      </c>
      <c r="Q451" s="28" t="str">
        <f>IFERROR(VLOOKUP(P451,Back!M:N,2,0),"")</f>
        <v>Antioquia</v>
      </c>
      <c r="R451" s="27" t="str">
        <f>IF(N451="Si",IFERROR(VLOOKUP(F451,'TD Cumpl'!B:AB,27,0),"No Aplica"),"No Aplica")</f>
        <v>Fluctúa</v>
      </c>
      <c r="S451" s="38">
        <v>64</v>
      </c>
      <c r="T451" s="36">
        <v>6599241</v>
      </c>
      <c r="U451" s="26">
        <v>152</v>
      </c>
      <c r="V451" s="37">
        <v>22070500</v>
      </c>
      <c r="W451" s="19">
        <v>119</v>
      </c>
      <c r="X451" s="37">
        <v>10140200</v>
      </c>
      <c r="Y451" s="46">
        <f t="shared" si="15"/>
        <v>6856614</v>
      </c>
    </row>
    <row r="452" spans="1:25" x14ac:dyDescent="0.25">
      <c r="A452" s="20">
        <f>+VLOOKUP(D452,Back!Q:R,2,0)</f>
        <v>1</v>
      </c>
      <c r="B452" s="20" t="str">
        <f t="shared" si="16"/>
        <v>2017 ENE</v>
      </c>
      <c r="C452" s="20">
        <v>2017</v>
      </c>
      <c r="D452" s="21" t="s">
        <v>122</v>
      </c>
      <c r="E452" s="21" t="s">
        <v>6</v>
      </c>
      <c r="F452" s="21">
        <v>43821410</v>
      </c>
      <c r="G452" s="21" t="s">
        <v>40</v>
      </c>
      <c r="H452" s="22">
        <v>74789056</v>
      </c>
      <c r="I452" s="22">
        <v>2837000</v>
      </c>
      <c r="J452" s="22">
        <v>13471100</v>
      </c>
      <c r="K452" s="23">
        <v>58480956</v>
      </c>
      <c r="L452" s="23">
        <v>43000000</v>
      </c>
      <c r="M452" s="24">
        <v>1.3600222325581395</v>
      </c>
      <c r="N452" s="209" t="str">
        <f>IFERROR(VLOOKUP(F452,Back!C:F,4,0),"NO")</f>
        <v>Si</v>
      </c>
      <c r="O452" s="26">
        <v>25</v>
      </c>
      <c r="P452" s="28" t="str">
        <f>IFERROR(VLOOKUP(F452,Back!C:E,3,0),"")</f>
        <v>IPS Pto De Vista Unicentro</v>
      </c>
      <c r="Q452" s="28" t="str">
        <f>IFERROR(VLOOKUP(P452,Back!M:N,2,0),"")</f>
        <v>Antioquia</v>
      </c>
      <c r="R452" s="27" t="str">
        <f>IF(N452="Si",IFERROR(VLOOKUP(F452,'TD Cumpl'!B:AB,27,0),"No Aplica"),"No Aplica")</f>
        <v>Siempre Cumple</v>
      </c>
      <c r="S452" s="38">
        <v>114</v>
      </c>
      <c r="T452" s="36">
        <v>13482799</v>
      </c>
      <c r="U452" s="26">
        <v>289</v>
      </c>
      <c r="V452" s="37">
        <v>36571460</v>
      </c>
      <c r="W452" s="19">
        <v>160</v>
      </c>
      <c r="X452" s="37">
        <v>13471100</v>
      </c>
      <c r="Y452" s="46">
        <f t="shared" si="15"/>
        <v>11263697</v>
      </c>
    </row>
    <row r="453" spans="1:25" x14ac:dyDescent="0.25">
      <c r="A453" s="20">
        <f>+VLOOKUP(D453,Back!Q:R,2,0)</f>
        <v>1</v>
      </c>
      <c r="B453" s="20" t="str">
        <f t="shared" si="16"/>
        <v>2017 ENE</v>
      </c>
      <c r="C453" s="20">
        <v>2017</v>
      </c>
      <c r="D453" s="21" t="s">
        <v>122</v>
      </c>
      <c r="E453" s="21" t="s">
        <v>18</v>
      </c>
      <c r="F453" s="21">
        <v>39442617</v>
      </c>
      <c r="G453" s="21" t="s">
        <v>41</v>
      </c>
      <c r="H453" s="22">
        <v>58773753</v>
      </c>
      <c r="I453" s="22">
        <v>1333400</v>
      </c>
      <c r="J453" s="22">
        <v>14052700</v>
      </c>
      <c r="K453" s="23">
        <v>43387653</v>
      </c>
      <c r="L453" s="23">
        <v>41280000</v>
      </c>
      <c r="M453" s="24">
        <v>1.0510574854651162</v>
      </c>
      <c r="N453" s="209" t="str">
        <f>IFERROR(VLOOKUP(F453,Back!C:F,4,0),"NO")</f>
        <v>Si</v>
      </c>
      <c r="O453" s="26">
        <v>25</v>
      </c>
      <c r="P453" s="28" t="str">
        <f>IFERROR(VLOOKUP(F453,Back!C:E,3,0),"")</f>
        <v>IPS Pto De Vista San Diego</v>
      </c>
      <c r="Q453" s="28" t="str">
        <f>IFERROR(VLOOKUP(P453,Back!M:N,2,0),"")</f>
        <v>Antioquia</v>
      </c>
      <c r="R453" s="27" t="str">
        <f>IF(N453="Si",IFERROR(VLOOKUP(F453,'TD Cumpl'!B:AB,27,0),"No Aplica"),"No Aplica")</f>
        <v>Cumple</v>
      </c>
      <c r="S453" s="38">
        <v>101</v>
      </c>
      <c r="T453" s="36">
        <v>9675500</v>
      </c>
      <c r="U453" s="26">
        <v>244</v>
      </c>
      <c r="V453" s="37">
        <v>24947400</v>
      </c>
      <c r="W453" s="19">
        <v>162</v>
      </c>
      <c r="X453" s="37">
        <v>14052700</v>
      </c>
      <c r="Y453" s="46">
        <f t="shared" si="15"/>
        <v>10098153</v>
      </c>
    </row>
    <row r="454" spans="1:25" x14ac:dyDescent="0.25">
      <c r="A454" s="20">
        <f>+VLOOKUP(D454,Back!Q:R,2,0)</f>
        <v>1</v>
      </c>
      <c r="B454" s="20" t="str">
        <f t="shared" si="16"/>
        <v>2017 ENE</v>
      </c>
      <c r="C454" s="20">
        <v>2017</v>
      </c>
      <c r="D454" s="21" t="s">
        <v>122</v>
      </c>
      <c r="E454" s="21" t="s">
        <v>54</v>
      </c>
      <c r="F454" s="21">
        <v>1013628003</v>
      </c>
      <c r="G454" s="21" t="s">
        <v>55</v>
      </c>
      <c r="H454" s="22">
        <v>2449527</v>
      </c>
      <c r="I454" s="22">
        <v>0</v>
      </c>
      <c r="J454" s="22">
        <v>125500</v>
      </c>
      <c r="K454" s="23">
        <v>2324027</v>
      </c>
      <c r="L454" s="23">
        <v>6000000</v>
      </c>
      <c r="M454" s="24">
        <v>0.38733783333333333</v>
      </c>
      <c r="N454" s="209" t="str">
        <f>IFERROR(VLOOKUP(F454,Back!C:F,4,0),"NO")</f>
        <v>NO</v>
      </c>
      <c r="O454" s="26">
        <v>25</v>
      </c>
      <c r="P454" s="28" t="str">
        <f>IFERROR(VLOOKUP(F454,Back!C:E,3,0),"")</f>
        <v/>
      </c>
      <c r="Q454" s="28" t="str">
        <f>IFERROR(VLOOKUP(P454,Back!M:N,2,0),"")</f>
        <v/>
      </c>
      <c r="R454" s="27" t="str">
        <f>IF(N454="Si",IFERROR(VLOOKUP(F454,'TD Cumpl'!B:AB,27,0),"No Aplica"),"No Aplica")</f>
        <v>No Aplica</v>
      </c>
      <c r="S454" s="38">
        <v>1</v>
      </c>
      <c r="T454" s="36">
        <v>70345</v>
      </c>
      <c r="U454" s="26">
        <v>10</v>
      </c>
      <c r="V454" s="37">
        <v>2121380</v>
      </c>
      <c r="W454" s="19">
        <v>1</v>
      </c>
      <c r="X454" s="37">
        <v>125500</v>
      </c>
      <c r="Y454" s="46">
        <f t="shared" si="15"/>
        <v>132302</v>
      </c>
    </row>
    <row r="455" spans="1:25" x14ac:dyDescent="0.25">
      <c r="A455" s="20">
        <f>+VLOOKUP(D455,Back!Q:R,2,0)</f>
        <v>1</v>
      </c>
      <c r="B455" s="20" t="str">
        <f t="shared" si="16"/>
        <v>2017 ENE</v>
      </c>
      <c r="C455" s="20">
        <v>2017</v>
      </c>
      <c r="D455" s="21" t="s">
        <v>122</v>
      </c>
      <c r="E455" s="21" t="s">
        <v>56</v>
      </c>
      <c r="F455" s="21">
        <v>43971430</v>
      </c>
      <c r="G455" s="21" t="s">
        <v>142</v>
      </c>
      <c r="H455" s="22">
        <v>60278941</v>
      </c>
      <c r="I455" s="22">
        <v>816000</v>
      </c>
      <c r="J455" s="22">
        <v>15004200</v>
      </c>
      <c r="K455" s="23">
        <v>44458741</v>
      </c>
      <c r="L455" s="23">
        <v>41000000</v>
      </c>
      <c r="M455" s="24">
        <v>1.0843595365853658</v>
      </c>
      <c r="N455" s="209" t="str">
        <f>IFERROR(VLOOKUP(F455,Back!C:F,4,0),"NO")</f>
        <v>Si</v>
      </c>
      <c r="O455" s="26">
        <v>25</v>
      </c>
      <c r="P455" s="28" t="str">
        <f>IFERROR(VLOOKUP(F455,Back!C:E,3,0),"")</f>
        <v>IPS Pto De Vista Centro</v>
      </c>
      <c r="Q455" s="28" t="str">
        <f>IFERROR(VLOOKUP(P455,Back!M:N,2,0),"")</f>
        <v>Antioquia</v>
      </c>
      <c r="R455" s="27" t="str">
        <f>IF(N455="Si",IFERROR(VLOOKUP(F455,'TD Cumpl'!B:AB,27,0),"No Aplica"),"No Aplica")</f>
        <v>Siempre Cumple</v>
      </c>
      <c r="S455" s="38">
        <v>116</v>
      </c>
      <c r="T455" s="36">
        <v>9223873</v>
      </c>
      <c r="U455" s="26">
        <v>272</v>
      </c>
      <c r="V455" s="37">
        <v>29208380</v>
      </c>
      <c r="W455" s="19">
        <v>178</v>
      </c>
      <c r="X455" s="37">
        <v>15004200</v>
      </c>
      <c r="Y455" s="46">
        <f t="shared" si="15"/>
        <v>6842488</v>
      </c>
    </row>
    <row r="456" spans="1:25" x14ac:dyDescent="0.25">
      <c r="A456" s="20">
        <f>+VLOOKUP(D456,Back!Q:R,2,0)</f>
        <v>1</v>
      </c>
      <c r="B456" s="20" t="str">
        <f t="shared" si="16"/>
        <v>2017 ENE</v>
      </c>
      <c r="C456" s="20">
        <v>2017</v>
      </c>
      <c r="D456" s="21" t="s">
        <v>122</v>
      </c>
      <c r="E456" s="21" t="s">
        <v>59</v>
      </c>
      <c r="F456" s="21">
        <v>1030634664</v>
      </c>
      <c r="G456" s="21" t="s">
        <v>58</v>
      </c>
      <c r="H456" s="22">
        <v>55637912</v>
      </c>
      <c r="I456" s="22">
        <v>285400</v>
      </c>
      <c r="J456" s="22">
        <v>14783400</v>
      </c>
      <c r="K456" s="23">
        <v>40569112</v>
      </c>
      <c r="L456" s="23">
        <v>41000000</v>
      </c>
      <c r="M456" s="24">
        <v>0.9894905365853659</v>
      </c>
      <c r="N456" s="209" t="str">
        <f>IFERROR(VLOOKUP(F456,Back!C:F,4,0),"NO")</f>
        <v>NO</v>
      </c>
      <c r="O456" s="26">
        <v>25</v>
      </c>
      <c r="P456" s="28" t="str">
        <f>IFERROR(VLOOKUP(F456,Back!C:E,3,0),"")</f>
        <v/>
      </c>
      <c r="Q456" s="28" t="str">
        <f>IFERROR(VLOOKUP(P456,Back!M:N,2,0),"")</f>
        <v/>
      </c>
      <c r="R456" s="27" t="str">
        <f>IF(N456="Si",IFERROR(VLOOKUP(F456,'TD Cumpl'!B:AB,27,0),"No Aplica"),"No Aplica")</f>
        <v>No Aplica</v>
      </c>
      <c r="S456" s="38">
        <v>96</v>
      </c>
      <c r="T456" s="36">
        <v>7522641</v>
      </c>
      <c r="U456" s="26">
        <v>244</v>
      </c>
      <c r="V456" s="37">
        <v>27465790</v>
      </c>
      <c r="W456" s="19">
        <v>168</v>
      </c>
      <c r="X456" s="37">
        <v>14783400</v>
      </c>
      <c r="Y456" s="46">
        <f t="shared" si="15"/>
        <v>5866081</v>
      </c>
    </row>
    <row r="457" spans="1:25" x14ac:dyDescent="0.25">
      <c r="A457" s="20">
        <f>+VLOOKUP(D457,Back!Q:R,2,0)</f>
        <v>1</v>
      </c>
      <c r="B457" s="20" t="str">
        <f t="shared" si="16"/>
        <v>2017 ENE</v>
      </c>
      <c r="C457" s="20">
        <v>2017</v>
      </c>
      <c r="D457" s="21" t="s">
        <v>122</v>
      </c>
      <c r="E457" s="21" t="s">
        <v>1</v>
      </c>
      <c r="F457" s="21">
        <v>23857915</v>
      </c>
      <c r="G457" s="21" t="s">
        <v>116</v>
      </c>
      <c r="H457" s="22">
        <v>18208820</v>
      </c>
      <c r="I457" s="22">
        <v>0</v>
      </c>
      <c r="J457" s="22">
        <v>5025200</v>
      </c>
      <c r="K457" s="23">
        <v>13183620</v>
      </c>
      <c r="L457" s="23">
        <v>8800000</v>
      </c>
      <c r="M457" s="24">
        <v>1.4981386363636364</v>
      </c>
      <c r="N457" s="209" t="str">
        <f>IFERROR(VLOOKUP(F457,Back!C:F,4,0),"NO")</f>
        <v>NO</v>
      </c>
      <c r="O457" s="26">
        <v>25</v>
      </c>
      <c r="P457" s="28" t="str">
        <f>IFERROR(VLOOKUP(F457,Back!C:E,3,0),"")</f>
        <v/>
      </c>
      <c r="Q457" s="28" t="str">
        <f>IFERROR(VLOOKUP(P457,Back!M:N,2,0),"")</f>
        <v/>
      </c>
      <c r="R457" s="27" t="str">
        <f>IF(N457="Si",IFERROR(VLOOKUP(F457,'TD Cumpl'!B:AB,27,0),"No Aplica"),"No Aplica")</f>
        <v>No Aplica</v>
      </c>
      <c r="S457" s="38">
        <v>34</v>
      </c>
      <c r="T457" s="36">
        <v>2072994</v>
      </c>
      <c r="U457" s="26">
        <v>90</v>
      </c>
      <c r="V457" s="37">
        <v>9578520</v>
      </c>
      <c r="W457" s="19">
        <v>81</v>
      </c>
      <c r="X457" s="37">
        <v>5025200</v>
      </c>
      <c r="Y457" s="46">
        <f t="shared" si="15"/>
        <v>1532106</v>
      </c>
    </row>
    <row r="458" spans="1:25" x14ac:dyDescent="0.25">
      <c r="A458" s="20">
        <f>+VLOOKUP(D458,Back!Q:R,2,0)</f>
        <v>1</v>
      </c>
      <c r="B458" s="20" t="str">
        <f t="shared" si="16"/>
        <v>2017 ENE</v>
      </c>
      <c r="C458" s="20">
        <v>2017</v>
      </c>
      <c r="D458" s="21" t="s">
        <v>122</v>
      </c>
      <c r="E458" s="21" t="s">
        <v>34</v>
      </c>
      <c r="F458" s="21">
        <v>43554403</v>
      </c>
      <c r="G458" s="21" t="s">
        <v>35</v>
      </c>
      <c r="H458" s="22">
        <v>55244605</v>
      </c>
      <c r="I458" s="22">
        <v>1210800</v>
      </c>
      <c r="J458" s="22">
        <v>10929000</v>
      </c>
      <c r="K458" s="23">
        <v>43104805</v>
      </c>
      <c r="L458" s="23">
        <v>41000000</v>
      </c>
      <c r="M458" s="24">
        <v>1.0513367073170732</v>
      </c>
      <c r="N458" s="209" t="str">
        <f>IFERROR(VLOOKUP(F458,Back!C:F,4,0),"NO")</f>
        <v>Si</v>
      </c>
      <c r="O458" s="26">
        <v>25</v>
      </c>
      <c r="P458" s="28" t="str">
        <f>IFERROR(VLOOKUP(F458,Back!C:E,3,0),"")</f>
        <v>IPS Pto De Vista Centro</v>
      </c>
      <c r="Q458" s="28" t="str">
        <f>IFERROR(VLOOKUP(P458,Back!M:N,2,0),"")</f>
        <v>Antioquia</v>
      </c>
      <c r="R458" s="27" t="str">
        <f>IF(N458="Si",IFERROR(VLOOKUP(F458,'TD Cumpl'!B:AB,27,0),"No Aplica"),"No Aplica")</f>
        <v>Siempre Cumple</v>
      </c>
      <c r="S458" s="38">
        <v>99</v>
      </c>
      <c r="T458" s="36">
        <v>8770746</v>
      </c>
      <c r="U458" s="26">
        <v>218</v>
      </c>
      <c r="V458" s="37">
        <v>26501220</v>
      </c>
      <c r="W458" s="19">
        <v>130</v>
      </c>
      <c r="X458" s="37">
        <v>10929000</v>
      </c>
      <c r="Y458" s="46">
        <f t="shared" si="15"/>
        <v>9043639</v>
      </c>
    </row>
    <row r="459" spans="1:25" x14ac:dyDescent="0.25">
      <c r="A459" s="20">
        <f>+VLOOKUP(D459,Back!Q:R,2,0)</f>
        <v>1</v>
      </c>
      <c r="B459" s="20" t="str">
        <f t="shared" si="16"/>
        <v>2017 ENE</v>
      </c>
      <c r="C459" s="20">
        <v>2017</v>
      </c>
      <c r="D459" s="21" t="s">
        <v>122</v>
      </c>
      <c r="E459" s="21" t="s">
        <v>3</v>
      </c>
      <c r="F459" s="21">
        <v>52725011</v>
      </c>
      <c r="G459" s="21" t="s">
        <v>42</v>
      </c>
      <c r="H459" s="22">
        <v>28302999</v>
      </c>
      <c r="I459" s="22">
        <v>1468800</v>
      </c>
      <c r="J459" s="22">
        <v>5746400</v>
      </c>
      <c r="K459" s="23">
        <v>21087799</v>
      </c>
      <c r="L459" s="23">
        <v>20000000</v>
      </c>
      <c r="M459" s="24">
        <v>1.05438995</v>
      </c>
      <c r="N459" s="209" t="str">
        <f>IFERROR(VLOOKUP(F459,Back!C:F,4,0),"NO")</f>
        <v>Si</v>
      </c>
      <c r="O459" s="26">
        <v>25</v>
      </c>
      <c r="P459" s="28" t="str">
        <f>IFERROR(VLOOKUP(F459,Back!C:E,3,0),"")</f>
        <v>IPS Pto De Vista Olaya</v>
      </c>
      <c r="Q459" s="28" t="str">
        <f>IFERROR(VLOOKUP(P459,Back!M:N,2,0),"")</f>
        <v>Centro</v>
      </c>
      <c r="R459" s="27" t="str">
        <f>IF(N459="Si",IFERROR(VLOOKUP(F459,'TD Cumpl'!B:AB,27,0),"No Aplica"),"No Aplica")</f>
        <v>Fluctúa</v>
      </c>
      <c r="S459" s="38">
        <v>61</v>
      </c>
      <c r="T459" s="36">
        <v>3814234</v>
      </c>
      <c r="U459" s="26">
        <v>160</v>
      </c>
      <c r="V459" s="37">
        <v>15096880</v>
      </c>
      <c r="W459" s="19">
        <v>91</v>
      </c>
      <c r="X459" s="37">
        <v>5746400</v>
      </c>
      <c r="Y459" s="46">
        <f t="shared" si="15"/>
        <v>3645485</v>
      </c>
    </row>
    <row r="460" spans="1:25" x14ac:dyDescent="0.25">
      <c r="A460" s="20">
        <f>+VLOOKUP(D460,Back!Q:R,2,0)</f>
        <v>1</v>
      </c>
      <c r="B460" s="20" t="str">
        <f t="shared" si="16"/>
        <v>2017 ENE</v>
      </c>
      <c r="C460" s="20">
        <v>2017</v>
      </c>
      <c r="D460" s="21" t="s">
        <v>122</v>
      </c>
      <c r="E460" s="21" t="s">
        <v>22</v>
      </c>
      <c r="F460" s="21">
        <v>42164020</v>
      </c>
      <c r="G460" s="21" t="s">
        <v>105</v>
      </c>
      <c r="H460" s="22">
        <v>33170804</v>
      </c>
      <c r="I460" s="22">
        <v>1224100</v>
      </c>
      <c r="J460" s="22">
        <v>10697000</v>
      </c>
      <c r="K460" s="23">
        <v>21249704</v>
      </c>
      <c r="L460" s="23">
        <v>43000000</v>
      </c>
      <c r="M460" s="24">
        <v>0.49417916279069768</v>
      </c>
      <c r="N460" s="209" t="str">
        <f>IFERROR(VLOOKUP(F460,Back!C:F,4,0),"NO")</f>
        <v>Si</v>
      </c>
      <c r="O460" s="26">
        <v>25</v>
      </c>
      <c r="P460" s="28" t="str">
        <f>IFERROR(VLOOKUP(F460,Back!C:E,3,0),"")</f>
        <v>IPS Pto De Vista Molinos</v>
      </c>
      <c r="Q460" s="28" t="str">
        <f>IFERROR(VLOOKUP(P460,Back!M:N,2,0),"")</f>
        <v>Antioquia</v>
      </c>
      <c r="R460" s="27" t="str">
        <f>IF(N460="Si",IFERROR(VLOOKUP(F460,'TD Cumpl'!B:AB,27,0),"No Aplica"),"No Aplica")</f>
        <v>Siempre Cumple</v>
      </c>
      <c r="S460" s="38">
        <v>58</v>
      </c>
      <c r="T460" s="36">
        <v>4602281</v>
      </c>
      <c r="U460" s="26">
        <v>138</v>
      </c>
      <c r="V460" s="37">
        <v>12891200</v>
      </c>
      <c r="W460" s="19">
        <v>129</v>
      </c>
      <c r="X460" s="37">
        <v>10697000</v>
      </c>
      <c r="Y460" s="46">
        <f t="shared" si="15"/>
        <v>4980323</v>
      </c>
    </row>
    <row r="461" spans="1:25" x14ac:dyDescent="0.25">
      <c r="A461" s="20">
        <f>+VLOOKUP(D461,Back!Q:R,2,0)</f>
        <v>1</v>
      </c>
      <c r="B461" s="20" t="str">
        <f t="shared" si="16"/>
        <v>2017 ENE</v>
      </c>
      <c r="C461" s="20">
        <v>2017</v>
      </c>
      <c r="D461" s="21" t="s">
        <v>122</v>
      </c>
      <c r="E461" s="21" t="s">
        <v>25</v>
      </c>
      <c r="F461" s="21">
        <v>1040030764</v>
      </c>
      <c r="G461" s="21" t="s">
        <v>43</v>
      </c>
      <c r="H461" s="22">
        <v>30905776</v>
      </c>
      <c r="I461" s="22">
        <v>1914300</v>
      </c>
      <c r="J461" s="22">
        <v>8487761</v>
      </c>
      <c r="K461" s="23">
        <v>20503715</v>
      </c>
      <c r="L461" s="23">
        <v>33000000</v>
      </c>
      <c r="M461" s="24">
        <v>0.62132469696969694</v>
      </c>
      <c r="N461" s="209" t="str">
        <f>IFERROR(VLOOKUP(F461,Back!C:F,4,0),"NO")</f>
        <v>Si</v>
      </c>
      <c r="O461" s="26">
        <v>25</v>
      </c>
      <c r="P461" s="28" t="str">
        <f>IFERROR(VLOOKUP(F461,Back!C:E,3,0),"")</f>
        <v>IPS Pto De Vista Rionegro</v>
      </c>
      <c r="Q461" s="28" t="str">
        <f>IFERROR(VLOOKUP(P461,Back!M:N,2,0),"")</f>
        <v>Antioquia</v>
      </c>
      <c r="R461" s="27" t="str">
        <f>IF(N461="Si",IFERROR(VLOOKUP(F461,'TD Cumpl'!B:AB,27,0),"No Aplica"),"No Aplica")</f>
        <v>Cumple</v>
      </c>
      <c r="S461" s="38">
        <v>51</v>
      </c>
      <c r="T461" s="36">
        <v>5106234</v>
      </c>
      <c r="U461" s="26">
        <v>146</v>
      </c>
      <c r="V461" s="37">
        <v>13870754</v>
      </c>
      <c r="W461" s="19">
        <v>130</v>
      </c>
      <c r="X461" s="37">
        <v>8487761</v>
      </c>
      <c r="Y461" s="46">
        <f t="shared" si="15"/>
        <v>3441027</v>
      </c>
    </row>
    <row r="462" spans="1:25" x14ac:dyDescent="0.25">
      <c r="A462" s="20">
        <f>+VLOOKUP(D462,Back!Q:R,2,0)</f>
        <v>1</v>
      </c>
      <c r="B462" s="20" t="str">
        <f t="shared" si="16"/>
        <v>2017 ENE</v>
      </c>
      <c r="C462" s="20">
        <v>2017</v>
      </c>
      <c r="D462" s="21" t="s">
        <v>122</v>
      </c>
      <c r="E462" s="21" t="s">
        <v>33</v>
      </c>
      <c r="F462" s="21">
        <v>31307503</v>
      </c>
      <c r="G462" s="21" t="s">
        <v>36</v>
      </c>
      <c r="H462" s="22">
        <v>22191237</v>
      </c>
      <c r="I462" s="22">
        <v>0</v>
      </c>
      <c r="J462" s="22">
        <v>9437100</v>
      </c>
      <c r="K462" s="23">
        <v>12754137</v>
      </c>
      <c r="L462" s="23">
        <v>30000000</v>
      </c>
      <c r="M462" s="24">
        <v>0.42513790000000001</v>
      </c>
      <c r="N462" s="209" t="str">
        <f>IFERROR(VLOOKUP(F462,Back!C:F,4,0),"NO")</f>
        <v>NO</v>
      </c>
      <c r="O462" s="26">
        <v>25</v>
      </c>
      <c r="P462" s="28" t="str">
        <f>IFERROR(VLOOKUP(F462,Back!C:E,3,0),"")</f>
        <v/>
      </c>
      <c r="Q462" s="28" t="str">
        <f>IFERROR(VLOOKUP(P462,Back!M:N,2,0),"")</f>
        <v/>
      </c>
      <c r="R462" s="27" t="str">
        <f>IF(N462="Si",IFERROR(VLOOKUP(F462,'TD Cumpl'!B:AB,27,0),"No Aplica"),"No Aplica")</f>
        <v>No Aplica</v>
      </c>
      <c r="S462" s="38">
        <v>65</v>
      </c>
      <c r="T462" s="36">
        <v>5202607</v>
      </c>
      <c r="U462" s="26">
        <v>146</v>
      </c>
      <c r="V462" s="37">
        <v>6787242</v>
      </c>
      <c r="W462" s="19">
        <v>112</v>
      </c>
      <c r="X462" s="37">
        <v>9437100</v>
      </c>
      <c r="Y462" s="46">
        <f t="shared" si="15"/>
        <v>764288</v>
      </c>
    </row>
    <row r="463" spans="1:25" x14ac:dyDescent="0.25">
      <c r="A463" s="20">
        <f>+VLOOKUP(D463,Back!Q:R,2,0)</f>
        <v>1</v>
      </c>
      <c r="B463" s="20" t="str">
        <f t="shared" si="16"/>
        <v>2017 ENE</v>
      </c>
      <c r="C463" s="20">
        <v>2017</v>
      </c>
      <c r="D463" s="21" t="s">
        <v>122</v>
      </c>
      <c r="E463" s="21" t="s">
        <v>21</v>
      </c>
      <c r="F463" s="21">
        <v>1035417626</v>
      </c>
      <c r="G463" s="21" t="s">
        <v>80</v>
      </c>
      <c r="H463" s="22">
        <v>61778110</v>
      </c>
      <c r="I463" s="22">
        <v>0</v>
      </c>
      <c r="J463" s="22">
        <v>15552100</v>
      </c>
      <c r="K463" s="23">
        <v>46226010</v>
      </c>
      <c r="L463" s="23">
        <v>43000000</v>
      </c>
      <c r="M463" s="24">
        <v>1.0750234883720931</v>
      </c>
      <c r="N463" s="209" t="str">
        <f>IFERROR(VLOOKUP(F463,Back!C:F,4,0),"NO")</f>
        <v>Si</v>
      </c>
      <c r="O463" s="26">
        <v>25</v>
      </c>
      <c r="P463" s="28" t="str">
        <f>IFERROR(VLOOKUP(F463,Back!C:E,3,0),"")</f>
        <v>IPS Pto De Vista Unicentro</v>
      </c>
      <c r="Q463" s="28" t="str">
        <f>IFERROR(VLOOKUP(P463,Back!M:N,2,0),"")</f>
        <v>Antioquia</v>
      </c>
      <c r="R463" s="27" t="str">
        <f>IF(N463="Si",IFERROR(VLOOKUP(F463,'TD Cumpl'!B:AB,27,0),"No Aplica"),"No Aplica")</f>
        <v>Cumple</v>
      </c>
      <c r="S463" s="38">
        <v>97</v>
      </c>
      <c r="T463" s="36">
        <v>10698695</v>
      </c>
      <c r="U463" s="26">
        <v>243</v>
      </c>
      <c r="V463" s="37">
        <v>27288070</v>
      </c>
      <c r="W463" s="19">
        <v>183</v>
      </c>
      <c r="X463" s="37">
        <v>15552100</v>
      </c>
      <c r="Y463" s="46">
        <f t="shared" si="15"/>
        <v>8239245</v>
      </c>
    </row>
    <row r="464" spans="1:25" x14ac:dyDescent="0.25">
      <c r="A464" s="20">
        <f>+VLOOKUP(D464,Back!Q:R,2,0)</f>
        <v>1</v>
      </c>
      <c r="B464" s="20" t="str">
        <f t="shared" si="16"/>
        <v>2017 ENE</v>
      </c>
      <c r="C464" s="20">
        <v>2017</v>
      </c>
      <c r="D464" s="21" t="s">
        <v>122</v>
      </c>
      <c r="E464" s="21" t="s">
        <v>20</v>
      </c>
      <c r="F464" s="21">
        <v>1017141451</v>
      </c>
      <c r="G464" s="21" t="s">
        <v>44</v>
      </c>
      <c r="H464" s="22">
        <v>66153612</v>
      </c>
      <c r="I464" s="22">
        <v>1690800</v>
      </c>
      <c r="J464" s="22">
        <v>12441500</v>
      </c>
      <c r="K464" s="23">
        <v>52021312</v>
      </c>
      <c r="L464" s="23">
        <v>43000000</v>
      </c>
      <c r="M464" s="24">
        <v>1.209797953488372</v>
      </c>
      <c r="N464" s="209" t="str">
        <f>IFERROR(VLOOKUP(F464,Back!C:F,4,0),"NO")</f>
        <v>Si</v>
      </c>
      <c r="O464" s="26">
        <v>25</v>
      </c>
      <c r="P464" s="28" t="str">
        <f>IFERROR(VLOOKUP(F464,Back!C:E,3,0),"")</f>
        <v>IPS Pto De Vista Molinos</v>
      </c>
      <c r="Q464" s="28" t="str">
        <f>IFERROR(VLOOKUP(P464,Back!M:N,2,0),"")</f>
        <v>Antioquia</v>
      </c>
      <c r="R464" s="27" t="str">
        <f>IF(N464="Si",IFERROR(VLOOKUP(F464,'TD Cumpl'!B:AB,27,0),"No Aplica"),"No Aplica")</f>
        <v>Siempre Cumple</v>
      </c>
      <c r="S464" s="38">
        <v>126</v>
      </c>
      <c r="T464" s="36">
        <v>11386511</v>
      </c>
      <c r="U464" s="26">
        <v>334</v>
      </c>
      <c r="V464" s="37">
        <v>30947100</v>
      </c>
      <c r="W464" s="19">
        <v>146</v>
      </c>
      <c r="X464" s="37">
        <v>12441500</v>
      </c>
      <c r="Y464" s="46">
        <f t="shared" si="15"/>
        <v>11378501</v>
      </c>
    </row>
    <row r="465" spans="1:25" x14ac:dyDescent="0.25">
      <c r="A465" s="20">
        <f>+VLOOKUP(D465,Back!Q:R,2,0)</f>
        <v>1</v>
      </c>
      <c r="B465" s="20" t="str">
        <f t="shared" si="16"/>
        <v>2017 ENE</v>
      </c>
      <c r="C465" s="20">
        <v>2017</v>
      </c>
      <c r="D465" s="21" t="s">
        <v>122</v>
      </c>
      <c r="E465" s="21" t="s">
        <v>2</v>
      </c>
      <c r="F465" s="21">
        <v>52260671</v>
      </c>
      <c r="G465" s="21" t="s">
        <v>26</v>
      </c>
      <c r="H465" s="22">
        <v>32836689</v>
      </c>
      <c r="I465" s="22">
        <v>840000</v>
      </c>
      <c r="J465" s="22">
        <v>7310800</v>
      </c>
      <c r="K465" s="23">
        <v>24685889</v>
      </c>
      <c r="L465" s="23">
        <v>22000000</v>
      </c>
      <c r="M465" s="24">
        <v>1.1220858636363635</v>
      </c>
      <c r="N465" s="209" t="str">
        <f>IFERROR(VLOOKUP(F465,Back!C:F,4,0),"NO")</f>
        <v>Si</v>
      </c>
      <c r="O465" s="26">
        <v>25</v>
      </c>
      <c r="P465" s="28" t="str">
        <f>IFERROR(VLOOKUP(F465,Back!C:E,3,0),"")</f>
        <v>IPS Pto De Vista Santa Bárbara</v>
      </c>
      <c r="Q465" s="28" t="str">
        <f>IFERROR(VLOOKUP(P465,Back!M:N,2,0),"")</f>
        <v>Centro</v>
      </c>
      <c r="R465" s="27" t="str">
        <f>IF(N465="Si",IFERROR(VLOOKUP(F465,'TD Cumpl'!B:AB,27,0),"No Aplica"),"No Aplica")</f>
        <v>Siempre Cumple</v>
      </c>
      <c r="S465" s="38">
        <v>68</v>
      </c>
      <c r="T465" s="36">
        <v>6847867</v>
      </c>
      <c r="U465" s="26">
        <v>176</v>
      </c>
      <c r="V465" s="37">
        <v>14966680</v>
      </c>
      <c r="W465" s="19">
        <v>110</v>
      </c>
      <c r="X465" s="37">
        <v>7310800</v>
      </c>
      <c r="Y465" s="46">
        <f t="shared" si="15"/>
        <v>3711342</v>
      </c>
    </row>
    <row r="466" spans="1:25" x14ac:dyDescent="0.25">
      <c r="A466" s="20">
        <f>+VLOOKUP(D466,Back!Q:R,2,0)</f>
        <v>1</v>
      </c>
      <c r="B466" s="20" t="str">
        <f t="shared" si="16"/>
        <v>2017 ENE</v>
      </c>
      <c r="C466" s="20">
        <v>2017</v>
      </c>
      <c r="D466" s="21" t="s">
        <v>122</v>
      </c>
      <c r="E466" s="21" t="s">
        <v>37</v>
      </c>
      <c r="F466" s="21">
        <v>1036779770</v>
      </c>
      <c r="G466" s="21" t="s">
        <v>52</v>
      </c>
      <c r="H466" s="22">
        <v>30534573</v>
      </c>
      <c r="I466" s="22">
        <v>1742100</v>
      </c>
      <c r="J466" s="22">
        <v>6640843</v>
      </c>
      <c r="K466" s="23">
        <v>22151630</v>
      </c>
      <c r="L466" s="23">
        <v>33000000</v>
      </c>
      <c r="M466" s="24">
        <v>0.67126151515151511</v>
      </c>
      <c r="N466" s="209" t="str">
        <f>IFERROR(VLOOKUP(F466,Back!C:F,4,0),"NO")</f>
        <v>No</v>
      </c>
      <c r="O466" s="26">
        <v>25</v>
      </c>
      <c r="P466" s="28" t="str">
        <f>IFERROR(VLOOKUP(F466,Back!C:E,3,0),"")</f>
        <v>IPS Pto De Vista Rionegro</v>
      </c>
      <c r="Q466" s="28" t="str">
        <f>IFERROR(VLOOKUP(P466,Back!M:N,2,0),"")</f>
        <v>Antioquia</v>
      </c>
      <c r="R466" s="27" t="str">
        <f>IF(N466="Si",IFERROR(VLOOKUP(F466,'TD Cumpl'!B:AB,27,0),"No Aplica"),"No Aplica")</f>
        <v>No Aplica</v>
      </c>
      <c r="S466" s="38">
        <v>59</v>
      </c>
      <c r="T466" s="36">
        <v>5656136</v>
      </c>
      <c r="U466" s="26">
        <v>150</v>
      </c>
      <c r="V466" s="37">
        <v>13267004</v>
      </c>
      <c r="W466" s="19">
        <v>96</v>
      </c>
      <c r="X466" s="37">
        <v>6640843</v>
      </c>
      <c r="Y466" s="46">
        <f t="shared" si="15"/>
        <v>4970590</v>
      </c>
    </row>
    <row r="467" spans="1:25" x14ac:dyDescent="0.25">
      <c r="A467" s="20">
        <f>+VLOOKUP(D467,Back!Q:R,2,0)</f>
        <v>1</v>
      </c>
      <c r="B467" s="20" t="str">
        <f t="shared" si="16"/>
        <v>2017 ENE</v>
      </c>
      <c r="C467" s="20">
        <v>2017</v>
      </c>
      <c r="D467" s="21" t="s">
        <v>122</v>
      </c>
      <c r="E467" s="21" t="s">
        <v>64</v>
      </c>
      <c r="F467" s="21">
        <v>1036598360</v>
      </c>
      <c r="G467" s="21" t="s">
        <v>146</v>
      </c>
      <c r="H467" s="22">
        <v>45642084</v>
      </c>
      <c r="I467" s="22">
        <v>352700</v>
      </c>
      <c r="J467" s="22">
        <v>12238600</v>
      </c>
      <c r="K467" s="23">
        <v>33050784</v>
      </c>
      <c r="L467" s="23">
        <v>30100000</v>
      </c>
      <c r="M467" s="24">
        <v>1.0980326910299003</v>
      </c>
      <c r="N467" s="209" t="str">
        <f>IFERROR(VLOOKUP(F467,Back!C:F,4,0),"NO")</f>
        <v>Si</v>
      </c>
      <c r="O467" s="26">
        <v>25</v>
      </c>
      <c r="P467" s="28" t="str">
        <f>IFERROR(VLOOKUP(F467,Back!C:E,3,0),"")</f>
        <v>IPS Pto De Vista Punto Clave</v>
      </c>
      <c r="Q467" s="28" t="str">
        <f>IFERROR(VLOOKUP(P467,Back!M:N,2,0),"")</f>
        <v>Antioquia</v>
      </c>
      <c r="R467" s="27" t="str">
        <f>IF(N467="Si",IFERROR(VLOOKUP(F467,'TD Cumpl'!B:AB,27,0),"No Aplica"),"No Aplica")</f>
        <v>Fluctúa</v>
      </c>
      <c r="S467" s="38">
        <v>75</v>
      </c>
      <c r="T467" s="36">
        <v>8343106</v>
      </c>
      <c r="U467" s="26">
        <v>162</v>
      </c>
      <c r="V467" s="37">
        <v>19582660</v>
      </c>
      <c r="W467" s="19">
        <v>139</v>
      </c>
      <c r="X467" s="37">
        <v>12238600</v>
      </c>
      <c r="Y467" s="46">
        <f t="shared" si="15"/>
        <v>5477718</v>
      </c>
    </row>
    <row r="468" spans="1:25" x14ac:dyDescent="0.25">
      <c r="A468" s="20">
        <f>+VLOOKUP(D468,Back!Q:R,2,0)</f>
        <v>1</v>
      </c>
      <c r="B468" s="20" t="str">
        <f t="shared" si="16"/>
        <v>2017 ENE</v>
      </c>
      <c r="C468" s="20">
        <v>2017</v>
      </c>
      <c r="D468" s="21" t="s">
        <v>122</v>
      </c>
      <c r="E468" s="21" t="s">
        <v>38</v>
      </c>
      <c r="F468" s="21">
        <v>43745192</v>
      </c>
      <c r="G468" s="21" t="s">
        <v>45</v>
      </c>
      <c r="H468" s="22">
        <v>15643626</v>
      </c>
      <c r="I468" s="22">
        <v>0</v>
      </c>
      <c r="J468" s="22">
        <v>0</v>
      </c>
      <c r="K468" s="23">
        <v>15643626</v>
      </c>
      <c r="L468" s="23">
        <v>19000000</v>
      </c>
      <c r="M468" s="24">
        <v>0.8233487368421053</v>
      </c>
      <c r="N468" s="209" t="str">
        <f>IFERROR(VLOOKUP(F468,Back!C:F,4,0),"NO")</f>
        <v>Si</v>
      </c>
      <c r="O468" s="26">
        <v>25</v>
      </c>
      <c r="P468" s="28" t="str">
        <f>IFERROR(VLOOKUP(F468,Back!C:E,3,0),"")</f>
        <v>IPS Punto de Vista Mayorca</v>
      </c>
      <c r="Q468" s="28" t="str">
        <f>IFERROR(VLOOKUP(P468,Back!M:N,2,0),"")</f>
        <v>Antioquia</v>
      </c>
      <c r="R468" s="27" t="str">
        <f>IF(N468="Si",IFERROR(VLOOKUP(F468,'TD Cumpl'!B:AB,27,0),"No Aplica"),"No Aplica")</f>
        <v>Cumple</v>
      </c>
      <c r="S468" s="38">
        <v>36</v>
      </c>
      <c r="T468" s="36">
        <v>4365614</v>
      </c>
      <c r="U468" s="26">
        <v>118</v>
      </c>
      <c r="V468" s="37">
        <v>10404880</v>
      </c>
      <c r="W468" s="19">
        <v>0</v>
      </c>
      <c r="X468" s="37">
        <v>0</v>
      </c>
      <c r="Y468" s="46">
        <f t="shared" si="15"/>
        <v>873132</v>
      </c>
    </row>
    <row r="469" spans="1:25" x14ac:dyDescent="0.25">
      <c r="A469" s="20">
        <f>+VLOOKUP(D469,Back!Q:R,2,0)</f>
        <v>1</v>
      </c>
      <c r="B469" s="20" t="str">
        <f t="shared" si="16"/>
        <v>2017 ENE</v>
      </c>
      <c r="C469" s="20">
        <v>2017</v>
      </c>
      <c r="D469" s="21" t="s">
        <v>122</v>
      </c>
      <c r="E469" s="21" t="s">
        <v>13</v>
      </c>
      <c r="F469" s="21">
        <v>43866877</v>
      </c>
      <c r="G469" s="21" t="s">
        <v>46</v>
      </c>
      <c r="H469" s="22">
        <v>59167759</v>
      </c>
      <c r="I469" s="22">
        <v>2075400</v>
      </c>
      <c r="J469" s="22">
        <v>13904400</v>
      </c>
      <c r="K469" s="23">
        <v>43187959</v>
      </c>
      <c r="L469" s="23">
        <v>41000000</v>
      </c>
      <c r="M469" s="24">
        <v>1.0533648536585365</v>
      </c>
      <c r="N469" s="209" t="str">
        <f>IFERROR(VLOOKUP(F469,Back!C:F,4,0),"NO")</f>
        <v>Si</v>
      </c>
      <c r="O469" s="26">
        <v>25</v>
      </c>
      <c r="P469" s="28" t="str">
        <f>IFERROR(VLOOKUP(F469,Back!C:E,3,0),"")</f>
        <v>IPS Pto De Vista Centro</v>
      </c>
      <c r="Q469" s="28" t="str">
        <f>IFERROR(VLOOKUP(P469,Back!M:N,2,0),"")</f>
        <v>Antioquia</v>
      </c>
      <c r="R469" s="27" t="str">
        <f>IF(N469="Si",IFERROR(VLOOKUP(F469,'TD Cumpl'!B:AB,27,0),"No Aplica"),"No Aplica")</f>
        <v>Siempre Cumple</v>
      </c>
      <c r="S469" s="38">
        <v>117</v>
      </c>
      <c r="T469" s="36">
        <v>10595338</v>
      </c>
      <c r="U469" s="26">
        <v>268</v>
      </c>
      <c r="V469" s="37">
        <v>26252480</v>
      </c>
      <c r="W469" s="19">
        <v>162</v>
      </c>
      <c r="X469" s="37">
        <v>13904400</v>
      </c>
      <c r="Y469" s="46">
        <f t="shared" si="15"/>
        <v>8415541</v>
      </c>
    </row>
    <row r="470" spans="1:25" x14ac:dyDescent="0.25">
      <c r="A470" s="20">
        <f>+VLOOKUP(D470,Back!Q:R,2,0)</f>
        <v>1</v>
      </c>
      <c r="B470" s="20" t="str">
        <f t="shared" si="16"/>
        <v>2017 ENE</v>
      </c>
      <c r="C470" s="20">
        <v>2017</v>
      </c>
      <c r="D470" s="21" t="s">
        <v>122</v>
      </c>
      <c r="E470" s="21" t="s">
        <v>17</v>
      </c>
      <c r="F470" s="21">
        <v>43113640</v>
      </c>
      <c r="G470" s="21" t="s">
        <v>47</v>
      </c>
      <c r="H470" s="22">
        <v>40445872</v>
      </c>
      <c r="I470" s="22">
        <v>1048860</v>
      </c>
      <c r="J470" s="22">
        <v>7724200</v>
      </c>
      <c r="K470" s="23">
        <v>31672812</v>
      </c>
      <c r="L470" s="23">
        <v>30100000</v>
      </c>
      <c r="M470" s="24">
        <v>1.0522528903654484</v>
      </c>
      <c r="N470" s="209" t="str">
        <f>IFERROR(VLOOKUP(F470,Back!C:F,4,0),"NO")</f>
        <v>Si</v>
      </c>
      <c r="O470" s="26">
        <v>25</v>
      </c>
      <c r="P470" s="28" t="str">
        <f>IFERROR(VLOOKUP(F470,Back!C:E,3,0),"")</f>
        <v>IPS Pto De Vista San Diego</v>
      </c>
      <c r="Q470" s="28" t="str">
        <f>IFERROR(VLOOKUP(P470,Back!M:N,2,0),"")</f>
        <v>Antioquia</v>
      </c>
      <c r="R470" s="27" t="str">
        <f>IF(N470="Si",IFERROR(VLOOKUP(F470,'TD Cumpl'!B:AB,27,0),"No Aplica"),"No Aplica")</f>
        <v>Cumple</v>
      </c>
      <c r="S470" s="38">
        <v>81</v>
      </c>
      <c r="T470" s="36">
        <v>8844225</v>
      </c>
      <c r="U470" s="26">
        <v>152</v>
      </c>
      <c r="V470" s="37">
        <v>18090050</v>
      </c>
      <c r="W470" s="19">
        <v>88</v>
      </c>
      <c r="X470" s="37">
        <v>7724200</v>
      </c>
      <c r="Y470" s="46">
        <f t="shared" si="15"/>
        <v>5787397</v>
      </c>
    </row>
    <row r="471" spans="1:25" x14ac:dyDescent="0.25">
      <c r="A471" s="20">
        <f>+VLOOKUP(D471,Back!Q:R,2,0)</f>
        <v>1</v>
      </c>
      <c r="B471" s="20" t="str">
        <f t="shared" si="16"/>
        <v>2017 ENE</v>
      </c>
      <c r="C471" s="20">
        <v>2017</v>
      </c>
      <c r="D471" s="21" t="s">
        <v>122</v>
      </c>
      <c r="E471" s="21" t="s">
        <v>24</v>
      </c>
      <c r="F471" s="21">
        <v>39448823</v>
      </c>
      <c r="G471" s="21" t="s">
        <v>48</v>
      </c>
      <c r="H471" s="22">
        <v>28904390</v>
      </c>
      <c r="I471" s="22">
        <v>756000</v>
      </c>
      <c r="J471" s="22">
        <v>4116305</v>
      </c>
      <c r="K471" s="23">
        <v>24032085</v>
      </c>
      <c r="L471" s="23">
        <v>33000000</v>
      </c>
      <c r="M471" s="24">
        <v>0.72824500000000003</v>
      </c>
      <c r="N471" s="209" t="str">
        <f>IFERROR(VLOOKUP(F471,Back!C:F,4,0),"NO")</f>
        <v>Si</v>
      </c>
      <c r="O471" s="26">
        <v>25</v>
      </c>
      <c r="P471" s="28" t="str">
        <f>IFERROR(VLOOKUP(F471,Back!C:E,3,0),"")</f>
        <v>IPS Pto De Vista Rionegro</v>
      </c>
      <c r="Q471" s="28" t="str">
        <f>IFERROR(VLOOKUP(P471,Back!M:N,2,0),"")</f>
        <v>Antioquia</v>
      </c>
      <c r="R471" s="27" t="str">
        <f>IF(N471="Si",IFERROR(VLOOKUP(F471,'TD Cumpl'!B:AB,27,0),"No Aplica"),"No Aplica")</f>
        <v>Siempre Cumple</v>
      </c>
      <c r="S471" s="38">
        <v>51</v>
      </c>
      <c r="T471" s="36">
        <v>5453428</v>
      </c>
      <c r="U471" s="26">
        <v>136</v>
      </c>
      <c r="V471" s="37">
        <v>15633758</v>
      </c>
      <c r="W471" s="19">
        <v>63</v>
      </c>
      <c r="X471" s="37">
        <v>4116305</v>
      </c>
      <c r="Y471" s="46">
        <f t="shared" si="15"/>
        <v>3700899</v>
      </c>
    </row>
    <row r="472" spans="1:25" x14ac:dyDescent="0.25">
      <c r="A472" s="20">
        <f>+VLOOKUP(D472,Back!Q:R,2,0)</f>
        <v>1</v>
      </c>
      <c r="B472" s="20" t="str">
        <f t="shared" si="16"/>
        <v>2017 ENE</v>
      </c>
      <c r="C472" s="20">
        <v>2017</v>
      </c>
      <c r="D472" s="21" t="s">
        <v>122</v>
      </c>
      <c r="E472" s="21" t="s">
        <v>10</v>
      </c>
      <c r="F472" s="21">
        <v>43109744</v>
      </c>
      <c r="G472" s="21" t="s">
        <v>53</v>
      </c>
      <c r="H472" s="22">
        <v>31863196</v>
      </c>
      <c r="I472" s="22">
        <v>2064000</v>
      </c>
      <c r="J472" s="22">
        <v>8209200</v>
      </c>
      <c r="K472" s="23">
        <v>21589996</v>
      </c>
      <c r="L472" s="23">
        <v>30960000</v>
      </c>
      <c r="M472" s="24">
        <v>0.69735129198966406</v>
      </c>
      <c r="N472" s="209" t="str">
        <f>IFERROR(VLOOKUP(F472,Back!C:F,4,0),"NO")</f>
        <v>NO</v>
      </c>
      <c r="O472" s="26">
        <v>25</v>
      </c>
      <c r="P472" s="28" t="str">
        <f>IFERROR(VLOOKUP(F472,Back!C:E,3,0),"")</f>
        <v/>
      </c>
      <c r="Q472" s="28" t="str">
        <f>IFERROR(VLOOKUP(P472,Back!M:N,2,0),"")</f>
        <v/>
      </c>
      <c r="R472" s="27" t="str">
        <f>IF(N472="Si",IFERROR(VLOOKUP(F472,'TD Cumpl'!B:AB,27,0),"No Aplica"),"No Aplica")</f>
        <v>No Aplica</v>
      </c>
      <c r="S472" s="38">
        <v>57</v>
      </c>
      <c r="T472" s="36">
        <v>5391599</v>
      </c>
      <c r="U472" s="26">
        <v>114</v>
      </c>
      <c r="V472" s="37">
        <v>12442350</v>
      </c>
      <c r="W472" s="19">
        <v>107</v>
      </c>
      <c r="X472" s="37">
        <v>8209200</v>
      </c>
      <c r="Y472" s="46">
        <f t="shared" si="15"/>
        <v>5820047</v>
      </c>
    </row>
    <row r="473" spans="1:25" x14ac:dyDescent="0.25">
      <c r="A473" s="20">
        <f>+VLOOKUP(D473,Back!Q:R,2,0)</f>
        <v>1</v>
      </c>
      <c r="B473" s="20" t="str">
        <f t="shared" si="16"/>
        <v>2017 ENE</v>
      </c>
      <c r="C473" s="20">
        <v>2017</v>
      </c>
      <c r="D473" s="21" t="s">
        <v>122</v>
      </c>
      <c r="E473" s="21" t="s">
        <v>15</v>
      </c>
      <c r="F473" s="21">
        <v>42689970</v>
      </c>
      <c r="G473" s="21" t="s">
        <v>29</v>
      </c>
      <c r="H473" s="22">
        <v>17325601</v>
      </c>
      <c r="I473" s="22">
        <v>420000</v>
      </c>
      <c r="J473" s="22">
        <v>4167500</v>
      </c>
      <c r="K473" s="23">
        <v>12738101</v>
      </c>
      <c r="L473" s="23">
        <v>12040000</v>
      </c>
      <c r="M473" s="24">
        <v>1.0579818106312293</v>
      </c>
      <c r="N473" s="209" t="str">
        <f>IFERROR(VLOOKUP(F473,Back!C:F,4,0),"NO")</f>
        <v>NO</v>
      </c>
      <c r="O473" s="26">
        <v>25</v>
      </c>
      <c r="P473" s="28" t="str">
        <f>IFERROR(VLOOKUP(F473,Back!C:E,3,0),"")</f>
        <v/>
      </c>
      <c r="Q473" s="28" t="str">
        <f>IFERROR(VLOOKUP(P473,Back!M:N,2,0),"")</f>
        <v/>
      </c>
      <c r="R473" s="27" t="str">
        <f>IF(N473="Si",IFERROR(VLOOKUP(F473,'TD Cumpl'!B:AB,27,0),"No Aplica"),"No Aplica")</f>
        <v>No Aplica</v>
      </c>
      <c r="S473" s="38">
        <v>30</v>
      </c>
      <c r="T473" s="36">
        <v>2749326</v>
      </c>
      <c r="U473" s="26">
        <v>76</v>
      </c>
      <c r="V473" s="37">
        <v>7824662</v>
      </c>
      <c r="W473" s="19">
        <v>46</v>
      </c>
      <c r="X473" s="37">
        <v>4167500</v>
      </c>
      <c r="Y473" s="46">
        <f t="shared" si="15"/>
        <v>2584113</v>
      </c>
    </row>
    <row r="474" spans="1:25" x14ac:dyDescent="0.25">
      <c r="A474" s="20">
        <f>+VLOOKUP(D474,Back!Q:R,2,0)</f>
        <v>1</v>
      </c>
      <c r="B474" s="20" t="str">
        <f t="shared" si="16"/>
        <v>2017 ENE</v>
      </c>
      <c r="C474" s="20">
        <v>2017</v>
      </c>
      <c r="D474" s="21" t="s">
        <v>122</v>
      </c>
      <c r="E474" s="21" t="s">
        <v>23</v>
      </c>
      <c r="F474" s="21">
        <v>43907427</v>
      </c>
      <c r="G474" s="21" t="s">
        <v>144</v>
      </c>
      <c r="H474" s="22">
        <v>31257255</v>
      </c>
      <c r="I474" s="22">
        <v>649260</v>
      </c>
      <c r="J474" s="22">
        <v>3200500</v>
      </c>
      <c r="K474" s="23">
        <v>27407495</v>
      </c>
      <c r="L474" s="23">
        <v>36000000</v>
      </c>
      <c r="M474" s="24">
        <v>0.7613193055555556</v>
      </c>
      <c r="N474" s="209" t="str">
        <f>IFERROR(VLOOKUP(F474,Back!C:F,4,0),"NO")</f>
        <v>Si</v>
      </c>
      <c r="O474" s="26">
        <v>25</v>
      </c>
      <c r="P474" s="28" t="str">
        <f>IFERROR(VLOOKUP(F474,Back!C:E,3,0),"")</f>
        <v>IPS Pto De Vista Industriales</v>
      </c>
      <c r="Q474" s="28" t="str">
        <f>IFERROR(VLOOKUP(P474,Back!M:N,2,0),"")</f>
        <v>Antioquia</v>
      </c>
      <c r="R474" s="27" t="str">
        <f>IF(N474="Si",IFERROR(VLOOKUP(F474,'TD Cumpl'!B:AB,27,0),"No Aplica"),"No Aplica")</f>
        <v>Siempre Cumple</v>
      </c>
      <c r="S474" s="38">
        <v>33</v>
      </c>
      <c r="T474" s="36">
        <v>5401402</v>
      </c>
      <c r="U474" s="26">
        <v>120</v>
      </c>
      <c r="V474" s="37">
        <v>17701020</v>
      </c>
      <c r="W474" s="19">
        <v>41</v>
      </c>
      <c r="X474" s="37">
        <v>3200500</v>
      </c>
      <c r="Y474" s="46">
        <f t="shared" si="15"/>
        <v>4954333</v>
      </c>
    </row>
    <row r="475" spans="1:25" x14ac:dyDescent="0.25">
      <c r="A475" s="20">
        <f>+VLOOKUP(D475,Back!Q:R,2,0)</f>
        <v>1</v>
      </c>
      <c r="B475" s="20" t="str">
        <f t="shared" si="16"/>
        <v>2017 ENE</v>
      </c>
      <c r="C475" s="20">
        <v>2017</v>
      </c>
      <c r="D475" s="21" t="s">
        <v>122</v>
      </c>
      <c r="E475" s="21" t="s">
        <v>12</v>
      </c>
      <c r="F475" s="21">
        <v>91511871</v>
      </c>
      <c r="G475" s="21" t="s">
        <v>49</v>
      </c>
      <c r="H475" s="22">
        <v>42050578</v>
      </c>
      <c r="I475" s="22">
        <v>681400</v>
      </c>
      <c r="J475" s="22">
        <v>12134200</v>
      </c>
      <c r="K475" s="23">
        <v>29234978</v>
      </c>
      <c r="L475" s="23">
        <v>29000000</v>
      </c>
      <c r="M475" s="24">
        <v>1.0081026896551724</v>
      </c>
      <c r="N475" s="209" t="str">
        <f>IFERROR(VLOOKUP(F475,Back!C:F,4,0),"NO")</f>
        <v>NO</v>
      </c>
      <c r="O475" s="26">
        <v>25</v>
      </c>
      <c r="P475" s="28" t="str">
        <f>IFERROR(VLOOKUP(F475,Back!C:E,3,0),"")</f>
        <v/>
      </c>
      <c r="Q475" s="28" t="str">
        <f>IFERROR(VLOOKUP(P475,Back!M:N,2,0),"")</f>
        <v/>
      </c>
      <c r="R475" s="27" t="str">
        <f>IF(N475="Si",IFERROR(VLOOKUP(F475,'TD Cumpl'!B:AB,27,0),"No Aplica"),"No Aplica")</f>
        <v>No Aplica</v>
      </c>
      <c r="S475" s="38">
        <v>99</v>
      </c>
      <c r="T475" s="36">
        <v>6917296</v>
      </c>
      <c r="U475" s="26">
        <v>254</v>
      </c>
      <c r="V475" s="37">
        <v>18955360</v>
      </c>
      <c r="W475" s="19">
        <v>145</v>
      </c>
      <c r="X475" s="37">
        <v>12134200</v>
      </c>
      <c r="Y475" s="46">
        <f t="shared" si="15"/>
        <v>4043722</v>
      </c>
    </row>
    <row r="476" spans="1:25" x14ac:dyDescent="0.25">
      <c r="A476" s="20">
        <f>+VLOOKUP(D476,Back!Q:R,2,0)</f>
        <v>1</v>
      </c>
      <c r="B476" s="20" t="str">
        <f t="shared" si="16"/>
        <v>2017 ENE</v>
      </c>
      <c r="C476" s="20">
        <v>2017</v>
      </c>
      <c r="D476" s="21" t="s">
        <v>122</v>
      </c>
      <c r="E476" s="21" t="s">
        <v>62</v>
      </c>
      <c r="F476" s="21">
        <v>32256379</v>
      </c>
      <c r="G476" s="21"/>
      <c r="H476" s="22">
        <v>6839768</v>
      </c>
      <c r="I476" s="22">
        <v>0</v>
      </c>
      <c r="J476" s="22">
        <v>3665400</v>
      </c>
      <c r="K476" s="23">
        <v>3174368</v>
      </c>
      <c r="L476" s="23"/>
      <c r="M476" s="24"/>
      <c r="N476" s="209" t="str">
        <f>IFERROR(VLOOKUP(F476,Back!C:F,4,0),"NO")</f>
        <v>Si</v>
      </c>
      <c r="O476" s="26">
        <v>25</v>
      </c>
      <c r="P476" s="28" t="str">
        <f>IFERROR(VLOOKUP(F476,Back!C:E,3,0),"")</f>
        <v>Ferias Empresariales Antioquia</v>
      </c>
      <c r="Q476" s="28" t="str">
        <f>IFERROR(VLOOKUP(P476,Back!M:N,2,0),"")</f>
        <v>Antioquia</v>
      </c>
      <c r="R476" s="27" t="str">
        <f>IF(N476="Si",IFERROR(VLOOKUP(F476,'TD Cumpl'!B:AB,27,0),"No Aplica"),"No Aplica")</f>
        <v>Fluctúa</v>
      </c>
      <c r="S476" s="38">
        <v>2</v>
      </c>
      <c r="T476" s="36">
        <v>208616</v>
      </c>
      <c r="U476" s="26">
        <v>18</v>
      </c>
      <c r="V476" s="37">
        <v>2000460</v>
      </c>
      <c r="W476" s="19">
        <v>47</v>
      </c>
      <c r="X476" s="37">
        <v>3665400</v>
      </c>
      <c r="Y476" s="46">
        <f t="shared" si="15"/>
        <v>965292</v>
      </c>
    </row>
    <row r="477" spans="1:25" x14ac:dyDescent="0.25">
      <c r="A477" s="20">
        <f>+VLOOKUP(D477,Back!Q:R,2,0)</f>
        <v>1</v>
      </c>
      <c r="B477" s="20" t="str">
        <f t="shared" si="16"/>
        <v>2017 ENE</v>
      </c>
      <c r="C477" s="20">
        <v>2017</v>
      </c>
      <c r="D477" s="21" t="s">
        <v>122</v>
      </c>
      <c r="E477" s="21" t="s">
        <v>4</v>
      </c>
      <c r="F477" s="21">
        <v>79701425</v>
      </c>
      <c r="G477" s="21" t="s">
        <v>27</v>
      </c>
      <c r="H477" s="22">
        <v>21099930</v>
      </c>
      <c r="I477" s="22">
        <v>748800</v>
      </c>
      <c r="J477" s="22">
        <v>4275100</v>
      </c>
      <c r="K477" s="23">
        <v>16076030</v>
      </c>
      <c r="L477" s="23">
        <v>20000000</v>
      </c>
      <c r="M477" s="24">
        <v>0.80380149999999995</v>
      </c>
      <c r="N477" s="209" t="str">
        <f>IFERROR(VLOOKUP(F477,Back!C:F,4,0),"NO")</f>
        <v>No</v>
      </c>
      <c r="O477" s="26">
        <v>25</v>
      </c>
      <c r="P477" s="28" t="str">
        <f>IFERROR(VLOOKUP(F477,Back!C:E,3,0),"")</f>
        <v>IPS Pto De Vista Olaya</v>
      </c>
      <c r="Q477" s="28" t="str">
        <f>IFERROR(VLOOKUP(P477,Back!M:N,2,0),"")</f>
        <v>Centro</v>
      </c>
      <c r="R477" s="27" t="str">
        <f>IF(N477="Si",IFERROR(VLOOKUP(F477,'TD Cumpl'!B:AB,27,0),"No Aplica"),"No Aplica")</f>
        <v>No Aplica</v>
      </c>
      <c r="S477" s="38">
        <v>39</v>
      </c>
      <c r="T477" s="36">
        <v>3354966</v>
      </c>
      <c r="U477" s="26">
        <v>118</v>
      </c>
      <c r="V477" s="37">
        <v>10944450</v>
      </c>
      <c r="W477" s="19">
        <v>74</v>
      </c>
      <c r="X477" s="37">
        <v>4275100</v>
      </c>
      <c r="Y477" s="46">
        <f t="shared" si="15"/>
        <v>2525414</v>
      </c>
    </row>
    <row r="478" spans="1:25" x14ac:dyDescent="0.25">
      <c r="A478" s="20">
        <f>+VLOOKUP(D478,Back!Q:R,2,0)</f>
        <v>1</v>
      </c>
      <c r="B478" s="20" t="str">
        <f t="shared" si="16"/>
        <v>2017 ENE</v>
      </c>
      <c r="C478" s="20">
        <v>2017</v>
      </c>
      <c r="D478" s="21" t="s">
        <v>122</v>
      </c>
      <c r="E478" s="21" t="s">
        <v>5</v>
      </c>
      <c r="F478" s="21">
        <v>34542470</v>
      </c>
      <c r="G478" s="21" t="s">
        <v>28</v>
      </c>
      <c r="H478" s="22">
        <v>17393581</v>
      </c>
      <c r="I478" s="22">
        <v>198000</v>
      </c>
      <c r="J478" s="22">
        <v>3228700</v>
      </c>
      <c r="K478" s="23">
        <v>13966881</v>
      </c>
      <c r="L478" s="23">
        <v>25000000</v>
      </c>
      <c r="M478" s="24">
        <v>0.55867524000000002</v>
      </c>
      <c r="N478" s="209" t="str">
        <f>IFERROR(VLOOKUP(F478,Back!C:F,4,0),"NO")</f>
        <v>Si</v>
      </c>
      <c r="O478" s="26">
        <v>25</v>
      </c>
      <c r="P478" s="28" t="str">
        <f>IFERROR(VLOOKUP(F478,Back!C:E,3,0),"")</f>
        <v>Optica Salud Sura Chipichape</v>
      </c>
      <c r="Q478" s="28" t="str">
        <f>IFERROR(VLOOKUP(P478,Back!M:N,2,0),"")</f>
        <v>Occidente</v>
      </c>
      <c r="R478" s="27" t="str">
        <f>IF(N478="Si",IFERROR(VLOOKUP(F478,'TD Cumpl'!B:AB,27,0),"No Aplica"),"No Aplica")</f>
        <v>Siempre Cumple</v>
      </c>
      <c r="S478" s="38">
        <v>33</v>
      </c>
      <c r="T478" s="36">
        <v>3769507</v>
      </c>
      <c r="U478" s="26">
        <v>90</v>
      </c>
      <c r="V478" s="37">
        <v>6654450</v>
      </c>
      <c r="W478" s="19">
        <v>39</v>
      </c>
      <c r="X478" s="37">
        <v>3228700</v>
      </c>
      <c r="Y478" s="46">
        <f t="shared" si="15"/>
        <v>3740924</v>
      </c>
    </row>
    <row r="479" spans="1:25" x14ac:dyDescent="0.25">
      <c r="A479" s="20">
        <f>+VLOOKUP(D479,Back!Q:R,2,0)</f>
        <v>1</v>
      </c>
      <c r="B479" s="20" t="str">
        <f t="shared" si="16"/>
        <v>2017 ENE</v>
      </c>
      <c r="C479" s="20">
        <v>2017</v>
      </c>
      <c r="D479" s="21" t="s">
        <v>122</v>
      </c>
      <c r="E479" s="21" t="s">
        <v>7</v>
      </c>
      <c r="F479" s="21">
        <v>43745952</v>
      </c>
      <c r="G479" s="21" t="s">
        <v>50</v>
      </c>
      <c r="H479" s="22">
        <v>79796185</v>
      </c>
      <c r="I479" s="22">
        <v>3147200</v>
      </c>
      <c r="J479" s="22">
        <v>15630100</v>
      </c>
      <c r="K479" s="23">
        <v>61018885</v>
      </c>
      <c r="L479" s="23">
        <v>43000000</v>
      </c>
      <c r="M479" s="24">
        <v>1.4190438372093024</v>
      </c>
      <c r="N479" s="209" t="str">
        <f>IFERROR(VLOOKUP(F479,Back!C:F,4,0),"NO")</f>
        <v>Si</v>
      </c>
      <c r="O479" s="26">
        <v>25</v>
      </c>
      <c r="P479" s="28" t="str">
        <f>IFERROR(VLOOKUP(F479,Back!C:E,3,0),"")</f>
        <v>IPS Pto De Vista Unicentro</v>
      </c>
      <c r="Q479" s="28" t="str">
        <f>IFERROR(VLOOKUP(P479,Back!M:N,2,0),"")</f>
        <v>Antioquia</v>
      </c>
      <c r="R479" s="27" t="str">
        <f>IF(N479="Si",IFERROR(VLOOKUP(F479,'TD Cumpl'!B:AB,27,0),"No Aplica"),"No Aplica")</f>
        <v>Siempre Cumple</v>
      </c>
      <c r="S479" s="38">
        <v>139</v>
      </c>
      <c r="T479" s="36">
        <v>13484738</v>
      </c>
      <c r="U479" s="26">
        <v>316</v>
      </c>
      <c r="V479" s="37">
        <v>36827380</v>
      </c>
      <c r="W479" s="19">
        <v>187</v>
      </c>
      <c r="X479" s="37">
        <v>15630100</v>
      </c>
      <c r="Y479" s="46">
        <f t="shared" si="15"/>
        <v>13853967</v>
      </c>
    </row>
    <row r="480" spans="1:25" x14ac:dyDescent="0.25">
      <c r="A480" s="20">
        <f>+VLOOKUP(D480,Back!Q:R,2,0)</f>
        <v>1</v>
      </c>
      <c r="B480" s="20" t="str">
        <f t="shared" si="16"/>
        <v>2017 ENE</v>
      </c>
      <c r="C480" s="20">
        <v>2017</v>
      </c>
      <c r="D480" s="21" t="s">
        <v>122</v>
      </c>
      <c r="E480" s="21" t="s">
        <v>8</v>
      </c>
      <c r="F480" s="21">
        <v>43259130</v>
      </c>
      <c r="G480" s="21" t="s">
        <v>51</v>
      </c>
      <c r="H480" s="22">
        <v>50021159</v>
      </c>
      <c r="I480" s="22">
        <v>2877000</v>
      </c>
      <c r="J480" s="22">
        <v>10864000</v>
      </c>
      <c r="K480" s="23">
        <v>36280159</v>
      </c>
      <c r="L480" s="23">
        <v>43000000</v>
      </c>
      <c r="M480" s="24">
        <v>0.84372462790697678</v>
      </c>
      <c r="N480" s="209" t="str">
        <f>IFERROR(VLOOKUP(F480,Back!C:F,4,0),"NO")</f>
        <v>Si</v>
      </c>
      <c r="O480" s="26">
        <v>25</v>
      </c>
      <c r="P480" s="28" t="str">
        <f>IFERROR(VLOOKUP(F480,Back!C:E,3,0),"")</f>
        <v>IPS Pto De Vista Molinos</v>
      </c>
      <c r="Q480" s="28" t="str">
        <f>IFERROR(VLOOKUP(P480,Back!M:N,2,0),"")</f>
        <v>Antioquia</v>
      </c>
      <c r="R480" s="27" t="str">
        <f>IF(N480="Si",IFERROR(VLOOKUP(F480,'TD Cumpl'!B:AB,27,0),"No Aplica"),"No Aplica")</f>
        <v>Fluctúa</v>
      </c>
      <c r="S480" s="38">
        <v>89</v>
      </c>
      <c r="T480" s="36">
        <v>7090276</v>
      </c>
      <c r="U480" s="26">
        <v>230</v>
      </c>
      <c r="V480" s="37">
        <v>22865460</v>
      </c>
      <c r="W480" s="19">
        <v>126</v>
      </c>
      <c r="X480" s="37">
        <v>10864000</v>
      </c>
      <c r="Y480" s="46">
        <f t="shared" si="15"/>
        <v>9201423</v>
      </c>
    </row>
    <row r="481" spans="1:25" x14ac:dyDescent="0.25">
      <c r="A481" s="20">
        <f>+VLOOKUP(D481,Back!Q:R,2,0)</f>
        <v>1</v>
      </c>
      <c r="B481" s="20" t="str">
        <f t="shared" si="16"/>
        <v>2017 ENE</v>
      </c>
      <c r="C481" s="20">
        <v>2017</v>
      </c>
      <c r="D481" s="21" t="s">
        <v>122</v>
      </c>
      <c r="E481" s="21" t="s">
        <v>79</v>
      </c>
      <c r="F481" s="21">
        <v>1030611855</v>
      </c>
      <c r="G481" s="21"/>
      <c r="H481" s="22">
        <v>286183</v>
      </c>
      <c r="I481" s="22">
        <v>0</v>
      </c>
      <c r="J481" s="22">
        <v>159700</v>
      </c>
      <c r="K481" s="23">
        <v>126483</v>
      </c>
      <c r="L481" s="23"/>
      <c r="M481" s="24"/>
      <c r="N481" s="209" t="str">
        <f>IFERROR(VLOOKUP(F481,Back!C:F,4,0),"NO")</f>
        <v>NO</v>
      </c>
      <c r="O481" s="26">
        <v>25</v>
      </c>
      <c r="P481" s="28" t="str">
        <f>IFERROR(VLOOKUP(F481,Back!C:E,3,0),"")</f>
        <v/>
      </c>
      <c r="Q481" s="28" t="str">
        <f>IFERROR(VLOOKUP(P481,Back!M:N,2,0),"")</f>
        <v/>
      </c>
      <c r="R481" s="27" t="str">
        <f>IF(N481="Si",IFERROR(VLOOKUP(F481,'TD Cumpl'!B:AB,27,0),"No Aplica"),"No Aplica")</f>
        <v>No Aplica</v>
      </c>
      <c r="S481" s="38">
        <v>1</v>
      </c>
      <c r="T481" s="36">
        <v>46163</v>
      </c>
      <c r="U481" s="26">
        <v>2</v>
      </c>
      <c r="V481" s="37">
        <v>80320</v>
      </c>
      <c r="W481" s="19">
        <v>1</v>
      </c>
      <c r="X481" s="37">
        <v>159700</v>
      </c>
      <c r="Y481" s="46">
        <f t="shared" si="15"/>
        <v>0</v>
      </c>
    </row>
    <row r="482" spans="1:25" x14ac:dyDescent="0.25">
      <c r="A482" s="20">
        <f>+VLOOKUP(D482,Back!Q:R,2,0)</f>
        <v>1</v>
      </c>
      <c r="B482" s="20" t="str">
        <f t="shared" si="16"/>
        <v>2017 ENE</v>
      </c>
      <c r="C482" s="20">
        <v>2017</v>
      </c>
      <c r="D482" s="21" t="s">
        <v>122</v>
      </c>
      <c r="E482" s="21" t="s">
        <v>57</v>
      </c>
      <c r="F482" s="21">
        <v>43874518</v>
      </c>
      <c r="G482" s="21" t="s">
        <v>60</v>
      </c>
      <c r="H482" s="22">
        <v>40738450</v>
      </c>
      <c r="I482" s="22">
        <v>681400</v>
      </c>
      <c r="J482" s="22">
        <v>12358500</v>
      </c>
      <c r="K482" s="23">
        <v>27698550</v>
      </c>
      <c r="L482" s="23">
        <v>43000000</v>
      </c>
      <c r="M482" s="24">
        <v>0.64415232558139535</v>
      </c>
      <c r="N482" s="209" t="str">
        <f>IFERROR(VLOOKUP(F482,Back!C:F,4,0),"NO")</f>
        <v>Si</v>
      </c>
      <c r="O482" s="26">
        <v>25</v>
      </c>
      <c r="P482" s="28" t="str">
        <f>IFERROR(VLOOKUP(F482,Back!C:E,3,0),"")</f>
        <v>IPS Pto De Vista Punto Clave</v>
      </c>
      <c r="Q482" s="28" t="str">
        <f>IFERROR(VLOOKUP(P482,Back!M:N,2,0),"")</f>
        <v>Antioquia</v>
      </c>
      <c r="R482" s="27" t="str">
        <f>IF(N482="Si",IFERROR(VLOOKUP(F482,'TD Cumpl'!B:AB,27,0),"No Aplica"),"No Aplica")</f>
        <v>Fluctúa</v>
      </c>
      <c r="S482" s="38">
        <v>84</v>
      </c>
      <c r="T482" s="36">
        <v>6420695</v>
      </c>
      <c r="U482" s="26">
        <v>188</v>
      </c>
      <c r="V482" s="37">
        <v>16003822</v>
      </c>
      <c r="W482" s="19">
        <v>146</v>
      </c>
      <c r="X482" s="37">
        <v>12358500</v>
      </c>
      <c r="Y482" s="46">
        <f t="shared" si="15"/>
        <v>5955433</v>
      </c>
    </row>
    <row r="483" spans="1:25" x14ac:dyDescent="0.25">
      <c r="A483" s="20">
        <f>+VLOOKUP(D483,Back!Q:R,2,0)</f>
        <v>1</v>
      </c>
      <c r="B483" s="20" t="str">
        <f t="shared" si="16"/>
        <v>2017 ENE</v>
      </c>
      <c r="C483" s="20">
        <v>2017</v>
      </c>
      <c r="D483" s="21" t="s">
        <v>122</v>
      </c>
      <c r="E483" s="21" t="s">
        <v>19</v>
      </c>
      <c r="F483" s="21"/>
      <c r="G483" s="21"/>
      <c r="H483" s="22">
        <v>125500</v>
      </c>
      <c r="I483" s="22">
        <v>0</v>
      </c>
      <c r="J483" s="22">
        <v>125500</v>
      </c>
      <c r="K483" s="23">
        <v>0</v>
      </c>
      <c r="L483" s="23"/>
      <c r="M483" s="24"/>
      <c r="N483" s="209" t="str">
        <f>IFERROR(VLOOKUP(F483,Back!C:F,4,0),"NO")</f>
        <v>NO</v>
      </c>
      <c r="O483" s="26">
        <v>25</v>
      </c>
      <c r="P483" s="28" t="str">
        <f>IFERROR(VLOOKUP(F483,Back!C:E,3,0),"")</f>
        <v/>
      </c>
      <c r="Q483" s="28" t="str">
        <f>IFERROR(VLOOKUP(P483,Back!M:N,2,0),"")</f>
        <v/>
      </c>
      <c r="R483" s="27" t="str">
        <f>IF(N483="Si",IFERROR(VLOOKUP(F483,'TD Cumpl'!B:AB,27,0),"No Aplica"),"No Aplica")</f>
        <v>No Aplica</v>
      </c>
      <c r="S483" s="38">
        <v>0</v>
      </c>
      <c r="T483" s="36">
        <v>0</v>
      </c>
      <c r="U483" s="26">
        <v>0</v>
      </c>
      <c r="V483" s="37">
        <v>0</v>
      </c>
      <c r="W483" s="19">
        <v>1</v>
      </c>
      <c r="X483" s="37">
        <v>125500</v>
      </c>
      <c r="Y483" s="46">
        <f t="shared" si="15"/>
        <v>0</v>
      </c>
    </row>
    <row r="484" spans="1:25" x14ac:dyDescent="0.25">
      <c r="A484" s="20">
        <f>+VLOOKUP(D484,Back!Q:R,2,0)</f>
        <v>1</v>
      </c>
      <c r="B484" s="20" t="str">
        <f t="shared" si="16"/>
        <v>2017 ENE</v>
      </c>
      <c r="C484" s="20">
        <v>2017</v>
      </c>
      <c r="D484" s="21" t="s">
        <v>122</v>
      </c>
      <c r="E484" s="21" t="s">
        <v>84</v>
      </c>
      <c r="F484" s="21">
        <v>1020736461</v>
      </c>
      <c r="G484" s="21" t="s">
        <v>156</v>
      </c>
      <c r="H484" s="22">
        <v>32721519</v>
      </c>
      <c r="I484" s="22">
        <v>408000</v>
      </c>
      <c r="J484" s="22">
        <v>6569600</v>
      </c>
      <c r="K484" s="23">
        <v>25743919</v>
      </c>
      <c r="L484" s="23">
        <v>20240000</v>
      </c>
      <c r="M484" s="24">
        <v>1.271932756916996</v>
      </c>
      <c r="N484" s="209" t="str">
        <f>IFERROR(VLOOKUP(F484,Back!C:F,4,0),"NO")</f>
        <v>Si</v>
      </c>
      <c r="O484" s="26">
        <v>25</v>
      </c>
      <c r="P484" s="28" t="str">
        <f>IFERROR(VLOOKUP(F484,Back!C:E,3,0),"")</f>
        <v>IPS Pto De Vista Santa Bárbara</v>
      </c>
      <c r="Q484" s="28" t="str">
        <f>IFERROR(VLOOKUP(P484,Back!M:N,2,0),"")</f>
        <v>Centro</v>
      </c>
      <c r="R484" s="27" t="str">
        <f>IF(N484="Si",IFERROR(VLOOKUP(F484,'TD Cumpl'!B:AB,27,0),"No Aplica"),"No Aplica")</f>
        <v>Siempre Cumple</v>
      </c>
      <c r="S484" s="38">
        <v>56</v>
      </c>
      <c r="T484" s="36">
        <v>5083138</v>
      </c>
      <c r="U484" s="26">
        <v>188</v>
      </c>
      <c r="V484" s="37">
        <v>18701980</v>
      </c>
      <c r="W484" s="19">
        <v>109</v>
      </c>
      <c r="X484" s="37">
        <v>6569600</v>
      </c>
      <c r="Y484" s="46">
        <f t="shared" si="15"/>
        <v>2366801</v>
      </c>
    </row>
    <row r="485" spans="1:25" x14ac:dyDescent="0.25">
      <c r="A485" s="20">
        <f>+VLOOKUP(D485,Back!Q:R,2,0)</f>
        <v>1</v>
      </c>
      <c r="B485" s="20" t="str">
        <f t="shared" si="16"/>
        <v>2017 ENE</v>
      </c>
      <c r="C485" s="20">
        <v>2017</v>
      </c>
      <c r="D485" s="21" t="s">
        <v>122</v>
      </c>
      <c r="E485" s="21" t="s">
        <v>81</v>
      </c>
      <c r="F485" s="21">
        <v>1017200970</v>
      </c>
      <c r="G485" s="21" t="s">
        <v>82</v>
      </c>
      <c r="H485" s="22">
        <v>33276050</v>
      </c>
      <c r="I485" s="22">
        <v>1850100</v>
      </c>
      <c r="J485" s="22">
        <v>9665800</v>
      </c>
      <c r="K485" s="23">
        <v>21760150</v>
      </c>
      <c r="L485" s="23">
        <v>43000000</v>
      </c>
      <c r="M485" s="24">
        <v>0.50605</v>
      </c>
      <c r="N485" s="209" t="str">
        <f>IFERROR(VLOOKUP(F485,Back!C:F,4,0),"NO")</f>
        <v>Si</v>
      </c>
      <c r="O485" s="26">
        <v>25</v>
      </c>
      <c r="P485" s="28" t="str">
        <f>IFERROR(VLOOKUP(F485,Back!C:E,3,0),"")</f>
        <v>IPS Pto De Vista San Diego</v>
      </c>
      <c r="Q485" s="28" t="str">
        <f>IFERROR(VLOOKUP(P485,Back!M:N,2,0),"")</f>
        <v>Antioquia</v>
      </c>
      <c r="R485" s="27" t="str">
        <f>IF(N485="Si",IFERROR(VLOOKUP(F485,'TD Cumpl'!B:AB,27,0),"No Aplica"),"No Aplica")</f>
        <v>Cumple</v>
      </c>
      <c r="S485" s="38">
        <v>60</v>
      </c>
      <c r="T485" s="36">
        <v>5118754</v>
      </c>
      <c r="U485" s="26">
        <v>106</v>
      </c>
      <c r="V485" s="37">
        <v>9468480</v>
      </c>
      <c r="W485" s="19">
        <v>121</v>
      </c>
      <c r="X485" s="37">
        <v>9665800</v>
      </c>
      <c r="Y485" s="46">
        <f t="shared" si="15"/>
        <v>9023016</v>
      </c>
    </row>
    <row r="486" spans="1:25" x14ac:dyDescent="0.25">
      <c r="A486" s="20">
        <f>+VLOOKUP(D486,Back!Q:R,2,0)</f>
        <v>1</v>
      </c>
      <c r="B486" s="20" t="str">
        <f t="shared" si="16"/>
        <v>2017 ENE</v>
      </c>
      <c r="C486" s="20">
        <v>2017</v>
      </c>
      <c r="D486" s="21" t="s">
        <v>122</v>
      </c>
      <c r="E486" s="21" t="s">
        <v>72</v>
      </c>
      <c r="F486" s="21">
        <v>43636530</v>
      </c>
      <c r="G486" s="21" t="s">
        <v>483</v>
      </c>
      <c r="H486" s="22">
        <v>54945610</v>
      </c>
      <c r="I486" s="22">
        <v>1656000</v>
      </c>
      <c r="J486" s="22">
        <v>12769500</v>
      </c>
      <c r="K486" s="23">
        <v>40520110</v>
      </c>
      <c r="L486" s="23">
        <v>41000000</v>
      </c>
      <c r="M486" s="24">
        <v>0.98829536585365851</v>
      </c>
      <c r="N486" s="209" t="str">
        <f>IFERROR(VLOOKUP(F486,Back!C:F,4,0),"NO")</f>
        <v>NO</v>
      </c>
      <c r="O486" s="26">
        <v>25</v>
      </c>
      <c r="P486" s="28" t="str">
        <f>IFERROR(VLOOKUP(F486,Back!C:E,3,0),"")</f>
        <v/>
      </c>
      <c r="Q486" s="28" t="str">
        <f>IFERROR(VLOOKUP(P486,Back!M:N,2,0),"")</f>
        <v/>
      </c>
      <c r="R486" s="27" t="str">
        <f>IF(N486="Si",IFERROR(VLOOKUP(F486,'TD Cumpl'!B:AB,27,0),"No Aplica"),"No Aplica")</f>
        <v>No Aplica</v>
      </c>
      <c r="S486" s="38">
        <v>100</v>
      </c>
      <c r="T486" s="36">
        <v>8442151</v>
      </c>
      <c r="U486" s="26">
        <v>271</v>
      </c>
      <c r="V486" s="37">
        <v>26190060</v>
      </c>
      <c r="W486" s="19">
        <v>154</v>
      </c>
      <c r="X486" s="37">
        <v>12769500</v>
      </c>
      <c r="Y486" s="46">
        <f t="shared" si="15"/>
        <v>7543899</v>
      </c>
    </row>
    <row r="487" spans="1:25" x14ac:dyDescent="0.25">
      <c r="A487" s="20">
        <f>+VLOOKUP(D487,Back!Q:R,2,0)</f>
        <v>1</v>
      </c>
      <c r="B487" s="20" t="str">
        <f t="shared" si="16"/>
        <v>2017 ENE</v>
      </c>
      <c r="C487" s="20">
        <v>2017</v>
      </c>
      <c r="D487" s="21" t="s">
        <v>122</v>
      </c>
      <c r="E487" s="21" t="s">
        <v>88</v>
      </c>
      <c r="F487" s="21">
        <v>31445278</v>
      </c>
      <c r="G487" s="21" t="s">
        <v>93</v>
      </c>
      <c r="H487" s="22">
        <v>18191397</v>
      </c>
      <c r="I487" s="22">
        <v>0</v>
      </c>
      <c r="J487" s="22">
        <v>6955446</v>
      </c>
      <c r="K487" s="23">
        <v>11235951</v>
      </c>
      <c r="L487" s="23">
        <v>24000000</v>
      </c>
      <c r="M487" s="24">
        <v>0.468164625</v>
      </c>
      <c r="N487" s="209" t="str">
        <f>IFERROR(VLOOKUP(F487,Back!C:F,4,0),"NO")</f>
        <v>Si</v>
      </c>
      <c r="O487" s="26">
        <v>25</v>
      </c>
      <c r="P487" s="28" t="str">
        <f>IFERROR(VLOOKUP(F487,Back!C:E,3,0),"")</f>
        <v>Punto de Vista Tequendama</v>
      </c>
      <c r="Q487" s="28" t="str">
        <f>IFERROR(VLOOKUP(P487,Back!M:N,2,0),"")</f>
        <v>Occidente</v>
      </c>
      <c r="R487" s="27" t="str">
        <f>IF(N487="Si",IFERROR(VLOOKUP(F487,'TD Cumpl'!B:AB,27,0),"No Aplica"),"No Aplica")</f>
        <v>Cumple</v>
      </c>
      <c r="S487" s="38">
        <v>47</v>
      </c>
      <c r="T487" s="36">
        <v>3649208</v>
      </c>
      <c r="U487" s="26">
        <v>130</v>
      </c>
      <c r="V487" s="37">
        <v>6381922</v>
      </c>
      <c r="W487" s="19">
        <v>111</v>
      </c>
      <c r="X487" s="37">
        <v>6955446</v>
      </c>
      <c r="Y487" s="46">
        <f t="shared" si="15"/>
        <v>1204821</v>
      </c>
    </row>
    <row r="488" spans="1:25" x14ac:dyDescent="0.25">
      <c r="A488" s="20">
        <f>+VLOOKUP(D488,Back!Q:R,2,0)</f>
        <v>1</v>
      </c>
      <c r="B488" s="20" t="str">
        <f t="shared" si="16"/>
        <v>2017 ENE</v>
      </c>
      <c r="C488" s="20">
        <v>2017</v>
      </c>
      <c r="D488" s="21" t="s">
        <v>122</v>
      </c>
      <c r="E488" s="21" t="s">
        <v>89</v>
      </c>
      <c r="F488" s="21">
        <v>1144140699</v>
      </c>
      <c r="G488" s="21" t="s">
        <v>94</v>
      </c>
      <c r="H488" s="22">
        <v>16480910</v>
      </c>
      <c r="I488" s="22">
        <v>0</v>
      </c>
      <c r="J488" s="22">
        <v>6686000</v>
      </c>
      <c r="K488" s="23">
        <v>9794910</v>
      </c>
      <c r="L488" s="23">
        <v>24000000</v>
      </c>
      <c r="M488" s="24">
        <v>0.40812124999999999</v>
      </c>
      <c r="N488" s="209" t="str">
        <f>IFERROR(VLOOKUP(F488,Back!C:F,4,0),"NO")</f>
        <v>NO</v>
      </c>
      <c r="O488" s="26">
        <v>25</v>
      </c>
      <c r="P488" s="28" t="str">
        <f>IFERROR(VLOOKUP(F488,Back!C:E,3,0),"")</f>
        <v/>
      </c>
      <c r="Q488" s="28" t="str">
        <f>IFERROR(VLOOKUP(P488,Back!M:N,2,0),"")</f>
        <v/>
      </c>
      <c r="R488" s="27" t="str">
        <f>IF(N488="Si",IFERROR(VLOOKUP(F488,'TD Cumpl'!B:AB,27,0),"No Aplica"),"No Aplica")</f>
        <v>No Aplica</v>
      </c>
      <c r="S488" s="38">
        <v>36</v>
      </c>
      <c r="T488" s="36">
        <v>2764525</v>
      </c>
      <c r="U488" s="26">
        <v>108</v>
      </c>
      <c r="V488" s="37">
        <v>6088160</v>
      </c>
      <c r="W488" s="19">
        <v>0</v>
      </c>
      <c r="X488" s="37">
        <v>0</v>
      </c>
      <c r="Y488" s="46">
        <f t="shared" si="15"/>
        <v>7628225</v>
      </c>
    </row>
    <row r="489" spans="1:25" x14ac:dyDescent="0.25">
      <c r="A489" s="20">
        <f>+VLOOKUP(D489,Back!Q:R,2,0)</f>
        <v>1</v>
      </c>
      <c r="B489" s="20" t="str">
        <f t="shared" si="16"/>
        <v>2017 ENE</v>
      </c>
      <c r="C489" s="20">
        <v>2017</v>
      </c>
      <c r="D489" s="21" t="s">
        <v>122</v>
      </c>
      <c r="E489" s="21" t="s">
        <v>91</v>
      </c>
      <c r="F489" s="21">
        <v>43114534</v>
      </c>
      <c r="G489" s="21" t="s">
        <v>95</v>
      </c>
      <c r="H489" s="22">
        <v>22183332</v>
      </c>
      <c r="I489" s="22">
        <v>396000</v>
      </c>
      <c r="J489" s="22">
        <v>3861200</v>
      </c>
      <c r="K489" s="23">
        <v>17926132</v>
      </c>
      <c r="L489" s="23">
        <v>15750400</v>
      </c>
      <c r="M489" s="24">
        <v>1.1381382060138154</v>
      </c>
      <c r="N489" s="209" t="str">
        <f>IFERROR(VLOOKUP(F489,Back!C:F,4,0),"NO")</f>
        <v>No</v>
      </c>
      <c r="O489" s="26">
        <v>25</v>
      </c>
      <c r="P489" s="28" t="str">
        <f>IFERROR(VLOOKUP(F489,Back!C:E,3,0),"")</f>
        <v>IPS Pto De Vista San Diego</v>
      </c>
      <c r="Q489" s="28" t="str">
        <f>IFERROR(VLOOKUP(P489,Back!M:N,2,0),"")</f>
        <v>Antioquia</v>
      </c>
      <c r="R489" s="27" t="str">
        <f>IF(N489="Si",IFERROR(VLOOKUP(F489,'TD Cumpl'!B:AB,27,0),"No Aplica"),"No Aplica")</f>
        <v>No Aplica</v>
      </c>
      <c r="S489" s="38">
        <v>46</v>
      </c>
      <c r="T489" s="36">
        <v>4934981</v>
      </c>
      <c r="U489" s="26">
        <v>100</v>
      </c>
      <c r="V489" s="37">
        <v>9967180</v>
      </c>
      <c r="W489" s="19">
        <v>40</v>
      </c>
      <c r="X489" s="37">
        <v>3861200</v>
      </c>
      <c r="Y489" s="46">
        <f t="shared" si="15"/>
        <v>3419971</v>
      </c>
    </row>
    <row r="490" spans="1:25" x14ac:dyDescent="0.25">
      <c r="A490" s="20">
        <f>+VLOOKUP(D490,Back!Q:R,2,0)</f>
        <v>1</v>
      </c>
      <c r="B490" s="20" t="str">
        <f t="shared" si="16"/>
        <v>2017 ENE</v>
      </c>
      <c r="C490" s="20">
        <v>2017</v>
      </c>
      <c r="D490" s="21" t="s">
        <v>122</v>
      </c>
      <c r="E490" s="21" t="s">
        <v>92</v>
      </c>
      <c r="F490" s="21">
        <v>1017167720</v>
      </c>
      <c r="G490" s="21" t="s">
        <v>96</v>
      </c>
      <c r="H490" s="22">
        <v>26532000</v>
      </c>
      <c r="I490" s="22">
        <v>420000</v>
      </c>
      <c r="J490" s="22">
        <v>5901100</v>
      </c>
      <c r="K490" s="23">
        <v>20210900</v>
      </c>
      <c r="L490" s="23">
        <v>34400000</v>
      </c>
      <c r="M490" s="24">
        <v>0.58752616279069769</v>
      </c>
      <c r="N490" s="209" t="str">
        <f>IFERROR(VLOOKUP(F490,Back!C:F,4,0),"NO")</f>
        <v>Si</v>
      </c>
      <c r="O490" s="26">
        <v>25</v>
      </c>
      <c r="P490" s="28" t="str">
        <f>IFERROR(VLOOKUP(F490,Back!C:E,3,0),"")</f>
        <v>IPS Pto De Vista Punto Clave</v>
      </c>
      <c r="Q490" s="28" t="str">
        <f>IFERROR(VLOOKUP(P490,Back!M:N,2,0),"")</f>
        <v>Antioquia</v>
      </c>
      <c r="R490" s="27" t="str">
        <f>IF(N490="Si",IFERROR(VLOOKUP(F490,'TD Cumpl'!B:AB,27,0),"No Aplica"),"No Aplica")</f>
        <v>Cumple</v>
      </c>
      <c r="S490" s="38">
        <v>46</v>
      </c>
      <c r="T490" s="36">
        <v>3878087</v>
      </c>
      <c r="U490" s="26">
        <v>116</v>
      </c>
      <c r="V490" s="37">
        <v>11164100</v>
      </c>
      <c r="W490" s="19">
        <v>68</v>
      </c>
      <c r="X490" s="37">
        <v>5901100</v>
      </c>
      <c r="Y490" s="46">
        <f t="shared" si="15"/>
        <v>5588713</v>
      </c>
    </row>
    <row r="491" spans="1:25" x14ac:dyDescent="0.25">
      <c r="A491" s="20">
        <f>+VLOOKUP(D491,Back!Q:R,2,0)</f>
        <v>1</v>
      </c>
      <c r="B491" s="20" t="str">
        <f t="shared" si="16"/>
        <v>2017 ENE</v>
      </c>
      <c r="C491" s="20">
        <v>2017</v>
      </c>
      <c r="D491" s="21" t="s">
        <v>122</v>
      </c>
      <c r="E491" s="21" t="s">
        <v>90</v>
      </c>
      <c r="F491" s="21">
        <v>1020419011</v>
      </c>
      <c r="G491" s="21" t="s">
        <v>97</v>
      </c>
      <c r="H491" s="22">
        <v>20309515</v>
      </c>
      <c r="I491" s="22">
        <v>1798700</v>
      </c>
      <c r="J491" s="22">
        <v>5144600</v>
      </c>
      <c r="K491" s="23">
        <v>13366215</v>
      </c>
      <c r="L491" s="23">
        <v>34400000</v>
      </c>
      <c r="M491" s="24">
        <v>0.38855276162790697</v>
      </c>
      <c r="N491" s="209" t="str">
        <f>IFERROR(VLOOKUP(F491,Back!C:F,4,0),"NO")</f>
        <v>Si</v>
      </c>
      <c r="O491" s="26">
        <v>25</v>
      </c>
      <c r="P491" s="28" t="str">
        <f>IFERROR(VLOOKUP(F491,Back!C:E,3,0),"")</f>
        <v>IPS Pto De Vista Punto Clave</v>
      </c>
      <c r="Q491" s="28" t="str">
        <f>IFERROR(VLOOKUP(P491,Back!M:N,2,0),"")</f>
        <v>Antioquia</v>
      </c>
      <c r="R491" s="27" t="str">
        <f>IF(N491="Si",IFERROR(VLOOKUP(F491,'TD Cumpl'!B:AB,27,0),"No Aplica"),"No Aplica")</f>
        <v>Cumple</v>
      </c>
      <c r="S491" s="38">
        <v>42</v>
      </c>
      <c r="T491" s="36">
        <v>3138286</v>
      </c>
      <c r="U491" s="26">
        <v>92</v>
      </c>
      <c r="V491" s="37">
        <v>7869710</v>
      </c>
      <c r="W491" s="19">
        <v>66</v>
      </c>
      <c r="X491" s="37">
        <v>5144600</v>
      </c>
      <c r="Y491" s="46">
        <f t="shared" si="15"/>
        <v>4156919</v>
      </c>
    </row>
    <row r="492" spans="1:25" x14ac:dyDescent="0.25">
      <c r="A492" s="20">
        <f>+VLOOKUP(D492,Back!Q:R,2,0)</f>
        <v>1</v>
      </c>
      <c r="B492" s="20" t="str">
        <f t="shared" si="16"/>
        <v>2017 ENE</v>
      </c>
      <c r="C492" s="20">
        <v>2017</v>
      </c>
      <c r="D492" s="21" t="s">
        <v>122</v>
      </c>
      <c r="E492" s="21" t="s">
        <v>83</v>
      </c>
      <c r="F492" s="21">
        <v>43800272</v>
      </c>
      <c r="G492" s="21" t="s">
        <v>85</v>
      </c>
      <c r="H492" s="22">
        <v>30466493</v>
      </c>
      <c r="I492" s="22">
        <v>804000</v>
      </c>
      <c r="J492" s="22">
        <v>9652900</v>
      </c>
      <c r="K492" s="23">
        <v>20009593</v>
      </c>
      <c r="L492" s="23">
        <v>43000000</v>
      </c>
      <c r="M492" s="24">
        <v>0.46533937209302323</v>
      </c>
      <c r="N492" s="209" t="str">
        <f>IFERROR(VLOOKUP(F492,Back!C:F,4,0),"NO")</f>
        <v>NO</v>
      </c>
      <c r="O492" s="26">
        <v>25</v>
      </c>
      <c r="P492" s="28" t="str">
        <f>IFERROR(VLOOKUP(F492,Back!C:E,3,0),"")</f>
        <v/>
      </c>
      <c r="Q492" s="28" t="str">
        <f>IFERROR(VLOOKUP(P492,Back!M:N,2,0),"")</f>
        <v/>
      </c>
      <c r="R492" s="27" t="str">
        <f>IF(N492="Si",IFERROR(VLOOKUP(F492,'TD Cumpl'!B:AB,27,0),"No Aplica"),"No Aplica")</f>
        <v>No Aplica</v>
      </c>
      <c r="S492" s="38">
        <v>48</v>
      </c>
      <c r="T492" s="36">
        <v>4177415</v>
      </c>
      <c r="U492" s="26">
        <v>135</v>
      </c>
      <c r="V492" s="37">
        <v>12347860</v>
      </c>
      <c r="W492" s="19">
        <v>115</v>
      </c>
      <c r="X492" s="37">
        <v>9652900</v>
      </c>
      <c r="Y492" s="46">
        <f t="shared" si="15"/>
        <v>4288318</v>
      </c>
    </row>
    <row r="493" spans="1:25" x14ac:dyDescent="0.25">
      <c r="A493" s="20">
        <f>+VLOOKUP(D493,Back!Q:R,2,0)</f>
        <v>1</v>
      </c>
      <c r="B493" s="20" t="str">
        <f t="shared" si="16"/>
        <v>2017 ENE</v>
      </c>
      <c r="C493" s="20">
        <v>2017</v>
      </c>
      <c r="D493" s="21" t="s">
        <v>122</v>
      </c>
      <c r="E493" s="21" t="s">
        <v>87</v>
      </c>
      <c r="F493" s="21"/>
      <c r="G493" s="21"/>
      <c r="H493" s="22">
        <v>-795174</v>
      </c>
      <c r="I493" s="22">
        <v>0</v>
      </c>
      <c r="J493" s="22">
        <v>0</v>
      </c>
      <c r="K493" s="23">
        <v>-795174</v>
      </c>
      <c r="L493" s="23"/>
      <c r="M493" s="24"/>
      <c r="N493" s="209" t="str">
        <f>IFERROR(VLOOKUP(F493,Back!C:F,4,0),"NO")</f>
        <v>NO</v>
      </c>
      <c r="O493" s="26">
        <v>25</v>
      </c>
      <c r="P493" s="28" t="str">
        <f>IFERROR(VLOOKUP(F493,Back!C:E,3,0),"")</f>
        <v/>
      </c>
      <c r="Q493" s="28" t="str">
        <f>IFERROR(VLOOKUP(P493,Back!M:N,2,0),"")</f>
        <v/>
      </c>
      <c r="R493" s="27" t="str">
        <f>IF(N493="Si",IFERROR(VLOOKUP(F493,'TD Cumpl'!B:AB,27,0),"No Aplica"),"No Aplica")</f>
        <v>No Aplica</v>
      </c>
      <c r="S493" s="38">
        <v>21</v>
      </c>
      <c r="T493" s="36">
        <v>-127431</v>
      </c>
      <c r="U493" s="26">
        <v>42</v>
      </c>
      <c r="V493" s="37">
        <v>-201847</v>
      </c>
      <c r="W493" s="19">
        <v>0</v>
      </c>
      <c r="X493" s="37">
        <v>0</v>
      </c>
      <c r="Y493" s="46">
        <f t="shared" si="15"/>
        <v>-465896</v>
      </c>
    </row>
    <row r="494" spans="1:25" x14ac:dyDescent="0.25">
      <c r="A494" s="20">
        <f>+VLOOKUP(D494,Back!Q:R,2,0)</f>
        <v>1</v>
      </c>
      <c r="B494" s="20" t="str">
        <f t="shared" si="16"/>
        <v>2017 ENE</v>
      </c>
      <c r="C494" s="20">
        <v>2017</v>
      </c>
      <c r="D494" s="21" t="s">
        <v>122</v>
      </c>
      <c r="E494" s="21" t="s">
        <v>101</v>
      </c>
      <c r="F494" s="21"/>
      <c r="G494" s="21"/>
      <c r="H494" s="22">
        <v>925002</v>
      </c>
      <c r="I494" s="22">
        <v>0</v>
      </c>
      <c r="J494" s="22">
        <v>41000</v>
      </c>
      <c r="K494" s="23">
        <v>884002</v>
      </c>
      <c r="L494" s="23"/>
      <c r="M494" s="24"/>
      <c r="N494" s="209" t="str">
        <f>IFERROR(VLOOKUP(F494,Back!C:F,4,0),"NO")</f>
        <v>NO</v>
      </c>
      <c r="O494" s="26">
        <v>25</v>
      </c>
      <c r="P494" s="28" t="str">
        <f>IFERROR(VLOOKUP(F494,Back!C:E,3,0),"")</f>
        <v/>
      </c>
      <c r="Q494" s="28" t="str">
        <f>IFERROR(VLOOKUP(P494,Back!M:N,2,0),"")</f>
        <v/>
      </c>
      <c r="R494" s="27" t="str">
        <f>IF(N494="Si",IFERROR(VLOOKUP(F494,'TD Cumpl'!B:AB,27,0),"No Aplica"),"No Aplica")</f>
        <v>No Aplica</v>
      </c>
      <c r="S494" s="38">
        <v>2</v>
      </c>
      <c r="T494" s="36">
        <v>74741</v>
      </c>
      <c r="U494" s="26">
        <v>8</v>
      </c>
      <c r="V494" s="37">
        <v>809260</v>
      </c>
      <c r="W494" s="19">
        <v>1</v>
      </c>
      <c r="X494" s="37">
        <v>41000</v>
      </c>
      <c r="Y494" s="46">
        <f t="shared" si="15"/>
        <v>1</v>
      </c>
    </row>
    <row r="495" spans="1:25" x14ac:dyDescent="0.25">
      <c r="A495" s="20">
        <f>+VLOOKUP(D495,Back!Q:R,2,0)</f>
        <v>1</v>
      </c>
      <c r="B495" s="20" t="str">
        <f t="shared" si="16"/>
        <v>2017 ENE</v>
      </c>
      <c r="C495" s="20">
        <v>2017</v>
      </c>
      <c r="D495" s="21" t="s">
        <v>122</v>
      </c>
      <c r="E495" s="21" t="s">
        <v>98</v>
      </c>
      <c r="F495" s="21"/>
      <c r="G495" s="21"/>
      <c r="H495" s="22">
        <v>231900</v>
      </c>
      <c r="I495" s="22">
        <v>0</v>
      </c>
      <c r="J495" s="22">
        <v>0</v>
      </c>
      <c r="K495" s="23">
        <v>231900</v>
      </c>
      <c r="L495" s="23"/>
      <c r="M495" s="24"/>
      <c r="N495" s="209" t="str">
        <f>IFERROR(VLOOKUP(F495,Back!C:F,4,0),"NO")</f>
        <v>NO</v>
      </c>
      <c r="O495" s="26">
        <v>25</v>
      </c>
      <c r="P495" s="28" t="str">
        <f>IFERROR(VLOOKUP(F495,Back!C:E,3,0),"")</f>
        <v/>
      </c>
      <c r="Q495" s="28" t="str">
        <f>IFERROR(VLOOKUP(P495,Back!M:N,2,0),"")</f>
        <v/>
      </c>
      <c r="R495" s="27" t="str">
        <f>IF(N495="Si",IFERROR(VLOOKUP(F495,'TD Cumpl'!B:AB,27,0),"No Aplica"),"No Aplica")</f>
        <v>No Aplica</v>
      </c>
      <c r="S495" s="38">
        <v>0</v>
      </c>
      <c r="T495" s="36">
        <v>0</v>
      </c>
      <c r="U495" s="26">
        <v>0</v>
      </c>
      <c r="V495" s="37">
        <v>0</v>
      </c>
      <c r="W495" s="19">
        <v>0</v>
      </c>
      <c r="X495" s="37">
        <v>0</v>
      </c>
      <c r="Y495" s="46">
        <f t="shared" si="15"/>
        <v>231900</v>
      </c>
    </row>
    <row r="496" spans="1:25" x14ac:dyDescent="0.25">
      <c r="A496" s="20">
        <f>+VLOOKUP(D496,Back!Q:R,2,0)</f>
        <v>1</v>
      </c>
      <c r="B496" s="20" t="str">
        <f t="shared" si="16"/>
        <v>2017 ENE</v>
      </c>
      <c r="C496" s="20">
        <v>2017</v>
      </c>
      <c r="D496" s="21" t="s">
        <v>122</v>
      </c>
      <c r="E496" s="21" t="s">
        <v>102</v>
      </c>
      <c r="F496" s="21"/>
      <c r="G496" s="21"/>
      <c r="H496" s="22">
        <v>600700</v>
      </c>
      <c r="I496" s="22">
        <v>0</v>
      </c>
      <c r="J496" s="22">
        <v>600700</v>
      </c>
      <c r="K496" s="23">
        <v>0</v>
      </c>
      <c r="L496" s="23"/>
      <c r="M496" s="24"/>
      <c r="N496" s="209" t="str">
        <f>IFERROR(VLOOKUP(F496,Back!C:F,4,0),"NO")</f>
        <v>NO</v>
      </c>
      <c r="O496" s="26">
        <v>25</v>
      </c>
      <c r="P496" s="28" t="str">
        <f>IFERROR(VLOOKUP(F496,Back!C:E,3,0),"")</f>
        <v/>
      </c>
      <c r="Q496" s="28" t="str">
        <f>IFERROR(VLOOKUP(P496,Back!M:N,2,0),"")</f>
        <v/>
      </c>
      <c r="R496" s="27" t="str">
        <f>IF(N496="Si",IFERROR(VLOOKUP(F496,'TD Cumpl'!B:AB,27,0),"No Aplica"),"No Aplica")</f>
        <v>No Aplica</v>
      </c>
      <c r="S496" s="38">
        <v>0</v>
      </c>
      <c r="T496" s="36">
        <v>0</v>
      </c>
      <c r="U496" s="26">
        <v>0</v>
      </c>
      <c r="V496" s="37">
        <v>0</v>
      </c>
      <c r="W496" s="19">
        <v>12</v>
      </c>
      <c r="X496" s="37">
        <v>600700</v>
      </c>
      <c r="Y496" s="46">
        <f t="shared" si="15"/>
        <v>0</v>
      </c>
    </row>
    <row r="497" spans="1:25" x14ac:dyDescent="0.25">
      <c r="A497" s="20">
        <f>+VLOOKUP(D497,Back!Q:R,2,0)</f>
        <v>1</v>
      </c>
      <c r="B497" s="20" t="str">
        <f t="shared" si="16"/>
        <v>2017 ENE</v>
      </c>
      <c r="C497" s="20">
        <v>2017</v>
      </c>
      <c r="D497" s="21" t="s">
        <v>122</v>
      </c>
      <c r="E497" s="21" t="s">
        <v>103</v>
      </c>
      <c r="F497" s="21"/>
      <c r="G497" s="21"/>
      <c r="H497" s="22">
        <v>166500</v>
      </c>
      <c r="I497" s="22">
        <v>0</v>
      </c>
      <c r="J497" s="22">
        <v>166500</v>
      </c>
      <c r="K497" s="23">
        <v>0</v>
      </c>
      <c r="L497" s="23"/>
      <c r="M497" s="24"/>
      <c r="N497" s="209" t="str">
        <f>IFERROR(VLOOKUP(F497,Back!C:F,4,0),"NO")</f>
        <v>NO</v>
      </c>
      <c r="O497" s="26">
        <v>25</v>
      </c>
      <c r="P497" s="28" t="str">
        <f>IFERROR(VLOOKUP(F497,Back!C:E,3,0),"")</f>
        <v/>
      </c>
      <c r="Q497" s="28" t="str">
        <f>IFERROR(VLOOKUP(P497,Back!M:N,2,0),"")</f>
        <v/>
      </c>
      <c r="R497" s="27" t="str">
        <f>IF(N497="Si",IFERROR(VLOOKUP(F497,'TD Cumpl'!B:AB,27,0),"No Aplica"),"No Aplica")</f>
        <v>No Aplica</v>
      </c>
      <c r="S497" s="38">
        <v>0</v>
      </c>
      <c r="T497" s="36">
        <v>0</v>
      </c>
      <c r="U497" s="26">
        <v>0</v>
      </c>
      <c r="V497" s="37">
        <v>0</v>
      </c>
      <c r="W497" s="19">
        <v>2</v>
      </c>
      <c r="X497" s="37">
        <v>166500</v>
      </c>
      <c r="Y497" s="46">
        <f t="shared" si="15"/>
        <v>0</v>
      </c>
    </row>
    <row r="498" spans="1:25" x14ac:dyDescent="0.25">
      <c r="A498" s="20">
        <f>+VLOOKUP(D498,Back!Q:R,2,0)</f>
        <v>1</v>
      </c>
      <c r="B498" s="20" t="str">
        <f t="shared" si="16"/>
        <v>2017 ENE</v>
      </c>
      <c r="C498" s="20">
        <v>2017</v>
      </c>
      <c r="D498" s="21" t="s">
        <v>122</v>
      </c>
      <c r="E498" s="21" t="s">
        <v>99</v>
      </c>
      <c r="F498" s="21"/>
      <c r="G498" s="21"/>
      <c r="H498" s="22">
        <v>162600</v>
      </c>
      <c r="I498" s="22">
        <v>0</v>
      </c>
      <c r="J498" s="22">
        <v>0</v>
      </c>
      <c r="K498" s="23">
        <v>162600</v>
      </c>
      <c r="L498" s="23"/>
      <c r="M498" s="24"/>
      <c r="N498" s="209" t="str">
        <f>IFERROR(VLOOKUP(F498,Back!C:F,4,0),"NO")</f>
        <v>NO</v>
      </c>
      <c r="O498" s="26">
        <v>25</v>
      </c>
      <c r="P498" s="28" t="str">
        <f>IFERROR(VLOOKUP(F498,Back!C:E,3,0),"")</f>
        <v/>
      </c>
      <c r="Q498" s="28" t="str">
        <f>IFERROR(VLOOKUP(P498,Back!M:N,2,0),"")</f>
        <v/>
      </c>
      <c r="R498" s="27" t="str">
        <f>IF(N498="Si",IFERROR(VLOOKUP(F498,'TD Cumpl'!B:AB,27,0),"No Aplica"),"No Aplica")</f>
        <v>No Aplica</v>
      </c>
      <c r="S498" s="38">
        <v>0</v>
      </c>
      <c r="T498" s="36">
        <v>0</v>
      </c>
      <c r="U498" s="26">
        <v>0</v>
      </c>
      <c r="V498" s="37">
        <v>0</v>
      </c>
      <c r="W498" s="19">
        <v>0</v>
      </c>
      <c r="X498" s="37">
        <v>0</v>
      </c>
      <c r="Y498" s="46">
        <f t="shared" si="15"/>
        <v>162600</v>
      </c>
    </row>
    <row r="499" spans="1:25" x14ac:dyDescent="0.25">
      <c r="A499" s="20">
        <f>+VLOOKUP(D499,Back!Q:R,2,0)</f>
        <v>1</v>
      </c>
      <c r="B499" s="20" t="str">
        <f t="shared" si="16"/>
        <v>2017 ENE</v>
      </c>
      <c r="C499" s="20">
        <v>2017</v>
      </c>
      <c r="D499" s="21" t="s">
        <v>122</v>
      </c>
      <c r="E499" s="21" t="s">
        <v>100</v>
      </c>
      <c r="F499" s="21"/>
      <c r="G499" s="21"/>
      <c r="H499" s="22">
        <v>72600</v>
      </c>
      <c r="I499" s="22">
        <v>0</v>
      </c>
      <c r="J499" s="22">
        <v>0</v>
      </c>
      <c r="K499" s="23">
        <v>72600</v>
      </c>
      <c r="L499" s="23"/>
      <c r="M499" s="24"/>
      <c r="N499" s="209" t="str">
        <f>IFERROR(VLOOKUP(F499,Back!C:F,4,0),"NO")</f>
        <v>NO</v>
      </c>
      <c r="O499" s="26">
        <v>25</v>
      </c>
      <c r="P499" s="28" t="str">
        <f>IFERROR(VLOOKUP(F499,Back!C:E,3,0),"")</f>
        <v/>
      </c>
      <c r="Q499" s="28" t="str">
        <f>IFERROR(VLOOKUP(P499,Back!M:N,2,0),"")</f>
        <v/>
      </c>
      <c r="R499" s="27" t="str">
        <f>IF(N499="Si",IFERROR(VLOOKUP(F499,'TD Cumpl'!B:AB,27,0),"No Aplica"),"No Aplica")</f>
        <v>No Aplica</v>
      </c>
      <c r="S499" s="38">
        <v>0</v>
      </c>
      <c r="T499" s="36">
        <v>0</v>
      </c>
      <c r="U499" s="26">
        <v>0</v>
      </c>
      <c r="V499" s="37">
        <v>0</v>
      </c>
      <c r="W499" s="19">
        <v>0</v>
      </c>
      <c r="X499" s="37">
        <v>0</v>
      </c>
      <c r="Y499" s="46">
        <f t="shared" si="15"/>
        <v>72600</v>
      </c>
    </row>
    <row r="500" spans="1:25" x14ac:dyDescent="0.25">
      <c r="A500" s="20">
        <f>+VLOOKUP(D500,Back!Q:R,2,0)</f>
        <v>1</v>
      </c>
      <c r="B500" s="20" t="str">
        <f t="shared" si="16"/>
        <v>2017 ENE</v>
      </c>
      <c r="C500" s="20">
        <v>2017</v>
      </c>
      <c r="D500" s="21" t="s">
        <v>122</v>
      </c>
      <c r="E500" s="21" t="s">
        <v>104</v>
      </c>
      <c r="F500" s="21"/>
      <c r="G500" s="21"/>
      <c r="H500" s="22">
        <v>1334500</v>
      </c>
      <c r="I500" s="22">
        <v>0</v>
      </c>
      <c r="J500" s="22">
        <v>1334500</v>
      </c>
      <c r="K500" s="23">
        <v>0</v>
      </c>
      <c r="L500" s="23"/>
      <c r="M500" s="24"/>
      <c r="N500" s="209" t="str">
        <f>IFERROR(VLOOKUP(F500,Back!C:F,4,0),"NO")</f>
        <v>NO</v>
      </c>
      <c r="O500" s="26">
        <v>25</v>
      </c>
      <c r="P500" s="28" t="str">
        <f>IFERROR(VLOOKUP(F500,Back!C:E,3,0),"")</f>
        <v/>
      </c>
      <c r="Q500" s="28" t="str">
        <f>IFERROR(VLOOKUP(P500,Back!M:N,2,0),"")</f>
        <v/>
      </c>
      <c r="R500" s="27" t="str">
        <f>IF(N500="Si",IFERROR(VLOOKUP(F500,'TD Cumpl'!B:AB,27,0),"No Aplica"),"No Aplica")</f>
        <v>No Aplica</v>
      </c>
      <c r="S500" s="38">
        <v>0</v>
      </c>
      <c r="T500" s="36">
        <v>0</v>
      </c>
      <c r="U500" s="26">
        <v>0</v>
      </c>
      <c r="V500" s="37">
        <v>0</v>
      </c>
      <c r="W500" s="19">
        <v>14</v>
      </c>
      <c r="X500" s="37">
        <v>1334500</v>
      </c>
      <c r="Y500" s="46">
        <f t="shared" si="15"/>
        <v>0</v>
      </c>
    </row>
    <row r="501" spans="1:25" x14ac:dyDescent="0.25">
      <c r="A501" s="20">
        <f>+VLOOKUP(D501,Back!Q:R,2,0)</f>
        <v>1</v>
      </c>
      <c r="B501" s="20" t="str">
        <f t="shared" si="16"/>
        <v>2017 ENE</v>
      </c>
      <c r="C501" s="20">
        <v>2017</v>
      </c>
      <c r="D501" s="21" t="s">
        <v>122</v>
      </c>
      <c r="E501" s="21" t="s">
        <v>86</v>
      </c>
      <c r="F501" s="21"/>
      <c r="G501" s="21"/>
      <c r="H501" s="22">
        <v>44000</v>
      </c>
      <c r="I501" s="22">
        <v>0</v>
      </c>
      <c r="J501" s="22">
        <v>44000</v>
      </c>
      <c r="K501" s="23">
        <v>0</v>
      </c>
      <c r="L501" s="23"/>
      <c r="M501" s="24"/>
      <c r="N501" s="209" t="str">
        <f>IFERROR(VLOOKUP(F501,Back!C:F,4,0),"NO")</f>
        <v>NO</v>
      </c>
      <c r="O501" s="26">
        <v>25</v>
      </c>
      <c r="P501" s="28" t="str">
        <f>IFERROR(VLOOKUP(F501,Back!C:E,3,0),"")</f>
        <v/>
      </c>
      <c r="Q501" s="28" t="str">
        <f>IFERROR(VLOOKUP(P501,Back!M:N,2,0),"")</f>
        <v/>
      </c>
      <c r="R501" s="27" t="str">
        <f>IF(N501="Si",IFERROR(VLOOKUP(F501,'TD Cumpl'!B:AB,27,0),"No Aplica"),"No Aplica")</f>
        <v>No Aplica</v>
      </c>
      <c r="S501" s="38">
        <v>0</v>
      </c>
      <c r="T501" s="36">
        <v>0</v>
      </c>
      <c r="U501" s="26">
        <v>0</v>
      </c>
      <c r="V501" s="37">
        <v>0</v>
      </c>
      <c r="W501" s="19">
        <v>1</v>
      </c>
      <c r="X501" s="37">
        <v>44000</v>
      </c>
      <c r="Y501" s="46">
        <f t="shared" si="15"/>
        <v>0</v>
      </c>
    </row>
    <row r="502" spans="1:25" x14ac:dyDescent="0.25">
      <c r="A502" s="20">
        <f>+VLOOKUP(D502,Back!Q:R,2,0)</f>
        <v>2</v>
      </c>
      <c r="B502" s="20" t="str">
        <f t="shared" si="16"/>
        <v>2017 FEB</v>
      </c>
      <c r="C502" s="20">
        <v>2017</v>
      </c>
      <c r="D502" s="21" t="s">
        <v>138</v>
      </c>
      <c r="E502" s="21" t="s">
        <v>9</v>
      </c>
      <c r="F502" s="21">
        <v>43169964</v>
      </c>
      <c r="G502" s="21" t="s">
        <v>155</v>
      </c>
      <c r="H502" s="22">
        <v>24478886</v>
      </c>
      <c r="I502" s="22">
        <v>925900</v>
      </c>
      <c r="J502" s="22">
        <v>10780400</v>
      </c>
      <c r="K502" s="23">
        <v>12772586</v>
      </c>
      <c r="L502" s="23">
        <v>41000000</v>
      </c>
      <c r="M502" s="24">
        <v>0.31152648780487807</v>
      </c>
      <c r="N502" s="209" t="str">
        <f>IFERROR(VLOOKUP(F502,Back!C:F,4,0),"NO")</f>
        <v>Si</v>
      </c>
      <c r="O502" s="26">
        <v>24</v>
      </c>
      <c r="P502" s="28" t="str">
        <f>IFERROR(VLOOKUP(F502,Back!C:E,3,0),"")</f>
        <v>IPS Pto De Vista Molinos</v>
      </c>
      <c r="Q502" s="28" t="str">
        <f>IFERROR(VLOOKUP(P502,Back!M:N,2,0),"")</f>
        <v>Antioquia</v>
      </c>
      <c r="R502" s="27" t="str">
        <f>IF(N502="Si",IFERROR(VLOOKUP(F502,'TD Cumpl'!B:AB,27,0),"No Aplica"),"No Aplica")</f>
        <v>Cumple</v>
      </c>
      <c r="S502" s="38">
        <v>44</v>
      </c>
      <c r="T502" s="36">
        <v>3138490</v>
      </c>
      <c r="U502" s="26">
        <v>103</v>
      </c>
      <c r="V502" s="37">
        <v>7336845</v>
      </c>
      <c r="W502" s="19">
        <v>130</v>
      </c>
      <c r="X502" s="37">
        <v>10780400</v>
      </c>
      <c r="Y502" s="46">
        <f t="shared" si="15"/>
        <v>3223151</v>
      </c>
    </row>
    <row r="503" spans="1:25" x14ac:dyDescent="0.25">
      <c r="A503" s="20">
        <f>+VLOOKUP(D503,Back!Q:R,2,0)</f>
        <v>2</v>
      </c>
      <c r="B503" s="20" t="str">
        <f t="shared" si="16"/>
        <v>2017 FEB</v>
      </c>
      <c r="C503" s="20">
        <v>2017</v>
      </c>
      <c r="D503" s="21" t="s">
        <v>138</v>
      </c>
      <c r="E503" s="21" t="s">
        <v>11</v>
      </c>
      <c r="F503" s="21">
        <v>43253531</v>
      </c>
      <c r="G503" s="21" t="s">
        <v>39</v>
      </c>
      <c r="H503" s="22">
        <v>49735172</v>
      </c>
      <c r="I503" s="22">
        <v>198000</v>
      </c>
      <c r="J503" s="22">
        <v>13828100</v>
      </c>
      <c r="K503" s="23">
        <v>35709072</v>
      </c>
      <c r="L503" s="23">
        <v>29000000</v>
      </c>
      <c r="M503" s="24">
        <v>1.2313473103448276</v>
      </c>
      <c r="N503" s="209" t="str">
        <f>IFERROR(VLOOKUP(F503,Back!C:F,4,0),"NO")</f>
        <v>Si</v>
      </c>
      <c r="O503" s="26">
        <v>24</v>
      </c>
      <c r="P503" s="28" t="str">
        <f>IFERROR(VLOOKUP(F503,Back!C:E,3,0),"")</f>
        <v>IPS Punto de Vista Bello</v>
      </c>
      <c r="Q503" s="28" t="str">
        <f>IFERROR(VLOOKUP(P503,Back!M:N,2,0),"")</f>
        <v>Antioquia</v>
      </c>
      <c r="R503" s="27" t="str">
        <f>IF(N503="Si",IFERROR(VLOOKUP(F503,'TD Cumpl'!B:AB,27,0),"No Aplica"),"No Aplica")</f>
        <v>Cumple</v>
      </c>
      <c r="S503" s="38">
        <v>93</v>
      </c>
      <c r="T503" s="36">
        <v>6767366</v>
      </c>
      <c r="U503" s="26">
        <v>215</v>
      </c>
      <c r="V503" s="37">
        <v>24210767</v>
      </c>
      <c r="W503" s="19">
        <v>147</v>
      </c>
      <c r="X503" s="37">
        <v>13828100</v>
      </c>
      <c r="Y503" s="46">
        <f t="shared" si="15"/>
        <v>4928939</v>
      </c>
    </row>
    <row r="504" spans="1:25" x14ac:dyDescent="0.25">
      <c r="A504" s="20">
        <f>+VLOOKUP(D504,Back!Q:R,2,0)</f>
        <v>2</v>
      </c>
      <c r="B504" s="20" t="str">
        <f t="shared" si="16"/>
        <v>2017 FEB</v>
      </c>
      <c r="C504" s="20">
        <v>2017</v>
      </c>
      <c r="D504" s="21" t="s">
        <v>138</v>
      </c>
      <c r="E504" s="21" t="s">
        <v>66</v>
      </c>
      <c r="F504" s="21">
        <v>3438422</v>
      </c>
      <c r="G504" s="21" t="s">
        <v>71</v>
      </c>
      <c r="H504" s="22">
        <v>42643165</v>
      </c>
      <c r="I504" s="22">
        <v>850860</v>
      </c>
      <c r="J504" s="22">
        <v>8363000</v>
      </c>
      <c r="K504" s="23">
        <v>33429305</v>
      </c>
      <c r="L504" s="23">
        <v>30100000</v>
      </c>
      <c r="M504" s="24">
        <v>1.1106081395348837</v>
      </c>
      <c r="N504" s="209" t="str">
        <f>IFERROR(VLOOKUP(F504,Back!C:F,4,0),"NO")</f>
        <v>Si</v>
      </c>
      <c r="O504" s="26">
        <v>24</v>
      </c>
      <c r="P504" s="28" t="str">
        <f>IFERROR(VLOOKUP(F504,Back!C:E,3,0),"")</f>
        <v>IPS Pto De Vista Punto Clave</v>
      </c>
      <c r="Q504" s="28" t="str">
        <f>IFERROR(VLOOKUP(P504,Back!M:N,2,0),"")</f>
        <v>Antioquia</v>
      </c>
      <c r="R504" s="27" t="str">
        <f>IF(N504="Si",IFERROR(VLOOKUP(F504,'TD Cumpl'!B:AB,27,0),"No Aplica"),"No Aplica")</f>
        <v>Fluctúa</v>
      </c>
      <c r="S504" s="38">
        <v>72</v>
      </c>
      <c r="T504" s="36">
        <v>6702268</v>
      </c>
      <c r="U504" s="26">
        <v>166</v>
      </c>
      <c r="V504" s="37">
        <v>19630020</v>
      </c>
      <c r="W504" s="19">
        <v>102</v>
      </c>
      <c r="X504" s="37">
        <v>8363000</v>
      </c>
      <c r="Y504" s="46">
        <f t="shared" si="15"/>
        <v>7947877</v>
      </c>
    </row>
    <row r="505" spans="1:25" x14ac:dyDescent="0.25">
      <c r="A505" s="20">
        <f>+VLOOKUP(D505,Back!Q:R,2,0)</f>
        <v>2</v>
      </c>
      <c r="B505" s="20" t="str">
        <f t="shared" si="16"/>
        <v>2017 FEB</v>
      </c>
      <c r="C505" s="20">
        <v>2017</v>
      </c>
      <c r="D505" s="21" t="s">
        <v>138</v>
      </c>
      <c r="E505" s="21" t="s">
        <v>6</v>
      </c>
      <c r="F505" s="21">
        <v>43821410</v>
      </c>
      <c r="G505" s="21" t="s">
        <v>40</v>
      </c>
      <c r="H505" s="22">
        <v>72224082</v>
      </c>
      <c r="I505" s="22">
        <v>1343500</v>
      </c>
      <c r="J505" s="22">
        <v>12324700</v>
      </c>
      <c r="K505" s="23">
        <v>58555882</v>
      </c>
      <c r="L505" s="23">
        <v>43000000</v>
      </c>
      <c r="M505" s="24">
        <v>1.3617646976744187</v>
      </c>
      <c r="N505" s="209" t="str">
        <f>IFERROR(VLOOKUP(F505,Back!C:F,4,0),"NO")</f>
        <v>Si</v>
      </c>
      <c r="O505" s="26">
        <v>24</v>
      </c>
      <c r="P505" s="28" t="str">
        <f>IFERROR(VLOOKUP(F505,Back!C:E,3,0),"")</f>
        <v>IPS Pto De Vista Unicentro</v>
      </c>
      <c r="Q505" s="28" t="str">
        <f>IFERROR(VLOOKUP(P505,Back!M:N,2,0),"")</f>
        <v>Antioquia</v>
      </c>
      <c r="R505" s="27" t="str">
        <f>IF(N505="Si",IFERROR(VLOOKUP(F505,'TD Cumpl'!B:AB,27,0),"No Aplica"),"No Aplica")</f>
        <v>Siempre Cumple</v>
      </c>
      <c r="S505" s="38">
        <v>109</v>
      </c>
      <c r="T505" s="36">
        <v>13203332</v>
      </c>
      <c r="U505" s="26">
        <v>266</v>
      </c>
      <c r="V505" s="37">
        <v>36848940</v>
      </c>
      <c r="W505" s="19">
        <v>154</v>
      </c>
      <c r="X505" s="37">
        <v>12324700</v>
      </c>
      <c r="Y505" s="46">
        <f t="shared" si="15"/>
        <v>9847110</v>
      </c>
    </row>
    <row r="506" spans="1:25" x14ac:dyDescent="0.25">
      <c r="A506" s="20">
        <f>+VLOOKUP(D506,Back!Q:R,2,0)</f>
        <v>2</v>
      </c>
      <c r="B506" s="20" t="str">
        <f t="shared" si="16"/>
        <v>2017 FEB</v>
      </c>
      <c r="C506" s="20">
        <v>2017</v>
      </c>
      <c r="D506" s="21" t="s">
        <v>138</v>
      </c>
      <c r="E506" s="21" t="s">
        <v>18</v>
      </c>
      <c r="F506" s="21">
        <v>39442617</v>
      </c>
      <c r="G506" s="21" t="s">
        <v>41</v>
      </c>
      <c r="H506" s="22">
        <v>8040790</v>
      </c>
      <c r="I506" s="22">
        <v>861400</v>
      </c>
      <c r="J506" s="22">
        <v>2619000</v>
      </c>
      <c r="K506" s="23">
        <v>4560390</v>
      </c>
      <c r="L506" s="23">
        <v>12541666.666666668</v>
      </c>
      <c r="M506" s="24">
        <v>0.36361913621262454</v>
      </c>
      <c r="N506" s="209" t="str">
        <f>IFERROR(VLOOKUP(F506,Back!C:F,4,0),"NO")</f>
        <v>Si</v>
      </c>
      <c r="O506" s="26">
        <v>24</v>
      </c>
      <c r="P506" s="28" t="str">
        <f>IFERROR(VLOOKUP(F506,Back!C:E,3,0),"")</f>
        <v>IPS Pto De Vista San Diego</v>
      </c>
      <c r="Q506" s="28" t="str">
        <f>IFERROR(VLOOKUP(P506,Back!M:N,2,0),"")</f>
        <v>Antioquia</v>
      </c>
      <c r="R506" s="27" t="str">
        <f>IF(N506="Si",IFERROR(VLOOKUP(F506,'TD Cumpl'!B:AB,27,0),"No Aplica"),"No Aplica")</f>
        <v>Cumple</v>
      </c>
      <c r="S506" s="38">
        <v>9</v>
      </c>
      <c r="T506" s="36">
        <v>905650</v>
      </c>
      <c r="U506" s="26">
        <v>26</v>
      </c>
      <c r="V506" s="37">
        <v>2187580</v>
      </c>
      <c r="W506" s="19">
        <v>33</v>
      </c>
      <c r="X506" s="37">
        <v>2619000</v>
      </c>
      <c r="Y506" s="46">
        <f t="shared" si="15"/>
        <v>2328560</v>
      </c>
    </row>
    <row r="507" spans="1:25" x14ac:dyDescent="0.25">
      <c r="A507" s="20">
        <f>+VLOOKUP(D507,Back!Q:R,2,0)</f>
        <v>2</v>
      </c>
      <c r="B507" s="20" t="str">
        <f t="shared" si="16"/>
        <v>2017 FEB</v>
      </c>
      <c r="C507" s="20">
        <v>2017</v>
      </c>
      <c r="D507" s="21" t="s">
        <v>138</v>
      </c>
      <c r="E507" s="21" t="s">
        <v>56</v>
      </c>
      <c r="F507" s="21">
        <v>43971430</v>
      </c>
      <c r="G507" s="21" t="s">
        <v>142</v>
      </c>
      <c r="H507" s="22">
        <v>53776794</v>
      </c>
      <c r="I507" s="22">
        <v>506000</v>
      </c>
      <c r="J507" s="22">
        <v>11484400</v>
      </c>
      <c r="K507" s="23">
        <v>41786394</v>
      </c>
      <c r="L507" s="23">
        <v>41000000</v>
      </c>
      <c r="M507" s="24">
        <v>1.0191803414634146</v>
      </c>
      <c r="N507" s="209" t="str">
        <f>IFERROR(VLOOKUP(F507,Back!C:F,4,0),"NO")</f>
        <v>Si</v>
      </c>
      <c r="O507" s="26">
        <v>24</v>
      </c>
      <c r="P507" s="28" t="str">
        <f>IFERROR(VLOOKUP(F507,Back!C:E,3,0),"")</f>
        <v>IPS Pto De Vista Centro</v>
      </c>
      <c r="Q507" s="28" t="str">
        <f>IFERROR(VLOOKUP(P507,Back!M:N,2,0),"")</f>
        <v>Antioquia</v>
      </c>
      <c r="R507" s="27" t="str">
        <f>IF(N507="Si",IFERROR(VLOOKUP(F507,'TD Cumpl'!B:AB,27,0),"No Aplica"),"No Aplica")</f>
        <v>Siempre Cumple</v>
      </c>
      <c r="S507" s="38">
        <v>106</v>
      </c>
      <c r="T507" s="36">
        <v>8959463</v>
      </c>
      <c r="U507" s="26">
        <v>256</v>
      </c>
      <c r="V507" s="37">
        <v>25355509</v>
      </c>
      <c r="W507" s="19">
        <v>139</v>
      </c>
      <c r="X507" s="37">
        <v>11484400</v>
      </c>
      <c r="Y507" s="46">
        <f t="shared" si="15"/>
        <v>7977422</v>
      </c>
    </row>
    <row r="508" spans="1:25" x14ac:dyDescent="0.25">
      <c r="A508" s="20">
        <f>+VLOOKUP(D508,Back!Q:R,2,0)</f>
        <v>2</v>
      </c>
      <c r="B508" s="20" t="str">
        <f t="shared" si="16"/>
        <v>2017 FEB</v>
      </c>
      <c r="C508" s="20">
        <v>2017</v>
      </c>
      <c r="D508" s="21" t="s">
        <v>138</v>
      </c>
      <c r="E508" s="21" t="s">
        <v>59</v>
      </c>
      <c r="F508" s="21">
        <v>1030634664</v>
      </c>
      <c r="G508" s="21" t="s">
        <v>58</v>
      </c>
      <c r="H508" s="22">
        <v>38619632</v>
      </c>
      <c r="I508" s="22">
        <v>0</v>
      </c>
      <c r="J508" s="22">
        <v>10790300</v>
      </c>
      <c r="K508" s="23">
        <v>27829332</v>
      </c>
      <c r="L508" s="23">
        <v>41000000</v>
      </c>
      <c r="M508" s="24">
        <v>0.67876419512195119</v>
      </c>
      <c r="N508" s="209" t="str">
        <f>IFERROR(VLOOKUP(F508,Back!C:F,4,0),"NO")</f>
        <v>NO</v>
      </c>
      <c r="O508" s="26">
        <v>24</v>
      </c>
      <c r="P508" s="28" t="str">
        <f>IFERROR(VLOOKUP(F508,Back!C:E,3,0),"")</f>
        <v/>
      </c>
      <c r="Q508" s="28" t="str">
        <f>IFERROR(VLOOKUP(P508,Back!M:N,2,0),"")</f>
        <v/>
      </c>
      <c r="R508" s="27" t="str">
        <f>IF(N508="Si",IFERROR(VLOOKUP(F508,'TD Cumpl'!B:AB,27,0),"No Aplica"),"No Aplica")</f>
        <v>No Aplica</v>
      </c>
      <c r="S508" s="38">
        <v>63</v>
      </c>
      <c r="T508" s="36">
        <v>5227585</v>
      </c>
      <c r="U508" s="26">
        <v>164</v>
      </c>
      <c r="V508" s="37">
        <v>17855622</v>
      </c>
      <c r="W508" s="19">
        <v>126</v>
      </c>
      <c r="X508" s="37">
        <v>10790300</v>
      </c>
      <c r="Y508" s="46">
        <f t="shared" si="15"/>
        <v>4746125</v>
      </c>
    </row>
    <row r="509" spans="1:25" x14ac:dyDescent="0.25">
      <c r="A509" s="20">
        <f>+VLOOKUP(D509,Back!Q:R,2,0)</f>
        <v>2</v>
      </c>
      <c r="B509" s="20" t="str">
        <f t="shared" si="16"/>
        <v>2017 FEB</v>
      </c>
      <c r="C509" s="20">
        <v>2017</v>
      </c>
      <c r="D509" s="21" t="s">
        <v>138</v>
      </c>
      <c r="E509" s="21" t="s">
        <v>34</v>
      </c>
      <c r="F509" s="21">
        <v>43554403</v>
      </c>
      <c r="G509" s="21" t="s">
        <v>35</v>
      </c>
      <c r="H509" s="22">
        <v>55979590</v>
      </c>
      <c r="I509" s="22">
        <v>792000</v>
      </c>
      <c r="J509" s="22">
        <v>13380100</v>
      </c>
      <c r="K509" s="23">
        <v>41807490</v>
      </c>
      <c r="L509" s="23">
        <v>41000000</v>
      </c>
      <c r="M509" s="24">
        <v>1.0196948780487805</v>
      </c>
      <c r="N509" s="209" t="str">
        <f>IFERROR(VLOOKUP(F509,Back!C:F,4,0),"NO")</f>
        <v>Si</v>
      </c>
      <c r="O509" s="26">
        <v>24</v>
      </c>
      <c r="P509" s="28" t="str">
        <f>IFERROR(VLOOKUP(F509,Back!C:E,3,0),"")</f>
        <v>IPS Pto De Vista Centro</v>
      </c>
      <c r="Q509" s="28" t="str">
        <f>IFERROR(VLOOKUP(P509,Back!M:N,2,0),"")</f>
        <v>Antioquia</v>
      </c>
      <c r="R509" s="27" t="str">
        <f>IF(N509="Si",IFERROR(VLOOKUP(F509,'TD Cumpl'!B:AB,27,0),"No Aplica"),"No Aplica")</f>
        <v>Siempre Cumple</v>
      </c>
      <c r="S509" s="38">
        <v>96</v>
      </c>
      <c r="T509" s="36">
        <v>9560047</v>
      </c>
      <c r="U509" s="26">
        <v>210</v>
      </c>
      <c r="V509" s="37">
        <v>24013112</v>
      </c>
      <c r="W509" s="19">
        <v>157</v>
      </c>
      <c r="X509" s="37">
        <v>13380100</v>
      </c>
      <c r="Y509" s="46">
        <f t="shared" si="15"/>
        <v>9026331</v>
      </c>
    </row>
    <row r="510" spans="1:25" x14ac:dyDescent="0.25">
      <c r="A510" s="20">
        <f>+VLOOKUP(D510,Back!Q:R,2,0)</f>
        <v>2</v>
      </c>
      <c r="B510" s="20" t="str">
        <f t="shared" si="16"/>
        <v>2017 FEB</v>
      </c>
      <c r="C510" s="20">
        <v>2017</v>
      </c>
      <c r="D510" s="21" t="s">
        <v>138</v>
      </c>
      <c r="E510" s="21" t="s">
        <v>3</v>
      </c>
      <c r="F510" s="21">
        <v>52725011</v>
      </c>
      <c r="G510" s="21" t="s">
        <v>42</v>
      </c>
      <c r="H510" s="22">
        <v>32540485</v>
      </c>
      <c r="I510" s="22">
        <v>692000</v>
      </c>
      <c r="J510" s="22">
        <v>6361900</v>
      </c>
      <c r="K510" s="23">
        <v>25486585</v>
      </c>
      <c r="L510" s="23">
        <v>20000000</v>
      </c>
      <c r="M510" s="24">
        <v>1.2743292500000001</v>
      </c>
      <c r="N510" s="209" t="str">
        <f>IFERROR(VLOOKUP(F510,Back!C:F,4,0),"NO")</f>
        <v>Si</v>
      </c>
      <c r="O510" s="26">
        <v>24</v>
      </c>
      <c r="P510" s="28" t="str">
        <f>IFERROR(VLOOKUP(F510,Back!C:E,3,0),"")</f>
        <v>IPS Pto De Vista Olaya</v>
      </c>
      <c r="Q510" s="28" t="str">
        <f>IFERROR(VLOOKUP(P510,Back!M:N,2,0),"")</f>
        <v>Centro</v>
      </c>
      <c r="R510" s="27" t="str">
        <f>IF(N510="Si",IFERROR(VLOOKUP(F510,'TD Cumpl'!B:AB,27,0),"No Aplica"),"No Aplica")</f>
        <v>Fluctúa</v>
      </c>
      <c r="S510" s="38">
        <v>77</v>
      </c>
      <c r="T510" s="36">
        <v>4398506</v>
      </c>
      <c r="U510" s="26">
        <v>188</v>
      </c>
      <c r="V510" s="37">
        <v>18797680</v>
      </c>
      <c r="W510" s="19">
        <v>101</v>
      </c>
      <c r="X510" s="37">
        <v>6361900</v>
      </c>
      <c r="Y510" s="46">
        <f t="shared" si="15"/>
        <v>2982399</v>
      </c>
    </row>
    <row r="511" spans="1:25" x14ac:dyDescent="0.25">
      <c r="A511" s="20">
        <f>+VLOOKUP(D511,Back!Q:R,2,0)</f>
        <v>2</v>
      </c>
      <c r="B511" s="20" t="str">
        <f t="shared" ref="B511:B574" si="17">MID(UPPER(C511&amp;" "&amp;D511),1,8)</f>
        <v>2017 FEB</v>
      </c>
      <c r="C511" s="20">
        <v>2017</v>
      </c>
      <c r="D511" s="21" t="s">
        <v>138</v>
      </c>
      <c r="E511" s="21" t="s">
        <v>22</v>
      </c>
      <c r="F511" s="21">
        <v>42164020</v>
      </c>
      <c r="G511" s="21" t="s">
        <v>105</v>
      </c>
      <c r="H511" s="22">
        <v>56948213</v>
      </c>
      <c r="I511" s="22">
        <v>705400</v>
      </c>
      <c r="J511" s="22">
        <v>12157600</v>
      </c>
      <c r="K511" s="23">
        <v>43763514</v>
      </c>
      <c r="L511" s="23">
        <v>43000000</v>
      </c>
      <c r="M511" s="24">
        <v>1.0177561395348838</v>
      </c>
      <c r="N511" s="209" t="str">
        <f>IFERROR(VLOOKUP(F511,Back!C:F,4,0),"NO")</f>
        <v>Si</v>
      </c>
      <c r="O511" s="26">
        <v>24</v>
      </c>
      <c r="P511" s="28" t="str">
        <f>IFERROR(VLOOKUP(F511,Back!C:E,3,0),"")</f>
        <v>IPS Pto De Vista Molinos</v>
      </c>
      <c r="Q511" s="28" t="str">
        <f>IFERROR(VLOOKUP(P511,Back!M:N,2,0),"")</f>
        <v>Antioquia</v>
      </c>
      <c r="R511" s="27" t="str">
        <f>IF(N511="Si",IFERROR(VLOOKUP(F511,'TD Cumpl'!B:AB,27,0),"No Aplica"),"No Aplica")</f>
        <v>Siempre Cumple</v>
      </c>
      <c r="S511" s="38">
        <v>95</v>
      </c>
      <c r="T511" s="36">
        <v>9634080</v>
      </c>
      <c r="U511" s="26">
        <v>236</v>
      </c>
      <c r="V511" s="37">
        <v>26994145</v>
      </c>
      <c r="W511" s="19">
        <v>135</v>
      </c>
      <c r="X511" s="37">
        <v>12157600</v>
      </c>
      <c r="Y511" s="46">
        <f t="shared" si="15"/>
        <v>8162388</v>
      </c>
    </row>
    <row r="512" spans="1:25" x14ac:dyDescent="0.25">
      <c r="A512" s="20">
        <f>+VLOOKUP(D512,Back!Q:R,2,0)</f>
        <v>2</v>
      </c>
      <c r="B512" s="20" t="str">
        <f t="shared" si="17"/>
        <v>2017 FEB</v>
      </c>
      <c r="C512" s="20">
        <v>2017</v>
      </c>
      <c r="D512" s="21" t="s">
        <v>138</v>
      </c>
      <c r="E512" s="21" t="s">
        <v>25</v>
      </c>
      <c r="F512" s="21">
        <v>1040030764</v>
      </c>
      <c r="G512" s="21" t="s">
        <v>43</v>
      </c>
      <c r="H512" s="22">
        <v>28598406</v>
      </c>
      <c r="I512" s="22">
        <v>1322700</v>
      </c>
      <c r="J512" s="22">
        <v>4537028</v>
      </c>
      <c r="K512" s="23">
        <v>22738678</v>
      </c>
      <c r="L512" s="23">
        <v>15125000</v>
      </c>
      <c r="M512" s="24">
        <v>1.5033836694214877</v>
      </c>
      <c r="N512" s="209" t="str">
        <f>IFERROR(VLOOKUP(F512,Back!C:F,4,0),"NO")</f>
        <v>Si</v>
      </c>
      <c r="O512" s="26">
        <v>24</v>
      </c>
      <c r="P512" s="28" t="str">
        <f>IFERROR(VLOOKUP(F512,Back!C:E,3,0),"")</f>
        <v>IPS Pto De Vista Rionegro</v>
      </c>
      <c r="Q512" s="28" t="str">
        <f>IFERROR(VLOOKUP(P512,Back!M:N,2,0),"")</f>
        <v>Antioquia</v>
      </c>
      <c r="R512" s="27" t="str">
        <f>IF(N512="Si",IFERROR(VLOOKUP(F512,'TD Cumpl'!B:AB,27,0),"No Aplica"),"No Aplica")</f>
        <v>Cumple</v>
      </c>
      <c r="S512" s="38">
        <v>58</v>
      </c>
      <c r="T512" s="36">
        <v>5860428</v>
      </c>
      <c r="U512" s="26">
        <v>160</v>
      </c>
      <c r="V512" s="37">
        <v>15162260</v>
      </c>
      <c r="W512" s="19">
        <v>72</v>
      </c>
      <c r="X512" s="37">
        <v>4537028</v>
      </c>
      <c r="Y512" s="46">
        <f t="shared" si="15"/>
        <v>3038690</v>
      </c>
    </row>
    <row r="513" spans="1:25" x14ac:dyDescent="0.25">
      <c r="A513" s="20">
        <f>+VLOOKUP(D513,Back!Q:R,2,0)</f>
        <v>2</v>
      </c>
      <c r="B513" s="20" t="str">
        <f t="shared" si="17"/>
        <v>2017 FEB</v>
      </c>
      <c r="C513" s="20">
        <v>2017</v>
      </c>
      <c r="D513" s="21" t="s">
        <v>138</v>
      </c>
      <c r="E513" s="21" t="s">
        <v>33</v>
      </c>
      <c r="F513" s="21">
        <v>31307503</v>
      </c>
      <c r="G513" s="21" t="s">
        <v>36</v>
      </c>
      <c r="H513" s="22">
        <v>30041156</v>
      </c>
      <c r="I513" s="22">
        <v>0</v>
      </c>
      <c r="J513" s="22">
        <v>9908800</v>
      </c>
      <c r="K513" s="23">
        <v>20132356</v>
      </c>
      <c r="L513" s="23">
        <v>30000000</v>
      </c>
      <c r="M513" s="24">
        <v>0.67107853333333334</v>
      </c>
      <c r="N513" s="209" t="str">
        <f>IFERROR(VLOOKUP(F513,Back!C:F,4,0),"NO")</f>
        <v>NO</v>
      </c>
      <c r="O513" s="26">
        <v>24</v>
      </c>
      <c r="P513" s="28" t="str">
        <f>IFERROR(VLOOKUP(F513,Back!C:E,3,0),"")</f>
        <v/>
      </c>
      <c r="Q513" s="28" t="str">
        <f>IFERROR(VLOOKUP(P513,Back!M:N,2,0),"")</f>
        <v/>
      </c>
      <c r="R513" s="27" t="str">
        <f>IF(N513="Si",IFERROR(VLOOKUP(F513,'TD Cumpl'!B:AB,27,0),"No Aplica"),"No Aplica")</f>
        <v>No Aplica</v>
      </c>
      <c r="S513" s="38">
        <v>77</v>
      </c>
      <c r="T513" s="36">
        <v>5630943</v>
      </c>
      <c r="U513" s="26">
        <v>222</v>
      </c>
      <c r="V513" s="37">
        <v>11533176</v>
      </c>
      <c r="W513" s="19">
        <v>127</v>
      </c>
      <c r="X513" s="37">
        <v>9908800</v>
      </c>
      <c r="Y513" s="46">
        <f t="shared" ref="Y513:Y576" si="18">+H513-X513-V513-T513</f>
        <v>2968237</v>
      </c>
    </row>
    <row r="514" spans="1:25" x14ac:dyDescent="0.25">
      <c r="A514" s="20">
        <f>+VLOOKUP(D514,Back!Q:R,2,0)</f>
        <v>2</v>
      </c>
      <c r="B514" s="20" t="str">
        <f t="shared" si="17"/>
        <v>2017 FEB</v>
      </c>
      <c r="C514" s="20">
        <v>2017</v>
      </c>
      <c r="D514" s="21" t="s">
        <v>138</v>
      </c>
      <c r="E514" s="21" t="s">
        <v>21</v>
      </c>
      <c r="F514" s="21">
        <v>1035417626</v>
      </c>
      <c r="G514" s="21" t="s">
        <v>80</v>
      </c>
      <c r="H514" s="22">
        <v>18693280</v>
      </c>
      <c r="I514" s="22">
        <v>748700</v>
      </c>
      <c r="J514" s="22">
        <v>7019700</v>
      </c>
      <c r="K514" s="23">
        <v>10924880</v>
      </c>
      <c r="L514" s="23">
        <v>21500000</v>
      </c>
      <c r="M514" s="24">
        <v>0.50813395348837209</v>
      </c>
      <c r="N514" s="209" t="str">
        <f>IFERROR(VLOOKUP(F514,Back!C:F,4,0),"NO")</f>
        <v>Si</v>
      </c>
      <c r="O514" s="26">
        <v>24</v>
      </c>
      <c r="P514" s="28" t="str">
        <f>IFERROR(VLOOKUP(F514,Back!C:E,3,0),"")</f>
        <v>IPS Pto De Vista Unicentro</v>
      </c>
      <c r="Q514" s="28" t="str">
        <f>IFERROR(VLOOKUP(P514,Back!M:N,2,0),"")</f>
        <v>Antioquia</v>
      </c>
      <c r="R514" s="27" t="str">
        <f>IF(N514="Si",IFERROR(VLOOKUP(F514,'TD Cumpl'!B:AB,27,0),"No Aplica"),"No Aplica")</f>
        <v>Cumple</v>
      </c>
      <c r="S514" s="38">
        <v>26</v>
      </c>
      <c r="T514" s="36">
        <v>2240270</v>
      </c>
      <c r="U514" s="26">
        <v>60</v>
      </c>
      <c r="V514" s="37">
        <v>7055600</v>
      </c>
      <c r="W514" s="19">
        <v>82</v>
      </c>
      <c r="X514" s="37">
        <v>7019700</v>
      </c>
      <c r="Y514" s="46">
        <f t="shared" si="18"/>
        <v>2377710</v>
      </c>
    </row>
    <row r="515" spans="1:25" x14ac:dyDescent="0.25">
      <c r="A515" s="20">
        <f>+VLOOKUP(D515,Back!Q:R,2,0)</f>
        <v>2</v>
      </c>
      <c r="B515" s="20" t="str">
        <f t="shared" si="17"/>
        <v>2017 FEB</v>
      </c>
      <c r="C515" s="20">
        <v>2017</v>
      </c>
      <c r="D515" s="21" t="s">
        <v>138</v>
      </c>
      <c r="E515" s="21" t="s">
        <v>20</v>
      </c>
      <c r="F515" s="21">
        <v>1017141451</v>
      </c>
      <c r="G515" s="21" t="s">
        <v>44</v>
      </c>
      <c r="H515" s="22">
        <v>58537514</v>
      </c>
      <c r="I515" s="22">
        <v>0</v>
      </c>
      <c r="J515" s="22">
        <v>14171300</v>
      </c>
      <c r="K515" s="23">
        <v>44366214</v>
      </c>
      <c r="L515" s="23">
        <v>43000000</v>
      </c>
      <c r="M515" s="24">
        <v>1.0317724186046511</v>
      </c>
      <c r="N515" s="209" t="str">
        <f>IFERROR(VLOOKUP(F515,Back!C:F,4,0),"NO")</f>
        <v>Si</v>
      </c>
      <c r="O515" s="26">
        <v>24</v>
      </c>
      <c r="P515" s="28" t="str">
        <f>IFERROR(VLOOKUP(F515,Back!C:E,3,0),"")</f>
        <v>IPS Pto De Vista Molinos</v>
      </c>
      <c r="Q515" s="28" t="str">
        <f>IFERROR(VLOOKUP(P515,Back!M:N,2,0),"")</f>
        <v>Antioquia</v>
      </c>
      <c r="R515" s="27" t="str">
        <f>IF(N515="Si",IFERROR(VLOOKUP(F515,'TD Cumpl'!B:AB,27,0),"No Aplica"),"No Aplica")</f>
        <v>Siempre Cumple</v>
      </c>
      <c r="S515" s="38">
        <v>99</v>
      </c>
      <c r="T515" s="36">
        <v>10247657</v>
      </c>
      <c r="U515" s="26">
        <v>279</v>
      </c>
      <c r="V515" s="37">
        <v>28342500</v>
      </c>
      <c r="W515" s="19">
        <v>160</v>
      </c>
      <c r="X515" s="37">
        <v>14171300</v>
      </c>
      <c r="Y515" s="46">
        <f t="shared" si="18"/>
        <v>5776057</v>
      </c>
    </row>
    <row r="516" spans="1:25" x14ac:dyDescent="0.25">
      <c r="A516" s="20">
        <f>+VLOOKUP(D516,Back!Q:R,2,0)</f>
        <v>2</v>
      </c>
      <c r="B516" s="20" t="str">
        <f t="shared" si="17"/>
        <v>2017 FEB</v>
      </c>
      <c r="C516" s="20">
        <v>2017</v>
      </c>
      <c r="D516" s="21" t="s">
        <v>138</v>
      </c>
      <c r="E516" s="21" t="s">
        <v>2</v>
      </c>
      <c r="F516" s="21">
        <v>52260671</v>
      </c>
      <c r="G516" s="21" t="s">
        <v>26</v>
      </c>
      <c r="H516" s="22">
        <v>34403177</v>
      </c>
      <c r="I516" s="22">
        <v>1322000</v>
      </c>
      <c r="J516" s="22">
        <v>6080500</v>
      </c>
      <c r="K516" s="23">
        <v>27000677</v>
      </c>
      <c r="L516" s="23">
        <v>22000000</v>
      </c>
      <c r="M516" s="24">
        <v>1.2273035000000001</v>
      </c>
      <c r="N516" s="209" t="str">
        <f>IFERROR(VLOOKUP(F516,Back!C:F,4,0),"NO")</f>
        <v>Si</v>
      </c>
      <c r="O516" s="26">
        <v>24</v>
      </c>
      <c r="P516" s="28" t="str">
        <f>IFERROR(VLOOKUP(F516,Back!C:E,3,0),"")</f>
        <v>IPS Pto De Vista Santa Bárbara</v>
      </c>
      <c r="Q516" s="28" t="str">
        <f>IFERROR(VLOOKUP(P516,Back!M:N,2,0),"")</f>
        <v>Centro</v>
      </c>
      <c r="R516" s="27" t="str">
        <f>IF(N516="Si",IFERROR(VLOOKUP(F516,'TD Cumpl'!B:AB,27,0),"No Aplica"),"No Aplica")</f>
        <v>Siempre Cumple</v>
      </c>
      <c r="S516" s="38">
        <v>66</v>
      </c>
      <c r="T516" s="36">
        <v>5950640</v>
      </c>
      <c r="U516" s="26">
        <v>181</v>
      </c>
      <c r="V516" s="37">
        <v>17832837</v>
      </c>
      <c r="W516" s="19">
        <v>95</v>
      </c>
      <c r="X516" s="37">
        <v>6080500</v>
      </c>
      <c r="Y516" s="46">
        <f t="shared" si="18"/>
        <v>4539200</v>
      </c>
    </row>
    <row r="517" spans="1:25" x14ac:dyDescent="0.25">
      <c r="A517" s="20">
        <f>+VLOOKUP(D517,Back!Q:R,2,0)</f>
        <v>2</v>
      </c>
      <c r="B517" s="20" t="str">
        <f t="shared" si="17"/>
        <v>2017 FEB</v>
      </c>
      <c r="C517" s="20">
        <v>2017</v>
      </c>
      <c r="D517" s="21" t="s">
        <v>138</v>
      </c>
      <c r="E517" s="21" t="s">
        <v>37</v>
      </c>
      <c r="F517" s="21">
        <v>1036779770</v>
      </c>
      <c r="G517" s="21" t="s">
        <v>52</v>
      </c>
      <c r="H517" s="22">
        <v>40294571</v>
      </c>
      <c r="I517" s="22">
        <v>2339830</v>
      </c>
      <c r="J517" s="22">
        <v>7444397</v>
      </c>
      <c r="K517" s="23">
        <v>30510344</v>
      </c>
      <c r="L517" s="23">
        <v>33000000</v>
      </c>
      <c r="M517" s="24">
        <v>0.92455587878787882</v>
      </c>
      <c r="N517" s="209" t="str">
        <f>IFERROR(VLOOKUP(F517,Back!C:F,4,0),"NO")</f>
        <v>No</v>
      </c>
      <c r="O517" s="26">
        <v>24</v>
      </c>
      <c r="P517" s="28" t="str">
        <f>IFERROR(VLOOKUP(F517,Back!C:E,3,0),"")</f>
        <v>IPS Pto De Vista Rionegro</v>
      </c>
      <c r="Q517" s="28" t="str">
        <f>IFERROR(VLOOKUP(P517,Back!M:N,2,0),"")</f>
        <v>Antioquia</v>
      </c>
      <c r="R517" s="27" t="str">
        <f>IF(N517="Si",IFERROR(VLOOKUP(F517,'TD Cumpl'!B:AB,27,0),"No Aplica"),"No Aplica")</f>
        <v>No Aplica</v>
      </c>
      <c r="S517" s="38">
        <v>88</v>
      </c>
      <c r="T517" s="36">
        <v>8338603</v>
      </c>
      <c r="U517" s="26">
        <v>227</v>
      </c>
      <c r="V517" s="37">
        <v>19153900</v>
      </c>
      <c r="W517" s="19">
        <v>126</v>
      </c>
      <c r="X517" s="37">
        <v>7444397</v>
      </c>
      <c r="Y517" s="46">
        <f t="shared" si="18"/>
        <v>5357671</v>
      </c>
    </row>
    <row r="518" spans="1:25" x14ac:dyDescent="0.25">
      <c r="A518" s="20">
        <f>+VLOOKUP(D518,Back!Q:R,2,0)</f>
        <v>2</v>
      </c>
      <c r="B518" s="20" t="str">
        <f t="shared" si="17"/>
        <v>2017 FEB</v>
      </c>
      <c r="C518" s="20">
        <v>2017</v>
      </c>
      <c r="D518" s="21" t="s">
        <v>138</v>
      </c>
      <c r="E518" s="21" t="s">
        <v>64</v>
      </c>
      <c r="F518" s="21">
        <v>1036598360</v>
      </c>
      <c r="G518" s="21" t="s">
        <v>146</v>
      </c>
      <c r="H518" s="22">
        <v>41686372</v>
      </c>
      <c r="I518" s="22">
        <v>840000</v>
      </c>
      <c r="J518" s="22">
        <v>8585900</v>
      </c>
      <c r="K518" s="23">
        <v>32260472</v>
      </c>
      <c r="L518" s="23">
        <v>30100000</v>
      </c>
      <c r="M518" s="24">
        <v>1.0717764784053156</v>
      </c>
      <c r="N518" s="209" t="str">
        <f>IFERROR(VLOOKUP(F518,Back!C:F,4,0),"NO")</f>
        <v>Si</v>
      </c>
      <c r="O518" s="26">
        <v>24</v>
      </c>
      <c r="P518" s="28" t="str">
        <f>IFERROR(VLOOKUP(F518,Back!C:E,3,0),"")</f>
        <v>IPS Pto De Vista Punto Clave</v>
      </c>
      <c r="Q518" s="28" t="str">
        <f>IFERROR(VLOOKUP(P518,Back!M:N,2,0),"")</f>
        <v>Antioquia</v>
      </c>
      <c r="R518" s="27" t="str">
        <f>IF(N518="Si",IFERROR(VLOOKUP(F518,'TD Cumpl'!B:AB,27,0),"No Aplica"),"No Aplica")</f>
        <v>Fluctúa</v>
      </c>
      <c r="S518" s="38">
        <v>56</v>
      </c>
      <c r="T518" s="36">
        <v>6179617</v>
      </c>
      <c r="U518" s="26">
        <v>144</v>
      </c>
      <c r="V518" s="37">
        <v>21098534</v>
      </c>
      <c r="W518" s="19">
        <v>100</v>
      </c>
      <c r="X518" s="37">
        <v>8585900</v>
      </c>
      <c r="Y518" s="46">
        <f t="shared" si="18"/>
        <v>5822321</v>
      </c>
    </row>
    <row r="519" spans="1:25" x14ac:dyDescent="0.25">
      <c r="A519" s="20">
        <f>+VLOOKUP(D519,Back!Q:R,2,0)</f>
        <v>2</v>
      </c>
      <c r="B519" s="20" t="str">
        <f t="shared" si="17"/>
        <v>2017 FEB</v>
      </c>
      <c r="C519" s="20">
        <v>2017</v>
      </c>
      <c r="D519" s="21" t="s">
        <v>138</v>
      </c>
      <c r="E519" s="21" t="s">
        <v>38</v>
      </c>
      <c r="F519" s="21">
        <v>43745192</v>
      </c>
      <c r="G519" s="21" t="s">
        <v>45</v>
      </c>
      <c r="H519" s="22">
        <v>25133155</v>
      </c>
      <c r="I519" s="22">
        <v>0</v>
      </c>
      <c r="J519" s="22">
        <v>0</v>
      </c>
      <c r="K519" s="23">
        <v>25133155</v>
      </c>
      <c r="L519" s="23">
        <v>22916666.666666664</v>
      </c>
      <c r="M519" s="24">
        <v>1.0967194909090909</v>
      </c>
      <c r="N519" s="209" t="str">
        <f>IFERROR(VLOOKUP(F519,Back!C:F,4,0),"NO")</f>
        <v>Si</v>
      </c>
      <c r="O519" s="26">
        <v>24</v>
      </c>
      <c r="P519" s="28" t="str">
        <f>IFERROR(VLOOKUP(F519,Back!C:E,3,0),"")</f>
        <v>IPS Punto de Vista Mayorca</v>
      </c>
      <c r="Q519" s="28" t="str">
        <f>IFERROR(VLOOKUP(P519,Back!M:N,2,0),"")</f>
        <v>Antioquia</v>
      </c>
      <c r="R519" s="27" t="str">
        <f>IF(N519="Si",IFERROR(VLOOKUP(F519,'TD Cumpl'!B:AB,27,0),"No Aplica"),"No Aplica")</f>
        <v>Cumple</v>
      </c>
      <c r="S519" s="38">
        <v>38</v>
      </c>
      <c r="T519" s="36">
        <v>4709573</v>
      </c>
      <c r="U519" s="26">
        <v>145</v>
      </c>
      <c r="V519" s="37">
        <v>19261760</v>
      </c>
      <c r="W519" s="19">
        <v>0</v>
      </c>
      <c r="X519" s="37">
        <v>0</v>
      </c>
      <c r="Y519" s="46">
        <f t="shared" si="18"/>
        <v>1161822</v>
      </c>
    </row>
    <row r="520" spans="1:25" x14ac:dyDescent="0.25">
      <c r="A520" s="20">
        <f>+VLOOKUP(D520,Back!Q:R,2,0)</f>
        <v>2</v>
      </c>
      <c r="B520" s="20" t="str">
        <f t="shared" si="17"/>
        <v>2017 FEB</v>
      </c>
      <c r="C520" s="20">
        <v>2017</v>
      </c>
      <c r="D520" s="21" t="s">
        <v>138</v>
      </c>
      <c r="E520" s="21" t="s">
        <v>13</v>
      </c>
      <c r="F520" s="21">
        <v>43866877</v>
      </c>
      <c r="G520" s="21" t="s">
        <v>46</v>
      </c>
      <c r="H520" s="22">
        <v>59675003</v>
      </c>
      <c r="I520" s="22">
        <v>1149600</v>
      </c>
      <c r="J520" s="22">
        <v>16494300</v>
      </c>
      <c r="K520" s="23">
        <v>42031103</v>
      </c>
      <c r="L520" s="23">
        <v>41000000</v>
      </c>
      <c r="M520" s="24">
        <v>1.0251488536585367</v>
      </c>
      <c r="N520" s="209" t="str">
        <f>IFERROR(VLOOKUP(F520,Back!C:F,4,0),"NO")</f>
        <v>Si</v>
      </c>
      <c r="O520" s="26">
        <v>24</v>
      </c>
      <c r="P520" s="28" t="str">
        <f>IFERROR(VLOOKUP(F520,Back!C:E,3,0),"")</f>
        <v>IPS Pto De Vista Centro</v>
      </c>
      <c r="Q520" s="28" t="str">
        <f>IFERROR(VLOOKUP(P520,Back!M:N,2,0),"")</f>
        <v>Antioquia</v>
      </c>
      <c r="R520" s="27" t="str">
        <f>IF(N520="Si",IFERROR(VLOOKUP(F520,'TD Cumpl'!B:AB,27,0),"No Aplica"),"No Aplica")</f>
        <v>Siempre Cumple</v>
      </c>
      <c r="S520" s="38">
        <v>118</v>
      </c>
      <c r="T520" s="36">
        <v>10242970</v>
      </c>
      <c r="U520" s="26">
        <v>254</v>
      </c>
      <c r="V520" s="37">
        <v>24085330</v>
      </c>
      <c r="W520" s="19">
        <v>192</v>
      </c>
      <c r="X520" s="37">
        <v>16494300</v>
      </c>
      <c r="Y520" s="46">
        <f t="shared" si="18"/>
        <v>8852403</v>
      </c>
    </row>
    <row r="521" spans="1:25" x14ac:dyDescent="0.25">
      <c r="A521" s="20">
        <f>+VLOOKUP(D521,Back!Q:R,2,0)</f>
        <v>2</v>
      </c>
      <c r="B521" s="20" t="str">
        <f t="shared" si="17"/>
        <v>2017 FEB</v>
      </c>
      <c r="C521" s="20">
        <v>2017</v>
      </c>
      <c r="D521" s="21" t="s">
        <v>138</v>
      </c>
      <c r="E521" s="21" t="s">
        <v>17</v>
      </c>
      <c r="F521" s="21">
        <v>43113640</v>
      </c>
      <c r="G521" s="21" t="s">
        <v>47</v>
      </c>
      <c r="H521" s="22">
        <v>40444878</v>
      </c>
      <c r="I521" s="22">
        <v>804000</v>
      </c>
      <c r="J521" s="22">
        <v>8178300</v>
      </c>
      <c r="K521" s="23">
        <v>31462578</v>
      </c>
      <c r="L521" s="23">
        <v>30100000</v>
      </c>
      <c r="M521" s="24">
        <v>1.0452683720930231</v>
      </c>
      <c r="N521" s="209" t="str">
        <f>IFERROR(VLOOKUP(F521,Back!C:F,4,0),"NO")</f>
        <v>Si</v>
      </c>
      <c r="O521" s="26">
        <v>24</v>
      </c>
      <c r="P521" s="28" t="str">
        <f>IFERROR(VLOOKUP(F521,Back!C:E,3,0),"")</f>
        <v>IPS Pto De Vista San Diego</v>
      </c>
      <c r="Q521" s="28" t="str">
        <f>IFERROR(VLOOKUP(P521,Back!M:N,2,0),"")</f>
        <v>Antioquia</v>
      </c>
      <c r="R521" s="27" t="str">
        <f>IF(N521="Si",IFERROR(VLOOKUP(F521,'TD Cumpl'!B:AB,27,0),"No Aplica"),"No Aplica")</f>
        <v>Cumple</v>
      </c>
      <c r="S521" s="38">
        <v>69</v>
      </c>
      <c r="T521" s="36">
        <v>7378285</v>
      </c>
      <c r="U521" s="26">
        <v>158</v>
      </c>
      <c r="V521" s="37">
        <v>18873815</v>
      </c>
      <c r="W521" s="19">
        <v>94</v>
      </c>
      <c r="X521" s="37">
        <v>8178300</v>
      </c>
      <c r="Y521" s="46">
        <f t="shared" si="18"/>
        <v>6014478</v>
      </c>
    </row>
    <row r="522" spans="1:25" x14ac:dyDescent="0.25">
      <c r="A522" s="20">
        <f>+VLOOKUP(D522,Back!Q:R,2,0)</f>
        <v>2</v>
      </c>
      <c r="B522" s="20" t="str">
        <f t="shared" si="17"/>
        <v>2017 FEB</v>
      </c>
      <c r="C522" s="20">
        <v>2017</v>
      </c>
      <c r="D522" s="21" t="s">
        <v>138</v>
      </c>
      <c r="E522" s="21" t="s">
        <v>24</v>
      </c>
      <c r="F522" s="21">
        <v>39448823</v>
      </c>
      <c r="G522" s="21" t="s">
        <v>48</v>
      </c>
      <c r="H522" s="22">
        <v>44055027</v>
      </c>
      <c r="I522" s="22">
        <v>2346200</v>
      </c>
      <c r="J522" s="22">
        <v>6594218</v>
      </c>
      <c r="K522" s="23">
        <v>35114609</v>
      </c>
      <c r="L522" s="23">
        <v>33000000</v>
      </c>
      <c r="M522" s="24">
        <v>1.0640790606060606</v>
      </c>
      <c r="N522" s="209" t="str">
        <f>IFERROR(VLOOKUP(F522,Back!C:F,4,0),"NO")</f>
        <v>Si</v>
      </c>
      <c r="O522" s="26">
        <v>24</v>
      </c>
      <c r="P522" s="28" t="str">
        <f>IFERROR(VLOOKUP(F522,Back!C:E,3,0),"")</f>
        <v>IPS Pto De Vista Rionegro</v>
      </c>
      <c r="Q522" s="28" t="str">
        <f>IFERROR(VLOOKUP(P522,Back!M:N,2,0),"")</f>
        <v>Antioquia</v>
      </c>
      <c r="R522" s="27" t="str">
        <f>IF(N522="Si",IFERROR(VLOOKUP(F522,'TD Cumpl'!B:AB,27,0),"No Aplica"),"No Aplica")</f>
        <v>Siempre Cumple</v>
      </c>
      <c r="S522" s="38">
        <v>76</v>
      </c>
      <c r="T522" s="36">
        <v>8961328</v>
      </c>
      <c r="U522" s="26">
        <v>206</v>
      </c>
      <c r="V522" s="37">
        <v>22799833</v>
      </c>
      <c r="W522" s="19">
        <v>119</v>
      </c>
      <c r="X522" s="37">
        <v>6594218</v>
      </c>
      <c r="Y522" s="46">
        <f t="shared" si="18"/>
        <v>5699648</v>
      </c>
    </row>
    <row r="523" spans="1:25" x14ac:dyDescent="0.25">
      <c r="A523" s="20">
        <f>+VLOOKUP(D523,Back!Q:R,2,0)</f>
        <v>2</v>
      </c>
      <c r="B523" s="20" t="str">
        <f t="shared" si="17"/>
        <v>2017 FEB</v>
      </c>
      <c r="C523" s="20">
        <v>2017</v>
      </c>
      <c r="D523" s="21" t="s">
        <v>138</v>
      </c>
      <c r="E523" s="21" t="s">
        <v>10</v>
      </c>
      <c r="F523" s="21">
        <v>43109744</v>
      </c>
      <c r="G523" s="21" t="s">
        <v>53</v>
      </c>
      <c r="H523" s="22">
        <v>12340397</v>
      </c>
      <c r="I523" s="22">
        <v>0</v>
      </c>
      <c r="J523" s="22">
        <v>3533500</v>
      </c>
      <c r="K523" s="23">
        <v>8806897</v>
      </c>
      <c r="L523" s="23">
        <v>23291666.666666668</v>
      </c>
      <c r="M523" s="24">
        <v>0.37811364579606438</v>
      </c>
      <c r="N523" s="209" t="str">
        <f>IFERROR(VLOOKUP(F523,Back!C:F,4,0),"NO")</f>
        <v>NO</v>
      </c>
      <c r="O523" s="26">
        <v>24</v>
      </c>
      <c r="P523" s="28" t="str">
        <f>IFERROR(VLOOKUP(F523,Back!C:E,3,0),"")</f>
        <v/>
      </c>
      <c r="Q523" s="28" t="str">
        <f>IFERROR(VLOOKUP(P523,Back!M:N,2,0),"")</f>
        <v/>
      </c>
      <c r="R523" s="27" t="str">
        <f>IF(N523="Si",IFERROR(VLOOKUP(F523,'TD Cumpl'!B:AB,27,0),"No Aplica"),"No Aplica")</f>
        <v>No Aplica</v>
      </c>
      <c r="S523" s="38">
        <v>25</v>
      </c>
      <c r="T523" s="36">
        <v>2041772</v>
      </c>
      <c r="U523" s="26">
        <v>50</v>
      </c>
      <c r="V523" s="37">
        <v>4401300</v>
      </c>
      <c r="W523" s="19">
        <v>45</v>
      </c>
      <c r="X523" s="37">
        <v>3533500</v>
      </c>
      <c r="Y523" s="46">
        <f t="shared" si="18"/>
        <v>2363825</v>
      </c>
    </row>
    <row r="524" spans="1:25" x14ac:dyDescent="0.25">
      <c r="A524" s="20">
        <f>+VLOOKUP(D524,Back!Q:R,2,0)</f>
        <v>2</v>
      </c>
      <c r="B524" s="20" t="str">
        <f t="shared" si="17"/>
        <v>2017 FEB</v>
      </c>
      <c r="C524" s="20">
        <v>2017</v>
      </c>
      <c r="D524" s="21" t="s">
        <v>138</v>
      </c>
      <c r="E524" s="21" t="s">
        <v>15</v>
      </c>
      <c r="F524" s="21">
        <v>42689970</v>
      </c>
      <c r="G524" s="21" t="s">
        <v>29</v>
      </c>
      <c r="H524" s="22">
        <v>35569171</v>
      </c>
      <c r="I524" s="22">
        <v>1479400</v>
      </c>
      <c r="J524" s="22">
        <v>10331400</v>
      </c>
      <c r="K524" s="23">
        <v>23758371</v>
      </c>
      <c r="L524" s="23">
        <v>43000000</v>
      </c>
      <c r="M524" s="24">
        <v>0.55252025581395348</v>
      </c>
      <c r="N524" s="209" t="str">
        <f>IFERROR(VLOOKUP(F524,Back!C:F,4,0),"NO")</f>
        <v>NO</v>
      </c>
      <c r="O524" s="26">
        <v>24</v>
      </c>
      <c r="P524" s="28" t="str">
        <f>IFERROR(VLOOKUP(F524,Back!C:E,3,0),"")</f>
        <v/>
      </c>
      <c r="Q524" s="28" t="str">
        <f>IFERROR(VLOOKUP(P524,Back!M:N,2,0),"")</f>
        <v/>
      </c>
      <c r="R524" s="27" t="str">
        <f>IF(N524="Si",IFERROR(VLOOKUP(F524,'TD Cumpl'!B:AB,27,0),"No Aplica"),"No Aplica")</f>
        <v>No Aplica</v>
      </c>
      <c r="S524" s="38">
        <v>53</v>
      </c>
      <c r="T524" s="36">
        <v>4971660</v>
      </c>
      <c r="U524" s="26">
        <v>112</v>
      </c>
      <c r="V524" s="37">
        <v>13473420</v>
      </c>
      <c r="W524" s="19">
        <v>121</v>
      </c>
      <c r="X524" s="37">
        <v>10331400</v>
      </c>
      <c r="Y524" s="46">
        <f t="shared" si="18"/>
        <v>6792691</v>
      </c>
    </row>
    <row r="525" spans="1:25" x14ac:dyDescent="0.25">
      <c r="A525" s="20">
        <f>+VLOOKUP(D525,Back!Q:R,2,0)</f>
        <v>2</v>
      </c>
      <c r="B525" s="20" t="str">
        <f t="shared" si="17"/>
        <v>2017 FEB</v>
      </c>
      <c r="C525" s="20">
        <v>2017</v>
      </c>
      <c r="D525" s="21" t="s">
        <v>138</v>
      </c>
      <c r="E525" s="21" t="s">
        <v>23</v>
      </c>
      <c r="F525" s="21">
        <v>43907427</v>
      </c>
      <c r="G525" s="21" t="s">
        <v>144</v>
      </c>
      <c r="H525" s="22">
        <v>46979824</v>
      </c>
      <c r="I525" s="22">
        <v>1116090</v>
      </c>
      <c r="J525" s="22">
        <v>5768200</v>
      </c>
      <c r="K525" s="23">
        <v>40095534</v>
      </c>
      <c r="L525" s="23">
        <v>36000000</v>
      </c>
      <c r="M525" s="24">
        <v>1.1137648333333334</v>
      </c>
      <c r="N525" s="209" t="str">
        <f>IFERROR(VLOOKUP(F525,Back!C:F,4,0),"NO")</f>
        <v>Si</v>
      </c>
      <c r="O525" s="26">
        <v>24</v>
      </c>
      <c r="P525" s="28" t="str">
        <f>IFERROR(VLOOKUP(F525,Back!C:E,3,0),"")</f>
        <v>IPS Pto De Vista Industriales</v>
      </c>
      <c r="Q525" s="28" t="str">
        <f>IFERROR(VLOOKUP(P525,Back!M:N,2,0),"")</f>
        <v>Antioquia</v>
      </c>
      <c r="R525" s="27" t="str">
        <f>IF(N525="Si",IFERROR(VLOOKUP(F525,'TD Cumpl'!B:AB,27,0),"No Aplica"),"No Aplica")</f>
        <v>Siempre Cumple</v>
      </c>
      <c r="S525" s="38">
        <v>50</v>
      </c>
      <c r="T525" s="36">
        <v>8827453</v>
      </c>
      <c r="U525" s="26">
        <v>142</v>
      </c>
      <c r="V525" s="37">
        <v>26701000</v>
      </c>
      <c r="W525" s="19">
        <v>68</v>
      </c>
      <c r="X525" s="37">
        <v>5768200</v>
      </c>
      <c r="Y525" s="46">
        <f t="shared" si="18"/>
        <v>5683171</v>
      </c>
    </row>
    <row r="526" spans="1:25" x14ac:dyDescent="0.25">
      <c r="A526" s="20">
        <f>+VLOOKUP(D526,Back!Q:R,2,0)</f>
        <v>2</v>
      </c>
      <c r="B526" s="20" t="str">
        <f t="shared" si="17"/>
        <v>2017 FEB</v>
      </c>
      <c r="C526" s="20">
        <v>2017</v>
      </c>
      <c r="D526" s="21" t="s">
        <v>138</v>
      </c>
      <c r="E526" s="21" t="s">
        <v>12</v>
      </c>
      <c r="F526" s="21">
        <v>91511871</v>
      </c>
      <c r="G526" s="21" t="s">
        <v>49</v>
      </c>
      <c r="H526" s="22">
        <v>38308469</v>
      </c>
      <c r="I526" s="22">
        <v>628000</v>
      </c>
      <c r="J526" s="22">
        <v>10619900</v>
      </c>
      <c r="K526" s="23">
        <v>27060569</v>
      </c>
      <c r="L526" s="23">
        <v>22958333.333333332</v>
      </c>
      <c r="M526" s="24">
        <v>1.1786817713248638</v>
      </c>
      <c r="N526" s="209" t="str">
        <f>IFERROR(VLOOKUP(F526,Back!C:F,4,0),"NO")</f>
        <v>NO</v>
      </c>
      <c r="O526" s="26">
        <v>24</v>
      </c>
      <c r="P526" s="28" t="str">
        <f>IFERROR(VLOOKUP(F526,Back!C:E,3,0),"")</f>
        <v/>
      </c>
      <c r="Q526" s="28" t="str">
        <f>IFERROR(VLOOKUP(P526,Back!M:N,2,0),"")</f>
        <v/>
      </c>
      <c r="R526" s="27" t="str">
        <f>IF(N526="Si",IFERROR(VLOOKUP(F526,'TD Cumpl'!B:AB,27,0),"No Aplica"),"No Aplica")</f>
        <v>No Aplica</v>
      </c>
      <c r="S526" s="38">
        <v>94</v>
      </c>
      <c r="T526" s="36">
        <v>6957996</v>
      </c>
      <c r="U526" s="26">
        <v>207</v>
      </c>
      <c r="V526" s="37">
        <v>17344140</v>
      </c>
      <c r="W526" s="19">
        <v>124</v>
      </c>
      <c r="X526" s="37">
        <v>10619900</v>
      </c>
      <c r="Y526" s="46">
        <f t="shared" si="18"/>
        <v>3386433</v>
      </c>
    </row>
    <row r="527" spans="1:25" x14ac:dyDescent="0.25">
      <c r="A527" s="20">
        <f>+VLOOKUP(D527,Back!Q:R,2,0)</f>
        <v>2</v>
      </c>
      <c r="B527" s="20" t="str">
        <f t="shared" si="17"/>
        <v>2017 FEB</v>
      </c>
      <c r="C527" s="20">
        <v>2017</v>
      </c>
      <c r="D527" s="21" t="s">
        <v>138</v>
      </c>
      <c r="E527" s="21" t="s">
        <v>62</v>
      </c>
      <c r="F527" s="21">
        <v>32256379</v>
      </c>
      <c r="G527" s="21" t="s">
        <v>61</v>
      </c>
      <c r="H527" s="22">
        <v>16653931</v>
      </c>
      <c r="I527" s="22">
        <v>0</v>
      </c>
      <c r="J527" s="22">
        <v>3199400</v>
      </c>
      <c r="K527" s="23">
        <v>13454531</v>
      </c>
      <c r="L527" s="23">
        <v>30458333.333333336</v>
      </c>
      <c r="M527" s="24">
        <v>0.44173562790697674</v>
      </c>
      <c r="N527" s="209" t="str">
        <f>IFERROR(VLOOKUP(F527,Back!C:F,4,0),"NO")</f>
        <v>Si</v>
      </c>
      <c r="O527" s="26">
        <v>24</v>
      </c>
      <c r="P527" s="28" t="str">
        <f>IFERROR(VLOOKUP(F527,Back!C:E,3,0),"")</f>
        <v>Ferias Empresariales Antioquia</v>
      </c>
      <c r="Q527" s="28" t="str">
        <f>IFERROR(VLOOKUP(P527,Back!M:N,2,0),"")</f>
        <v>Antioquia</v>
      </c>
      <c r="R527" s="27" t="str">
        <f>IF(N527="Si",IFERROR(VLOOKUP(F527,'TD Cumpl'!B:AB,27,0),"No Aplica"),"No Aplica")</f>
        <v>Fluctúa</v>
      </c>
      <c r="S527" s="38">
        <v>30</v>
      </c>
      <c r="T527" s="36">
        <v>3351844</v>
      </c>
      <c r="U527" s="26">
        <v>76</v>
      </c>
      <c r="V527" s="37">
        <v>7802200</v>
      </c>
      <c r="W527" s="19">
        <v>48</v>
      </c>
      <c r="X527" s="37">
        <v>3199400</v>
      </c>
      <c r="Y527" s="46">
        <f t="shared" si="18"/>
        <v>2300487</v>
      </c>
    </row>
    <row r="528" spans="1:25" x14ac:dyDescent="0.25">
      <c r="A528" s="20">
        <f>+VLOOKUP(D528,Back!Q:R,2,0)</f>
        <v>2</v>
      </c>
      <c r="B528" s="20" t="str">
        <f t="shared" si="17"/>
        <v>2017 FEB</v>
      </c>
      <c r="C528" s="20">
        <v>2017</v>
      </c>
      <c r="D528" s="21" t="s">
        <v>138</v>
      </c>
      <c r="E528" s="21" t="s">
        <v>4</v>
      </c>
      <c r="F528" s="21">
        <v>79701425</v>
      </c>
      <c r="G528" s="21" t="s">
        <v>27</v>
      </c>
      <c r="H528" s="22">
        <v>31599381</v>
      </c>
      <c r="I528" s="22">
        <v>420000</v>
      </c>
      <c r="J528" s="22">
        <v>6160400</v>
      </c>
      <c r="K528" s="23">
        <v>25018981</v>
      </c>
      <c r="L528" s="23">
        <v>20000000</v>
      </c>
      <c r="M528" s="24">
        <v>1.25094905</v>
      </c>
      <c r="N528" s="209" t="str">
        <f>IFERROR(VLOOKUP(F528,Back!C:F,4,0),"NO")</f>
        <v>No</v>
      </c>
      <c r="O528" s="26">
        <v>24</v>
      </c>
      <c r="P528" s="28" t="str">
        <f>IFERROR(VLOOKUP(F528,Back!C:E,3,0),"")</f>
        <v>IPS Pto De Vista Olaya</v>
      </c>
      <c r="Q528" s="28" t="str">
        <f>IFERROR(VLOOKUP(P528,Back!M:N,2,0),"")</f>
        <v>Centro</v>
      </c>
      <c r="R528" s="27" t="str">
        <f>IF(N528="Si",IFERROR(VLOOKUP(F528,'TD Cumpl'!B:AB,27,0),"No Aplica"),"No Aplica")</f>
        <v>No Aplica</v>
      </c>
      <c r="S528" s="38">
        <v>84</v>
      </c>
      <c r="T528" s="36">
        <v>5677307</v>
      </c>
      <c r="U528" s="26">
        <v>188</v>
      </c>
      <c r="V528" s="37">
        <v>15928510</v>
      </c>
      <c r="W528" s="19">
        <v>101</v>
      </c>
      <c r="X528" s="37">
        <v>6160400</v>
      </c>
      <c r="Y528" s="46">
        <f t="shared" si="18"/>
        <v>3833164</v>
      </c>
    </row>
    <row r="529" spans="1:25" x14ac:dyDescent="0.25">
      <c r="A529" s="20">
        <f>+VLOOKUP(D529,Back!Q:R,2,0)</f>
        <v>2</v>
      </c>
      <c r="B529" s="20" t="str">
        <f t="shared" si="17"/>
        <v>2017 FEB</v>
      </c>
      <c r="C529" s="20">
        <v>2017</v>
      </c>
      <c r="D529" s="21" t="s">
        <v>138</v>
      </c>
      <c r="E529" s="21" t="s">
        <v>5</v>
      </c>
      <c r="F529" s="21">
        <v>34542470</v>
      </c>
      <c r="G529" s="21" t="s">
        <v>28</v>
      </c>
      <c r="H529" s="22">
        <v>29945140</v>
      </c>
      <c r="I529" s="22">
        <v>1080600</v>
      </c>
      <c r="J529" s="22">
        <v>3788500</v>
      </c>
      <c r="K529" s="23">
        <v>25076040</v>
      </c>
      <c r="L529" s="23">
        <v>22916666.666666664</v>
      </c>
      <c r="M529" s="24">
        <v>1.0942272000000002</v>
      </c>
      <c r="N529" s="209" t="str">
        <f>IFERROR(VLOOKUP(F529,Back!C:F,4,0),"NO")</f>
        <v>Si</v>
      </c>
      <c r="O529" s="26">
        <v>24</v>
      </c>
      <c r="P529" s="28" t="str">
        <f>IFERROR(VLOOKUP(F529,Back!C:E,3,0),"")</f>
        <v>Optica Salud Sura Chipichape</v>
      </c>
      <c r="Q529" s="28" t="str">
        <f>IFERROR(VLOOKUP(P529,Back!M:N,2,0),"")</f>
        <v>Occidente</v>
      </c>
      <c r="R529" s="27" t="str">
        <f>IF(N529="Si",IFERROR(VLOOKUP(F529,'TD Cumpl'!B:AB,27,0),"No Aplica"),"No Aplica")</f>
        <v>Siempre Cumple</v>
      </c>
      <c r="S529" s="38">
        <v>77</v>
      </c>
      <c r="T529" s="36">
        <v>9072439</v>
      </c>
      <c r="U529" s="26">
        <v>186</v>
      </c>
      <c r="V529" s="37">
        <v>13613875</v>
      </c>
      <c r="W529" s="19">
        <v>45</v>
      </c>
      <c r="X529" s="37">
        <v>3788500</v>
      </c>
      <c r="Y529" s="46">
        <f t="shared" si="18"/>
        <v>3470326</v>
      </c>
    </row>
    <row r="530" spans="1:25" x14ac:dyDescent="0.25">
      <c r="A530" s="20">
        <f>+VLOOKUP(D530,Back!Q:R,2,0)</f>
        <v>2</v>
      </c>
      <c r="B530" s="20" t="str">
        <f t="shared" si="17"/>
        <v>2017 FEB</v>
      </c>
      <c r="C530" s="20">
        <v>2017</v>
      </c>
      <c r="D530" s="21" t="s">
        <v>138</v>
      </c>
      <c r="E530" s="21" t="s">
        <v>7</v>
      </c>
      <c r="F530" s="21">
        <v>43745952</v>
      </c>
      <c r="G530" s="21" t="s">
        <v>50</v>
      </c>
      <c r="H530" s="22">
        <v>72939379</v>
      </c>
      <c r="I530" s="22">
        <v>824100</v>
      </c>
      <c r="J530" s="22">
        <v>16643800</v>
      </c>
      <c r="K530" s="23">
        <v>57357876</v>
      </c>
      <c r="L530" s="23">
        <v>43000000</v>
      </c>
      <c r="M530" s="24">
        <v>1.3339040930232557</v>
      </c>
      <c r="N530" s="209" t="str">
        <f>IFERROR(VLOOKUP(F530,Back!C:F,4,0),"NO")</f>
        <v>Si</v>
      </c>
      <c r="O530" s="26">
        <v>24</v>
      </c>
      <c r="P530" s="28" t="str">
        <f>IFERROR(VLOOKUP(F530,Back!C:E,3,0),"")</f>
        <v>IPS Pto De Vista Unicentro</v>
      </c>
      <c r="Q530" s="28" t="str">
        <f>IFERROR(VLOOKUP(P530,Back!M:N,2,0),"")</f>
        <v>Antioquia</v>
      </c>
      <c r="R530" s="27" t="str">
        <f>IF(N530="Si",IFERROR(VLOOKUP(F530,'TD Cumpl'!B:AB,27,0),"No Aplica"),"No Aplica")</f>
        <v>Siempre Cumple</v>
      </c>
      <c r="S530" s="38">
        <v>131</v>
      </c>
      <c r="T530" s="36">
        <v>11846122</v>
      </c>
      <c r="U530" s="26">
        <v>301</v>
      </c>
      <c r="V530" s="37">
        <v>34700815</v>
      </c>
      <c r="W530" s="19">
        <v>203</v>
      </c>
      <c r="X530" s="37">
        <v>16643800</v>
      </c>
      <c r="Y530" s="46">
        <f t="shared" si="18"/>
        <v>9748642</v>
      </c>
    </row>
    <row r="531" spans="1:25" x14ac:dyDescent="0.25">
      <c r="A531" s="20">
        <f>+VLOOKUP(D531,Back!Q:R,2,0)</f>
        <v>2</v>
      </c>
      <c r="B531" s="20" t="str">
        <f t="shared" si="17"/>
        <v>2017 FEB</v>
      </c>
      <c r="C531" s="20">
        <v>2017</v>
      </c>
      <c r="D531" s="21" t="s">
        <v>138</v>
      </c>
      <c r="E531" s="21" t="s">
        <v>8</v>
      </c>
      <c r="F531" s="21">
        <v>43259130</v>
      </c>
      <c r="G531" s="21" t="s">
        <v>51</v>
      </c>
      <c r="H531" s="22">
        <v>63025137</v>
      </c>
      <c r="I531" s="22">
        <v>1386000</v>
      </c>
      <c r="J531" s="22">
        <v>15148400</v>
      </c>
      <c r="K531" s="23">
        <v>45082940</v>
      </c>
      <c r="L531" s="23">
        <v>43000000</v>
      </c>
      <c r="M531" s="24">
        <v>1.0484404651162791</v>
      </c>
      <c r="N531" s="209" t="str">
        <f>IFERROR(VLOOKUP(F531,Back!C:F,4,0),"NO")</f>
        <v>Si</v>
      </c>
      <c r="O531" s="26">
        <v>24</v>
      </c>
      <c r="P531" s="28" t="str">
        <f>IFERROR(VLOOKUP(F531,Back!C:E,3,0),"")</f>
        <v>IPS Pto De Vista Molinos</v>
      </c>
      <c r="Q531" s="28" t="str">
        <f>IFERROR(VLOOKUP(P531,Back!M:N,2,0),"")</f>
        <v>Antioquia</v>
      </c>
      <c r="R531" s="27" t="str">
        <f>IF(N531="Si",IFERROR(VLOOKUP(F531,'TD Cumpl'!B:AB,27,0),"No Aplica"),"No Aplica")</f>
        <v>Fluctúa</v>
      </c>
      <c r="S531" s="38">
        <v>106</v>
      </c>
      <c r="T531" s="36">
        <v>9580283</v>
      </c>
      <c r="U531" s="26">
        <v>287</v>
      </c>
      <c r="V531" s="37">
        <v>32278585</v>
      </c>
      <c r="W531" s="19">
        <v>179</v>
      </c>
      <c r="X531" s="37">
        <v>15148400</v>
      </c>
      <c r="Y531" s="46">
        <f t="shared" si="18"/>
        <v>6017869</v>
      </c>
    </row>
    <row r="532" spans="1:25" x14ac:dyDescent="0.25">
      <c r="A532" s="20">
        <f>+VLOOKUP(D532,Back!Q:R,2,0)</f>
        <v>2</v>
      </c>
      <c r="B532" s="20" t="str">
        <f t="shared" si="17"/>
        <v>2017 FEB</v>
      </c>
      <c r="C532" s="20">
        <v>2017</v>
      </c>
      <c r="D532" s="21" t="s">
        <v>138</v>
      </c>
      <c r="E532" s="21" t="s">
        <v>57</v>
      </c>
      <c r="F532" s="21">
        <v>43874518</v>
      </c>
      <c r="G532" s="21" t="s">
        <v>60</v>
      </c>
      <c r="H532" s="22">
        <v>56895592</v>
      </c>
      <c r="I532" s="22">
        <v>1244100</v>
      </c>
      <c r="J532" s="22">
        <v>10255900</v>
      </c>
      <c r="K532" s="23">
        <v>45395592</v>
      </c>
      <c r="L532" s="23">
        <v>43000000</v>
      </c>
      <c r="M532" s="24">
        <v>1.0557114418604652</v>
      </c>
      <c r="N532" s="209" t="str">
        <f>IFERROR(VLOOKUP(F532,Back!C:F,4,0),"NO")</f>
        <v>Si</v>
      </c>
      <c r="O532" s="26">
        <v>24</v>
      </c>
      <c r="P532" s="28" t="str">
        <f>IFERROR(VLOOKUP(F532,Back!C:E,3,0),"")</f>
        <v>IPS Pto De Vista Punto Clave</v>
      </c>
      <c r="Q532" s="28" t="str">
        <f>IFERROR(VLOOKUP(P532,Back!M:N,2,0),"")</f>
        <v>Antioquia</v>
      </c>
      <c r="R532" s="27" t="str">
        <f>IF(N532="Si",IFERROR(VLOOKUP(F532,'TD Cumpl'!B:AB,27,0),"No Aplica"),"No Aplica")</f>
        <v>Fluctúa</v>
      </c>
      <c r="S532" s="38">
        <v>101</v>
      </c>
      <c r="T532" s="36">
        <v>9220354</v>
      </c>
      <c r="U532" s="26">
        <v>262</v>
      </c>
      <c r="V532" s="37">
        <v>27566042</v>
      </c>
      <c r="W532" s="19">
        <v>115</v>
      </c>
      <c r="X532" s="37">
        <v>10255900</v>
      </c>
      <c r="Y532" s="46">
        <f t="shared" si="18"/>
        <v>9853296</v>
      </c>
    </row>
    <row r="533" spans="1:25" x14ac:dyDescent="0.25">
      <c r="A533" s="20">
        <f>+VLOOKUP(D533,Back!Q:R,2,0)</f>
        <v>2</v>
      </c>
      <c r="B533" s="20" t="str">
        <f t="shared" si="17"/>
        <v>2017 FEB</v>
      </c>
      <c r="C533" s="20">
        <v>2017</v>
      </c>
      <c r="D533" s="21" t="s">
        <v>138</v>
      </c>
      <c r="E533" s="21" t="s">
        <v>84</v>
      </c>
      <c r="F533" s="21">
        <v>1020736461</v>
      </c>
      <c r="G533" s="21" t="s">
        <v>156</v>
      </c>
      <c r="H533" s="22">
        <v>34777339</v>
      </c>
      <c r="I533" s="22">
        <v>792000</v>
      </c>
      <c r="J533" s="22">
        <v>5689700</v>
      </c>
      <c r="K533" s="23">
        <v>28295639</v>
      </c>
      <c r="L533" s="23">
        <v>22000000</v>
      </c>
      <c r="M533" s="24">
        <v>1.2861654090909092</v>
      </c>
      <c r="N533" s="209" t="str">
        <f>IFERROR(VLOOKUP(F533,Back!C:F,4,0),"NO")</f>
        <v>Si</v>
      </c>
      <c r="O533" s="26">
        <v>24</v>
      </c>
      <c r="P533" s="28" t="str">
        <f>IFERROR(VLOOKUP(F533,Back!C:E,3,0),"")</f>
        <v>IPS Pto De Vista Santa Bárbara</v>
      </c>
      <c r="Q533" s="28" t="str">
        <f>IFERROR(VLOOKUP(P533,Back!M:N,2,0),"")</f>
        <v>Centro</v>
      </c>
      <c r="R533" s="27" t="str">
        <f>IF(N533="Si",IFERROR(VLOOKUP(F533,'TD Cumpl'!B:AB,27,0),"No Aplica"),"No Aplica")</f>
        <v>Siempre Cumple</v>
      </c>
      <c r="S533" s="38">
        <v>66</v>
      </c>
      <c r="T533" s="36">
        <v>5609081</v>
      </c>
      <c r="U533" s="26">
        <v>186</v>
      </c>
      <c r="V533" s="37">
        <v>21302080</v>
      </c>
      <c r="W533" s="19">
        <v>97</v>
      </c>
      <c r="X533" s="37">
        <v>5689700</v>
      </c>
      <c r="Y533" s="46">
        <f t="shared" si="18"/>
        <v>2176478</v>
      </c>
    </row>
    <row r="534" spans="1:25" x14ac:dyDescent="0.25">
      <c r="A534" s="20">
        <f>+VLOOKUP(D534,Back!Q:R,2,0)</f>
        <v>2</v>
      </c>
      <c r="B534" s="20" t="str">
        <f t="shared" si="17"/>
        <v>2017 FEB</v>
      </c>
      <c r="C534" s="20">
        <v>2017</v>
      </c>
      <c r="D534" s="21" t="s">
        <v>138</v>
      </c>
      <c r="E534" s="21" t="s">
        <v>81</v>
      </c>
      <c r="F534" s="21">
        <v>1017200970</v>
      </c>
      <c r="G534" s="21" t="s">
        <v>82</v>
      </c>
      <c r="H534" s="22">
        <v>37910378</v>
      </c>
      <c r="I534" s="22">
        <v>2283400</v>
      </c>
      <c r="J534" s="22">
        <v>8744900</v>
      </c>
      <c r="K534" s="23">
        <v>27203777</v>
      </c>
      <c r="L534" s="23">
        <v>43000000</v>
      </c>
      <c r="M534" s="24">
        <v>0.6326459767441861</v>
      </c>
      <c r="N534" s="209" t="str">
        <f>IFERROR(VLOOKUP(F534,Back!C:F,4,0),"NO")</f>
        <v>Si</v>
      </c>
      <c r="O534" s="26">
        <v>24</v>
      </c>
      <c r="P534" s="28" t="str">
        <f>IFERROR(VLOOKUP(F534,Back!C:E,3,0),"")</f>
        <v>IPS Pto De Vista San Diego</v>
      </c>
      <c r="Q534" s="28" t="str">
        <f>IFERROR(VLOOKUP(P534,Back!M:N,2,0),"")</f>
        <v>Antioquia</v>
      </c>
      <c r="R534" s="27" t="str">
        <f>IF(N534="Si",IFERROR(VLOOKUP(F534,'TD Cumpl'!B:AB,27,0),"No Aplica"),"No Aplica")</f>
        <v>Cumple</v>
      </c>
      <c r="S534" s="38">
        <v>64</v>
      </c>
      <c r="T534" s="36">
        <v>5903671</v>
      </c>
      <c r="U534" s="26">
        <v>144</v>
      </c>
      <c r="V534" s="37">
        <v>14652970</v>
      </c>
      <c r="W534" s="19">
        <v>107</v>
      </c>
      <c r="X534" s="37">
        <v>8744900</v>
      </c>
      <c r="Y534" s="46">
        <f t="shared" si="18"/>
        <v>8608837</v>
      </c>
    </row>
    <row r="535" spans="1:25" x14ac:dyDescent="0.25">
      <c r="A535" s="20">
        <f>+VLOOKUP(D535,Back!Q:R,2,0)</f>
        <v>2</v>
      </c>
      <c r="B535" s="20" t="str">
        <f t="shared" si="17"/>
        <v>2017 FEB</v>
      </c>
      <c r="C535" s="20">
        <v>2017</v>
      </c>
      <c r="D535" s="21" t="s">
        <v>138</v>
      </c>
      <c r="E535" s="21" t="s">
        <v>72</v>
      </c>
      <c r="F535" s="21">
        <v>43636530</v>
      </c>
      <c r="G535" s="21" t="s">
        <v>483</v>
      </c>
      <c r="H535" s="22">
        <v>54093944</v>
      </c>
      <c r="I535" s="22">
        <v>2627000</v>
      </c>
      <c r="J535" s="22">
        <v>9531900</v>
      </c>
      <c r="K535" s="23">
        <v>41935044</v>
      </c>
      <c r="L535" s="23">
        <v>41000000</v>
      </c>
      <c r="M535" s="24">
        <v>1.0228059512195122</v>
      </c>
      <c r="N535" s="209" t="str">
        <f>IFERROR(VLOOKUP(F535,Back!C:F,4,0),"NO")</f>
        <v>NO</v>
      </c>
      <c r="O535" s="26">
        <v>24</v>
      </c>
      <c r="P535" s="28" t="str">
        <f>IFERROR(VLOOKUP(F535,Back!C:E,3,0),"")</f>
        <v/>
      </c>
      <c r="Q535" s="28" t="str">
        <f>IFERROR(VLOOKUP(P535,Back!M:N,2,0),"")</f>
        <v/>
      </c>
      <c r="R535" s="27" t="str">
        <f>IF(N535="Si",IFERROR(VLOOKUP(F535,'TD Cumpl'!B:AB,27,0),"No Aplica"),"No Aplica")</f>
        <v>No Aplica</v>
      </c>
      <c r="S535" s="38">
        <v>119</v>
      </c>
      <c r="T535" s="36">
        <v>9631072</v>
      </c>
      <c r="U535" s="26">
        <v>298</v>
      </c>
      <c r="V535" s="37">
        <v>27082440</v>
      </c>
      <c r="W535" s="19">
        <v>115</v>
      </c>
      <c r="X535" s="37">
        <v>9531900</v>
      </c>
      <c r="Y535" s="46">
        <f t="shared" si="18"/>
        <v>7848532</v>
      </c>
    </row>
    <row r="536" spans="1:25" x14ac:dyDescent="0.25">
      <c r="A536" s="20">
        <f>+VLOOKUP(D536,Back!Q:R,2,0)</f>
        <v>2</v>
      </c>
      <c r="B536" s="20" t="str">
        <f t="shared" si="17"/>
        <v>2017 FEB</v>
      </c>
      <c r="C536" s="20">
        <v>2017</v>
      </c>
      <c r="D536" s="21" t="s">
        <v>138</v>
      </c>
      <c r="E536" s="21" t="s">
        <v>88</v>
      </c>
      <c r="F536" s="21">
        <v>31445278</v>
      </c>
      <c r="G536" s="21" t="s">
        <v>93</v>
      </c>
      <c r="H536" s="22">
        <v>28558040</v>
      </c>
      <c r="I536" s="22">
        <v>0</v>
      </c>
      <c r="J536" s="22">
        <v>10418500</v>
      </c>
      <c r="K536" s="23">
        <v>18139540</v>
      </c>
      <c r="L536" s="23">
        <v>27000000</v>
      </c>
      <c r="M536" s="24">
        <v>0.67183481481481477</v>
      </c>
      <c r="N536" s="209" t="str">
        <f>IFERROR(VLOOKUP(F536,Back!C:F,4,0),"NO")</f>
        <v>Si</v>
      </c>
      <c r="O536" s="26">
        <v>24</v>
      </c>
      <c r="P536" s="28" t="str">
        <f>IFERROR(VLOOKUP(F536,Back!C:E,3,0),"")</f>
        <v>Punto de Vista Tequendama</v>
      </c>
      <c r="Q536" s="28" t="str">
        <f>IFERROR(VLOOKUP(P536,Back!M:N,2,0),"")</f>
        <v>Occidente</v>
      </c>
      <c r="R536" s="27" t="str">
        <f>IF(N536="Si",IFERROR(VLOOKUP(F536,'TD Cumpl'!B:AB,27,0),"No Aplica"),"No Aplica")</f>
        <v>Cumple</v>
      </c>
      <c r="S536" s="38">
        <v>72</v>
      </c>
      <c r="T536" s="36">
        <v>5358361</v>
      </c>
      <c r="U536" s="26">
        <v>192</v>
      </c>
      <c r="V536" s="37">
        <v>10208432</v>
      </c>
      <c r="W536" s="19">
        <v>149</v>
      </c>
      <c r="X536" s="37">
        <v>10418500</v>
      </c>
      <c r="Y536" s="46">
        <f t="shared" si="18"/>
        <v>2572747</v>
      </c>
    </row>
    <row r="537" spans="1:25" x14ac:dyDescent="0.25">
      <c r="A537" s="20">
        <f>+VLOOKUP(D537,Back!Q:R,2,0)</f>
        <v>2</v>
      </c>
      <c r="B537" s="20" t="str">
        <f t="shared" si="17"/>
        <v>2017 FEB</v>
      </c>
      <c r="C537" s="20">
        <v>2017</v>
      </c>
      <c r="D537" s="21" t="s">
        <v>138</v>
      </c>
      <c r="E537" s="21" t="s">
        <v>89</v>
      </c>
      <c r="F537" s="21">
        <v>1144140699</v>
      </c>
      <c r="G537" s="21" t="s">
        <v>94</v>
      </c>
      <c r="H537" s="22">
        <v>27244642</v>
      </c>
      <c r="I537" s="22">
        <v>0</v>
      </c>
      <c r="J537" s="22">
        <v>10184900</v>
      </c>
      <c r="K537" s="23">
        <v>17059742</v>
      </c>
      <c r="L537" s="23">
        <v>27000000</v>
      </c>
      <c r="M537" s="24">
        <v>0.63184229629629629</v>
      </c>
      <c r="N537" s="209" t="str">
        <f>IFERROR(VLOOKUP(F537,Back!C:F,4,0),"NO")</f>
        <v>NO</v>
      </c>
      <c r="O537" s="26">
        <v>24</v>
      </c>
      <c r="P537" s="28" t="str">
        <f>IFERROR(VLOOKUP(F537,Back!C:E,3,0),"")</f>
        <v/>
      </c>
      <c r="Q537" s="28" t="str">
        <f>IFERROR(VLOOKUP(P537,Back!M:N,2,0),"")</f>
        <v/>
      </c>
      <c r="R537" s="27" t="str">
        <f>IF(N537="Si",IFERROR(VLOOKUP(F537,'TD Cumpl'!B:AB,27,0),"No Aplica"),"No Aplica")</f>
        <v>No Aplica</v>
      </c>
      <c r="S537" s="38">
        <v>59</v>
      </c>
      <c r="T537" s="36">
        <v>4231413</v>
      </c>
      <c r="U537" s="26">
        <v>184</v>
      </c>
      <c r="V537" s="37">
        <v>10087970</v>
      </c>
      <c r="W537" s="19">
        <v>0</v>
      </c>
      <c r="X537" s="37">
        <v>0</v>
      </c>
      <c r="Y537" s="46">
        <f t="shared" si="18"/>
        <v>12925259</v>
      </c>
    </row>
    <row r="538" spans="1:25" x14ac:dyDescent="0.25">
      <c r="A538" s="20">
        <f>+VLOOKUP(D538,Back!Q:R,2,0)</f>
        <v>2</v>
      </c>
      <c r="B538" s="20" t="str">
        <f t="shared" si="17"/>
        <v>2017 FEB</v>
      </c>
      <c r="C538" s="20">
        <v>2017</v>
      </c>
      <c r="D538" s="21" t="s">
        <v>138</v>
      </c>
      <c r="E538" s="21" t="s">
        <v>91</v>
      </c>
      <c r="F538" s="21">
        <v>43114534</v>
      </c>
      <c r="G538" s="21" t="s">
        <v>95</v>
      </c>
      <c r="H538" s="22">
        <v>17955208</v>
      </c>
      <c r="I538" s="22">
        <v>0</v>
      </c>
      <c r="J538" s="22">
        <v>1288500</v>
      </c>
      <c r="K538" s="23">
        <v>16666708</v>
      </c>
      <c r="L538" s="23">
        <v>16200000</v>
      </c>
      <c r="M538" s="24">
        <v>1.0288091358024691</v>
      </c>
      <c r="N538" s="209" t="str">
        <f>IFERROR(VLOOKUP(F538,Back!C:F,4,0),"NO")</f>
        <v>No</v>
      </c>
      <c r="O538" s="26">
        <v>24</v>
      </c>
      <c r="P538" s="28" t="str">
        <f>IFERROR(VLOOKUP(F538,Back!C:E,3,0),"")</f>
        <v>IPS Pto De Vista San Diego</v>
      </c>
      <c r="Q538" s="28" t="str">
        <f>IFERROR(VLOOKUP(P538,Back!M:N,2,0),"")</f>
        <v>Antioquia</v>
      </c>
      <c r="R538" s="27" t="str">
        <f>IF(N538="Si",IFERROR(VLOOKUP(F538,'TD Cumpl'!B:AB,27,0),"No Aplica"),"No Aplica")</f>
        <v>No Aplica</v>
      </c>
      <c r="S538" s="38">
        <v>33</v>
      </c>
      <c r="T538" s="36">
        <v>4013111</v>
      </c>
      <c r="U538" s="26">
        <v>82</v>
      </c>
      <c r="V538" s="37">
        <v>9547040</v>
      </c>
      <c r="W538" s="19">
        <v>17</v>
      </c>
      <c r="X538" s="37">
        <v>1288500</v>
      </c>
      <c r="Y538" s="46">
        <f t="shared" si="18"/>
        <v>3106557</v>
      </c>
    </row>
    <row r="539" spans="1:25" x14ac:dyDescent="0.25">
      <c r="A539" s="20">
        <f>+VLOOKUP(D539,Back!Q:R,2,0)</f>
        <v>2</v>
      </c>
      <c r="B539" s="20" t="str">
        <f t="shared" si="17"/>
        <v>2017 FEB</v>
      </c>
      <c r="C539" s="20">
        <v>2017</v>
      </c>
      <c r="D539" s="21" t="s">
        <v>138</v>
      </c>
      <c r="E539" s="21" t="s">
        <v>92</v>
      </c>
      <c r="F539" s="21">
        <v>1017167720</v>
      </c>
      <c r="G539" s="21" t="s">
        <v>96</v>
      </c>
      <c r="H539" s="22">
        <v>49254760</v>
      </c>
      <c r="I539" s="22">
        <v>538700</v>
      </c>
      <c r="J539" s="22">
        <v>9229900</v>
      </c>
      <c r="K539" s="23">
        <v>39486160</v>
      </c>
      <c r="L539" s="23">
        <v>38700000</v>
      </c>
      <c r="M539" s="24">
        <v>1.0203142118863049</v>
      </c>
      <c r="N539" s="209" t="str">
        <f>IFERROR(VLOOKUP(F539,Back!C:F,4,0),"NO")</f>
        <v>Si</v>
      </c>
      <c r="O539" s="26">
        <v>24</v>
      </c>
      <c r="P539" s="28" t="str">
        <f>IFERROR(VLOOKUP(F539,Back!C:E,3,0),"")</f>
        <v>IPS Pto De Vista Punto Clave</v>
      </c>
      <c r="Q539" s="28" t="str">
        <f>IFERROR(VLOOKUP(P539,Back!M:N,2,0),"")</f>
        <v>Antioquia</v>
      </c>
      <c r="R539" s="27" t="str">
        <f>IF(N539="Si",IFERROR(VLOOKUP(F539,'TD Cumpl'!B:AB,27,0),"No Aplica"),"No Aplica")</f>
        <v>Cumple</v>
      </c>
      <c r="S539" s="38">
        <v>88</v>
      </c>
      <c r="T539" s="36">
        <v>8571702</v>
      </c>
      <c r="U539" s="26">
        <v>194</v>
      </c>
      <c r="V539" s="37">
        <v>21641518</v>
      </c>
      <c r="W539" s="19">
        <v>121</v>
      </c>
      <c r="X539" s="37">
        <v>9229900</v>
      </c>
      <c r="Y539" s="46">
        <f t="shared" si="18"/>
        <v>9811640</v>
      </c>
    </row>
    <row r="540" spans="1:25" x14ac:dyDescent="0.25">
      <c r="A540" s="20">
        <f>+VLOOKUP(D540,Back!Q:R,2,0)</f>
        <v>2</v>
      </c>
      <c r="B540" s="20" t="str">
        <f t="shared" si="17"/>
        <v>2017 FEB</v>
      </c>
      <c r="C540" s="20">
        <v>2017</v>
      </c>
      <c r="D540" s="21" t="s">
        <v>138</v>
      </c>
      <c r="E540" s="21" t="s">
        <v>90</v>
      </c>
      <c r="F540" s="21">
        <v>1020419011</v>
      </c>
      <c r="G540" s="21" t="s">
        <v>97</v>
      </c>
      <c r="H540" s="22">
        <v>50447652</v>
      </c>
      <c r="I540" s="22">
        <v>903400</v>
      </c>
      <c r="J540" s="22">
        <v>10485200</v>
      </c>
      <c r="K540" s="23">
        <v>39059052</v>
      </c>
      <c r="L540" s="23">
        <v>38700000</v>
      </c>
      <c r="M540" s="24">
        <v>1.0092778294573643</v>
      </c>
      <c r="N540" s="209" t="str">
        <f>IFERROR(VLOOKUP(F540,Back!C:F,4,0),"NO")</f>
        <v>Si</v>
      </c>
      <c r="O540" s="26">
        <v>24</v>
      </c>
      <c r="P540" s="28" t="str">
        <f>IFERROR(VLOOKUP(F540,Back!C:E,3,0),"")</f>
        <v>IPS Pto De Vista Punto Clave</v>
      </c>
      <c r="Q540" s="28" t="str">
        <f>IFERROR(VLOOKUP(P540,Back!M:N,2,0),"")</f>
        <v>Antioquia</v>
      </c>
      <c r="R540" s="27" t="str">
        <f>IF(N540="Si",IFERROR(VLOOKUP(F540,'TD Cumpl'!B:AB,27,0),"No Aplica"),"No Aplica")</f>
        <v>Cumple</v>
      </c>
      <c r="S540" s="38">
        <v>109</v>
      </c>
      <c r="T540" s="36">
        <v>8554225</v>
      </c>
      <c r="U540" s="26">
        <v>243</v>
      </c>
      <c r="V540" s="37">
        <v>22276610</v>
      </c>
      <c r="W540" s="19">
        <v>115</v>
      </c>
      <c r="X540" s="37">
        <v>10485200</v>
      </c>
      <c r="Y540" s="46">
        <f t="shared" si="18"/>
        <v>9131617</v>
      </c>
    </row>
    <row r="541" spans="1:25" x14ac:dyDescent="0.25">
      <c r="A541" s="20">
        <f>+VLOOKUP(D541,Back!Q:R,2,0)</f>
        <v>2</v>
      </c>
      <c r="B541" s="20" t="str">
        <f t="shared" si="17"/>
        <v>2017 FEB</v>
      </c>
      <c r="C541" s="20">
        <v>2017</v>
      </c>
      <c r="D541" s="21" t="s">
        <v>138</v>
      </c>
      <c r="E541" s="21" t="s">
        <v>83</v>
      </c>
      <c r="F541" s="21">
        <v>43800272</v>
      </c>
      <c r="G541" s="21" t="s">
        <v>85</v>
      </c>
      <c r="H541" s="22">
        <v>27901206</v>
      </c>
      <c r="I541" s="22">
        <v>840000</v>
      </c>
      <c r="J541" s="22">
        <v>6045600</v>
      </c>
      <c r="K541" s="23">
        <v>21015606</v>
      </c>
      <c r="L541" s="23">
        <v>37583333.333333336</v>
      </c>
      <c r="M541" s="24">
        <v>0.55917355210643016</v>
      </c>
      <c r="N541" s="209" t="str">
        <f>IFERROR(VLOOKUP(F541,Back!C:F,4,0),"NO")</f>
        <v>NO</v>
      </c>
      <c r="O541" s="26">
        <v>24</v>
      </c>
      <c r="P541" s="28" t="str">
        <f>IFERROR(VLOOKUP(F541,Back!C:E,3,0),"")</f>
        <v/>
      </c>
      <c r="Q541" s="28" t="str">
        <f>IFERROR(VLOOKUP(P541,Back!M:N,2,0),"")</f>
        <v/>
      </c>
      <c r="R541" s="27" t="str">
        <f>IF(N541="Si",IFERROR(VLOOKUP(F541,'TD Cumpl'!B:AB,27,0),"No Aplica"),"No Aplica")</f>
        <v>No Aplica</v>
      </c>
      <c r="S541" s="38">
        <v>48</v>
      </c>
      <c r="T541" s="36">
        <v>4260947</v>
      </c>
      <c r="U541" s="26">
        <v>132</v>
      </c>
      <c r="V541" s="37">
        <v>13153480</v>
      </c>
      <c r="W541" s="19">
        <v>83</v>
      </c>
      <c r="X541" s="37">
        <v>6045600</v>
      </c>
      <c r="Y541" s="46">
        <f t="shared" si="18"/>
        <v>4441179</v>
      </c>
    </row>
    <row r="542" spans="1:25" x14ac:dyDescent="0.25">
      <c r="A542" s="20">
        <f>+VLOOKUP(D542,Back!Q:R,2,0)</f>
        <v>2</v>
      </c>
      <c r="B542" s="20" t="str">
        <f t="shared" si="17"/>
        <v>2017 FEB</v>
      </c>
      <c r="C542" s="20">
        <v>2017</v>
      </c>
      <c r="D542" s="21" t="s">
        <v>138</v>
      </c>
      <c r="E542" s="21" t="s">
        <v>101</v>
      </c>
      <c r="F542" s="21">
        <v>21428423</v>
      </c>
      <c r="G542" s="21" t="s">
        <v>154</v>
      </c>
      <c r="H542" s="22">
        <v>32190930</v>
      </c>
      <c r="I542" s="22">
        <v>705400</v>
      </c>
      <c r="J542" s="22">
        <v>8896200</v>
      </c>
      <c r="K542" s="23">
        <v>22589330</v>
      </c>
      <c r="L542" s="23">
        <v>33600000</v>
      </c>
      <c r="M542" s="24">
        <v>0.67230148809523804</v>
      </c>
      <c r="N542" s="209" t="str">
        <f>IFERROR(VLOOKUP(F542,Back!C:F,4,0),"NO")</f>
        <v>Si</v>
      </c>
      <c r="O542" s="26">
        <v>24</v>
      </c>
      <c r="P542" s="28" t="str">
        <f>IFERROR(VLOOKUP(F542,Back!C:E,3,0),"")</f>
        <v>IPS Pto De Vista Centro</v>
      </c>
      <c r="Q542" s="28" t="str">
        <f>IFERROR(VLOOKUP(P542,Back!M:N,2,0),"")</f>
        <v>Antioquia</v>
      </c>
      <c r="R542" s="27" t="str">
        <f>IF(N542="Si",IFERROR(VLOOKUP(F542,'TD Cumpl'!B:AB,27,0),"No Aplica"),"No Aplica")</f>
        <v>Fluctúa</v>
      </c>
      <c r="S542" s="38">
        <v>60</v>
      </c>
      <c r="T542" s="36">
        <v>4820871</v>
      </c>
      <c r="U542" s="26">
        <v>142</v>
      </c>
      <c r="V542" s="37">
        <v>12581280</v>
      </c>
      <c r="W542" s="19">
        <v>97</v>
      </c>
      <c r="X542" s="37">
        <v>8896200</v>
      </c>
      <c r="Y542" s="46">
        <f t="shared" si="18"/>
        <v>5892579</v>
      </c>
    </row>
    <row r="543" spans="1:25" x14ac:dyDescent="0.25">
      <c r="A543" s="20">
        <f>+VLOOKUP(D543,Back!Q:R,2,0)</f>
        <v>2</v>
      </c>
      <c r="B543" s="20" t="str">
        <f t="shared" si="17"/>
        <v>2017 FEB</v>
      </c>
      <c r="C543" s="20">
        <v>2017</v>
      </c>
      <c r="D543" s="21" t="s">
        <v>138</v>
      </c>
      <c r="E543" s="21" t="s">
        <v>102</v>
      </c>
      <c r="F543" s="21">
        <v>79850984</v>
      </c>
      <c r="G543" s="21" t="s">
        <v>106</v>
      </c>
      <c r="H543" s="22">
        <v>16043355</v>
      </c>
      <c r="I543" s="22">
        <v>1398000</v>
      </c>
      <c r="J543" s="22">
        <v>4523300</v>
      </c>
      <c r="K543" s="23">
        <v>10122055</v>
      </c>
      <c r="L543" s="23">
        <v>17600000</v>
      </c>
      <c r="M543" s="24">
        <v>0.57511676136363632</v>
      </c>
      <c r="N543" s="209" t="str">
        <f>IFERROR(VLOOKUP(F543,Back!C:F,4,0),"NO")</f>
        <v>Si</v>
      </c>
      <c r="O543" s="26">
        <v>24</v>
      </c>
      <c r="P543" s="28" t="str">
        <f>IFERROR(VLOOKUP(F543,Back!C:E,3,0),"")</f>
        <v>IPS Pto De Vista SSura Clle100</v>
      </c>
      <c r="Q543" s="28" t="str">
        <f>IFERROR(VLOOKUP(P543,Back!M:N,2,0),"")</f>
        <v>Centro</v>
      </c>
      <c r="R543" s="27" t="str">
        <f>IF(N543="Si",IFERROR(VLOOKUP(F543,'TD Cumpl'!B:AB,27,0),"No Aplica"),"No Aplica")</f>
        <v>Fluctúa</v>
      </c>
      <c r="S543" s="38">
        <v>28</v>
      </c>
      <c r="T543" s="36">
        <v>2533238</v>
      </c>
      <c r="U543" s="26">
        <v>74</v>
      </c>
      <c r="V543" s="37">
        <v>6235480</v>
      </c>
      <c r="W543" s="19">
        <v>73</v>
      </c>
      <c r="X543" s="37">
        <v>4523300</v>
      </c>
      <c r="Y543" s="46">
        <f t="shared" si="18"/>
        <v>2751337</v>
      </c>
    </row>
    <row r="544" spans="1:25" x14ac:dyDescent="0.25">
      <c r="A544" s="20">
        <f>+VLOOKUP(D544,Back!Q:R,2,0)</f>
        <v>2</v>
      </c>
      <c r="B544" s="20" t="str">
        <f t="shared" si="17"/>
        <v>2017 FEB</v>
      </c>
      <c r="C544" s="20">
        <v>2017</v>
      </c>
      <c r="D544" s="21" t="s">
        <v>138</v>
      </c>
      <c r="E544" s="21" t="s">
        <v>104</v>
      </c>
      <c r="F544" s="21">
        <v>1234189600</v>
      </c>
      <c r="G544" s="21" t="s">
        <v>107</v>
      </c>
      <c r="H544" s="22">
        <v>1686976</v>
      </c>
      <c r="I544" s="22">
        <v>0</v>
      </c>
      <c r="J544" s="22">
        <v>584000</v>
      </c>
      <c r="K544" s="23">
        <v>1102976</v>
      </c>
      <c r="L544" s="23">
        <v>25376800</v>
      </c>
      <c r="M544" s="24">
        <v>4.3463951325620254E-2</v>
      </c>
      <c r="N544" s="209" t="str">
        <f>IFERROR(VLOOKUP(F544,Back!C:F,4,0),"NO")</f>
        <v>NO</v>
      </c>
      <c r="O544" s="26">
        <v>24</v>
      </c>
      <c r="P544" s="28" t="str">
        <f>IFERROR(VLOOKUP(F544,Back!C:E,3,0),"")</f>
        <v/>
      </c>
      <c r="Q544" s="28" t="str">
        <f>IFERROR(VLOOKUP(P544,Back!M:N,2,0),"")</f>
        <v/>
      </c>
      <c r="R544" s="27" t="str">
        <f>IF(N544="Si",IFERROR(VLOOKUP(F544,'TD Cumpl'!B:AB,27,0),"No Aplica"),"No Aplica")</f>
        <v>No Aplica</v>
      </c>
      <c r="S544" s="38">
        <v>1</v>
      </c>
      <c r="T544" s="36">
        <v>134276</v>
      </c>
      <c r="U544" s="26">
        <v>6</v>
      </c>
      <c r="V544" s="37">
        <v>705700</v>
      </c>
      <c r="W544" s="19">
        <v>6</v>
      </c>
      <c r="X544" s="37">
        <v>584000</v>
      </c>
      <c r="Y544" s="46">
        <f t="shared" si="18"/>
        <v>263000</v>
      </c>
    </row>
    <row r="545" spans="1:25" x14ac:dyDescent="0.25">
      <c r="A545" s="20">
        <f>+VLOOKUP(D545,Back!Q:R,2,0)</f>
        <v>2</v>
      </c>
      <c r="B545" s="20" t="str">
        <f t="shared" si="17"/>
        <v>2017 FEB</v>
      </c>
      <c r="C545" s="20">
        <v>2017</v>
      </c>
      <c r="D545" s="21" t="s">
        <v>138</v>
      </c>
      <c r="E545" s="21" t="s">
        <v>108</v>
      </c>
      <c r="F545" s="21">
        <v>1020443426</v>
      </c>
      <c r="G545" s="21" t="s">
        <v>109</v>
      </c>
      <c r="H545" s="22">
        <v>3649115</v>
      </c>
      <c r="I545" s="22">
        <v>0</v>
      </c>
      <c r="J545" s="22">
        <v>1914500</v>
      </c>
      <c r="K545" s="23">
        <v>1734615</v>
      </c>
      <c r="L545" s="23">
        <v>4833333.3333333302</v>
      </c>
      <c r="M545" s="24">
        <v>0.35888586206896572</v>
      </c>
      <c r="N545" s="209" t="str">
        <f>IFERROR(VLOOKUP(F545,Back!C:F,4,0),"NO")</f>
        <v>Si</v>
      </c>
      <c r="O545" s="26">
        <v>24</v>
      </c>
      <c r="P545" s="28" t="str">
        <f>IFERROR(VLOOKUP(F545,Back!C:E,3,0),"")</f>
        <v>IPS Pto De Vista San Diego</v>
      </c>
      <c r="Q545" s="28" t="str">
        <f>IFERROR(VLOOKUP(P545,Back!M:N,2,0),"")</f>
        <v>Antioquia</v>
      </c>
      <c r="R545" s="27" t="str">
        <f>IF(N545="Si",IFERROR(VLOOKUP(F545,'TD Cumpl'!B:AB,27,0),"No Aplica"),"No Aplica")</f>
        <v>Fluctúa</v>
      </c>
      <c r="S545" s="38">
        <v>7</v>
      </c>
      <c r="T545" s="36">
        <v>468012</v>
      </c>
      <c r="U545" s="26">
        <v>14</v>
      </c>
      <c r="V545" s="37">
        <v>1266600</v>
      </c>
      <c r="W545" s="19">
        <v>22</v>
      </c>
      <c r="X545" s="37">
        <v>1914500</v>
      </c>
      <c r="Y545" s="46">
        <f t="shared" si="18"/>
        <v>3</v>
      </c>
    </row>
    <row r="546" spans="1:25" x14ac:dyDescent="0.25">
      <c r="A546" s="20">
        <f>+VLOOKUP(D546,Back!Q:R,2,0)</f>
        <v>2</v>
      </c>
      <c r="B546" s="20" t="str">
        <f t="shared" si="17"/>
        <v>2017 FEB</v>
      </c>
      <c r="C546" s="20">
        <v>2017</v>
      </c>
      <c r="D546" s="21" t="s">
        <v>138</v>
      </c>
      <c r="E546" s="21" t="s">
        <v>19</v>
      </c>
      <c r="F546" s="21"/>
      <c r="G546" s="21"/>
      <c r="H546" s="22">
        <v>41000</v>
      </c>
      <c r="I546" s="22">
        <v>0</v>
      </c>
      <c r="J546" s="22">
        <v>41000</v>
      </c>
      <c r="K546" s="23">
        <v>0</v>
      </c>
      <c r="L546" s="23"/>
      <c r="M546" s="24"/>
      <c r="N546" s="209" t="str">
        <f>IFERROR(VLOOKUP(F546,Back!C:F,4,0),"NO")</f>
        <v>NO</v>
      </c>
      <c r="O546" s="26">
        <v>24</v>
      </c>
      <c r="P546" s="28" t="str">
        <f>IFERROR(VLOOKUP(F546,Back!C:E,3,0),"")</f>
        <v/>
      </c>
      <c r="Q546" s="28" t="str">
        <f>IFERROR(VLOOKUP(P546,Back!M:N,2,0),"")</f>
        <v/>
      </c>
      <c r="R546" s="27" t="str">
        <f>IF(N546="Si",IFERROR(VLOOKUP(F546,'TD Cumpl'!B:AB,27,0),"No Aplica"),"No Aplica")</f>
        <v>No Aplica</v>
      </c>
      <c r="S546" s="38">
        <v>0</v>
      </c>
      <c r="T546" s="36">
        <v>0</v>
      </c>
      <c r="U546" s="26">
        <v>0</v>
      </c>
      <c r="V546" s="37">
        <v>0</v>
      </c>
      <c r="W546" s="19">
        <v>1</v>
      </c>
      <c r="X546" s="37">
        <v>41000</v>
      </c>
      <c r="Y546" s="46">
        <f t="shared" si="18"/>
        <v>0</v>
      </c>
    </row>
    <row r="547" spans="1:25" x14ac:dyDescent="0.25">
      <c r="A547" s="20">
        <f>+VLOOKUP(D547,Back!Q:R,2,0)</f>
        <v>2</v>
      </c>
      <c r="B547" s="20" t="str">
        <f t="shared" si="17"/>
        <v>2017 FEB</v>
      </c>
      <c r="C547" s="20">
        <v>2017</v>
      </c>
      <c r="D547" s="21" t="s">
        <v>138</v>
      </c>
      <c r="E547" s="21" t="s">
        <v>103</v>
      </c>
      <c r="F547" s="21"/>
      <c r="G547" s="21"/>
      <c r="H547" s="22">
        <v>125500</v>
      </c>
      <c r="I547" s="22">
        <v>0</v>
      </c>
      <c r="J547" s="22">
        <v>125500</v>
      </c>
      <c r="K547" s="23">
        <v>0</v>
      </c>
      <c r="L547" s="23"/>
      <c r="M547" s="24"/>
      <c r="N547" s="209" t="str">
        <f>IFERROR(VLOOKUP(F547,Back!C:F,4,0),"NO")</f>
        <v>NO</v>
      </c>
      <c r="O547" s="26">
        <v>24</v>
      </c>
      <c r="P547" s="28" t="str">
        <f>IFERROR(VLOOKUP(F547,Back!C:E,3,0),"")</f>
        <v/>
      </c>
      <c r="Q547" s="28" t="str">
        <f>IFERROR(VLOOKUP(P547,Back!M:N,2,0),"")</f>
        <v/>
      </c>
      <c r="R547" s="27" t="str">
        <f>IF(N547="Si",IFERROR(VLOOKUP(F547,'TD Cumpl'!B:AB,27,0),"No Aplica"),"No Aplica")</f>
        <v>No Aplica</v>
      </c>
      <c r="S547" s="38">
        <v>0</v>
      </c>
      <c r="T547" s="36">
        <v>0</v>
      </c>
      <c r="U547" s="26">
        <v>0</v>
      </c>
      <c r="V547" s="37">
        <v>0</v>
      </c>
      <c r="W547" s="19">
        <v>1</v>
      </c>
      <c r="X547" s="37">
        <v>125500</v>
      </c>
      <c r="Y547" s="46">
        <f t="shared" si="18"/>
        <v>0</v>
      </c>
    </row>
    <row r="548" spans="1:25" x14ac:dyDescent="0.25">
      <c r="A548" s="20">
        <f>+VLOOKUP(D548,Back!Q:R,2,0)</f>
        <v>2</v>
      </c>
      <c r="B548" s="20" t="str">
        <f t="shared" si="17"/>
        <v>2017 FEB</v>
      </c>
      <c r="C548" s="20">
        <v>2017</v>
      </c>
      <c r="D548" s="21" t="s">
        <v>138</v>
      </c>
      <c r="E548" s="21" t="s">
        <v>87</v>
      </c>
      <c r="F548" s="21"/>
      <c r="G548" s="21"/>
      <c r="H548" s="22">
        <v>-147200</v>
      </c>
      <c r="I548" s="22">
        <v>0</v>
      </c>
      <c r="J548" s="22">
        <v>0</v>
      </c>
      <c r="K548" s="23">
        <v>-147200</v>
      </c>
      <c r="L548" s="23"/>
      <c r="M548" s="24"/>
      <c r="N548" s="209" t="str">
        <f>IFERROR(VLOOKUP(F548,Back!C:F,4,0),"NO")</f>
        <v>NO</v>
      </c>
      <c r="O548" s="26">
        <v>24</v>
      </c>
      <c r="P548" s="28" t="str">
        <f>IFERROR(VLOOKUP(F548,Back!C:E,3,0),"")</f>
        <v/>
      </c>
      <c r="Q548" s="28" t="str">
        <f>IFERROR(VLOOKUP(P548,Back!M:N,2,0),"")</f>
        <v/>
      </c>
      <c r="R548" s="27" t="str">
        <f>IF(N548="Si",IFERROR(VLOOKUP(F548,'TD Cumpl'!B:AB,27,0),"No Aplica"),"No Aplica")</f>
        <v>No Aplica</v>
      </c>
      <c r="S548" s="38">
        <v>0</v>
      </c>
      <c r="T548" s="36">
        <v>0</v>
      </c>
      <c r="U548" s="26">
        <v>0</v>
      </c>
      <c r="V548" s="37">
        <v>0</v>
      </c>
      <c r="W548" s="19">
        <v>0</v>
      </c>
      <c r="X548" s="37">
        <v>0</v>
      </c>
      <c r="Y548" s="46">
        <f t="shared" si="18"/>
        <v>-147200</v>
      </c>
    </row>
    <row r="549" spans="1:25" x14ac:dyDescent="0.25">
      <c r="A549" s="20">
        <f>+VLOOKUP(D549,Back!Q:R,2,0)</f>
        <v>2</v>
      </c>
      <c r="B549" s="20" t="str">
        <f t="shared" si="17"/>
        <v>2017 FEB</v>
      </c>
      <c r="C549" s="20">
        <v>2017</v>
      </c>
      <c r="D549" s="21" t="s">
        <v>138</v>
      </c>
      <c r="E549" s="21" t="s">
        <v>86</v>
      </c>
      <c r="F549" s="21"/>
      <c r="G549" s="21"/>
      <c r="H549" s="22">
        <v>41000</v>
      </c>
      <c r="I549" s="22">
        <v>0</v>
      </c>
      <c r="J549" s="22">
        <v>41000</v>
      </c>
      <c r="K549" s="23">
        <v>0</v>
      </c>
      <c r="L549" s="23"/>
      <c r="M549" s="24"/>
      <c r="N549" s="209" t="str">
        <f>IFERROR(VLOOKUP(F549,Back!C:F,4,0),"NO")</f>
        <v>NO</v>
      </c>
      <c r="O549" s="26">
        <v>24</v>
      </c>
      <c r="P549" s="28" t="str">
        <f>IFERROR(VLOOKUP(F549,Back!C:E,3,0),"")</f>
        <v/>
      </c>
      <c r="Q549" s="28" t="str">
        <f>IFERROR(VLOOKUP(P549,Back!M:N,2,0),"")</f>
        <v/>
      </c>
      <c r="R549" s="27" t="str">
        <f>IF(N549="Si",IFERROR(VLOOKUP(F549,'TD Cumpl'!B:AB,27,0),"No Aplica"),"No Aplica")</f>
        <v>No Aplica</v>
      </c>
      <c r="S549" s="38">
        <v>0</v>
      </c>
      <c r="T549" s="36">
        <v>0</v>
      </c>
      <c r="U549" s="26">
        <v>0</v>
      </c>
      <c r="V549" s="37">
        <v>0</v>
      </c>
      <c r="W549" s="19">
        <v>1</v>
      </c>
      <c r="X549" s="37">
        <v>41000</v>
      </c>
      <c r="Y549" s="46">
        <f t="shared" si="18"/>
        <v>0</v>
      </c>
    </row>
    <row r="550" spans="1:25" x14ac:dyDescent="0.25">
      <c r="A550" s="20">
        <f>+VLOOKUP(D550,Back!Q:R,2,0)</f>
        <v>2</v>
      </c>
      <c r="B550" s="20" t="str">
        <f t="shared" si="17"/>
        <v>2017 FEB</v>
      </c>
      <c r="C550" s="20">
        <v>2017</v>
      </c>
      <c r="D550" s="21" t="s">
        <v>138</v>
      </c>
      <c r="E550" s="21" t="s">
        <v>54</v>
      </c>
      <c r="F550" s="21"/>
      <c r="G550" s="21"/>
      <c r="H550" s="22">
        <v>222979</v>
      </c>
      <c r="I550" s="22">
        <v>0</v>
      </c>
      <c r="J550" s="22">
        <v>82000</v>
      </c>
      <c r="K550" s="23">
        <v>140979</v>
      </c>
      <c r="L550" s="23"/>
      <c r="M550" s="24"/>
      <c r="N550" s="209" t="str">
        <f>IFERROR(VLOOKUP(F550,Back!C:F,4,0),"NO")</f>
        <v>NO</v>
      </c>
      <c r="O550" s="26">
        <v>24</v>
      </c>
      <c r="P550" s="28" t="str">
        <f>IFERROR(VLOOKUP(F550,Back!C:E,3,0),"")</f>
        <v/>
      </c>
      <c r="Q550" s="28" t="str">
        <f>IFERROR(VLOOKUP(P550,Back!M:N,2,0),"")</f>
        <v/>
      </c>
      <c r="R550" s="27" t="str">
        <f>IF(N550="Si",IFERROR(VLOOKUP(F550,'TD Cumpl'!B:AB,27,0),"No Aplica"),"No Aplica")</f>
        <v>No Aplica</v>
      </c>
      <c r="S550" s="38">
        <v>1</v>
      </c>
      <c r="T550" s="36">
        <v>76939</v>
      </c>
      <c r="U550" s="26">
        <v>2</v>
      </c>
      <c r="V550" s="37">
        <v>64040</v>
      </c>
      <c r="W550" s="19">
        <v>2</v>
      </c>
      <c r="X550" s="37">
        <v>82000</v>
      </c>
      <c r="Y550" s="46">
        <f t="shared" si="18"/>
        <v>0</v>
      </c>
    </row>
    <row r="551" spans="1:25" x14ac:dyDescent="0.25">
      <c r="A551" s="20">
        <f>+VLOOKUP(D551,Back!Q:R,2,0)</f>
        <v>2</v>
      </c>
      <c r="B551" s="20" t="str">
        <f t="shared" si="17"/>
        <v>2017 FEB</v>
      </c>
      <c r="C551" s="20">
        <v>2017</v>
      </c>
      <c r="D551" s="21" t="s">
        <v>138</v>
      </c>
      <c r="E551" s="21" t="s">
        <v>1</v>
      </c>
      <c r="F551" s="21"/>
      <c r="G551" s="21"/>
      <c r="H551" s="22">
        <v>975024</v>
      </c>
      <c r="I551" s="22">
        <v>0</v>
      </c>
      <c r="J551" s="22">
        <v>82000</v>
      </c>
      <c r="K551" s="23">
        <v>893024</v>
      </c>
      <c r="L551" s="23"/>
      <c r="M551" s="24"/>
      <c r="N551" s="209" t="str">
        <f>IFERROR(VLOOKUP(F551,Back!C:F,4,0),"NO")</f>
        <v>NO</v>
      </c>
      <c r="O551" s="26">
        <v>24</v>
      </c>
      <c r="P551" s="28" t="str">
        <f>IFERROR(VLOOKUP(F551,Back!C:E,3,0),"")</f>
        <v/>
      </c>
      <c r="Q551" s="28" t="str">
        <f>IFERROR(VLOOKUP(P551,Back!M:N,2,0),"")</f>
        <v/>
      </c>
      <c r="R551" s="27" t="str">
        <f>IF(N551="Si",IFERROR(VLOOKUP(F551,'TD Cumpl'!B:AB,27,0),"No Aplica"),"No Aplica")</f>
        <v>No Aplica</v>
      </c>
      <c r="S551" s="38">
        <v>2</v>
      </c>
      <c r="T551" s="36">
        <v>114824</v>
      </c>
      <c r="U551" s="26">
        <v>4</v>
      </c>
      <c r="V551" s="37">
        <v>259100</v>
      </c>
      <c r="W551" s="19">
        <v>2</v>
      </c>
      <c r="X551" s="37">
        <v>82000</v>
      </c>
      <c r="Y551" s="46">
        <f t="shared" si="18"/>
        <v>519100</v>
      </c>
    </row>
    <row r="552" spans="1:25" x14ac:dyDescent="0.25">
      <c r="A552" s="20">
        <f>+VLOOKUP(D552,Back!Q:R,2,0)</f>
        <v>3</v>
      </c>
      <c r="B552" s="20" t="str">
        <f t="shared" si="17"/>
        <v>2017 MAR</v>
      </c>
      <c r="C552" s="20">
        <v>2017</v>
      </c>
      <c r="D552" s="21" t="s">
        <v>139</v>
      </c>
      <c r="E552" s="21" t="s">
        <v>9</v>
      </c>
      <c r="F552" s="21">
        <v>43169964</v>
      </c>
      <c r="G552" s="21" t="s">
        <v>155</v>
      </c>
      <c r="H552" s="22">
        <v>48625505</v>
      </c>
      <c r="I552" s="22">
        <v>2900200</v>
      </c>
      <c r="J552" s="22">
        <v>10747080</v>
      </c>
      <c r="K552" s="23">
        <v>34978225</v>
      </c>
      <c r="L552" s="23">
        <v>36269230.769230768</v>
      </c>
      <c r="M552" s="24">
        <v>0.96440493107104985</v>
      </c>
      <c r="N552" s="209" t="str">
        <f>IFERROR(VLOOKUP(F552,Back!C:F,4,0),"NO")</f>
        <v>Si</v>
      </c>
      <c r="O552" s="26">
        <v>26</v>
      </c>
      <c r="P552" s="28" t="str">
        <f>IFERROR(VLOOKUP(F552,Back!C:E,3,0),"")</f>
        <v>IPS Pto De Vista Molinos</v>
      </c>
      <c r="Q552" s="28" t="str">
        <f>IFERROR(VLOOKUP(P552,Back!M:N,2,0),"")</f>
        <v>Antioquia</v>
      </c>
      <c r="R552" s="27" t="str">
        <f>IF(N552="Si",IFERROR(VLOOKUP(F552,'TD Cumpl'!B:AB,27,0),"No Aplica"),"No Aplica")</f>
        <v>Cumple</v>
      </c>
      <c r="S552" s="38">
        <v>102</v>
      </c>
      <c r="T552" s="36">
        <v>7417409</v>
      </c>
      <c r="U552" s="26">
        <v>244</v>
      </c>
      <c r="V552" s="37">
        <v>22590713</v>
      </c>
      <c r="W552" s="19">
        <v>107</v>
      </c>
      <c r="X552" s="37">
        <v>10747080</v>
      </c>
      <c r="Y552" s="46">
        <f t="shared" si="18"/>
        <v>7870303</v>
      </c>
    </row>
    <row r="553" spans="1:25" x14ac:dyDescent="0.25">
      <c r="A553" s="20">
        <f>+VLOOKUP(D553,Back!Q:R,2,0)</f>
        <v>3</v>
      </c>
      <c r="B553" s="20" t="str">
        <f t="shared" si="17"/>
        <v>2017 MAR</v>
      </c>
      <c r="C553" s="20">
        <v>2017</v>
      </c>
      <c r="D553" s="21" t="s">
        <v>139</v>
      </c>
      <c r="E553" s="21" t="s">
        <v>11</v>
      </c>
      <c r="F553" s="21">
        <v>43253531</v>
      </c>
      <c r="G553" s="21" t="s">
        <v>39</v>
      </c>
      <c r="H553" s="22">
        <v>53388830</v>
      </c>
      <c r="I553" s="22">
        <v>1486200</v>
      </c>
      <c r="J553" s="22">
        <v>12155842</v>
      </c>
      <c r="K553" s="23">
        <v>39746788</v>
      </c>
      <c r="L553" s="23">
        <v>29000000.000000004</v>
      </c>
      <c r="M553" s="24">
        <v>1.370578896551724</v>
      </c>
      <c r="N553" s="209" t="str">
        <f>IFERROR(VLOOKUP(F553,Back!C:F,4,0),"NO")</f>
        <v>Si</v>
      </c>
      <c r="O553" s="26">
        <v>26</v>
      </c>
      <c r="P553" s="28" t="str">
        <f>IFERROR(VLOOKUP(F553,Back!C:E,3,0),"")</f>
        <v>IPS Punto de Vista Bello</v>
      </c>
      <c r="Q553" s="28" t="str">
        <f>IFERROR(VLOOKUP(P553,Back!M:N,2,0),"")</f>
        <v>Antioquia</v>
      </c>
      <c r="R553" s="27" t="str">
        <f>IF(N553="Si",IFERROR(VLOOKUP(F553,'TD Cumpl'!B:AB,27,0),"No Aplica"),"No Aplica")</f>
        <v>Cumple</v>
      </c>
      <c r="S553" s="38">
        <v>98</v>
      </c>
      <c r="T553" s="36">
        <v>7124597</v>
      </c>
      <c r="U553" s="26">
        <v>251</v>
      </c>
      <c r="V553" s="37">
        <v>26416714</v>
      </c>
      <c r="W553" s="19">
        <v>127</v>
      </c>
      <c r="X553" s="37">
        <v>12155842</v>
      </c>
      <c r="Y553" s="46">
        <f t="shared" si="18"/>
        <v>7691677</v>
      </c>
    </row>
    <row r="554" spans="1:25" x14ac:dyDescent="0.25">
      <c r="A554" s="20">
        <f>+VLOOKUP(D554,Back!Q:R,2,0)</f>
        <v>3</v>
      </c>
      <c r="B554" s="20" t="str">
        <f t="shared" si="17"/>
        <v>2017 MAR</v>
      </c>
      <c r="C554" s="20">
        <v>2017</v>
      </c>
      <c r="D554" s="21" t="s">
        <v>139</v>
      </c>
      <c r="E554" s="21" t="s">
        <v>66</v>
      </c>
      <c r="F554" s="21">
        <v>3438422</v>
      </c>
      <c r="G554" s="21" t="s">
        <v>71</v>
      </c>
      <c r="H554" s="22">
        <v>44483086</v>
      </c>
      <c r="I554" s="22">
        <v>1236000</v>
      </c>
      <c r="J554" s="22">
        <v>7802604</v>
      </c>
      <c r="K554" s="23">
        <v>35444482</v>
      </c>
      <c r="L554" s="23">
        <v>30100000</v>
      </c>
      <c r="M554" s="24">
        <v>1.1775575415282391</v>
      </c>
      <c r="N554" s="209" t="str">
        <f>IFERROR(VLOOKUP(F554,Back!C:F,4,0),"NO")</f>
        <v>Si</v>
      </c>
      <c r="O554" s="26">
        <v>26</v>
      </c>
      <c r="P554" s="28" t="str">
        <f>IFERROR(VLOOKUP(F554,Back!C:E,3,0),"")</f>
        <v>IPS Pto De Vista Punto Clave</v>
      </c>
      <c r="Q554" s="28" t="str">
        <f>IFERROR(VLOOKUP(P554,Back!M:N,2,0),"")</f>
        <v>Antioquia</v>
      </c>
      <c r="R554" s="27" t="str">
        <f>IF(N554="Si",IFERROR(VLOOKUP(F554,'TD Cumpl'!B:AB,27,0),"No Aplica"),"No Aplica")</f>
        <v>Fluctúa</v>
      </c>
      <c r="S554" s="38">
        <v>83</v>
      </c>
      <c r="T554" s="36">
        <v>8299866</v>
      </c>
      <c r="U554" s="26">
        <v>186</v>
      </c>
      <c r="V554" s="37">
        <v>20821681</v>
      </c>
      <c r="W554" s="19">
        <v>94</v>
      </c>
      <c r="X554" s="37">
        <v>7802604</v>
      </c>
      <c r="Y554" s="46">
        <f t="shared" si="18"/>
        <v>7558935</v>
      </c>
    </row>
    <row r="555" spans="1:25" x14ac:dyDescent="0.25">
      <c r="A555" s="20">
        <f>+VLOOKUP(D555,Back!Q:R,2,0)</f>
        <v>3</v>
      </c>
      <c r="B555" s="20" t="str">
        <f t="shared" si="17"/>
        <v>2017 MAR</v>
      </c>
      <c r="C555" s="20">
        <v>2017</v>
      </c>
      <c r="D555" s="21" t="s">
        <v>139</v>
      </c>
      <c r="E555" s="21" t="s">
        <v>6</v>
      </c>
      <c r="F555" s="21">
        <v>43821410</v>
      </c>
      <c r="G555" s="21" t="s">
        <v>40</v>
      </c>
      <c r="H555" s="22">
        <v>75111406</v>
      </c>
      <c r="I555" s="22">
        <v>1194000</v>
      </c>
      <c r="J555" s="22">
        <v>10989435</v>
      </c>
      <c r="K555" s="23">
        <v>62927971</v>
      </c>
      <c r="L555" s="23">
        <v>39692307.692307688</v>
      </c>
      <c r="M555" s="24">
        <v>1.5853946182170544</v>
      </c>
      <c r="N555" s="209" t="str">
        <f>IFERROR(VLOOKUP(F555,Back!C:F,4,0),"NO")</f>
        <v>Si</v>
      </c>
      <c r="O555" s="26">
        <v>26</v>
      </c>
      <c r="P555" s="28" t="str">
        <f>IFERROR(VLOOKUP(F555,Back!C:E,3,0),"")</f>
        <v>IPS Pto De Vista Unicentro</v>
      </c>
      <c r="Q555" s="28" t="str">
        <f>IFERROR(VLOOKUP(P555,Back!M:N,2,0),"")</f>
        <v>Antioquia</v>
      </c>
      <c r="R555" s="27" t="str">
        <f>IF(N555="Si",IFERROR(VLOOKUP(F555,'TD Cumpl'!B:AB,27,0),"No Aplica"),"No Aplica")</f>
        <v>Siempre Cumple</v>
      </c>
      <c r="S555" s="38">
        <v>160</v>
      </c>
      <c r="T555" s="36">
        <v>17048283</v>
      </c>
      <c r="U555" s="26">
        <v>340</v>
      </c>
      <c r="V555" s="37">
        <v>38114066</v>
      </c>
      <c r="W555" s="19">
        <v>124</v>
      </c>
      <c r="X555" s="37">
        <v>10989435</v>
      </c>
      <c r="Y555" s="46">
        <f t="shared" si="18"/>
        <v>8959622</v>
      </c>
    </row>
    <row r="556" spans="1:25" x14ac:dyDescent="0.25">
      <c r="A556" s="20">
        <f>+VLOOKUP(D556,Back!Q:R,2,0)</f>
        <v>3</v>
      </c>
      <c r="B556" s="20" t="str">
        <f t="shared" si="17"/>
        <v>2017 MAR</v>
      </c>
      <c r="C556" s="20">
        <v>2017</v>
      </c>
      <c r="D556" s="21" t="s">
        <v>139</v>
      </c>
      <c r="E556" s="21" t="s">
        <v>18</v>
      </c>
      <c r="F556" s="21">
        <v>39442617</v>
      </c>
      <c r="G556" s="21" t="s">
        <v>41</v>
      </c>
      <c r="H556" s="22">
        <v>53303479</v>
      </c>
      <c r="I556" s="22">
        <v>1088860</v>
      </c>
      <c r="J556" s="22">
        <v>8550798</v>
      </c>
      <c r="K556" s="23">
        <v>43663821</v>
      </c>
      <c r="L556" s="23">
        <v>43000000</v>
      </c>
      <c r="M556" s="24">
        <v>1.0154376976744186</v>
      </c>
      <c r="N556" s="209" t="str">
        <f>IFERROR(VLOOKUP(F556,Back!C:F,4,0),"NO")</f>
        <v>Si</v>
      </c>
      <c r="O556" s="26">
        <v>26</v>
      </c>
      <c r="P556" s="28" t="str">
        <f>IFERROR(VLOOKUP(F556,Back!C:E,3,0),"")</f>
        <v>IPS Pto De Vista San Diego</v>
      </c>
      <c r="Q556" s="28" t="str">
        <f>IFERROR(VLOOKUP(P556,Back!M:N,2,0),"")</f>
        <v>Antioquia</v>
      </c>
      <c r="R556" s="27" t="str">
        <f>IF(N556="Si",IFERROR(VLOOKUP(F556,'TD Cumpl'!B:AB,27,0),"No Aplica"),"No Aplica")</f>
        <v>Cumple</v>
      </c>
      <c r="S556" s="38">
        <v>95</v>
      </c>
      <c r="T556" s="36">
        <v>10054271</v>
      </c>
      <c r="U556" s="26">
        <v>224</v>
      </c>
      <c r="V556" s="37">
        <v>24674136</v>
      </c>
      <c r="W556" s="19">
        <v>99</v>
      </c>
      <c r="X556" s="37">
        <v>8550798</v>
      </c>
      <c r="Y556" s="46">
        <f t="shared" si="18"/>
        <v>10024274</v>
      </c>
    </row>
    <row r="557" spans="1:25" x14ac:dyDescent="0.25">
      <c r="A557" s="20">
        <f>+VLOOKUP(D557,Back!Q:R,2,0)</f>
        <v>3</v>
      </c>
      <c r="B557" s="20" t="str">
        <f t="shared" si="17"/>
        <v>2017 MAR</v>
      </c>
      <c r="C557" s="20">
        <v>2017</v>
      </c>
      <c r="D557" s="21" t="s">
        <v>139</v>
      </c>
      <c r="E557" s="21" t="s">
        <v>56</v>
      </c>
      <c r="F557" s="21">
        <v>43971430</v>
      </c>
      <c r="G557" s="21" t="s">
        <v>142</v>
      </c>
      <c r="H557" s="22">
        <v>52851576</v>
      </c>
      <c r="I557" s="22">
        <v>1505000</v>
      </c>
      <c r="J557" s="22">
        <v>10789559</v>
      </c>
      <c r="K557" s="23">
        <v>40557017</v>
      </c>
      <c r="L557" s="23">
        <v>41000000</v>
      </c>
      <c r="M557" s="24">
        <v>0.98919553658536585</v>
      </c>
      <c r="N557" s="209" t="str">
        <f>IFERROR(VLOOKUP(F557,Back!C:F,4,0),"NO")</f>
        <v>Si</v>
      </c>
      <c r="O557" s="26">
        <v>26</v>
      </c>
      <c r="P557" s="28" t="str">
        <f>IFERROR(VLOOKUP(F557,Back!C:E,3,0),"")</f>
        <v>IPS Pto De Vista Centro</v>
      </c>
      <c r="Q557" s="28" t="str">
        <f>IFERROR(VLOOKUP(P557,Back!M:N,2,0),"")</f>
        <v>Antioquia</v>
      </c>
      <c r="R557" s="27" t="str">
        <f>IF(N557="Si",IFERROR(VLOOKUP(F557,'TD Cumpl'!B:AB,27,0),"No Aplica"),"No Aplica")</f>
        <v>Siempre Cumple</v>
      </c>
      <c r="S557" s="38">
        <v>110</v>
      </c>
      <c r="T557" s="36">
        <v>9010658</v>
      </c>
      <c r="U557" s="26">
        <v>290</v>
      </c>
      <c r="V557" s="37">
        <v>25785684</v>
      </c>
      <c r="W557" s="19">
        <v>126</v>
      </c>
      <c r="X557" s="37">
        <v>10789559</v>
      </c>
      <c r="Y557" s="46">
        <f t="shared" si="18"/>
        <v>7265675</v>
      </c>
    </row>
    <row r="558" spans="1:25" x14ac:dyDescent="0.25">
      <c r="A558" s="20">
        <f>+VLOOKUP(D558,Back!Q:R,2,0)</f>
        <v>3</v>
      </c>
      <c r="B558" s="20" t="str">
        <f t="shared" si="17"/>
        <v>2017 MAR</v>
      </c>
      <c r="C558" s="20">
        <v>2017</v>
      </c>
      <c r="D558" s="21" t="s">
        <v>139</v>
      </c>
      <c r="E558" s="21" t="s">
        <v>59</v>
      </c>
      <c r="F558" s="21">
        <v>1030634664</v>
      </c>
      <c r="G558" s="21" t="s">
        <v>58</v>
      </c>
      <c r="H558" s="22">
        <v>15760421</v>
      </c>
      <c r="I558" s="22">
        <v>0</v>
      </c>
      <c r="J558" s="22">
        <v>2543283</v>
      </c>
      <c r="K558" s="23">
        <v>13217138</v>
      </c>
      <c r="L558" s="23">
        <v>12615384.615384616</v>
      </c>
      <c r="M558" s="24">
        <v>1.047699963414634</v>
      </c>
      <c r="N558" s="209" t="str">
        <f>IFERROR(VLOOKUP(F558,Back!C:F,4,0),"NO")</f>
        <v>NO</v>
      </c>
      <c r="O558" s="26">
        <v>26</v>
      </c>
      <c r="P558" s="28" t="str">
        <f>IFERROR(VLOOKUP(F558,Back!C:E,3,0),"")</f>
        <v/>
      </c>
      <c r="Q558" s="28" t="str">
        <f>IFERROR(VLOOKUP(P558,Back!M:N,2,0),"")</f>
        <v/>
      </c>
      <c r="R558" s="27" t="str">
        <f>IF(N558="Si",IFERROR(VLOOKUP(F558,'TD Cumpl'!B:AB,27,0),"No Aplica"),"No Aplica")</f>
        <v>No Aplica</v>
      </c>
      <c r="S558" s="38">
        <v>31</v>
      </c>
      <c r="T558" s="36">
        <v>2694989</v>
      </c>
      <c r="U558" s="26">
        <v>72</v>
      </c>
      <c r="V558" s="37">
        <v>9149542</v>
      </c>
      <c r="W558" s="19">
        <v>30</v>
      </c>
      <c r="X558" s="37">
        <v>2543283</v>
      </c>
      <c r="Y558" s="46">
        <f t="shared" si="18"/>
        <v>1372607</v>
      </c>
    </row>
    <row r="559" spans="1:25" x14ac:dyDescent="0.25">
      <c r="A559" s="20">
        <f>+VLOOKUP(D559,Back!Q:R,2,0)</f>
        <v>3</v>
      </c>
      <c r="B559" s="20" t="str">
        <f t="shared" si="17"/>
        <v>2017 MAR</v>
      </c>
      <c r="C559" s="20">
        <v>2017</v>
      </c>
      <c r="D559" s="21" t="s">
        <v>139</v>
      </c>
      <c r="E559" s="21" t="s">
        <v>34</v>
      </c>
      <c r="F559" s="21">
        <v>43554403</v>
      </c>
      <c r="G559" s="21" t="s">
        <v>35</v>
      </c>
      <c r="H559" s="22">
        <v>52894496</v>
      </c>
      <c r="I559" s="22">
        <v>903400</v>
      </c>
      <c r="J559" s="22">
        <v>9622296</v>
      </c>
      <c r="K559" s="23">
        <v>42368800</v>
      </c>
      <c r="L559" s="23">
        <v>41000000</v>
      </c>
      <c r="M559" s="24">
        <v>1.0333853658536585</v>
      </c>
      <c r="N559" s="209" t="str">
        <f>IFERROR(VLOOKUP(F559,Back!C:F,4,0),"NO")</f>
        <v>Si</v>
      </c>
      <c r="O559" s="26">
        <v>26</v>
      </c>
      <c r="P559" s="28" t="str">
        <f>IFERROR(VLOOKUP(F559,Back!C:E,3,0),"")</f>
        <v>IPS Pto De Vista Centro</v>
      </c>
      <c r="Q559" s="28" t="str">
        <f>IFERROR(VLOOKUP(P559,Back!M:N,2,0),"")</f>
        <v>Antioquia</v>
      </c>
      <c r="R559" s="27" t="str">
        <f>IF(N559="Si",IFERROR(VLOOKUP(F559,'TD Cumpl'!B:AB,27,0),"No Aplica"),"No Aplica")</f>
        <v>Siempre Cumple</v>
      </c>
      <c r="S559" s="38">
        <v>94</v>
      </c>
      <c r="T559" s="36">
        <v>9556214</v>
      </c>
      <c r="U559" s="26">
        <v>212</v>
      </c>
      <c r="V559" s="37">
        <v>25917899</v>
      </c>
      <c r="W559" s="19">
        <v>114</v>
      </c>
      <c r="X559" s="37">
        <v>9622296</v>
      </c>
      <c r="Y559" s="46">
        <f t="shared" si="18"/>
        <v>7798087</v>
      </c>
    </row>
    <row r="560" spans="1:25" x14ac:dyDescent="0.25">
      <c r="A560" s="20">
        <f>+VLOOKUP(D560,Back!Q:R,2,0)</f>
        <v>3</v>
      </c>
      <c r="B560" s="20" t="str">
        <f t="shared" si="17"/>
        <v>2017 MAR</v>
      </c>
      <c r="C560" s="20">
        <v>2017</v>
      </c>
      <c r="D560" s="21" t="s">
        <v>139</v>
      </c>
      <c r="E560" s="21" t="s">
        <v>3</v>
      </c>
      <c r="F560" s="21">
        <v>52725011</v>
      </c>
      <c r="G560" s="21" t="s">
        <v>42</v>
      </c>
      <c r="H560" s="22">
        <v>36429241</v>
      </c>
      <c r="I560" s="22">
        <v>2878200</v>
      </c>
      <c r="J560" s="22">
        <v>6320001</v>
      </c>
      <c r="K560" s="23">
        <v>27231040</v>
      </c>
      <c r="L560" s="23">
        <v>20000000</v>
      </c>
      <c r="M560" s="24">
        <v>1.3615520000000001</v>
      </c>
      <c r="N560" s="209" t="str">
        <f>IFERROR(VLOOKUP(F560,Back!C:F,4,0),"NO")</f>
        <v>Si</v>
      </c>
      <c r="O560" s="26">
        <v>26</v>
      </c>
      <c r="P560" s="28" t="str">
        <f>IFERROR(VLOOKUP(F560,Back!C:E,3,0),"")</f>
        <v>IPS Pto De Vista Olaya</v>
      </c>
      <c r="Q560" s="28" t="str">
        <f>IFERROR(VLOOKUP(P560,Back!M:N,2,0),"")</f>
        <v>Centro</v>
      </c>
      <c r="R560" s="27" t="str">
        <f>IF(N560="Si",IFERROR(VLOOKUP(F560,'TD Cumpl'!B:AB,27,0),"No Aplica"),"No Aplica")</f>
        <v>Fluctúa</v>
      </c>
      <c r="S560" s="38">
        <v>88</v>
      </c>
      <c r="T560" s="36">
        <v>4998827</v>
      </c>
      <c r="U560" s="26">
        <v>205</v>
      </c>
      <c r="V560" s="37">
        <v>17480847</v>
      </c>
      <c r="W560" s="19">
        <v>86</v>
      </c>
      <c r="X560" s="37">
        <v>6320001</v>
      </c>
      <c r="Y560" s="46">
        <f t="shared" si="18"/>
        <v>7629566</v>
      </c>
    </row>
    <row r="561" spans="1:25" x14ac:dyDescent="0.25">
      <c r="A561" s="20">
        <f>+VLOOKUP(D561,Back!Q:R,2,0)</f>
        <v>3</v>
      </c>
      <c r="B561" s="20" t="str">
        <f t="shared" si="17"/>
        <v>2017 MAR</v>
      </c>
      <c r="C561" s="20">
        <v>2017</v>
      </c>
      <c r="D561" s="21" t="s">
        <v>139</v>
      </c>
      <c r="E561" s="21" t="s">
        <v>22</v>
      </c>
      <c r="F561" s="21">
        <v>42164020</v>
      </c>
      <c r="G561" s="21" t="s">
        <v>105</v>
      </c>
      <c r="H561" s="22">
        <v>56598250</v>
      </c>
      <c r="I561" s="22">
        <v>1386800</v>
      </c>
      <c r="J561" s="22">
        <v>11185138</v>
      </c>
      <c r="K561" s="23">
        <v>44026312</v>
      </c>
      <c r="L561" s="23">
        <v>43000000</v>
      </c>
      <c r="M561" s="24">
        <v>1.0238677209302325</v>
      </c>
      <c r="N561" s="209" t="str">
        <f>IFERROR(VLOOKUP(F561,Back!C:F,4,0),"NO")</f>
        <v>Si</v>
      </c>
      <c r="O561" s="26">
        <v>26</v>
      </c>
      <c r="P561" s="28" t="str">
        <f>IFERROR(VLOOKUP(F561,Back!C:E,3,0),"")</f>
        <v>IPS Pto De Vista Molinos</v>
      </c>
      <c r="Q561" s="28" t="str">
        <f>IFERROR(VLOOKUP(P561,Back!M:N,2,0),"")</f>
        <v>Antioquia</v>
      </c>
      <c r="R561" s="27" t="str">
        <f>IF(N561="Si",IFERROR(VLOOKUP(F561,'TD Cumpl'!B:AB,27,0),"No Aplica"),"No Aplica")</f>
        <v>Siempre Cumple</v>
      </c>
      <c r="S561" s="38">
        <v>105</v>
      </c>
      <c r="T561" s="36">
        <v>10506374</v>
      </c>
      <c r="U561" s="26">
        <v>271</v>
      </c>
      <c r="V561" s="37">
        <v>28440690</v>
      </c>
      <c r="W561" s="19">
        <v>126</v>
      </c>
      <c r="X561" s="37">
        <v>11185138</v>
      </c>
      <c r="Y561" s="46">
        <f t="shared" si="18"/>
        <v>6466048</v>
      </c>
    </row>
    <row r="562" spans="1:25" x14ac:dyDescent="0.25">
      <c r="A562" s="20">
        <f>+VLOOKUP(D562,Back!Q:R,2,0)</f>
        <v>3</v>
      </c>
      <c r="B562" s="20" t="str">
        <f t="shared" si="17"/>
        <v>2017 MAR</v>
      </c>
      <c r="C562" s="20">
        <v>2017</v>
      </c>
      <c r="D562" s="21" t="s">
        <v>139</v>
      </c>
      <c r="E562" s="21" t="s">
        <v>25</v>
      </c>
      <c r="F562" s="21">
        <v>1040030764</v>
      </c>
      <c r="G562" s="21" t="s">
        <v>43</v>
      </c>
      <c r="H562" s="22">
        <v>19073307</v>
      </c>
      <c r="I562" s="22">
        <v>638100</v>
      </c>
      <c r="J562" s="22">
        <v>3070673</v>
      </c>
      <c r="K562" s="23">
        <v>15364534</v>
      </c>
      <c r="L562" s="23">
        <v>26653846.153846156</v>
      </c>
      <c r="M562" s="24">
        <v>0.57644716305916299</v>
      </c>
      <c r="N562" s="209" t="str">
        <f>IFERROR(VLOOKUP(F562,Back!C:F,4,0),"NO")</f>
        <v>Si</v>
      </c>
      <c r="O562" s="26">
        <v>26</v>
      </c>
      <c r="P562" s="28" t="str">
        <f>IFERROR(VLOOKUP(F562,Back!C:E,3,0),"")</f>
        <v>IPS Pto De Vista Rionegro</v>
      </c>
      <c r="Q562" s="28" t="str">
        <f>IFERROR(VLOOKUP(P562,Back!M:N,2,0),"")</f>
        <v>Antioquia</v>
      </c>
      <c r="R562" s="27" t="str">
        <f>IF(N562="Si",IFERROR(VLOOKUP(F562,'TD Cumpl'!B:AB,27,0),"No Aplica"),"No Aplica")</f>
        <v>Cumple</v>
      </c>
      <c r="S562" s="38">
        <v>47</v>
      </c>
      <c r="T562" s="36">
        <v>4809864</v>
      </c>
      <c r="U562" s="26">
        <v>110</v>
      </c>
      <c r="V562" s="37">
        <v>8543087</v>
      </c>
      <c r="W562" s="19">
        <v>44</v>
      </c>
      <c r="X562" s="37">
        <v>3070673</v>
      </c>
      <c r="Y562" s="46">
        <f t="shared" si="18"/>
        <v>2649683</v>
      </c>
    </row>
    <row r="563" spans="1:25" x14ac:dyDescent="0.25">
      <c r="A563" s="20">
        <f>+VLOOKUP(D563,Back!Q:R,2,0)</f>
        <v>3</v>
      </c>
      <c r="B563" s="20" t="str">
        <f t="shared" si="17"/>
        <v>2017 MAR</v>
      </c>
      <c r="C563" s="20">
        <v>2017</v>
      </c>
      <c r="D563" s="21" t="s">
        <v>139</v>
      </c>
      <c r="E563" s="21" t="s">
        <v>33</v>
      </c>
      <c r="F563" s="21">
        <v>31307503</v>
      </c>
      <c r="G563" s="21" t="s">
        <v>36</v>
      </c>
      <c r="H563" s="22">
        <v>15186136</v>
      </c>
      <c r="I563" s="22">
        <v>356400</v>
      </c>
      <c r="J563" s="22">
        <v>7549530</v>
      </c>
      <c r="K563" s="23">
        <v>7280206</v>
      </c>
      <c r="L563" s="23">
        <v>29999999.999999996</v>
      </c>
      <c r="M563" s="24">
        <v>0.24267353333333336</v>
      </c>
      <c r="N563" s="209" t="str">
        <f>IFERROR(VLOOKUP(F563,Back!C:F,4,0),"NO")</f>
        <v>NO</v>
      </c>
      <c r="O563" s="26">
        <v>26</v>
      </c>
      <c r="P563" s="28" t="str">
        <f>IFERROR(VLOOKUP(F563,Back!C:E,3,0),"")</f>
        <v/>
      </c>
      <c r="Q563" s="28" t="str">
        <f>IFERROR(VLOOKUP(P563,Back!M:N,2,0),"")</f>
        <v/>
      </c>
      <c r="R563" s="27" t="str">
        <f>IF(N563="Si",IFERROR(VLOOKUP(F563,'TD Cumpl'!B:AB,27,0),"No Aplica"),"No Aplica")</f>
        <v>No Aplica</v>
      </c>
      <c r="S563" s="38">
        <v>30</v>
      </c>
      <c r="T563" s="36">
        <v>1996448</v>
      </c>
      <c r="U563" s="26">
        <v>106</v>
      </c>
      <c r="V563" s="37">
        <v>4387729</v>
      </c>
      <c r="W563" s="19">
        <v>91</v>
      </c>
      <c r="X563" s="37">
        <v>7549530</v>
      </c>
      <c r="Y563" s="46">
        <f t="shared" si="18"/>
        <v>1252429</v>
      </c>
    </row>
    <row r="564" spans="1:25" x14ac:dyDescent="0.25">
      <c r="A564" s="20">
        <f>+VLOOKUP(D564,Back!Q:R,2,0)</f>
        <v>3</v>
      </c>
      <c r="B564" s="20" t="str">
        <f t="shared" si="17"/>
        <v>2017 MAR</v>
      </c>
      <c r="C564" s="20">
        <v>2017</v>
      </c>
      <c r="D564" s="21" t="s">
        <v>139</v>
      </c>
      <c r="E564" s="21" t="s">
        <v>21</v>
      </c>
      <c r="F564" s="21">
        <v>1035417626</v>
      </c>
      <c r="G564" s="21" t="s">
        <v>80</v>
      </c>
      <c r="H564" s="22">
        <v>63318193</v>
      </c>
      <c r="I564" s="22">
        <v>285400</v>
      </c>
      <c r="J564" s="22">
        <v>12047879</v>
      </c>
      <c r="K564" s="23">
        <v>50984914</v>
      </c>
      <c r="L564" s="23">
        <v>43000000</v>
      </c>
      <c r="M564" s="24">
        <v>1.1856956744186047</v>
      </c>
      <c r="N564" s="209" t="str">
        <f>IFERROR(VLOOKUP(F564,Back!C:F,4,0),"NO")</f>
        <v>Si</v>
      </c>
      <c r="O564" s="26">
        <v>26</v>
      </c>
      <c r="P564" s="28" t="str">
        <f>IFERROR(VLOOKUP(F564,Back!C:E,3,0),"")</f>
        <v>IPS Pto De Vista Unicentro</v>
      </c>
      <c r="Q564" s="28" t="str">
        <f>IFERROR(VLOOKUP(P564,Back!M:N,2,0),"")</f>
        <v>Antioquia</v>
      </c>
      <c r="R564" s="27" t="str">
        <f>IF(N564="Si",IFERROR(VLOOKUP(F564,'TD Cumpl'!B:AB,27,0),"No Aplica"),"No Aplica")</f>
        <v>Cumple</v>
      </c>
      <c r="S564" s="38">
        <v>106</v>
      </c>
      <c r="T564" s="36">
        <v>12512143</v>
      </c>
      <c r="U564" s="26">
        <v>258</v>
      </c>
      <c r="V564" s="37">
        <v>31017860</v>
      </c>
      <c r="W564" s="19">
        <v>133</v>
      </c>
      <c r="X564" s="37">
        <v>12047879</v>
      </c>
      <c r="Y564" s="46">
        <f t="shared" si="18"/>
        <v>7740311</v>
      </c>
    </row>
    <row r="565" spans="1:25" x14ac:dyDescent="0.25">
      <c r="A565" s="20">
        <f>+VLOOKUP(D565,Back!Q:R,2,0)</f>
        <v>3</v>
      </c>
      <c r="B565" s="20" t="str">
        <f t="shared" si="17"/>
        <v>2017 MAR</v>
      </c>
      <c r="C565" s="20">
        <v>2017</v>
      </c>
      <c r="D565" s="21" t="s">
        <v>139</v>
      </c>
      <c r="E565" s="21" t="s">
        <v>20</v>
      </c>
      <c r="F565" s="21">
        <v>1017141451</v>
      </c>
      <c r="G565" s="21" t="s">
        <v>44</v>
      </c>
      <c r="H565" s="22">
        <v>55876203</v>
      </c>
      <c r="I565" s="22">
        <v>576000</v>
      </c>
      <c r="J565" s="22">
        <v>9427449</v>
      </c>
      <c r="K565" s="23">
        <v>45872754</v>
      </c>
      <c r="L565" s="23">
        <v>43000000</v>
      </c>
      <c r="M565" s="24">
        <v>1.0668082325581396</v>
      </c>
      <c r="N565" s="209" t="str">
        <f>IFERROR(VLOOKUP(F565,Back!C:F,4,0),"NO")</f>
        <v>Si</v>
      </c>
      <c r="O565" s="26">
        <v>26</v>
      </c>
      <c r="P565" s="28" t="str">
        <f>IFERROR(VLOOKUP(F565,Back!C:E,3,0),"")</f>
        <v>IPS Pto De Vista Molinos</v>
      </c>
      <c r="Q565" s="28" t="str">
        <f>IFERROR(VLOOKUP(P565,Back!M:N,2,0),"")</f>
        <v>Antioquia</v>
      </c>
      <c r="R565" s="27" t="str">
        <f>IF(N565="Si",IFERROR(VLOOKUP(F565,'TD Cumpl'!B:AB,27,0),"No Aplica"),"No Aplica")</f>
        <v>Siempre Cumple</v>
      </c>
      <c r="S565" s="38">
        <v>106</v>
      </c>
      <c r="T565" s="36">
        <v>9486677</v>
      </c>
      <c r="U565" s="26">
        <v>268</v>
      </c>
      <c r="V565" s="37">
        <v>27372883</v>
      </c>
      <c r="W565" s="19">
        <v>100</v>
      </c>
      <c r="X565" s="37">
        <v>9427449</v>
      </c>
      <c r="Y565" s="46">
        <f t="shared" si="18"/>
        <v>9589194</v>
      </c>
    </row>
    <row r="566" spans="1:25" x14ac:dyDescent="0.25">
      <c r="A566" s="20">
        <f>+VLOOKUP(D566,Back!Q:R,2,0)</f>
        <v>3</v>
      </c>
      <c r="B566" s="20" t="str">
        <f t="shared" si="17"/>
        <v>2017 MAR</v>
      </c>
      <c r="C566" s="20">
        <v>2017</v>
      </c>
      <c r="D566" s="21" t="s">
        <v>139</v>
      </c>
      <c r="E566" s="21" t="s">
        <v>2</v>
      </c>
      <c r="F566" s="21">
        <v>52260671</v>
      </c>
      <c r="G566" s="21" t="s">
        <v>26</v>
      </c>
      <c r="H566" s="22">
        <v>37190828</v>
      </c>
      <c r="I566" s="22">
        <v>2469500</v>
      </c>
      <c r="J566" s="22">
        <v>5028679</v>
      </c>
      <c r="K566" s="23">
        <v>29692649</v>
      </c>
      <c r="L566" s="23">
        <v>22000000</v>
      </c>
      <c r="M566" s="24">
        <v>1.3496658636363636</v>
      </c>
      <c r="N566" s="209" t="str">
        <f>IFERROR(VLOOKUP(F566,Back!C:F,4,0),"NO")</f>
        <v>Si</v>
      </c>
      <c r="O566" s="26">
        <v>26</v>
      </c>
      <c r="P566" s="28" t="str">
        <f>IFERROR(VLOOKUP(F566,Back!C:E,3,0),"")</f>
        <v>IPS Pto De Vista Santa Bárbara</v>
      </c>
      <c r="Q566" s="28" t="str">
        <f>IFERROR(VLOOKUP(P566,Back!M:N,2,0),"")</f>
        <v>Centro</v>
      </c>
      <c r="R566" s="27" t="str">
        <f>IF(N566="Si",IFERROR(VLOOKUP(F566,'TD Cumpl'!B:AB,27,0),"No Aplica"),"No Aplica")</f>
        <v>Siempre Cumple</v>
      </c>
      <c r="S566" s="38">
        <v>72</v>
      </c>
      <c r="T566" s="36">
        <v>6350683</v>
      </c>
      <c r="U566" s="26">
        <v>200</v>
      </c>
      <c r="V566" s="37">
        <v>20249228</v>
      </c>
      <c r="W566" s="19">
        <v>72</v>
      </c>
      <c r="X566" s="37">
        <v>5028679</v>
      </c>
      <c r="Y566" s="46">
        <f t="shared" si="18"/>
        <v>5562238</v>
      </c>
    </row>
    <row r="567" spans="1:25" x14ac:dyDescent="0.25">
      <c r="A567" s="20">
        <f>+VLOOKUP(D567,Back!Q:R,2,0)</f>
        <v>3</v>
      </c>
      <c r="B567" s="20" t="str">
        <f t="shared" si="17"/>
        <v>2017 MAR</v>
      </c>
      <c r="C567" s="20">
        <v>2017</v>
      </c>
      <c r="D567" s="21" t="s">
        <v>139</v>
      </c>
      <c r="E567" s="21" t="s">
        <v>37</v>
      </c>
      <c r="F567" s="21">
        <v>1036779770</v>
      </c>
      <c r="G567" s="21" t="s">
        <v>52</v>
      </c>
      <c r="H567" s="22">
        <v>34876000</v>
      </c>
      <c r="I567" s="22">
        <v>2516100</v>
      </c>
      <c r="J567" s="22">
        <v>5859943</v>
      </c>
      <c r="K567" s="23">
        <v>26499957</v>
      </c>
      <c r="L567" s="23">
        <v>33000000</v>
      </c>
      <c r="M567" s="24">
        <v>0.80302899999999999</v>
      </c>
      <c r="N567" s="209" t="str">
        <f>IFERROR(VLOOKUP(F567,Back!C:F,4,0),"NO")</f>
        <v>No</v>
      </c>
      <c r="O567" s="26">
        <v>26</v>
      </c>
      <c r="P567" s="28" t="str">
        <f>IFERROR(VLOOKUP(F567,Back!C:E,3,0),"")</f>
        <v>IPS Pto De Vista Rionegro</v>
      </c>
      <c r="Q567" s="28" t="str">
        <f>IFERROR(VLOOKUP(P567,Back!M:N,2,0),"")</f>
        <v>Antioquia</v>
      </c>
      <c r="R567" s="27" t="str">
        <f>IF(N567="Si",IFERROR(VLOOKUP(F567,'TD Cumpl'!B:AB,27,0),"No Aplica"),"No Aplica")</f>
        <v>No Aplica</v>
      </c>
      <c r="S567" s="38">
        <v>77</v>
      </c>
      <c r="T567" s="36">
        <v>6808184</v>
      </c>
      <c r="U567" s="26">
        <v>195</v>
      </c>
      <c r="V567" s="37">
        <v>16746610</v>
      </c>
      <c r="W567" s="19">
        <v>91</v>
      </c>
      <c r="X567" s="37">
        <v>5859943</v>
      </c>
      <c r="Y567" s="46">
        <f t="shared" si="18"/>
        <v>5461263</v>
      </c>
    </row>
    <row r="568" spans="1:25" x14ac:dyDescent="0.25">
      <c r="A568" s="20">
        <f>+VLOOKUP(D568,Back!Q:R,2,0)</f>
        <v>3</v>
      </c>
      <c r="B568" s="20" t="str">
        <f t="shared" si="17"/>
        <v>2017 MAR</v>
      </c>
      <c r="C568" s="20">
        <v>2017</v>
      </c>
      <c r="D568" s="21" t="s">
        <v>139</v>
      </c>
      <c r="E568" s="21" t="s">
        <v>64</v>
      </c>
      <c r="F568" s="21">
        <v>1036598360</v>
      </c>
      <c r="G568" s="21" t="s">
        <v>146</v>
      </c>
      <c r="H568" s="22">
        <v>46664885</v>
      </c>
      <c r="I568" s="22">
        <v>3054460</v>
      </c>
      <c r="J568" s="22">
        <v>8212285</v>
      </c>
      <c r="K568" s="23">
        <v>35398140</v>
      </c>
      <c r="L568" s="23">
        <v>30100000</v>
      </c>
      <c r="M568" s="24">
        <v>1.1760179401993356</v>
      </c>
      <c r="N568" s="209" t="str">
        <f>IFERROR(VLOOKUP(F568,Back!C:F,4,0),"NO")</f>
        <v>Si</v>
      </c>
      <c r="O568" s="26">
        <v>26</v>
      </c>
      <c r="P568" s="28" t="str">
        <f>IFERROR(VLOOKUP(F568,Back!C:E,3,0),"")</f>
        <v>IPS Pto De Vista Punto Clave</v>
      </c>
      <c r="Q568" s="28" t="str">
        <f>IFERROR(VLOOKUP(P568,Back!M:N,2,0),"")</f>
        <v>Antioquia</v>
      </c>
      <c r="R568" s="27" t="str">
        <f>IF(N568="Si",IFERROR(VLOOKUP(F568,'TD Cumpl'!B:AB,27,0),"No Aplica"),"No Aplica")</f>
        <v>Fluctúa</v>
      </c>
      <c r="S568" s="38">
        <v>78</v>
      </c>
      <c r="T568" s="36">
        <v>8492487</v>
      </c>
      <c r="U568" s="26">
        <v>172</v>
      </c>
      <c r="V568" s="37">
        <v>20777038</v>
      </c>
      <c r="W568" s="19">
        <v>92</v>
      </c>
      <c r="X568" s="37">
        <v>8212285</v>
      </c>
      <c r="Y568" s="46">
        <f t="shared" si="18"/>
        <v>9183075</v>
      </c>
    </row>
    <row r="569" spans="1:25" x14ac:dyDescent="0.25">
      <c r="A569" s="20">
        <f>+VLOOKUP(D569,Back!Q:R,2,0)</f>
        <v>3</v>
      </c>
      <c r="B569" s="20" t="str">
        <f t="shared" si="17"/>
        <v>2017 MAR</v>
      </c>
      <c r="C569" s="20">
        <v>2017</v>
      </c>
      <c r="D569" s="21" t="s">
        <v>139</v>
      </c>
      <c r="E569" s="21" t="s">
        <v>38</v>
      </c>
      <c r="F569" s="21">
        <v>43745192</v>
      </c>
      <c r="G569" s="21" t="s">
        <v>45</v>
      </c>
      <c r="H569" s="22">
        <v>32657311</v>
      </c>
      <c r="I569" s="22">
        <v>556200</v>
      </c>
      <c r="J569" s="22">
        <v>69764</v>
      </c>
      <c r="K569" s="23">
        <v>32031347</v>
      </c>
      <c r="L569" s="23">
        <v>25000000</v>
      </c>
      <c r="M569" s="24">
        <v>1.28125388</v>
      </c>
      <c r="N569" s="209" t="str">
        <f>IFERROR(VLOOKUP(F569,Back!C:F,4,0),"NO")</f>
        <v>Si</v>
      </c>
      <c r="O569" s="26">
        <v>26</v>
      </c>
      <c r="P569" s="28" t="str">
        <f>IFERROR(VLOOKUP(F569,Back!C:E,3,0),"")</f>
        <v>IPS Punto de Vista Mayorca</v>
      </c>
      <c r="Q569" s="28" t="str">
        <f>IFERROR(VLOOKUP(P569,Back!M:N,2,0),"")</f>
        <v>Antioquia</v>
      </c>
      <c r="R569" s="27" t="str">
        <f>IF(N569="Si",IFERROR(VLOOKUP(F569,'TD Cumpl'!B:AB,27,0),"No Aplica"),"No Aplica")</f>
        <v>Cumple</v>
      </c>
      <c r="S569" s="38">
        <v>54</v>
      </c>
      <c r="T569" s="36">
        <v>6343339</v>
      </c>
      <c r="U569" s="26">
        <v>174</v>
      </c>
      <c r="V569" s="37">
        <v>24266136</v>
      </c>
      <c r="W569" s="19">
        <v>1</v>
      </c>
      <c r="X569" s="37">
        <v>69764</v>
      </c>
      <c r="Y569" s="46">
        <f t="shared" si="18"/>
        <v>1978072</v>
      </c>
    </row>
    <row r="570" spans="1:25" x14ac:dyDescent="0.25">
      <c r="A570" s="20">
        <f>+VLOOKUP(D570,Back!Q:R,2,0)</f>
        <v>3</v>
      </c>
      <c r="B570" s="20" t="str">
        <f t="shared" si="17"/>
        <v>2017 MAR</v>
      </c>
      <c r="C570" s="20">
        <v>2017</v>
      </c>
      <c r="D570" s="21" t="s">
        <v>139</v>
      </c>
      <c r="E570" s="21" t="s">
        <v>13</v>
      </c>
      <c r="F570" s="21">
        <v>43866877</v>
      </c>
      <c r="G570" s="21" t="s">
        <v>46</v>
      </c>
      <c r="H570" s="22">
        <v>55070854</v>
      </c>
      <c r="I570" s="22">
        <v>1510000</v>
      </c>
      <c r="J570" s="22">
        <v>11453601</v>
      </c>
      <c r="K570" s="23">
        <v>42107253</v>
      </c>
      <c r="L570" s="23">
        <v>41000000</v>
      </c>
      <c r="M570" s="24">
        <v>1.0270061707317073</v>
      </c>
      <c r="N570" s="209" t="str">
        <f>IFERROR(VLOOKUP(F570,Back!C:F,4,0),"NO")</f>
        <v>Si</v>
      </c>
      <c r="O570" s="26">
        <v>26</v>
      </c>
      <c r="P570" s="28" t="str">
        <f>IFERROR(VLOOKUP(F570,Back!C:E,3,0),"")</f>
        <v>IPS Pto De Vista Centro</v>
      </c>
      <c r="Q570" s="28" t="str">
        <f>IFERROR(VLOOKUP(P570,Back!M:N,2,0),"")</f>
        <v>Antioquia</v>
      </c>
      <c r="R570" s="27" t="str">
        <f>IF(N570="Si",IFERROR(VLOOKUP(F570,'TD Cumpl'!B:AB,27,0),"No Aplica"),"No Aplica")</f>
        <v>Siempre Cumple</v>
      </c>
      <c r="S570" s="38">
        <v>109</v>
      </c>
      <c r="T570" s="36">
        <v>10265824</v>
      </c>
      <c r="U570" s="26">
        <v>252</v>
      </c>
      <c r="V570" s="37">
        <v>27076665</v>
      </c>
      <c r="W570" s="19">
        <v>128</v>
      </c>
      <c r="X570" s="37">
        <v>11453601</v>
      </c>
      <c r="Y570" s="46">
        <f t="shared" si="18"/>
        <v>6274764</v>
      </c>
    </row>
    <row r="571" spans="1:25" x14ac:dyDescent="0.25">
      <c r="A571" s="20">
        <f>+VLOOKUP(D571,Back!Q:R,2,0)</f>
        <v>3</v>
      </c>
      <c r="B571" s="20" t="str">
        <f t="shared" si="17"/>
        <v>2017 MAR</v>
      </c>
      <c r="C571" s="20">
        <v>2017</v>
      </c>
      <c r="D571" s="21" t="s">
        <v>139</v>
      </c>
      <c r="E571" s="21" t="s">
        <v>17</v>
      </c>
      <c r="F571" s="21">
        <v>43113640</v>
      </c>
      <c r="G571" s="21" t="s">
        <v>47</v>
      </c>
      <c r="H571" s="22">
        <v>45030668</v>
      </c>
      <c r="I571" s="22">
        <v>1276130</v>
      </c>
      <c r="J571" s="22">
        <v>8587502</v>
      </c>
      <c r="K571" s="23">
        <v>35167036</v>
      </c>
      <c r="L571" s="23">
        <v>30100000</v>
      </c>
      <c r="M571" s="24">
        <v>1.1683400664451826</v>
      </c>
      <c r="N571" s="209" t="str">
        <f>IFERROR(VLOOKUP(F571,Back!C:F,4,0),"NO")</f>
        <v>Si</v>
      </c>
      <c r="O571" s="26">
        <v>26</v>
      </c>
      <c r="P571" s="28" t="str">
        <f>IFERROR(VLOOKUP(F571,Back!C:E,3,0),"")</f>
        <v>IPS Pto De Vista San Diego</v>
      </c>
      <c r="Q571" s="28" t="str">
        <f>IFERROR(VLOOKUP(P571,Back!M:N,2,0),"")</f>
        <v>Antioquia</v>
      </c>
      <c r="R571" s="27" t="str">
        <f>IF(N571="Si",IFERROR(VLOOKUP(F571,'TD Cumpl'!B:AB,27,0),"No Aplica"),"No Aplica")</f>
        <v>Cumple</v>
      </c>
      <c r="S571" s="38">
        <v>67</v>
      </c>
      <c r="T571" s="36">
        <v>7479572</v>
      </c>
      <c r="U571" s="26">
        <v>164</v>
      </c>
      <c r="V571" s="37">
        <v>20456810</v>
      </c>
      <c r="W571" s="19">
        <v>90</v>
      </c>
      <c r="X571" s="37">
        <v>8587502</v>
      </c>
      <c r="Y571" s="46">
        <f t="shared" si="18"/>
        <v>8506784</v>
      </c>
    </row>
    <row r="572" spans="1:25" x14ac:dyDescent="0.25">
      <c r="A572" s="20">
        <f>+VLOOKUP(D572,Back!Q:R,2,0)</f>
        <v>3</v>
      </c>
      <c r="B572" s="20" t="str">
        <f t="shared" si="17"/>
        <v>2017 MAR</v>
      </c>
      <c r="C572" s="20">
        <v>2017</v>
      </c>
      <c r="D572" s="21" t="s">
        <v>139</v>
      </c>
      <c r="E572" s="21" t="s">
        <v>24</v>
      </c>
      <c r="F572" s="21">
        <v>39448823</v>
      </c>
      <c r="G572" s="21" t="s">
        <v>48</v>
      </c>
      <c r="H572" s="22">
        <v>43806622</v>
      </c>
      <c r="I572" s="22">
        <v>3026900</v>
      </c>
      <c r="J572" s="22">
        <v>4504916</v>
      </c>
      <c r="K572" s="23">
        <v>36274806</v>
      </c>
      <c r="L572" s="23">
        <v>33000000</v>
      </c>
      <c r="M572" s="24">
        <v>1.0992365454545454</v>
      </c>
      <c r="N572" s="209" t="str">
        <f>IFERROR(VLOOKUP(F572,Back!C:F,4,0),"NO")</f>
        <v>Si</v>
      </c>
      <c r="O572" s="26">
        <v>26</v>
      </c>
      <c r="P572" s="28" t="str">
        <f>IFERROR(VLOOKUP(F572,Back!C:E,3,0),"")</f>
        <v>IPS Pto De Vista Rionegro</v>
      </c>
      <c r="Q572" s="28" t="str">
        <f>IFERROR(VLOOKUP(P572,Back!M:N,2,0),"")</f>
        <v>Antioquia</v>
      </c>
      <c r="R572" s="27" t="str">
        <f>IF(N572="Si",IFERROR(VLOOKUP(F572,'TD Cumpl'!B:AB,27,0),"No Aplica"),"No Aplica")</f>
        <v>Siempre Cumple</v>
      </c>
      <c r="S572" s="38">
        <v>83</v>
      </c>
      <c r="T572" s="36">
        <v>8076944</v>
      </c>
      <c r="U572" s="26">
        <v>216</v>
      </c>
      <c r="V572" s="37">
        <v>24552147</v>
      </c>
      <c r="W572" s="19">
        <v>70</v>
      </c>
      <c r="X572" s="37">
        <v>4504916</v>
      </c>
      <c r="Y572" s="46">
        <f t="shared" si="18"/>
        <v>6672615</v>
      </c>
    </row>
    <row r="573" spans="1:25" x14ac:dyDescent="0.25">
      <c r="A573" s="20">
        <f>+VLOOKUP(D573,Back!Q:R,2,0)</f>
        <v>3</v>
      </c>
      <c r="B573" s="20" t="str">
        <f t="shared" si="17"/>
        <v>2017 MAR</v>
      </c>
      <c r="C573" s="20">
        <v>2017</v>
      </c>
      <c r="D573" s="21" t="s">
        <v>139</v>
      </c>
      <c r="E573" s="21" t="s">
        <v>10</v>
      </c>
      <c r="F573" s="21">
        <v>43109744</v>
      </c>
      <c r="G573" s="21" t="s">
        <v>53</v>
      </c>
      <c r="H573" s="22">
        <v>48052706</v>
      </c>
      <c r="I573" s="22">
        <v>2198800</v>
      </c>
      <c r="J573" s="22">
        <v>7339558</v>
      </c>
      <c r="K573" s="23">
        <v>38514348</v>
      </c>
      <c r="L573" s="23">
        <v>43000000</v>
      </c>
      <c r="M573" s="24">
        <v>0.89568251162790702</v>
      </c>
      <c r="N573" s="209" t="str">
        <f>IFERROR(VLOOKUP(F573,Back!C:F,4,0),"NO")</f>
        <v>NO</v>
      </c>
      <c r="O573" s="26">
        <v>26</v>
      </c>
      <c r="P573" s="28" t="str">
        <f>IFERROR(VLOOKUP(F573,Back!C:E,3,0),"")</f>
        <v/>
      </c>
      <c r="Q573" s="28" t="str">
        <f>IFERROR(VLOOKUP(P573,Back!M:N,2,0),"")</f>
        <v/>
      </c>
      <c r="R573" s="27" t="str">
        <f>IF(N573="Si",IFERROR(VLOOKUP(F573,'TD Cumpl'!B:AB,27,0),"No Aplica"),"No Aplica")</f>
        <v>No Aplica</v>
      </c>
      <c r="S573" s="38">
        <v>99</v>
      </c>
      <c r="T573" s="36">
        <v>8678740</v>
      </c>
      <c r="U573" s="26">
        <v>212</v>
      </c>
      <c r="V573" s="37">
        <v>23496594</v>
      </c>
      <c r="W573" s="19">
        <v>93</v>
      </c>
      <c r="X573" s="37">
        <v>7339558</v>
      </c>
      <c r="Y573" s="46">
        <f t="shared" si="18"/>
        <v>8537814</v>
      </c>
    </row>
    <row r="574" spans="1:25" x14ac:dyDescent="0.25">
      <c r="A574" s="20">
        <f>+VLOOKUP(D574,Back!Q:R,2,0)</f>
        <v>3</v>
      </c>
      <c r="B574" s="20" t="str">
        <f t="shared" si="17"/>
        <v>2017 MAR</v>
      </c>
      <c r="C574" s="20">
        <v>2017</v>
      </c>
      <c r="D574" s="21" t="s">
        <v>139</v>
      </c>
      <c r="E574" s="21" t="s">
        <v>15</v>
      </c>
      <c r="F574" s="21">
        <v>42689970</v>
      </c>
      <c r="G574" s="21" t="s">
        <v>29</v>
      </c>
      <c r="H574" s="22">
        <v>51733447</v>
      </c>
      <c r="I574" s="22">
        <v>1276000</v>
      </c>
      <c r="J574" s="22">
        <v>6921937</v>
      </c>
      <c r="K574" s="23">
        <v>43535510</v>
      </c>
      <c r="L574" s="23">
        <v>39692307.692307688</v>
      </c>
      <c r="M574" s="24">
        <v>1.0968248643410854</v>
      </c>
      <c r="N574" s="209" t="str">
        <f>IFERROR(VLOOKUP(F574,Back!C:F,4,0),"NO")</f>
        <v>NO</v>
      </c>
      <c r="O574" s="26">
        <v>26</v>
      </c>
      <c r="P574" s="28" t="str">
        <f>IFERROR(VLOOKUP(F574,Back!C:E,3,0),"")</f>
        <v/>
      </c>
      <c r="Q574" s="28" t="str">
        <f>IFERROR(VLOOKUP(P574,Back!M:N,2,0),"")</f>
        <v/>
      </c>
      <c r="R574" s="27" t="str">
        <f>IF(N574="Si",IFERROR(VLOOKUP(F574,'TD Cumpl'!B:AB,27,0),"No Aplica"),"No Aplica")</f>
        <v>No Aplica</v>
      </c>
      <c r="S574" s="38">
        <v>98</v>
      </c>
      <c r="T574" s="36">
        <v>9434651</v>
      </c>
      <c r="U574" s="26">
        <v>238</v>
      </c>
      <c r="V574" s="37">
        <v>25837178</v>
      </c>
      <c r="W574" s="19">
        <v>88</v>
      </c>
      <c r="X574" s="37">
        <v>6921937</v>
      </c>
      <c r="Y574" s="46">
        <f t="shared" si="18"/>
        <v>9539681</v>
      </c>
    </row>
    <row r="575" spans="1:25" x14ac:dyDescent="0.25">
      <c r="A575" s="20">
        <f>+VLOOKUP(D575,Back!Q:R,2,0)</f>
        <v>3</v>
      </c>
      <c r="B575" s="20" t="str">
        <f t="shared" ref="B575:B638" si="19">MID(UPPER(C575&amp;" "&amp;D575),1,8)</f>
        <v>2017 MAR</v>
      </c>
      <c r="C575" s="20">
        <v>2017</v>
      </c>
      <c r="D575" s="21" t="s">
        <v>139</v>
      </c>
      <c r="E575" s="21" t="s">
        <v>23</v>
      </c>
      <c r="F575" s="21">
        <v>43907427</v>
      </c>
      <c r="G575" s="21" t="s">
        <v>144</v>
      </c>
      <c r="H575" s="22">
        <v>44595430</v>
      </c>
      <c r="I575" s="22">
        <v>695430</v>
      </c>
      <c r="J575" s="22">
        <v>3774230</v>
      </c>
      <c r="K575" s="23">
        <v>40125770</v>
      </c>
      <c r="L575" s="23">
        <v>36000000</v>
      </c>
      <c r="M575" s="24">
        <v>1.1146047222222222</v>
      </c>
      <c r="N575" s="209" t="str">
        <f>IFERROR(VLOOKUP(F575,Back!C:F,4,0),"NO")</f>
        <v>Si</v>
      </c>
      <c r="O575" s="26">
        <v>26</v>
      </c>
      <c r="P575" s="28" t="str">
        <f>IFERROR(VLOOKUP(F575,Back!C:E,3,0),"")</f>
        <v>IPS Pto De Vista Industriales</v>
      </c>
      <c r="Q575" s="28" t="str">
        <f>IFERROR(VLOOKUP(P575,Back!M:N,2,0),"")</f>
        <v>Antioquia</v>
      </c>
      <c r="R575" s="27" t="str">
        <f>IF(N575="Si",IFERROR(VLOOKUP(F575,'TD Cumpl'!B:AB,27,0),"No Aplica"),"No Aplica")</f>
        <v>Siempre Cumple</v>
      </c>
      <c r="S575" s="38">
        <v>49</v>
      </c>
      <c r="T575" s="36">
        <v>7789687</v>
      </c>
      <c r="U575" s="26">
        <v>136</v>
      </c>
      <c r="V575" s="37">
        <v>26948215</v>
      </c>
      <c r="W575" s="19">
        <v>49</v>
      </c>
      <c r="X575" s="37">
        <v>3774230</v>
      </c>
      <c r="Y575" s="46">
        <f t="shared" si="18"/>
        <v>6083298</v>
      </c>
    </row>
    <row r="576" spans="1:25" x14ac:dyDescent="0.25">
      <c r="A576" s="20">
        <f>+VLOOKUP(D576,Back!Q:R,2,0)</f>
        <v>3</v>
      </c>
      <c r="B576" s="20" t="str">
        <f t="shared" si="19"/>
        <v>2017 MAR</v>
      </c>
      <c r="C576" s="20">
        <v>2017</v>
      </c>
      <c r="D576" s="21" t="s">
        <v>139</v>
      </c>
      <c r="E576" s="21" t="s">
        <v>12</v>
      </c>
      <c r="F576" s="21">
        <v>91511871</v>
      </c>
      <c r="G576" s="21"/>
      <c r="H576" s="22">
        <v>3638726</v>
      </c>
      <c r="I576" s="22">
        <v>0</v>
      </c>
      <c r="J576" s="22">
        <v>0</v>
      </c>
      <c r="K576" s="23">
        <v>3638726</v>
      </c>
      <c r="L576" s="23"/>
      <c r="M576" s="24"/>
      <c r="N576" s="209" t="str">
        <f>IFERROR(VLOOKUP(F576,Back!C:F,4,0),"NO")</f>
        <v>NO</v>
      </c>
      <c r="O576" s="26">
        <v>26</v>
      </c>
      <c r="P576" s="28" t="str">
        <f>IFERROR(VLOOKUP(F576,Back!C:E,3,0),"")</f>
        <v/>
      </c>
      <c r="Q576" s="28" t="str">
        <f>IFERROR(VLOOKUP(P576,Back!M:N,2,0),"")</f>
        <v/>
      </c>
      <c r="R576" s="27" t="str">
        <f>IF(N576="Si",IFERROR(VLOOKUP(F576,'TD Cumpl'!B:AB,27,0),"No Aplica"),"No Aplica")</f>
        <v>No Aplica</v>
      </c>
      <c r="S576" s="38">
        <v>15</v>
      </c>
      <c r="T576" s="36">
        <v>840681</v>
      </c>
      <c r="U576" s="26">
        <v>25</v>
      </c>
      <c r="V576" s="37">
        <v>1555810</v>
      </c>
      <c r="W576" s="19">
        <v>0</v>
      </c>
      <c r="X576" s="37">
        <v>0</v>
      </c>
      <c r="Y576" s="46">
        <f t="shared" si="18"/>
        <v>1242235</v>
      </c>
    </row>
    <row r="577" spans="1:25" x14ac:dyDescent="0.25">
      <c r="A577" s="20">
        <f>+VLOOKUP(D577,Back!Q:R,2,0)</f>
        <v>3</v>
      </c>
      <c r="B577" s="20" t="str">
        <f t="shared" si="19"/>
        <v>2017 MAR</v>
      </c>
      <c r="C577" s="20">
        <v>2017</v>
      </c>
      <c r="D577" s="21" t="s">
        <v>139</v>
      </c>
      <c r="E577" s="21" t="s">
        <v>62</v>
      </c>
      <c r="F577" s="21">
        <v>32256379</v>
      </c>
      <c r="G577" s="21" t="s">
        <v>61</v>
      </c>
      <c r="H577" s="22">
        <v>28926420</v>
      </c>
      <c r="I577" s="22">
        <v>396000</v>
      </c>
      <c r="J577" s="22">
        <v>3761799</v>
      </c>
      <c r="K577" s="23">
        <v>24768621</v>
      </c>
      <c r="L577" s="23">
        <v>42000000</v>
      </c>
      <c r="M577" s="24">
        <v>0.58972907142857145</v>
      </c>
      <c r="N577" s="209" t="str">
        <f>IFERROR(VLOOKUP(F577,Back!C:F,4,0),"NO")</f>
        <v>Si</v>
      </c>
      <c r="O577" s="26">
        <v>26</v>
      </c>
      <c r="P577" s="28" t="str">
        <f>IFERROR(VLOOKUP(F577,Back!C:E,3,0),"")</f>
        <v>Ferias Empresariales Antioquia</v>
      </c>
      <c r="Q577" s="28" t="str">
        <f>IFERROR(VLOOKUP(P577,Back!M:N,2,0),"")</f>
        <v>Antioquia</v>
      </c>
      <c r="R577" s="27" t="str">
        <f>IF(N577="Si",IFERROR(VLOOKUP(F577,'TD Cumpl'!B:AB,27,0),"No Aplica"),"No Aplica")</f>
        <v>Fluctúa</v>
      </c>
      <c r="S577" s="38">
        <v>21</v>
      </c>
      <c r="T577" s="36">
        <v>1834248</v>
      </c>
      <c r="U577" s="26">
        <v>70</v>
      </c>
      <c r="V577" s="37">
        <v>6320941</v>
      </c>
      <c r="W577" s="19">
        <v>46</v>
      </c>
      <c r="X577" s="37">
        <v>3761799</v>
      </c>
      <c r="Y577" s="46">
        <f t="shared" ref="Y577:Y640" si="20">+H577-X577-V577-T577</f>
        <v>17009432</v>
      </c>
    </row>
    <row r="578" spans="1:25" x14ac:dyDescent="0.25">
      <c r="A578" s="20">
        <f>+VLOOKUP(D578,Back!Q:R,2,0)</f>
        <v>3</v>
      </c>
      <c r="B578" s="20" t="str">
        <f t="shared" si="19"/>
        <v>2017 MAR</v>
      </c>
      <c r="C578" s="20">
        <v>2017</v>
      </c>
      <c r="D578" s="21" t="s">
        <v>139</v>
      </c>
      <c r="E578" s="21" t="s">
        <v>4</v>
      </c>
      <c r="F578" s="21">
        <v>79701425</v>
      </c>
      <c r="G578" s="21" t="s">
        <v>27</v>
      </c>
      <c r="H578" s="22">
        <v>33920765</v>
      </c>
      <c r="I578" s="22">
        <v>1384000</v>
      </c>
      <c r="J578" s="22">
        <v>5582511</v>
      </c>
      <c r="K578" s="23">
        <v>26954254</v>
      </c>
      <c r="L578" s="23">
        <v>20000000</v>
      </c>
      <c r="M578" s="24">
        <v>1.3477127</v>
      </c>
      <c r="N578" s="209" t="str">
        <f>IFERROR(VLOOKUP(F578,Back!C:F,4,0),"NO")</f>
        <v>No</v>
      </c>
      <c r="O578" s="26">
        <v>26</v>
      </c>
      <c r="P578" s="28" t="str">
        <f>IFERROR(VLOOKUP(F578,Back!C:E,3,0),"")</f>
        <v>IPS Pto De Vista Olaya</v>
      </c>
      <c r="Q578" s="28" t="str">
        <f>IFERROR(VLOOKUP(P578,Back!M:N,2,0),"")</f>
        <v>Centro</v>
      </c>
      <c r="R578" s="27" t="str">
        <f>IF(N578="Si",IFERROR(VLOOKUP(F578,'TD Cumpl'!B:AB,27,0),"No Aplica"),"No Aplica")</f>
        <v>No Aplica</v>
      </c>
      <c r="S578" s="38">
        <v>79</v>
      </c>
      <c r="T578" s="36">
        <v>5038040</v>
      </c>
      <c r="U578" s="26">
        <v>204</v>
      </c>
      <c r="V578" s="37">
        <v>18709420</v>
      </c>
      <c r="W578" s="19">
        <v>83</v>
      </c>
      <c r="X578" s="37">
        <v>5582511</v>
      </c>
      <c r="Y578" s="46">
        <f t="shared" si="20"/>
        <v>4590794</v>
      </c>
    </row>
    <row r="579" spans="1:25" x14ac:dyDescent="0.25">
      <c r="A579" s="20">
        <f>+VLOOKUP(D579,Back!Q:R,2,0)</f>
        <v>3</v>
      </c>
      <c r="B579" s="20" t="str">
        <f t="shared" si="19"/>
        <v>2017 MAR</v>
      </c>
      <c r="C579" s="20">
        <v>2017</v>
      </c>
      <c r="D579" s="21" t="s">
        <v>139</v>
      </c>
      <c r="E579" s="21" t="s">
        <v>5</v>
      </c>
      <c r="F579" s="21">
        <v>34542470</v>
      </c>
      <c r="G579" s="21" t="s">
        <v>28</v>
      </c>
      <c r="H579" s="22">
        <v>34474696</v>
      </c>
      <c r="I579" s="22">
        <v>558000</v>
      </c>
      <c r="J579" s="22">
        <v>4782491</v>
      </c>
      <c r="K579" s="23">
        <v>29134205</v>
      </c>
      <c r="L579" s="23">
        <v>25000000</v>
      </c>
      <c r="M579" s="24">
        <v>1.1653682000000001</v>
      </c>
      <c r="N579" s="209" t="str">
        <f>IFERROR(VLOOKUP(F579,Back!C:F,4,0),"NO")</f>
        <v>Si</v>
      </c>
      <c r="O579" s="26">
        <v>26</v>
      </c>
      <c r="P579" s="28" t="str">
        <f>IFERROR(VLOOKUP(F579,Back!C:E,3,0),"")</f>
        <v>Optica Salud Sura Chipichape</v>
      </c>
      <c r="Q579" s="28" t="str">
        <f>IFERROR(VLOOKUP(P579,Back!M:N,2,0),"")</f>
        <v>Occidente</v>
      </c>
      <c r="R579" s="27" t="str">
        <f>IF(N579="Si",IFERROR(VLOOKUP(F579,'TD Cumpl'!B:AB,27,0),"No Aplica"),"No Aplica")</f>
        <v>Siempre Cumple</v>
      </c>
      <c r="S579" s="38">
        <v>61</v>
      </c>
      <c r="T579" s="36">
        <v>6774902</v>
      </c>
      <c r="U579" s="26">
        <v>170</v>
      </c>
      <c r="V579" s="37">
        <v>20242090</v>
      </c>
      <c r="W579" s="19">
        <v>52</v>
      </c>
      <c r="X579" s="37">
        <v>4782491</v>
      </c>
      <c r="Y579" s="46">
        <f t="shared" si="20"/>
        <v>2675213</v>
      </c>
    </row>
    <row r="580" spans="1:25" x14ac:dyDescent="0.25">
      <c r="A580" s="20">
        <f>+VLOOKUP(D580,Back!Q:R,2,0)</f>
        <v>3</v>
      </c>
      <c r="B580" s="20" t="str">
        <f t="shared" si="19"/>
        <v>2017 MAR</v>
      </c>
      <c r="C580" s="20">
        <v>2017</v>
      </c>
      <c r="D580" s="21" t="s">
        <v>139</v>
      </c>
      <c r="E580" s="21" t="s">
        <v>7</v>
      </c>
      <c r="F580" s="21">
        <v>43745952</v>
      </c>
      <c r="G580" s="21" t="s">
        <v>50</v>
      </c>
      <c r="H580" s="29">
        <v>74244460</v>
      </c>
      <c r="I580" s="22">
        <v>1102100</v>
      </c>
      <c r="J580" s="22">
        <v>12520070</v>
      </c>
      <c r="K580" s="23">
        <v>60622290</v>
      </c>
      <c r="L580" s="23">
        <v>43000000</v>
      </c>
      <c r="M580" s="24">
        <v>1.4098206976744185</v>
      </c>
      <c r="N580" s="209" t="str">
        <f>IFERROR(VLOOKUP(F580,Back!C:F,4,0),"NO")</f>
        <v>Si</v>
      </c>
      <c r="O580" s="26">
        <v>26</v>
      </c>
      <c r="P580" s="28" t="str">
        <f>IFERROR(VLOOKUP(F580,Back!C:E,3,0),"")</f>
        <v>IPS Pto De Vista Unicentro</v>
      </c>
      <c r="Q580" s="28" t="str">
        <f>IFERROR(VLOOKUP(P580,Back!M:N,2,0),"")</f>
        <v>Antioquia</v>
      </c>
      <c r="R580" s="27" t="str">
        <f>IF(N580="Si",IFERROR(VLOOKUP(F580,'TD Cumpl'!B:AB,27,0),"No Aplica"),"No Aplica")</f>
        <v>Siempre Cumple</v>
      </c>
      <c r="S580" s="38">
        <v>132</v>
      </c>
      <c r="T580" s="36">
        <v>12177797</v>
      </c>
      <c r="U580" s="26">
        <v>326</v>
      </c>
      <c r="V580" s="37">
        <v>42689634</v>
      </c>
      <c r="W580" s="19">
        <v>130</v>
      </c>
      <c r="X580" s="37">
        <v>12520070</v>
      </c>
      <c r="Y580" s="46">
        <f t="shared" si="20"/>
        <v>6856959</v>
      </c>
    </row>
    <row r="581" spans="1:25" x14ac:dyDescent="0.25">
      <c r="A581" s="20">
        <f>+VLOOKUP(D581,Back!Q:R,2,0)</f>
        <v>3</v>
      </c>
      <c r="B581" s="20" t="str">
        <f t="shared" si="19"/>
        <v>2017 MAR</v>
      </c>
      <c r="C581" s="20">
        <v>2017</v>
      </c>
      <c r="D581" s="21" t="s">
        <v>139</v>
      </c>
      <c r="E581" s="21" t="s">
        <v>8</v>
      </c>
      <c r="F581" s="21">
        <v>43259130</v>
      </c>
      <c r="G581" s="21" t="s">
        <v>51</v>
      </c>
      <c r="H581" s="22">
        <v>57512734</v>
      </c>
      <c r="I581" s="22">
        <v>2509800</v>
      </c>
      <c r="J581" s="22">
        <v>10896345</v>
      </c>
      <c r="K581" s="23">
        <v>44106589</v>
      </c>
      <c r="L581" s="23">
        <v>43000000</v>
      </c>
      <c r="M581" s="24">
        <v>1.0257346279069768</v>
      </c>
      <c r="N581" s="209" t="str">
        <f>IFERROR(VLOOKUP(F581,Back!C:F,4,0),"NO")</f>
        <v>Si</v>
      </c>
      <c r="O581" s="26">
        <v>26</v>
      </c>
      <c r="P581" s="28" t="str">
        <f>IFERROR(VLOOKUP(F581,Back!C:E,3,0),"")</f>
        <v>IPS Pto De Vista Molinos</v>
      </c>
      <c r="Q581" s="28" t="str">
        <f>IFERROR(VLOOKUP(P581,Back!M:N,2,0),"")</f>
        <v>Antioquia</v>
      </c>
      <c r="R581" s="27" t="str">
        <f>IF(N581="Si",IFERROR(VLOOKUP(F581,'TD Cumpl'!B:AB,27,0),"No Aplica"),"No Aplica")</f>
        <v>Fluctúa</v>
      </c>
      <c r="S581" s="38">
        <v>124</v>
      </c>
      <c r="T581" s="36">
        <v>10756632</v>
      </c>
      <c r="U581" s="26">
        <v>284</v>
      </c>
      <c r="V581" s="37">
        <v>30086403</v>
      </c>
      <c r="W581" s="19">
        <v>125</v>
      </c>
      <c r="X581" s="37">
        <v>10896345</v>
      </c>
      <c r="Y581" s="46">
        <f t="shared" si="20"/>
        <v>5773354</v>
      </c>
    </row>
    <row r="582" spans="1:25" x14ac:dyDescent="0.25">
      <c r="A582" s="20">
        <f>+VLOOKUP(D582,Back!Q:R,2,0)</f>
        <v>3</v>
      </c>
      <c r="B582" s="20" t="str">
        <f t="shared" si="19"/>
        <v>2017 MAR</v>
      </c>
      <c r="C582" s="20">
        <v>2017</v>
      </c>
      <c r="D582" s="21" t="s">
        <v>139</v>
      </c>
      <c r="E582" s="21" t="s">
        <v>57</v>
      </c>
      <c r="F582" s="21">
        <v>43874518</v>
      </c>
      <c r="G582" s="21" t="s">
        <v>60</v>
      </c>
      <c r="H582" s="22">
        <v>34424399</v>
      </c>
      <c r="I582" s="22">
        <v>1672200</v>
      </c>
      <c r="J582" s="22">
        <v>8412233</v>
      </c>
      <c r="K582" s="23">
        <v>24339966</v>
      </c>
      <c r="L582" s="23">
        <v>43000000</v>
      </c>
      <c r="M582" s="24">
        <v>0.56604572093023253</v>
      </c>
      <c r="N582" s="209" t="str">
        <f>IFERROR(VLOOKUP(F582,Back!C:F,4,0),"NO")</f>
        <v>Si</v>
      </c>
      <c r="O582" s="26">
        <v>26</v>
      </c>
      <c r="P582" s="28" t="str">
        <f>IFERROR(VLOOKUP(F582,Back!C:E,3,0),"")</f>
        <v>IPS Pto De Vista Punto Clave</v>
      </c>
      <c r="Q582" s="28" t="str">
        <f>IFERROR(VLOOKUP(P582,Back!M:N,2,0),"")</f>
        <v>Antioquia</v>
      </c>
      <c r="R582" s="27" t="str">
        <f>IF(N582="Si",IFERROR(VLOOKUP(F582,'TD Cumpl'!B:AB,27,0),"No Aplica"),"No Aplica")</f>
        <v>Fluctúa</v>
      </c>
      <c r="S582" s="38">
        <v>66</v>
      </c>
      <c r="T582" s="36">
        <v>5766353</v>
      </c>
      <c r="U582" s="26">
        <v>172</v>
      </c>
      <c r="V582" s="37">
        <v>14706212</v>
      </c>
      <c r="W582" s="19">
        <v>99</v>
      </c>
      <c r="X582" s="37">
        <v>8412233</v>
      </c>
      <c r="Y582" s="46">
        <f t="shared" si="20"/>
        <v>5539601</v>
      </c>
    </row>
    <row r="583" spans="1:25" x14ac:dyDescent="0.25">
      <c r="A583" s="20">
        <f>+VLOOKUP(D583,Back!Q:R,2,0)</f>
        <v>3</v>
      </c>
      <c r="B583" s="20" t="str">
        <f t="shared" si="19"/>
        <v>2017 MAR</v>
      </c>
      <c r="C583" s="20">
        <v>2017</v>
      </c>
      <c r="D583" s="21" t="s">
        <v>139</v>
      </c>
      <c r="E583" s="21" t="s">
        <v>84</v>
      </c>
      <c r="F583" s="21">
        <v>1020736461</v>
      </c>
      <c r="G583" s="21" t="s">
        <v>156</v>
      </c>
      <c r="H583" s="22">
        <v>43098002</v>
      </c>
      <c r="I583" s="22">
        <v>894000</v>
      </c>
      <c r="J583" s="22">
        <v>6526358</v>
      </c>
      <c r="K583" s="23">
        <v>35677644</v>
      </c>
      <c r="L583" s="23">
        <v>22000000</v>
      </c>
      <c r="M583" s="24">
        <v>1.6217110909090908</v>
      </c>
      <c r="N583" s="209" t="str">
        <f>IFERROR(VLOOKUP(F583,Back!C:F,4,0),"NO")</f>
        <v>Si</v>
      </c>
      <c r="O583" s="26">
        <v>26</v>
      </c>
      <c r="P583" s="28" t="str">
        <f>IFERROR(VLOOKUP(F583,Back!C:E,3,0),"")</f>
        <v>IPS Pto De Vista Santa Bárbara</v>
      </c>
      <c r="Q583" s="28" t="str">
        <f>IFERROR(VLOOKUP(P583,Back!M:N,2,0),"")</f>
        <v>Centro</v>
      </c>
      <c r="R583" s="27" t="str">
        <f>IF(N583="Si",IFERROR(VLOOKUP(F583,'TD Cumpl'!B:AB,27,0),"No Aplica"),"No Aplica")</f>
        <v>Siempre Cumple</v>
      </c>
      <c r="S583" s="38">
        <v>77</v>
      </c>
      <c r="T583" s="36">
        <v>6962784</v>
      </c>
      <c r="U583" s="26">
        <v>234</v>
      </c>
      <c r="V583" s="37">
        <v>27531342</v>
      </c>
      <c r="W583" s="19">
        <v>94</v>
      </c>
      <c r="X583" s="37">
        <v>6526358</v>
      </c>
      <c r="Y583" s="46">
        <f t="shared" si="20"/>
        <v>2077518</v>
      </c>
    </row>
    <row r="584" spans="1:25" x14ac:dyDescent="0.25">
      <c r="A584" s="20">
        <f>+VLOOKUP(D584,Back!Q:R,2,0)</f>
        <v>3</v>
      </c>
      <c r="B584" s="20" t="str">
        <f t="shared" si="19"/>
        <v>2017 MAR</v>
      </c>
      <c r="C584" s="20">
        <v>2017</v>
      </c>
      <c r="D584" s="21" t="s">
        <v>139</v>
      </c>
      <c r="E584" s="21" t="s">
        <v>81</v>
      </c>
      <c r="F584" s="21">
        <v>1017200970</v>
      </c>
      <c r="G584" s="21" t="s">
        <v>82</v>
      </c>
      <c r="H584" s="22">
        <v>52222104</v>
      </c>
      <c r="I584" s="22">
        <v>1454100</v>
      </c>
      <c r="J584" s="22">
        <v>7100199</v>
      </c>
      <c r="K584" s="23">
        <v>43667805</v>
      </c>
      <c r="L584" s="23">
        <v>43000000</v>
      </c>
      <c r="M584" s="24">
        <v>1.0155303488372094</v>
      </c>
      <c r="N584" s="209" t="str">
        <f>IFERROR(VLOOKUP(F584,Back!C:F,4,0),"NO")</f>
        <v>Si</v>
      </c>
      <c r="O584" s="26">
        <v>26</v>
      </c>
      <c r="P584" s="28" t="str">
        <f>IFERROR(VLOOKUP(F584,Back!C:E,3,0),"")</f>
        <v>IPS Pto De Vista San Diego</v>
      </c>
      <c r="Q584" s="28" t="str">
        <f>IFERROR(VLOOKUP(P584,Back!M:N,2,0),"")</f>
        <v>Antioquia</v>
      </c>
      <c r="R584" s="27" t="str">
        <f>IF(N584="Si",IFERROR(VLOOKUP(F584,'TD Cumpl'!B:AB,27,0),"No Aplica"),"No Aplica")</f>
        <v>Cumple</v>
      </c>
      <c r="S584" s="38">
        <v>97</v>
      </c>
      <c r="T584" s="36">
        <v>9623967</v>
      </c>
      <c r="U584" s="26">
        <v>202</v>
      </c>
      <c r="V584" s="37">
        <v>24670436</v>
      </c>
      <c r="W584" s="19">
        <v>85</v>
      </c>
      <c r="X584" s="37">
        <v>7100199</v>
      </c>
      <c r="Y584" s="46">
        <f t="shared" si="20"/>
        <v>10827502</v>
      </c>
    </row>
    <row r="585" spans="1:25" x14ac:dyDescent="0.25">
      <c r="A585" s="20">
        <f>+VLOOKUP(D585,Back!Q:R,2,0)</f>
        <v>3</v>
      </c>
      <c r="B585" s="20" t="str">
        <f t="shared" si="19"/>
        <v>2017 MAR</v>
      </c>
      <c r="C585" s="20">
        <v>2017</v>
      </c>
      <c r="D585" s="21" t="s">
        <v>139</v>
      </c>
      <c r="E585" s="21" t="s">
        <v>72</v>
      </c>
      <c r="F585" s="21">
        <v>43636530</v>
      </c>
      <c r="G585" s="21" t="s">
        <v>483</v>
      </c>
      <c r="H585" s="22">
        <v>49593086</v>
      </c>
      <c r="I585" s="22">
        <v>1448200</v>
      </c>
      <c r="J585" s="22">
        <v>8855320</v>
      </c>
      <c r="K585" s="23">
        <v>39289566</v>
      </c>
      <c r="L585" s="23">
        <v>41000000</v>
      </c>
      <c r="M585" s="24">
        <v>0.9582820975609756</v>
      </c>
      <c r="N585" s="209" t="str">
        <f>IFERROR(VLOOKUP(F585,Back!C:F,4,0),"NO")</f>
        <v>NO</v>
      </c>
      <c r="O585" s="26">
        <v>26</v>
      </c>
      <c r="P585" s="28" t="str">
        <f>IFERROR(VLOOKUP(F585,Back!C:E,3,0),"")</f>
        <v/>
      </c>
      <c r="Q585" s="28" t="str">
        <f>IFERROR(VLOOKUP(P585,Back!M:N,2,0),"")</f>
        <v/>
      </c>
      <c r="R585" s="27" t="str">
        <f>IF(N585="Si",IFERROR(VLOOKUP(F585,'TD Cumpl'!B:AB,27,0),"No Aplica"),"No Aplica")</f>
        <v>No Aplica</v>
      </c>
      <c r="S585" s="38">
        <v>88</v>
      </c>
      <c r="T585" s="36">
        <v>7551090</v>
      </c>
      <c r="U585" s="26">
        <v>218</v>
      </c>
      <c r="V585" s="37">
        <v>23596134</v>
      </c>
      <c r="W585" s="19">
        <v>95</v>
      </c>
      <c r="X585" s="37">
        <v>8855320</v>
      </c>
      <c r="Y585" s="46">
        <f t="shared" si="20"/>
        <v>9590542</v>
      </c>
    </row>
    <row r="586" spans="1:25" x14ac:dyDescent="0.25">
      <c r="A586" s="20">
        <f>+VLOOKUP(D586,Back!Q:R,2,0)</f>
        <v>3</v>
      </c>
      <c r="B586" s="20" t="str">
        <f t="shared" si="19"/>
        <v>2017 MAR</v>
      </c>
      <c r="C586" s="20">
        <v>2017</v>
      </c>
      <c r="D586" s="21" t="s">
        <v>139</v>
      </c>
      <c r="E586" s="21" t="s">
        <v>88</v>
      </c>
      <c r="F586" s="21">
        <v>31445278</v>
      </c>
      <c r="G586" s="21" t="s">
        <v>93</v>
      </c>
      <c r="H586" s="22">
        <v>41609228</v>
      </c>
      <c r="I586" s="22">
        <v>0</v>
      </c>
      <c r="J586" s="22">
        <v>9201580</v>
      </c>
      <c r="K586" s="23">
        <v>32407648</v>
      </c>
      <c r="L586" s="23">
        <v>29999999.999999996</v>
      </c>
      <c r="M586" s="24">
        <v>1.0802549333333336</v>
      </c>
      <c r="N586" s="209" t="str">
        <f>IFERROR(VLOOKUP(F586,Back!C:F,4,0),"NO")</f>
        <v>Si</v>
      </c>
      <c r="O586" s="26">
        <v>26</v>
      </c>
      <c r="P586" s="28" t="str">
        <f>IFERROR(VLOOKUP(F586,Back!C:E,3,0),"")</f>
        <v>Punto de Vista Tequendama</v>
      </c>
      <c r="Q586" s="28" t="str">
        <f>IFERROR(VLOOKUP(P586,Back!M:N,2,0),"")</f>
        <v>Occidente</v>
      </c>
      <c r="R586" s="27" t="str">
        <f>IF(N586="Si",IFERROR(VLOOKUP(F586,'TD Cumpl'!B:AB,27,0),"No Aplica"),"No Aplica")</f>
        <v>Cumple</v>
      </c>
      <c r="S586" s="38">
        <v>115</v>
      </c>
      <c r="T586" s="36">
        <v>8184695</v>
      </c>
      <c r="U586" s="26">
        <v>338</v>
      </c>
      <c r="V586" s="37">
        <v>20167198</v>
      </c>
      <c r="W586" s="19">
        <v>107</v>
      </c>
      <c r="X586" s="37">
        <v>9201580</v>
      </c>
      <c r="Y586" s="46">
        <f t="shared" si="20"/>
        <v>4055755</v>
      </c>
    </row>
    <row r="587" spans="1:25" x14ac:dyDescent="0.25">
      <c r="A587" s="20">
        <f>+VLOOKUP(D587,Back!Q:R,2,0)</f>
        <v>3</v>
      </c>
      <c r="B587" s="20" t="str">
        <f t="shared" si="19"/>
        <v>2017 MAR</v>
      </c>
      <c r="C587" s="20">
        <v>2017</v>
      </c>
      <c r="D587" s="21" t="s">
        <v>139</v>
      </c>
      <c r="E587" s="21" t="s">
        <v>91</v>
      </c>
      <c r="F587" s="21">
        <v>43114534</v>
      </c>
      <c r="G587" s="21" t="s">
        <v>95</v>
      </c>
      <c r="H587" s="22">
        <v>20841332</v>
      </c>
      <c r="I587" s="22">
        <v>609660</v>
      </c>
      <c r="J587" s="22">
        <v>1644590</v>
      </c>
      <c r="K587" s="23">
        <v>18587082</v>
      </c>
      <c r="L587" s="23">
        <v>18000000</v>
      </c>
      <c r="M587" s="24">
        <v>1.0326156666666666</v>
      </c>
      <c r="N587" s="209" t="str">
        <f>IFERROR(VLOOKUP(F587,Back!C:F,4,0),"NO")</f>
        <v>No</v>
      </c>
      <c r="O587" s="26">
        <v>26</v>
      </c>
      <c r="P587" s="28" t="str">
        <f>IFERROR(VLOOKUP(F587,Back!C:E,3,0),"")</f>
        <v>IPS Pto De Vista San Diego</v>
      </c>
      <c r="Q587" s="28" t="str">
        <f>IFERROR(VLOOKUP(P587,Back!M:N,2,0),"")</f>
        <v>Antioquia</v>
      </c>
      <c r="R587" s="27" t="str">
        <f>IF(N587="Si",IFERROR(VLOOKUP(F587,'TD Cumpl'!B:AB,27,0),"No Aplica"),"No Aplica")</f>
        <v>No Aplica</v>
      </c>
      <c r="S587" s="38">
        <v>29</v>
      </c>
      <c r="T587" s="36">
        <v>4019463</v>
      </c>
      <c r="U587" s="26">
        <v>90</v>
      </c>
      <c r="V587" s="37">
        <v>13079080</v>
      </c>
      <c r="W587" s="19">
        <v>21</v>
      </c>
      <c r="X587" s="37">
        <v>1644590</v>
      </c>
      <c r="Y587" s="46">
        <f t="shared" si="20"/>
        <v>2098199</v>
      </c>
    </row>
    <row r="588" spans="1:25" x14ac:dyDescent="0.25">
      <c r="A588" s="20">
        <f>+VLOOKUP(D588,Back!Q:R,2,0)</f>
        <v>3</v>
      </c>
      <c r="B588" s="20" t="str">
        <f t="shared" si="19"/>
        <v>2017 MAR</v>
      </c>
      <c r="C588" s="20">
        <v>2017</v>
      </c>
      <c r="D588" s="21" t="s">
        <v>139</v>
      </c>
      <c r="E588" s="21" t="s">
        <v>92</v>
      </c>
      <c r="F588" s="21">
        <v>1017167720</v>
      </c>
      <c r="G588" s="21" t="s">
        <v>96</v>
      </c>
      <c r="H588" s="22">
        <v>53806511</v>
      </c>
      <c r="I588" s="22">
        <v>550700</v>
      </c>
      <c r="J588" s="22">
        <v>9793710</v>
      </c>
      <c r="K588" s="23">
        <v>43462101</v>
      </c>
      <c r="L588" s="23">
        <v>43000000</v>
      </c>
      <c r="M588" s="24">
        <v>1.010746534883721</v>
      </c>
      <c r="N588" s="209" t="str">
        <f>IFERROR(VLOOKUP(F588,Back!C:F,4,0),"NO")</f>
        <v>Si</v>
      </c>
      <c r="O588" s="26">
        <v>26</v>
      </c>
      <c r="P588" s="28" t="str">
        <f>IFERROR(VLOOKUP(F588,Back!C:E,3,0),"")</f>
        <v>IPS Pto De Vista Punto Clave</v>
      </c>
      <c r="Q588" s="28" t="str">
        <f>IFERROR(VLOOKUP(P588,Back!M:N,2,0),"")</f>
        <v>Antioquia</v>
      </c>
      <c r="R588" s="27" t="str">
        <f>IF(N588="Si",IFERROR(VLOOKUP(F588,'TD Cumpl'!B:AB,27,0),"No Aplica"),"No Aplica")</f>
        <v>Cumple</v>
      </c>
      <c r="S588" s="38">
        <v>112</v>
      </c>
      <c r="T588" s="36">
        <v>10653313</v>
      </c>
      <c r="U588" s="26">
        <v>244</v>
      </c>
      <c r="V588" s="37">
        <v>24832763</v>
      </c>
      <c r="W588" s="19">
        <v>109</v>
      </c>
      <c r="X588" s="37">
        <v>9793710</v>
      </c>
      <c r="Y588" s="46">
        <f t="shared" si="20"/>
        <v>8526725</v>
      </c>
    </row>
    <row r="589" spans="1:25" x14ac:dyDescent="0.25">
      <c r="A589" s="20">
        <f>+VLOOKUP(D589,Back!Q:R,2,0)</f>
        <v>3</v>
      </c>
      <c r="B589" s="20" t="str">
        <f t="shared" si="19"/>
        <v>2017 MAR</v>
      </c>
      <c r="C589" s="20">
        <v>2017</v>
      </c>
      <c r="D589" s="21" t="s">
        <v>139</v>
      </c>
      <c r="E589" s="21" t="s">
        <v>90</v>
      </c>
      <c r="F589" s="21">
        <v>1020419011</v>
      </c>
      <c r="G589" s="21" t="s">
        <v>97</v>
      </c>
      <c r="H589" s="22">
        <v>40607946</v>
      </c>
      <c r="I589" s="22">
        <v>780000</v>
      </c>
      <c r="J589" s="22">
        <v>7722832</v>
      </c>
      <c r="K589" s="23">
        <v>32105114</v>
      </c>
      <c r="L589" s="23">
        <v>43000000</v>
      </c>
      <c r="M589" s="24">
        <v>0.74663055813953494</v>
      </c>
      <c r="N589" s="209" t="str">
        <f>IFERROR(VLOOKUP(F589,Back!C:F,4,0),"NO")</f>
        <v>Si</v>
      </c>
      <c r="O589" s="26">
        <v>26</v>
      </c>
      <c r="P589" s="28" t="str">
        <f>IFERROR(VLOOKUP(F589,Back!C:E,3,0),"")</f>
        <v>IPS Pto De Vista Punto Clave</v>
      </c>
      <c r="Q589" s="28" t="str">
        <f>IFERROR(VLOOKUP(P589,Back!M:N,2,0),"")</f>
        <v>Antioquia</v>
      </c>
      <c r="R589" s="27" t="str">
        <f>IF(N589="Si",IFERROR(VLOOKUP(F589,'TD Cumpl'!B:AB,27,0),"No Aplica"),"No Aplica")</f>
        <v>Cumple</v>
      </c>
      <c r="S589" s="38">
        <v>72</v>
      </c>
      <c r="T589" s="36">
        <v>5902884</v>
      </c>
      <c r="U589" s="26">
        <v>168</v>
      </c>
      <c r="V589" s="37">
        <v>20592263</v>
      </c>
      <c r="W589" s="19">
        <v>93</v>
      </c>
      <c r="X589" s="37">
        <v>7722832</v>
      </c>
      <c r="Y589" s="46">
        <f t="shared" si="20"/>
        <v>6389967</v>
      </c>
    </row>
    <row r="590" spans="1:25" x14ac:dyDescent="0.25">
      <c r="A590" s="20">
        <f>+VLOOKUP(D590,Back!Q:R,2,0)</f>
        <v>3</v>
      </c>
      <c r="B590" s="20" t="str">
        <f t="shared" si="19"/>
        <v>2017 MAR</v>
      </c>
      <c r="C590" s="20">
        <v>2017</v>
      </c>
      <c r="D590" s="21" t="s">
        <v>139</v>
      </c>
      <c r="E590" s="21" t="s">
        <v>83</v>
      </c>
      <c r="F590" s="21">
        <v>43800272</v>
      </c>
      <c r="G590" s="21" t="s">
        <v>85</v>
      </c>
      <c r="H590" s="22">
        <v>39903185</v>
      </c>
      <c r="I590" s="22">
        <v>748700</v>
      </c>
      <c r="J590" s="22">
        <v>7569501</v>
      </c>
      <c r="K590" s="23">
        <v>31584984</v>
      </c>
      <c r="L590" s="23">
        <v>39461538.461538464</v>
      </c>
      <c r="M590" s="24">
        <v>0.80039920467836256</v>
      </c>
      <c r="N590" s="209" t="str">
        <f>IFERROR(VLOOKUP(F590,Back!C:F,4,0),"NO")</f>
        <v>NO</v>
      </c>
      <c r="O590" s="26">
        <v>26</v>
      </c>
      <c r="P590" s="28" t="str">
        <f>IFERROR(VLOOKUP(F590,Back!C:E,3,0),"")</f>
        <v/>
      </c>
      <c r="Q590" s="28" t="str">
        <f>IFERROR(VLOOKUP(P590,Back!M:N,2,0),"")</f>
        <v/>
      </c>
      <c r="R590" s="27" t="str">
        <f>IF(N590="Si",IFERROR(VLOOKUP(F590,'TD Cumpl'!B:AB,27,0),"No Aplica"),"No Aplica")</f>
        <v>No Aplica</v>
      </c>
      <c r="S590" s="38">
        <v>79</v>
      </c>
      <c r="T590" s="36">
        <v>6650092</v>
      </c>
      <c r="U590" s="26">
        <v>242</v>
      </c>
      <c r="V590" s="37">
        <v>20492982</v>
      </c>
      <c r="W590" s="19">
        <v>94</v>
      </c>
      <c r="X590" s="37">
        <v>7569501</v>
      </c>
      <c r="Y590" s="46">
        <f t="shared" si="20"/>
        <v>5190610</v>
      </c>
    </row>
    <row r="591" spans="1:25" x14ac:dyDescent="0.25">
      <c r="A591" s="20">
        <f>+VLOOKUP(D591,Back!Q:R,2,0)</f>
        <v>3</v>
      </c>
      <c r="B591" s="20" t="str">
        <f t="shared" si="19"/>
        <v>2017 MAR</v>
      </c>
      <c r="C591" s="20">
        <v>2017</v>
      </c>
      <c r="D591" s="21" t="s">
        <v>139</v>
      </c>
      <c r="E591" s="21" t="s">
        <v>101</v>
      </c>
      <c r="F591" s="21">
        <v>21428423</v>
      </c>
      <c r="G591" s="21" t="s">
        <v>154</v>
      </c>
      <c r="H591" s="22">
        <v>33434333</v>
      </c>
      <c r="I591" s="22">
        <v>1660000</v>
      </c>
      <c r="J591" s="22">
        <v>8405064</v>
      </c>
      <c r="K591" s="23">
        <v>23369269</v>
      </c>
      <c r="L591" s="23">
        <v>36900000</v>
      </c>
      <c r="M591" s="24">
        <v>0.63331352303523036</v>
      </c>
      <c r="N591" s="209" t="str">
        <f>IFERROR(VLOOKUP(F591,Back!C:F,4,0),"NO")</f>
        <v>Si</v>
      </c>
      <c r="O591" s="26">
        <v>26</v>
      </c>
      <c r="P591" s="28" t="str">
        <f>IFERROR(VLOOKUP(F591,Back!C:E,3,0),"")</f>
        <v>IPS Pto De Vista Centro</v>
      </c>
      <c r="Q591" s="28" t="str">
        <f>IFERROR(VLOOKUP(P591,Back!M:N,2,0),"")</f>
        <v>Antioquia</v>
      </c>
      <c r="R591" s="27" t="str">
        <f>IF(N591="Si",IFERROR(VLOOKUP(F591,'TD Cumpl'!B:AB,27,0),"No Aplica"),"No Aplica")</f>
        <v>Fluctúa</v>
      </c>
      <c r="S591" s="38">
        <v>76</v>
      </c>
      <c r="T591" s="36">
        <v>5514319</v>
      </c>
      <c r="U591" s="26">
        <v>162</v>
      </c>
      <c r="V591" s="37">
        <v>14175791</v>
      </c>
      <c r="W591" s="19">
        <v>86</v>
      </c>
      <c r="X591" s="37">
        <v>8405064</v>
      </c>
      <c r="Y591" s="46">
        <f t="shared" si="20"/>
        <v>5339159</v>
      </c>
    </row>
    <row r="592" spans="1:25" x14ac:dyDescent="0.25">
      <c r="A592" s="20">
        <f>+VLOOKUP(D592,Back!Q:R,2,0)</f>
        <v>3</v>
      </c>
      <c r="B592" s="20" t="str">
        <f t="shared" si="19"/>
        <v>2017 MAR</v>
      </c>
      <c r="C592" s="20">
        <v>2017</v>
      </c>
      <c r="D592" s="21" t="s">
        <v>139</v>
      </c>
      <c r="E592" s="21" t="s">
        <v>102</v>
      </c>
      <c r="F592" s="21">
        <v>79850984</v>
      </c>
      <c r="G592" s="21" t="s">
        <v>106</v>
      </c>
      <c r="H592" s="22">
        <v>26572179</v>
      </c>
      <c r="I592" s="22">
        <v>1236000</v>
      </c>
      <c r="J592" s="22">
        <v>2613475</v>
      </c>
      <c r="K592" s="23">
        <v>22722704</v>
      </c>
      <c r="L592" s="23">
        <v>19800000</v>
      </c>
      <c r="M592" s="24">
        <v>1.147611313131313</v>
      </c>
      <c r="N592" s="209" t="str">
        <f>IFERROR(VLOOKUP(F592,Back!C:F,4,0),"NO")</f>
        <v>Si</v>
      </c>
      <c r="O592" s="26">
        <v>26</v>
      </c>
      <c r="P592" s="28" t="str">
        <f>IFERROR(VLOOKUP(F592,Back!C:E,3,0),"")</f>
        <v>IPS Pto De Vista SSura Clle100</v>
      </c>
      <c r="Q592" s="28" t="str">
        <f>IFERROR(VLOOKUP(P592,Back!M:N,2,0),"")</f>
        <v>Centro</v>
      </c>
      <c r="R592" s="27" t="str">
        <f>IF(N592="Si",IFERROR(VLOOKUP(F592,'TD Cumpl'!B:AB,27,0),"No Aplica"),"No Aplica")</f>
        <v>Fluctúa</v>
      </c>
      <c r="S592" s="38">
        <v>59</v>
      </c>
      <c r="T592" s="36">
        <v>6207544</v>
      </c>
      <c r="U592" s="26">
        <v>132</v>
      </c>
      <c r="V592" s="37">
        <v>13653822</v>
      </c>
      <c r="W592" s="19">
        <v>39</v>
      </c>
      <c r="X592" s="37">
        <v>2613475</v>
      </c>
      <c r="Y592" s="46">
        <f t="shared" si="20"/>
        <v>4097338</v>
      </c>
    </row>
    <row r="593" spans="1:25" x14ac:dyDescent="0.25">
      <c r="A593" s="20">
        <f>+VLOOKUP(D593,Back!Q:R,2,0)</f>
        <v>3</v>
      </c>
      <c r="B593" s="20" t="str">
        <f t="shared" si="19"/>
        <v>2017 MAR</v>
      </c>
      <c r="C593" s="20">
        <v>2017</v>
      </c>
      <c r="D593" s="21" t="s">
        <v>139</v>
      </c>
      <c r="E593" s="21" t="s">
        <v>104</v>
      </c>
      <c r="F593" s="21">
        <v>1234189600</v>
      </c>
      <c r="G593" s="21" t="s">
        <v>107</v>
      </c>
      <c r="H593" s="22">
        <v>14263321</v>
      </c>
      <c r="I593" s="22">
        <v>0</v>
      </c>
      <c r="J593" s="22">
        <v>2059964</v>
      </c>
      <c r="K593" s="23">
        <v>12203357</v>
      </c>
      <c r="L593" s="23">
        <v>28548900</v>
      </c>
      <c r="M593" s="24">
        <v>0.42745454290708224</v>
      </c>
      <c r="N593" s="209" t="str">
        <f>IFERROR(VLOOKUP(F593,Back!C:F,4,0),"NO")</f>
        <v>NO</v>
      </c>
      <c r="O593" s="26">
        <v>26</v>
      </c>
      <c r="P593" s="28" t="str">
        <f>IFERROR(VLOOKUP(F593,Back!C:E,3,0),"")</f>
        <v/>
      </c>
      <c r="Q593" s="28" t="str">
        <f>IFERROR(VLOOKUP(P593,Back!M:N,2,0),"")</f>
        <v/>
      </c>
      <c r="R593" s="27" t="str">
        <f>IF(N593="Si",IFERROR(VLOOKUP(F593,'TD Cumpl'!B:AB,27,0),"No Aplica"),"No Aplica")</f>
        <v>No Aplica</v>
      </c>
      <c r="S593" s="38">
        <v>41</v>
      </c>
      <c r="T593" s="36">
        <v>3420686</v>
      </c>
      <c r="U593" s="26">
        <v>96</v>
      </c>
      <c r="V593" s="37">
        <v>8782671</v>
      </c>
      <c r="W593" s="19">
        <v>34</v>
      </c>
      <c r="X593" s="37">
        <v>2059964</v>
      </c>
      <c r="Y593" s="46">
        <f t="shared" si="20"/>
        <v>0</v>
      </c>
    </row>
    <row r="594" spans="1:25" x14ac:dyDescent="0.25">
      <c r="A594" s="20">
        <f>+VLOOKUP(D594,Back!Q:R,2,0)</f>
        <v>3</v>
      </c>
      <c r="B594" s="20" t="str">
        <f t="shared" si="19"/>
        <v>2017 MAR</v>
      </c>
      <c r="C594" s="20">
        <v>2017</v>
      </c>
      <c r="D594" s="21" t="s">
        <v>139</v>
      </c>
      <c r="E594" s="21" t="s">
        <v>108</v>
      </c>
      <c r="F594" s="21">
        <v>1020443426</v>
      </c>
      <c r="G594" s="21" t="s">
        <v>109</v>
      </c>
      <c r="H594" s="22">
        <v>37726319</v>
      </c>
      <c r="I594" s="22">
        <v>0</v>
      </c>
      <c r="J594" s="22">
        <v>11050318</v>
      </c>
      <c r="K594" s="23">
        <v>26676001</v>
      </c>
      <c r="L594" s="23">
        <v>23200000.000000004</v>
      </c>
      <c r="M594" s="24">
        <v>1.1498276293103447</v>
      </c>
      <c r="N594" s="209" t="str">
        <f>IFERROR(VLOOKUP(F594,Back!C:F,4,0),"NO")</f>
        <v>Si</v>
      </c>
      <c r="O594" s="26">
        <v>26</v>
      </c>
      <c r="P594" s="28" t="str">
        <f>IFERROR(VLOOKUP(F594,Back!C:E,3,0),"")</f>
        <v>IPS Pto De Vista San Diego</v>
      </c>
      <c r="Q594" s="28" t="str">
        <f>IFERROR(VLOOKUP(P594,Back!M:N,2,0),"")</f>
        <v>Antioquia</v>
      </c>
      <c r="R594" s="27" t="str">
        <f>IF(N594="Si",IFERROR(VLOOKUP(F594,'TD Cumpl'!B:AB,27,0),"No Aplica"),"No Aplica")</f>
        <v>Fluctúa</v>
      </c>
      <c r="S594" s="38">
        <v>89</v>
      </c>
      <c r="T594" s="36">
        <v>5818180</v>
      </c>
      <c r="U594" s="26">
        <v>181</v>
      </c>
      <c r="V594" s="37">
        <v>17935473</v>
      </c>
      <c r="W594" s="19">
        <v>115</v>
      </c>
      <c r="X594" s="37">
        <v>11050318</v>
      </c>
      <c r="Y594" s="46">
        <f t="shared" si="20"/>
        <v>2922348</v>
      </c>
    </row>
    <row r="595" spans="1:25" x14ac:dyDescent="0.25">
      <c r="A595" s="20">
        <f>+VLOOKUP(D595,Back!Q:R,2,0)</f>
        <v>3</v>
      </c>
      <c r="B595" s="20" t="str">
        <f t="shared" si="19"/>
        <v>2017 MAR</v>
      </c>
      <c r="C595" s="20">
        <v>2017</v>
      </c>
      <c r="D595" s="21" t="s">
        <v>139</v>
      </c>
      <c r="E595" s="21" t="s">
        <v>110</v>
      </c>
      <c r="F595" s="21">
        <v>1144140699</v>
      </c>
      <c r="G595" s="21" t="s">
        <v>94</v>
      </c>
      <c r="H595" s="22">
        <v>16239928</v>
      </c>
      <c r="I595" s="22">
        <v>0</v>
      </c>
      <c r="J595" s="22">
        <v>8653614</v>
      </c>
      <c r="K595" s="23">
        <v>7586314</v>
      </c>
      <c r="L595" s="23">
        <v>29999999.999999996</v>
      </c>
      <c r="M595" s="24">
        <v>0.25287713333333334</v>
      </c>
      <c r="N595" s="209" t="str">
        <f>IFERROR(VLOOKUP(F595,Back!C:F,4,0),"NO")</f>
        <v>NO</v>
      </c>
      <c r="O595" s="26">
        <v>26</v>
      </c>
      <c r="P595" s="28" t="str">
        <f>IFERROR(VLOOKUP(F595,Back!C:E,3,0),"")</f>
        <v/>
      </c>
      <c r="Q595" s="28" t="str">
        <f>IFERROR(VLOOKUP(P595,Back!M:N,2,0),"")</f>
        <v/>
      </c>
      <c r="R595" s="27" t="str">
        <f>IF(N595="Si",IFERROR(VLOOKUP(F595,'TD Cumpl'!B:AB,27,0),"No Aplica"),"No Aplica")</f>
        <v>No Aplica</v>
      </c>
      <c r="S595" s="38">
        <v>16</v>
      </c>
      <c r="T595" s="36">
        <v>1426241</v>
      </c>
      <c r="U595" s="26">
        <v>50</v>
      </c>
      <c r="V595" s="37">
        <v>3256825</v>
      </c>
      <c r="W595" s="19">
        <v>100</v>
      </c>
      <c r="X595" s="37">
        <v>8653614</v>
      </c>
      <c r="Y595" s="46">
        <f t="shared" si="20"/>
        <v>2903248</v>
      </c>
    </row>
    <row r="596" spans="1:25" x14ac:dyDescent="0.25">
      <c r="A596" s="20">
        <f>+VLOOKUP(D596,Back!Q:R,2,0)</f>
        <v>3</v>
      </c>
      <c r="B596" s="20" t="str">
        <f t="shared" si="19"/>
        <v>2017 MAR</v>
      </c>
      <c r="C596" s="20">
        <v>2017</v>
      </c>
      <c r="D596" s="21" t="s">
        <v>139</v>
      </c>
      <c r="E596" s="21" t="s">
        <v>100</v>
      </c>
      <c r="F596" s="21"/>
      <c r="G596" s="21"/>
      <c r="H596" s="22">
        <v>158400</v>
      </c>
      <c r="I596" s="22">
        <v>0</v>
      </c>
      <c r="J596" s="22">
        <v>0</v>
      </c>
      <c r="K596" s="23">
        <v>158400</v>
      </c>
      <c r="L596" s="23"/>
      <c r="M596" s="24"/>
      <c r="N596" s="209" t="str">
        <f>IFERROR(VLOOKUP(F596,Back!C:F,4,0),"NO")</f>
        <v>NO</v>
      </c>
      <c r="O596" s="26">
        <v>26</v>
      </c>
      <c r="P596" s="28" t="str">
        <f>IFERROR(VLOOKUP(F596,Back!C:E,3,0),"")</f>
        <v/>
      </c>
      <c r="Q596" s="28" t="str">
        <f>IFERROR(VLOOKUP(P596,Back!M:N,2,0),"")</f>
        <v/>
      </c>
      <c r="R596" s="27" t="str">
        <f>IF(N596="Si",IFERROR(VLOOKUP(F596,'TD Cumpl'!B:AB,27,0),"No Aplica"),"No Aplica")</f>
        <v>No Aplica</v>
      </c>
      <c r="S596" s="38">
        <v>0</v>
      </c>
      <c r="T596" s="36">
        <v>0</v>
      </c>
      <c r="U596" s="26">
        <v>0</v>
      </c>
      <c r="V596" s="37">
        <v>0</v>
      </c>
      <c r="W596" s="19">
        <v>0</v>
      </c>
      <c r="X596" s="37">
        <v>0</v>
      </c>
      <c r="Y596" s="46">
        <f t="shared" si="20"/>
        <v>158400</v>
      </c>
    </row>
    <row r="597" spans="1:25" x14ac:dyDescent="0.25">
      <c r="A597" s="20">
        <f>+VLOOKUP(D597,Back!Q:R,2,0)</f>
        <v>3</v>
      </c>
      <c r="B597" s="20" t="str">
        <f t="shared" si="19"/>
        <v>2017 MAR</v>
      </c>
      <c r="C597" s="20">
        <v>2017</v>
      </c>
      <c r="D597" s="21" t="s">
        <v>139</v>
      </c>
      <c r="E597" s="21" t="s">
        <v>111</v>
      </c>
      <c r="F597" s="21"/>
      <c r="G597" s="21"/>
      <c r="H597" s="22">
        <v>158400</v>
      </c>
      <c r="I597" s="22">
        <v>0</v>
      </c>
      <c r="J597" s="22">
        <v>0</v>
      </c>
      <c r="K597" s="23">
        <v>158400</v>
      </c>
      <c r="L597" s="23"/>
      <c r="M597" s="24"/>
      <c r="N597" s="209" t="str">
        <f>IFERROR(VLOOKUP(F597,Back!C:F,4,0),"NO")</f>
        <v>NO</v>
      </c>
      <c r="O597" s="26">
        <v>26</v>
      </c>
      <c r="P597" s="28" t="str">
        <f>IFERROR(VLOOKUP(F597,Back!C:E,3,0),"")</f>
        <v/>
      </c>
      <c r="Q597" s="28" t="str">
        <f>IFERROR(VLOOKUP(P597,Back!M:N,2,0),"")</f>
        <v/>
      </c>
      <c r="R597" s="27" t="str">
        <f>IF(N597="Si",IFERROR(VLOOKUP(F597,'TD Cumpl'!B:AB,27,0),"No Aplica"),"No Aplica")</f>
        <v>No Aplica</v>
      </c>
      <c r="S597" s="38">
        <v>0</v>
      </c>
      <c r="T597" s="36">
        <v>0</v>
      </c>
      <c r="U597" s="26">
        <v>0</v>
      </c>
      <c r="V597" s="37">
        <v>0</v>
      </c>
      <c r="W597" s="19">
        <v>0</v>
      </c>
      <c r="X597" s="37">
        <v>0</v>
      </c>
      <c r="Y597" s="46">
        <f t="shared" si="20"/>
        <v>158400</v>
      </c>
    </row>
    <row r="598" spans="1:25" x14ac:dyDescent="0.25">
      <c r="A598" s="20">
        <f>+VLOOKUP(D598,Back!Q:R,2,0)</f>
        <v>3</v>
      </c>
      <c r="B598" s="20" t="str">
        <f t="shared" si="19"/>
        <v>2017 MAR</v>
      </c>
      <c r="C598" s="20">
        <v>2017</v>
      </c>
      <c r="D598" s="21" t="s">
        <v>139</v>
      </c>
      <c r="E598" s="21" t="s">
        <v>19</v>
      </c>
      <c r="F598" s="21"/>
      <c r="G598" s="21"/>
      <c r="H598" s="22">
        <v>0</v>
      </c>
      <c r="I598" s="22">
        <v>0</v>
      </c>
      <c r="J598" s="22">
        <v>0</v>
      </c>
      <c r="K598" s="23">
        <v>0</v>
      </c>
      <c r="L598" s="23"/>
      <c r="M598" s="24"/>
      <c r="N598" s="209" t="str">
        <f>IFERROR(VLOOKUP(F598,Back!C:F,4,0),"NO")</f>
        <v>NO</v>
      </c>
      <c r="O598" s="26">
        <v>26</v>
      </c>
      <c r="P598" s="28" t="str">
        <f>IFERROR(VLOOKUP(F598,Back!C:E,3,0),"")</f>
        <v/>
      </c>
      <c r="Q598" s="28" t="str">
        <f>IFERROR(VLOOKUP(P598,Back!M:N,2,0),"")</f>
        <v/>
      </c>
      <c r="R598" s="27" t="str">
        <f>IF(N598="Si",IFERROR(VLOOKUP(F598,'TD Cumpl'!B:AB,27,0),"No Aplica"),"No Aplica")</f>
        <v>No Aplica</v>
      </c>
      <c r="S598" s="38">
        <v>0</v>
      </c>
      <c r="T598" s="36">
        <v>0</v>
      </c>
      <c r="U598" s="26">
        <v>0</v>
      </c>
      <c r="V598" s="37">
        <v>0</v>
      </c>
      <c r="W598" s="19">
        <v>0</v>
      </c>
      <c r="X598" s="37">
        <v>0</v>
      </c>
      <c r="Y598" s="46">
        <f t="shared" si="20"/>
        <v>0</v>
      </c>
    </row>
    <row r="599" spans="1:25" x14ac:dyDescent="0.25">
      <c r="A599" s="20">
        <f>+VLOOKUP(D599,Back!Q:R,2,0)</f>
        <v>3</v>
      </c>
      <c r="B599" s="20" t="str">
        <f t="shared" si="19"/>
        <v>2017 MAR</v>
      </c>
      <c r="C599" s="20">
        <v>2017</v>
      </c>
      <c r="D599" s="21" t="s">
        <v>139</v>
      </c>
      <c r="E599" s="21" t="s">
        <v>103</v>
      </c>
      <c r="F599" s="21"/>
      <c r="G599" s="21"/>
      <c r="H599" s="22">
        <v>222025</v>
      </c>
      <c r="I599" s="22">
        <v>0</v>
      </c>
      <c r="J599" s="22">
        <v>222025</v>
      </c>
      <c r="K599" s="23">
        <v>0</v>
      </c>
      <c r="L599" s="23"/>
      <c r="M599" s="24"/>
      <c r="N599" s="209" t="str">
        <f>IFERROR(VLOOKUP(F599,Back!C:F,4,0),"NO")</f>
        <v>NO</v>
      </c>
      <c r="O599" s="26">
        <v>26</v>
      </c>
      <c r="P599" s="28" t="str">
        <f>IFERROR(VLOOKUP(F599,Back!C:E,3,0),"")</f>
        <v/>
      </c>
      <c r="Q599" s="28" t="str">
        <f>IFERROR(VLOOKUP(P599,Back!M:N,2,0),"")</f>
        <v/>
      </c>
      <c r="R599" s="27" t="str">
        <f>IF(N599="Si",IFERROR(VLOOKUP(F599,'TD Cumpl'!B:AB,27,0),"No Aplica"),"No Aplica")</f>
        <v>No Aplica</v>
      </c>
      <c r="S599" s="38">
        <v>0</v>
      </c>
      <c r="T599" s="36">
        <v>0</v>
      </c>
      <c r="U599" s="26">
        <v>0</v>
      </c>
      <c r="V599" s="37">
        <v>0</v>
      </c>
      <c r="W599" s="19">
        <v>3</v>
      </c>
      <c r="X599" s="37">
        <v>222025</v>
      </c>
      <c r="Y599" s="46">
        <f t="shared" si="20"/>
        <v>0</v>
      </c>
    </row>
    <row r="600" spans="1:25" x14ac:dyDescent="0.25">
      <c r="A600" s="20">
        <f>+VLOOKUP(D600,Back!Q:R,2,0)</f>
        <v>3</v>
      </c>
      <c r="B600" s="20" t="str">
        <f t="shared" si="19"/>
        <v>2017 MAR</v>
      </c>
      <c r="C600" s="20">
        <v>2017</v>
      </c>
      <c r="D600" s="21" t="s">
        <v>139</v>
      </c>
      <c r="E600" s="21" t="s">
        <v>86</v>
      </c>
      <c r="F600" s="21"/>
      <c r="G600" s="21"/>
      <c r="H600" s="22">
        <v>113634</v>
      </c>
      <c r="I600" s="22">
        <v>0</v>
      </c>
      <c r="J600" s="22">
        <v>113634</v>
      </c>
      <c r="K600" s="23">
        <v>0</v>
      </c>
      <c r="L600" s="23"/>
      <c r="M600" s="24"/>
      <c r="N600" s="209" t="str">
        <f>IFERROR(VLOOKUP(F600,Back!C:F,4,0),"NO")</f>
        <v>NO</v>
      </c>
      <c r="O600" s="26">
        <v>26</v>
      </c>
      <c r="P600" s="28" t="str">
        <f>IFERROR(VLOOKUP(F600,Back!C:E,3,0),"")</f>
        <v/>
      </c>
      <c r="Q600" s="28" t="str">
        <f>IFERROR(VLOOKUP(P600,Back!M:N,2,0),"")</f>
        <v/>
      </c>
      <c r="R600" s="27" t="str">
        <f>IF(N600="Si",IFERROR(VLOOKUP(F600,'TD Cumpl'!B:AB,27,0),"No Aplica"),"No Aplica")</f>
        <v>No Aplica</v>
      </c>
      <c r="S600" s="38">
        <v>0</v>
      </c>
      <c r="T600" s="36">
        <v>0</v>
      </c>
      <c r="U600" s="26">
        <v>0</v>
      </c>
      <c r="V600" s="37">
        <v>0</v>
      </c>
      <c r="W600" s="19">
        <v>2</v>
      </c>
      <c r="X600" s="37">
        <v>113634</v>
      </c>
      <c r="Y600" s="46">
        <f t="shared" si="20"/>
        <v>0</v>
      </c>
    </row>
    <row r="601" spans="1:25" x14ac:dyDescent="0.25">
      <c r="A601" s="20">
        <f>+VLOOKUP(D601,Back!Q:R,2,0)</f>
        <v>3</v>
      </c>
      <c r="B601" s="20" t="str">
        <f t="shared" si="19"/>
        <v>2017 MAR</v>
      </c>
      <c r="C601" s="20">
        <v>2017</v>
      </c>
      <c r="D601" s="21" t="s">
        <v>139</v>
      </c>
      <c r="E601" s="21" t="s">
        <v>1</v>
      </c>
      <c r="F601" s="21"/>
      <c r="G601" s="21"/>
      <c r="H601" s="22">
        <v>786716</v>
      </c>
      <c r="I601" s="22">
        <v>0</v>
      </c>
      <c r="J601" s="22">
        <v>0</v>
      </c>
      <c r="K601" s="23">
        <v>786716</v>
      </c>
      <c r="L601" s="23"/>
      <c r="M601" s="24"/>
      <c r="N601" s="209" t="str">
        <f>IFERROR(VLOOKUP(F601,Back!C:F,4,0),"NO")</f>
        <v>NO</v>
      </c>
      <c r="O601" s="26">
        <v>26</v>
      </c>
      <c r="P601" s="28" t="str">
        <f>IFERROR(VLOOKUP(F601,Back!C:E,3,0),"")</f>
        <v/>
      </c>
      <c r="Q601" s="28" t="str">
        <f>IFERROR(VLOOKUP(P601,Back!M:N,2,0),"")</f>
        <v/>
      </c>
      <c r="R601" s="27" t="str">
        <f>IF(N601="Si",IFERROR(VLOOKUP(F601,'TD Cumpl'!B:AB,27,0),"No Aplica"),"No Aplica")</f>
        <v>No Aplica</v>
      </c>
      <c r="S601" s="38">
        <v>3</v>
      </c>
      <c r="T601" s="36">
        <v>235215</v>
      </c>
      <c r="U601" s="26">
        <v>6</v>
      </c>
      <c r="V601" s="37">
        <v>367700</v>
      </c>
      <c r="W601" s="19">
        <v>0</v>
      </c>
      <c r="X601" s="37">
        <v>0</v>
      </c>
      <c r="Y601" s="46">
        <f t="shared" si="20"/>
        <v>183801</v>
      </c>
    </row>
    <row r="602" spans="1:25" x14ac:dyDescent="0.25">
      <c r="A602" s="20">
        <f>+VLOOKUP(D602,Back!Q:R,2,0)</f>
        <v>3</v>
      </c>
      <c r="B602" s="20" t="str">
        <f t="shared" si="19"/>
        <v>2017 MAR</v>
      </c>
      <c r="C602" s="20">
        <v>2017</v>
      </c>
      <c r="D602" s="21" t="s">
        <v>139</v>
      </c>
      <c r="E602" s="21" t="s">
        <v>54</v>
      </c>
      <c r="F602" s="21"/>
      <c r="G602" s="21"/>
      <c r="H602" s="22">
        <v>0</v>
      </c>
      <c r="I602" s="22">
        <v>0</v>
      </c>
      <c r="J602" s="22">
        <v>0</v>
      </c>
      <c r="K602" s="23">
        <v>0</v>
      </c>
      <c r="L602" s="23"/>
      <c r="M602" s="24"/>
      <c r="N602" s="209" t="str">
        <f>IFERROR(VLOOKUP(F602,Back!C:F,4,0),"NO")</f>
        <v>NO</v>
      </c>
      <c r="O602" s="26">
        <v>26</v>
      </c>
      <c r="P602" s="28" t="str">
        <f>IFERROR(VLOOKUP(F602,Back!C:E,3,0),"")</f>
        <v/>
      </c>
      <c r="Q602" s="28" t="str">
        <f>IFERROR(VLOOKUP(P602,Back!M:N,2,0),"")</f>
        <v/>
      </c>
      <c r="R602" s="27" t="str">
        <f>IF(N602="Si",IFERROR(VLOOKUP(F602,'TD Cumpl'!B:AB,27,0),"No Aplica"),"No Aplica")</f>
        <v>No Aplica</v>
      </c>
      <c r="S602" s="38">
        <v>0</v>
      </c>
      <c r="T602" s="36">
        <v>0</v>
      </c>
      <c r="U602" s="26">
        <v>0</v>
      </c>
      <c r="V602" s="37">
        <v>0</v>
      </c>
      <c r="W602" s="19">
        <v>0</v>
      </c>
      <c r="X602" s="37">
        <v>0</v>
      </c>
      <c r="Y602" s="46">
        <f t="shared" si="20"/>
        <v>0</v>
      </c>
    </row>
    <row r="603" spans="1:25" x14ac:dyDescent="0.25">
      <c r="A603" s="20">
        <f>+VLOOKUP(D603,Back!Q:R,2,0)</f>
        <v>3</v>
      </c>
      <c r="B603" s="20" t="str">
        <f t="shared" si="19"/>
        <v>2017 MAR</v>
      </c>
      <c r="C603" s="20">
        <v>2017</v>
      </c>
      <c r="D603" s="21" t="s">
        <v>139</v>
      </c>
      <c r="E603" s="21" t="s">
        <v>68</v>
      </c>
      <c r="F603" s="21"/>
      <c r="G603" s="21"/>
      <c r="H603" s="22">
        <v>102046</v>
      </c>
      <c r="I603" s="22">
        <v>0</v>
      </c>
      <c r="J603" s="22">
        <v>0</v>
      </c>
      <c r="K603" s="23">
        <v>102046</v>
      </c>
      <c r="L603" s="23"/>
      <c r="M603" s="24"/>
      <c r="N603" s="209" t="str">
        <f>IFERROR(VLOOKUP(F603,Back!C:F,4,0),"NO")</f>
        <v>NO</v>
      </c>
      <c r="O603" s="26">
        <v>26</v>
      </c>
      <c r="P603" s="28" t="str">
        <f>IFERROR(VLOOKUP(F603,Back!C:E,3,0),"")</f>
        <v/>
      </c>
      <c r="Q603" s="28" t="str">
        <f>IFERROR(VLOOKUP(P603,Back!M:N,2,0),"")</f>
        <v/>
      </c>
      <c r="R603" s="27" t="str">
        <f>IF(N603="Si",IFERROR(VLOOKUP(F603,'TD Cumpl'!B:AB,27,0),"No Aplica"),"No Aplica")</f>
        <v>No Aplica</v>
      </c>
      <c r="S603" s="38">
        <v>1</v>
      </c>
      <c r="T603" s="36">
        <v>94526</v>
      </c>
      <c r="U603" s="26">
        <v>2</v>
      </c>
      <c r="V603" s="37">
        <v>7520</v>
      </c>
      <c r="W603" s="19">
        <v>0</v>
      </c>
      <c r="X603" s="37">
        <v>0</v>
      </c>
      <c r="Y603" s="46">
        <f t="shared" si="20"/>
        <v>0</v>
      </c>
    </row>
    <row r="604" spans="1:25" x14ac:dyDescent="0.25">
      <c r="A604" s="20">
        <f>+VLOOKUP(D604,Back!Q:R,2,0)</f>
        <v>3</v>
      </c>
      <c r="B604" s="20" t="str">
        <f t="shared" si="19"/>
        <v>2017 MAR</v>
      </c>
      <c r="C604" s="20">
        <v>2017</v>
      </c>
      <c r="D604" s="21" t="s">
        <v>139</v>
      </c>
      <c r="E604" s="21" t="s">
        <v>79</v>
      </c>
      <c r="F604" s="21"/>
      <c r="G604" s="21"/>
      <c r="H604" s="22">
        <v>279497</v>
      </c>
      <c r="I604" s="22">
        <v>0</v>
      </c>
      <c r="J604" s="22">
        <v>0</v>
      </c>
      <c r="K604" s="23">
        <v>279497</v>
      </c>
      <c r="L604" s="23"/>
      <c r="M604" s="24"/>
      <c r="N604" s="209" t="str">
        <f>IFERROR(VLOOKUP(F604,Back!C:F,4,0),"NO")</f>
        <v>NO</v>
      </c>
      <c r="O604" s="26">
        <v>26</v>
      </c>
      <c r="P604" s="28" t="str">
        <f>IFERROR(VLOOKUP(F604,Back!C:E,3,0),"")</f>
        <v/>
      </c>
      <c r="Q604" s="28" t="str">
        <f>IFERROR(VLOOKUP(P604,Back!M:N,2,0),"")</f>
        <v/>
      </c>
      <c r="R604" s="27" t="str">
        <f>IF(N604="Si",IFERROR(VLOOKUP(F604,'TD Cumpl'!B:AB,27,0),"No Aplica"),"No Aplica")</f>
        <v>No Aplica</v>
      </c>
      <c r="S604" s="38">
        <v>1</v>
      </c>
      <c r="T604" s="36">
        <v>131677</v>
      </c>
      <c r="U604" s="26">
        <v>2</v>
      </c>
      <c r="V604" s="37">
        <v>147820</v>
      </c>
      <c r="W604" s="19">
        <v>0</v>
      </c>
      <c r="X604" s="37">
        <v>0</v>
      </c>
      <c r="Y604" s="46">
        <f t="shared" si="20"/>
        <v>0</v>
      </c>
    </row>
    <row r="605" spans="1:25" x14ac:dyDescent="0.25">
      <c r="A605" s="20">
        <f>+VLOOKUP(D605,Back!Q:R,2,0)</f>
        <v>3</v>
      </c>
      <c r="B605" s="20" t="str">
        <f t="shared" si="19"/>
        <v>2017 MAR</v>
      </c>
      <c r="C605" s="20">
        <v>2017</v>
      </c>
      <c r="D605" s="21" t="s">
        <v>139</v>
      </c>
      <c r="E605" s="21" t="s">
        <v>87</v>
      </c>
      <c r="F605" s="21"/>
      <c r="G605" s="21"/>
      <c r="H605" s="22">
        <v>-166500</v>
      </c>
      <c r="I605" s="22">
        <v>0</v>
      </c>
      <c r="J605" s="22">
        <v>0</v>
      </c>
      <c r="K605" s="23">
        <v>-166500</v>
      </c>
      <c r="L605" s="23"/>
      <c r="M605" s="24"/>
      <c r="N605" s="209" t="str">
        <f>IFERROR(VLOOKUP(F605,Back!C:F,4,0),"NO")</f>
        <v>NO</v>
      </c>
      <c r="O605" s="26">
        <v>26</v>
      </c>
      <c r="P605" s="28" t="str">
        <f>IFERROR(VLOOKUP(F605,Back!C:E,3,0),"")</f>
        <v/>
      </c>
      <c r="Q605" s="28" t="str">
        <f>IFERROR(VLOOKUP(P605,Back!M:N,2,0),"")</f>
        <v/>
      </c>
      <c r="R605" s="27" t="str">
        <f>IF(N605="Si",IFERROR(VLOOKUP(F605,'TD Cumpl'!B:AB,27,0),"No Aplica"),"No Aplica")</f>
        <v>No Aplica</v>
      </c>
      <c r="S605" s="38">
        <v>2</v>
      </c>
      <c r="T605" s="36">
        <v>0</v>
      </c>
      <c r="U605" s="26">
        <v>4</v>
      </c>
      <c r="V605" s="37">
        <v>0</v>
      </c>
      <c r="W605" s="19">
        <v>0</v>
      </c>
      <c r="X605" s="37">
        <v>0</v>
      </c>
      <c r="Y605" s="46">
        <f t="shared" si="20"/>
        <v>-166500</v>
      </c>
    </row>
    <row r="606" spans="1:25" x14ac:dyDescent="0.25">
      <c r="A606" s="20">
        <f>+VLOOKUP(D606,Back!Q:R,2,0)</f>
        <v>4</v>
      </c>
      <c r="B606" s="20" t="str">
        <f t="shared" si="19"/>
        <v>2017 ABR</v>
      </c>
      <c r="C606" s="20">
        <v>2017</v>
      </c>
      <c r="D606" s="21" t="s">
        <v>140</v>
      </c>
      <c r="E606" s="21" t="s">
        <v>9</v>
      </c>
      <c r="F606" s="21">
        <v>43169964</v>
      </c>
      <c r="G606" s="21" t="s">
        <v>155</v>
      </c>
      <c r="H606" s="22">
        <v>7400690</v>
      </c>
      <c r="I606" s="22">
        <v>0</v>
      </c>
      <c r="J606" s="22">
        <v>2741822</v>
      </c>
      <c r="K606" s="23">
        <v>4658868</v>
      </c>
      <c r="L606" s="23">
        <v>14260869.565217391</v>
      </c>
      <c r="M606" s="24">
        <v>0.32668891463414634</v>
      </c>
      <c r="N606" s="209" t="str">
        <f>IFERROR(VLOOKUP(F606,Back!C:F,4,0),"NO")</f>
        <v>Si</v>
      </c>
      <c r="O606" s="26">
        <v>23</v>
      </c>
      <c r="P606" s="28" t="str">
        <f>IFERROR(VLOOKUP(F606,Back!C:E,3,0),"")</f>
        <v>IPS Pto De Vista Molinos</v>
      </c>
      <c r="Q606" s="28" t="str">
        <f>IFERROR(VLOOKUP(P606,Back!M:N,2,0),"")</f>
        <v>Antioquia</v>
      </c>
      <c r="R606" s="27" t="str">
        <f>IF(N606="Si",IFERROR(VLOOKUP(F606,'TD Cumpl'!B:AB,27,0),"No Aplica"),"No Aplica")</f>
        <v>Cumple</v>
      </c>
      <c r="S606" s="38">
        <v>15</v>
      </c>
      <c r="T606" s="36">
        <v>1065364</v>
      </c>
      <c r="U606" s="26">
        <v>34</v>
      </c>
      <c r="V606" s="37">
        <v>2841594</v>
      </c>
      <c r="W606" s="19">
        <v>31</v>
      </c>
      <c r="X606" s="37">
        <v>2741822</v>
      </c>
      <c r="Y606" s="46">
        <f t="shared" si="20"/>
        <v>751910</v>
      </c>
    </row>
    <row r="607" spans="1:25" x14ac:dyDescent="0.25">
      <c r="A607" s="20">
        <f>+VLOOKUP(D607,Back!Q:R,2,0)</f>
        <v>4</v>
      </c>
      <c r="B607" s="20" t="str">
        <f t="shared" si="19"/>
        <v>2017 ABR</v>
      </c>
      <c r="C607" s="20">
        <v>2017</v>
      </c>
      <c r="D607" s="21" t="s">
        <v>140</v>
      </c>
      <c r="E607" s="21" t="s">
        <v>11</v>
      </c>
      <c r="F607" s="21">
        <v>43253531</v>
      </c>
      <c r="G607" s="21" t="s">
        <v>39</v>
      </c>
      <c r="H607" s="22">
        <v>49627094</v>
      </c>
      <c r="I607" s="22">
        <v>396000</v>
      </c>
      <c r="J607" s="22">
        <v>12002936</v>
      </c>
      <c r="K607" s="23">
        <v>37228158</v>
      </c>
      <c r="L607" s="23">
        <v>29000000</v>
      </c>
      <c r="M607" s="24">
        <v>1.2837295862068965</v>
      </c>
      <c r="N607" s="209" t="str">
        <f>IFERROR(VLOOKUP(F607,Back!C:F,4,0),"NO")</f>
        <v>Si</v>
      </c>
      <c r="O607" s="26">
        <v>23</v>
      </c>
      <c r="P607" s="28" t="str">
        <f>IFERROR(VLOOKUP(F607,Back!C:E,3,0),"")</f>
        <v>IPS Punto de Vista Bello</v>
      </c>
      <c r="Q607" s="28" t="str">
        <f>IFERROR(VLOOKUP(P607,Back!M:N,2,0),"")</f>
        <v>Antioquia</v>
      </c>
      <c r="R607" s="27" t="str">
        <f>IF(N607="Si",IFERROR(VLOOKUP(F607,'TD Cumpl'!B:AB,27,0),"No Aplica"),"No Aplica")</f>
        <v>Cumple</v>
      </c>
      <c r="S607" s="38">
        <v>99</v>
      </c>
      <c r="T607" s="36">
        <v>7431908</v>
      </c>
      <c r="U607" s="26">
        <v>252</v>
      </c>
      <c r="V607" s="37">
        <v>25118996</v>
      </c>
      <c r="W607" s="19">
        <v>144</v>
      </c>
      <c r="X607" s="37">
        <v>12002936</v>
      </c>
      <c r="Y607" s="46">
        <f t="shared" si="20"/>
        <v>5073254</v>
      </c>
    </row>
    <row r="608" spans="1:25" x14ac:dyDescent="0.25">
      <c r="A608" s="20">
        <f>+VLOOKUP(D608,Back!Q:R,2,0)</f>
        <v>4</v>
      </c>
      <c r="B608" s="20" t="str">
        <f t="shared" si="19"/>
        <v>2017 ABR</v>
      </c>
      <c r="C608" s="20">
        <v>2017</v>
      </c>
      <c r="D608" s="21" t="s">
        <v>140</v>
      </c>
      <c r="E608" s="21" t="s">
        <v>66</v>
      </c>
      <c r="F608" s="21">
        <v>3438422</v>
      </c>
      <c r="G608" s="21" t="s">
        <v>71</v>
      </c>
      <c r="H608" s="22">
        <v>42725307</v>
      </c>
      <c r="I608" s="22">
        <v>414000</v>
      </c>
      <c r="J608" s="22">
        <v>7857117</v>
      </c>
      <c r="K608" s="23">
        <v>34454190</v>
      </c>
      <c r="L608" s="23">
        <v>30100000</v>
      </c>
      <c r="M608" s="24">
        <v>1.1446574750830565</v>
      </c>
      <c r="N608" s="209" t="str">
        <f>IFERROR(VLOOKUP(F608,Back!C:F,4,0),"NO")</f>
        <v>Si</v>
      </c>
      <c r="O608" s="26">
        <v>23</v>
      </c>
      <c r="P608" s="28" t="str">
        <f>IFERROR(VLOOKUP(F608,Back!C:E,3,0),"")</f>
        <v>IPS Pto De Vista Punto Clave</v>
      </c>
      <c r="Q608" s="28" t="str">
        <f>IFERROR(VLOOKUP(P608,Back!M:N,2,0),"")</f>
        <v>Antioquia</v>
      </c>
      <c r="R608" s="27" t="str">
        <f>IF(N608="Si",IFERROR(VLOOKUP(F608,'TD Cumpl'!B:AB,27,0),"No Aplica"),"No Aplica")</f>
        <v>Fluctúa</v>
      </c>
      <c r="S608" s="38">
        <v>66</v>
      </c>
      <c r="T608" s="36">
        <v>6143082</v>
      </c>
      <c r="U608" s="26">
        <v>168</v>
      </c>
      <c r="V608" s="37">
        <v>22501142</v>
      </c>
      <c r="W608" s="19">
        <v>98</v>
      </c>
      <c r="X608" s="37">
        <v>7857117</v>
      </c>
      <c r="Y608" s="46">
        <f t="shared" si="20"/>
        <v>6223966</v>
      </c>
    </row>
    <row r="609" spans="1:25" x14ac:dyDescent="0.25">
      <c r="A609" s="20">
        <f>+VLOOKUP(D609,Back!Q:R,2,0)</f>
        <v>4</v>
      </c>
      <c r="B609" s="20" t="str">
        <f t="shared" si="19"/>
        <v>2017 ABR</v>
      </c>
      <c r="C609" s="20">
        <v>2017</v>
      </c>
      <c r="D609" s="21" t="s">
        <v>140</v>
      </c>
      <c r="E609" s="21" t="s">
        <v>6</v>
      </c>
      <c r="F609" s="21">
        <v>43821410</v>
      </c>
      <c r="G609" s="21" t="s">
        <v>40</v>
      </c>
      <c r="H609" s="22">
        <v>70425234</v>
      </c>
      <c r="I609" s="22">
        <v>936000</v>
      </c>
      <c r="J609" s="22">
        <v>11927397</v>
      </c>
      <c r="K609" s="23">
        <v>57561837</v>
      </c>
      <c r="L609" s="23">
        <v>43000000</v>
      </c>
      <c r="M609" s="24">
        <v>1.3386473720930232</v>
      </c>
      <c r="N609" s="209" t="str">
        <f>IFERROR(VLOOKUP(F609,Back!C:F,4,0),"NO")</f>
        <v>Si</v>
      </c>
      <c r="O609" s="26">
        <v>23</v>
      </c>
      <c r="P609" s="28" t="str">
        <f>IFERROR(VLOOKUP(F609,Back!C:E,3,0),"")</f>
        <v>IPS Pto De Vista Unicentro</v>
      </c>
      <c r="Q609" s="28" t="str">
        <f>IFERROR(VLOOKUP(P609,Back!M:N,2,0),"")</f>
        <v>Antioquia</v>
      </c>
      <c r="R609" s="27" t="str">
        <f>IF(N609="Si",IFERROR(VLOOKUP(F609,'TD Cumpl'!B:AB,27,0),"No Aplica"),"No Aplica")</f>
        <v>Siempre Cumple</v>
      </c>
      <c r="S609" s="38">
        <v>123</v>
      </c>
      <c r="T609" s="36">
        <v>12070375</v>
      </c>
      <c r="U609" s="26">
        <v>286</v>
      </c>
      <c r="V609" s="37">
        <v>41386425</v>
      </c>
      <c r="W609" s="19">
        <v>130</v>
      </c>
      <c r="X609" s="37">
        <v>11927397</v>
      </c>
      <c r="Y609" s="46">
        <f t="shared" si="20"/>
        <v>5041037</v>
      </c>
    </row>
    <row r="610" spans="1:25" x14ac:dyDescent="0.25">
      <c r="A610" s="20">
        <f>+VLOOKUP(D610,Back!Q:R,2,0)</f>
        <v>4</v>
      </c>
      <c r="B610" s="20" t="str">
        <f t="shared" si="19"/>
        <v>2017 ABR</v>
      </c>
      <c r="C610" s="20">
        <v>2017</v>
      </c>
      <c r="D610" s="21" t="s">
        <v>140</v>
      </c>
      <c r="E610" s="21" t="s">
        <v>18</v>
      </c>
      <c r="F610" s="21">
        <v>39442617</v>
      </c>
      <c r="G610" s="21" t="s">
        <v>41</v>
      </c>
      <c r="H610" s="22">
        <v>57833459</v>
      </c>
      <c r="I610" s="22">
        <v>872000</v>
      </c>
      <c r="J610" s="22">
        <v>13017941</v>
      </c>
      <c r="K610" s="23">
        <v>43943518</v>
      </c>
      <c r="L610" s="23">
        <v>43000000</v>
      </c>
      <c r="M610" s="24">
        <v>1.0219422790697674</v>
      </c>
      <c r="N610" s="209" t="str">
        <f>IFERROR(VLOOKUP(F610,Back!C:F,4,0),"NO")</f>
        <v>Si</v>
      </c>
      <c r="O610" s="26">
        <v>23</v>
      </c>
      <c r="P610" s="28" t="str">
        <f>IFERROR(VLOOKUP(F610,Back!C:E,3,0),"")</f>
        <v>IPS Pto De Vista San Diego</v>
      </c>
      <c r="Q610" s="28" t="str">
        <f>IFERROR(VLOOKUP(P610,Back!M:N,2,0),"")</f>
        <v>Antioquia</v>
      </c>
      <c r="R610" s="27" t="str">
        <f>IF(N610="Si",IFERROR(VLOOKUP(F610,'TD Cumpl'!B:AB,27,0),"No Aplica"),"No Aplica")</f>
        <v>Cumple</v>
      </c>
      <c r="S610" s="38">
        <v>119</v>
      </c>
      <c r="T610" s="36">
        <v>11647486</v>
      </c>
      <c r="U610" s="26">
        <v>266</v>
      </c>
      <c r="V610" s="37">
        <v>25858332</v>
      </c>
      <c r="W610" s="19">
        <v>144</v>
      </c>
      <c r="X610" s="37">
        <v>13017941</v>
      </c>
      <c r="Y610" s="46">
        <f t="shared" si="20"/>
        <v>7309700</v>
      </c>
    </row>
    <row r="611" spans="1:25" x14ac:dyDescent="0.25">
      <c r="A611" s="20">
        <f>+VLOOKUP(D611,Back!Q:R,2,0)</f>
        <v>4</v>
      </c>
      <c r="B611" s="20" t="str">
        <f t="shared" si="19"/>
        <v>2017 ABR</v>
      </c>
      <c r="C611" s="20">
        <v>2017</v>
      </c>
      <c r="D611" s="21" t="s">
        <v>140</v>
      </c>
      <c r="E611" s="21" t="s">
        <v>56</v>
      </c>
      <c r="F611" s="21">
        <v>43971430</v>
      </c>
      <c r="G611" s="21" t="s">
        <v>142</v>
      </c>
      <c r="H611" s="22">
        <v>57117995</v>
      </c>
      <c r="I611" s="22">
        <v>640000</v>
      </c>
      <c r="J611" s="22">
        <v>13179324</v>
      </c>
      <c r="K611" s="23">
        <v>43298671</v>
      </c>
      <c r="L611" s="23">
        <v>41000000</v>
      </c>
      <c r="M611" s="24">
        <v>1.0560651463414634</v>
      </c>
      <c r="N611" s="209" t="str">
        <f>IFERROR(VLOOKUP(F611,Back!C:F,4,0),"NO")</f>
        <v>Si</v>
      </c>
      <c r="O611" s="26">
        <v>23</v>
      </c>
      <c r="P611" s="28" t="str">
        <f>IFERROR(VLOOKUP(F611,Back!C:E,3,0),"")</f>
        <v>IPS Pto De Vista Centro</v>
      </c>
      <c r="Q611" s="28" t="str">
        <f>IFERROR(VLOOKUP(P611,Back!M:N,2,0),"")</f>
        <v>Antioquia</v>
      </c>
      <c r="R611" s="27" t="str">
        <f>IF(N611="Si",IFERROR(VLOOKUP(F611,'TD Cumpl'!B:AB,27,0),"No Aplica"),"No Aplica")</f>
        <v>Siempre Cumple</v>
      </c>
      <c r="S611" s="38">
        <v>117</v>
      </c>
      <c r="T611" s="36">
        <v>9619342</v>
      </c>
      <c r="U611" s="26">
        <v>270</v>
      </c>
      <c r="V611" s="37">
        <v>27256827</v>
      </c>
      <c r="W611" s="19">
        <v>148</v>
      </c>
      <c r="X611" s="37">
        <v>13179324</v>
      </c>
      <c r="Y611" s="46">
        <f t="shared" si="20"/>
        <v>7062502</v>
      </c>
    </row>
    <row r="612" spans="1:25" x14ac:dyDescent="0.25">
      <c r="A612" s="20">
        <f>+VLOOKUP(D612,Back!Q:R,2,0)</f>
        <v>4</v>
      </c>
      <c r="B612" s="20" t="str">
        <f t="shared" si="19"/>
        <v>2017 ABR</v>
      </c>
      <c r="C612" s="20">
        <v>2017</v>
      </c>
      <c r="D612" s="21" t="s">
        <v>140</v>
      </c>
      <c r="E612" s="21" t="s">
        <v>59</v>
      </c>
      <c r="F612" s="21">
        <v>1030634664</v>
      </c>
      <c r="G612" s="21" t="s">
        <v>58</v>
      </c>
      <c r="H612" s="22">
        <v>42307224</v>
      </c>
      <c r="I612" s="22">
        <v>304000</v>
      </c>
      <c r="J612" s="22">
        <v>8082994</v>
      </c>
      <c r="K612" s="23">
        <v>33920230</v>
      </c>
      <c r="L612" s="23">
        <v>41000000</v>
      </c>
      <c r="M612" s="24">
        <v>0.82732268292682931</v>
      </c>
      <c r="N612" s="209" t="str">
        <f>IFERROR(VLOOKUP(F612,Back!C:F,4,0),"NO")</f>
        <v>NO</v>
      </c>
      <c r="O612" s="26">
        <v>23</v>
      </c>
      <c r="P612" s="28" t="str">
        <f>IFERROR(VLOOKUP(F612,Back!C:E,3,0),"")</f>
        <v/>
      </c>
      <c r="Q612" s="28" t="str">
        <f>IFERROR(VLOOKUP(P612,Back!M:N,2,0),"")</f>
        <v/>
      </c>
      <c r="R612" s="27" t="str">
        <f>IF(N612="Si",IFERROR(VLOOKUP(F612,'TD Cumpl'!B:AB,27,0),"No Aplica"),"No Aplica")</f>
        <v>No Aplica</v>
      </c>
      <c r="S612" s="38">
        <v>84</v>
      </c>
      <c r="T612" s="36">
        <v>6855557</v>
      </c>
      <c r="U612" s="26">
        <v>209</v>
      </c>
      <c r="V612" s="37">
        <v>22935210</v>
      </c>
      <c r="W612" s="19">
        <v>88</v>
      </c>
      <c r="X612" s="37">
        <v>8082994</v>
      </c>
      <c r="Y612" s="46">
        <f t="shared" si="20"/>
        <v>4433463</v>
      </c>
    </row>
    <row r="613" spans="1:25" x14ac:dyDescent="0.25">
      <c r="A613" s="20">
        <f>+VLOOKUP(D613,Back!Q:R,2,0)</f>
        <v>4</v>
      </c>
      <c r="B613" s="20" t="str">
        <f t="shared" si="19"/>
        <v>2017 ABR</v>
      </c>
      <c r="C613" s="20">
        <v>2017</v>
      </c>
      <c r="D613" s="21" t="s">
        <v>140</v>
      </c>
      <c r="E613" s="21" t="s">
        <v>34</v>
      </c>
      <c r="F613" s="21">
        <v>43554403</v>
      </c>
      <c r="G613" s="21" t="s">
        <v>35</v>
      </c>
      <c r="H613" s="22">
        <v>55727710</v>
      </c>
      <c r="I613" s="22">
        <v>285400</v>
      </c>
      <c r="J613" s="22">
        <v>13105003</v>
      </c>
      <c r="K613" s="23">
        <v>42337307</v>
      </c>
      <c r="L613" s="23">
        <v>41000000</v>
      </c>
      <c r="M613" s="24">
        <v>1.032617243902439</v>
      </c>
      <c r="N613" s="209" t="str">
        <f>IFERROR(VLOOKUP(F613,Back!C:F,4,0),"NO")</f>
        <v>Si</v>
      </c>
      <c r="O613" s="26">
        <v>23</v>
      </c>
      <c r="P613" s="28" t="str">
        <f>IFERROR(VLOOKUP(F613,Back!C:E,3,0),"")</f>
        <v>IPS Pto De Vista Centro</v>
      </c>
      <c r="Q613" s="28" t="str">
        <f>IFERROR(VLOOKUP(P613,Back!M:N,2,0),"")</f>
        <v>Antioquia</v>
      </c>
      <c r="R613" s="27" t="str">
        <f>IF(N613="Si",IFERROR(VLOOKUP(F613,'TD Cumpl'!B:AB,27,0),"No Aplica"),"No Aplica")</f>
        <v>Siempre Cumple</v>
      </c>
      <c r="S613" s="38">
        <v>90</v>
      </c>
      <c r="T613" s="36">
        <v>8486961</v>
      </c>
      <c r="U613" s="26">
        <v>220</v>
      </c>
      <c r="V613" s="37">
        <v>26312342</v>
      </c>
      <c r="W613" s="19">
        <v>139</v>
      </c>
      <c r="X613" s="37">
        <v>13105003</v>
      </c>
      <c r="Y613" s="46">
        <f t="shared" si="20"/>
        <v>7823404</v>
      </c>
    </row>
    <row r="614" spans="1:25" x14ac:dyDescent="0.25">
      <c r="A614" s="20">
        <f>+VLOOKUP(D614,Back!Q:R,2,0)</f>
        <v>4</v>
      </c>
      <c r="B614" s="20" t="str">
        <f t="shared" si="19"/>
        <v>2017 ABR</v>
      </c>
      <c r="C614" s="20">
        <v>2017</v>
      </c>
      <c r="D614" s="21" t="s">
        <v>140</v>
      </c>
      <c r="E614" s="21" t="s">
        <v>3</v>
      </c>
      <c r="F614" s="21">
        <v>52725011</v>
      </c>
      <c r="G614" s="21" t="s">
        <v>42</v>
      </c>
      <c r="H614" s="22">
        <v>28884239</v>
      </c>
      <c r="I614" s="22">
        <v>1306000</v>
      </c>
      <c r="J614" s="22">
        <v>6752059</v>
      </c>
      <c r="K614" s="23">
        <v>20826180</v>
      </c>
      <c r="L614" s="23">
        <v>20000000</v>
      </c>
      <c r="M614" s="24">
        <v>1.041309</v>
      </c>
      <c r="N614" s="209" t="str">
        <f>IFERROR(VLOOKUP(F614,Back!C:F,4,0),"NO")</f>
        <v>Si</v>
      </c>
      <c r="O614" s="26">
        <v>23</v>
      </c>
      <c r="P614" s="28" t="str">
        <f>IFERROR(VLOOKUP(F614,Back!C:E,3,0),"")</f>
        <v>IPS Pto De Vista Olaya</v>
      </c>
      <c r="Q614" s="28" t="str">
        <f>IFERROR(VLOOKUP(P614,Back!M:N,2,0),"")</f>
        <v>Centro</v>
      </c>
      <c r="R614" s="27" t="str">
        <f>IF(N614="Si",IFERROR(VLOOKUP(F614,'TD Cumpl'!B:AB,27,0),"No Aplica"),"No Aplica")</f>
        <v>Fluctúa</v>
      </c>
      <c r="S614" s="38">
        <v>73</v>
      </c>
      <c r="T614" s="36">
        <v>4167352</v>
      </c>
      <c r="U614" s="26">
        <v>174</v>
      </c>
      <c r="V614" s="37">
        <v>13634173</v>
      </c>
      <c r="W614" s="19">
        <v>96</v>
      </c>
      <c r="X614" s="37">
        <v>6752059</v>
      </c>
      <c r="Y614" s="46">
        <f t="shared" si="20"/>
        <v>4330655</v>
      </c>
    </row>
    <row r="615" spans="1:25" x14ac:dyDescent="0.25">
      <c r="A615" s="20">
        <f>+VLOOKUP(D615,Back!Q:R,2,0)</f>
        <v>4</v>
      </c>
      <c r="B615" s="20" t="str">
        <f t="shared" si="19"/>
        <v>2017 ABR</v>
      </c>
      <c r="C615" s="20">
        <v>2017</v>
      </c>
      <c r="D615" s="21" t="s">
        <v>140</v>
      </c>
      <c r="E615" s="21" t="s">
        <v>22</v>
      </c>
      <c r="F615" s="21">
        <v>42164020</v>
      </c>
      <c r="G615" s="21" t="s">
        <v>105</v>
      </c>
      <c r="H615" s="22">
        <v>33026870</v>
      </c>
      <c r="I615" s="22">
        <v>2014800</v>
      </c>
      <c r="J615" s="22">
        <v>10707704</v>
      </c>
      <c r="K615" s="23">
        <v>20304366</v>
      </c>
      <c r="L615" s="23">
        <v>43000000</v>
      </c>
      <c r="M615" s="24">
        <v>0.47219455813953487</v>
      </c>
      <c r="N615" s="209" t="str">
        <f>IFERROR(VLOOKUP(F615,Back!C:F,4,0),"NO")</f>
        <v>Si</v>
      </c>
      <c r="O615" s="26">
        <v>23</v>
      </c>
      <c r="P615" s="28" t="str">
        <f>IFERROR(VLOOKUP(F615,Back!C:E,3,0),"")</f>
        <v>IPS Pto De Vista Molinos</v>
      </c>
      <c r="Q615" s="28" t="str">
        <f>IFERROR(VLOOKUP(P615,Back!M:N,2,0),"")</f>
        <v>Antioquia</v>
      </c>
      <c r="R615" s="27" t="str">
        <f>IF(N615="Si",IFERROR(VLOOKUP(F615,'TD Cumpl'!B:AB,27,0),"No Aplica"),"No Aplica")</f>
        <v>Siempre Cumple</v>
      </c>
      <c r="S615" s="38">
        <v>30</v>
      </c>
      <c r="T615" s="36">
        <v>3824270</v>
      </c>
      <c r="U615" s="26">
        <v>121</v>
      </c>
      <c r="V615" s="37">
        <v>13605104</v>
      </c>
      <c r="W615" s="19">
        <v>121</v>
      </c>
      <c r="X615" s="37">
        <v>10707704</v>
      </c>
      <c r="Y615" s="46">
        <f t="shared" si="20"/>
        <v>4889792</v>
      </c>
    </row>
    <row r="616" spans="1:25" x14ac:dyDescent="0.25">
      <c r="A616" s="20">
        <f>+VLOOKUP(D616,Back!Q:R,2,0)</f>
        <v>4</v>
      </c>
      <c r="B616" s="20" t="str">
        <f t="shared" si="19"/>
        <v>2017 ABR</v>
      </c>
      <c r="C616" s="20">
        <v>2017</v>
      </c>
      <c r="D616" s="21" t="s">
        <v>140</v>
      </c>
      <c r="E616" s="21" t="s">
        <v>25</v>
      </c>
      <c r="F616" s="21">
        <v>1040030764</v>
      </c>
      <c r="G616" s="21" t="s">
        <v>43</v>
      </c>
      <c r="H616" s="22">
        <v>33856469</v>
      </c>
      <c r="I616" s="22">
        <v>1524800</v>
      </c>
      <c r="J616" s="22">
        <v>6931260</v>
      </c>
      <c r="K616" s="23">
        <v>25400409</v>
      </c>
      <c r="L616" s="23">
        <v>33000000</v>
      </c>
      <c r="M616" s="24">
        <v>0.76970936363636366</v>
      </c>
      <c r="N616" s="209" t="str">
        <f>IFERROR(VLOOKUP(F616,Back!C:F,4,0),"NO")</f>
        <v>Si</v>
      </c>
      <c r="O616" s="26">
        <v>23</v>
      </c>
      <c r="P616" s="28" t="str">
        <f>IFERROR(VLOOKUP(F616,Back!C:E,3,0),"")</f>
        <v>IPS Pto De Vista Rionegro</v>
      </c>
      <c r="Q616" s="28" t="str">
        <f>IFERROR(VLOOKUP(P616,Back!M:N,2,0),"")</f>
        <v>Antioquia</v>
      </c>
      <c r="R616" s="27" t="str">
        <f>IF(N616="Si",IFERROR(VLOOKUP(F616,'TD Cumpl'!B:AB,27,0),"No Aplica"),"No Aplica")</f>
        <v>Cumple</v>
      </c>
      <c r="S616" s="38">
        <v>70</v>
      </c>
      <c r="T616" s="36">
        <v>6945676</v>
      </c>
      <c r="U616" s="26">
        <v>170</v>
      </c>
      <c r="V616" s="37">
        <v>15792527</v>
      </c>
      <c r="W616" s="19">
        <v>87</v>
      </c>
      <c r="X616" s="37">
        <v>6931260</v>
      </c>
      <c r="Y616" s="46">
        <f t="shared" si="20"/>
        <v>4187006</v>
      </c>
    </row>
    <row r="617" spans="1:25" x14ac:dyDescent="0.25">
      <c r="A617" s="20">
        <f>+VLOOKUP(D617,Back!Q:R,2,0)</f>
        <v>4</v>
      </c>
      <c r="B617" s="20" t="str">
        <f t="shared" si="19"/>
        <v>2017 ABR</v>
      </c>
      <c r="C617" s="20">
        <v>2017</v>
      </c>
      <c r="D617" s="21" t="s">
        <v>140</v>
      </c>
      <c r="E617" s="21" t="s">
        <v>33</v>
      </c>
      <c r="F617" s="21">
        <v>31307503</v>
      </c>
      <c r="G617" s="21" t="s">
        <v>36</v>
      </c>
      <c r="H617" s="22">
        <v>26814354</v>
      </c>
      <c r="I617" s="22">
        <v>0</v>
      </c>
      <c r="J617" s="22">
        <v>9292415</v>
      </c>
      <c r="K617" s="23">
        <v>17521939</v>
      </c>
      <c r="L617" s="23">
        <v>30000000</v>
      </c>
      <c r="M617" s="24">
        <v>0.58406463333333336</v>
      </c>
      <c r="N617" s="209" t="str">
        <f>IFERROR(VLOOKUP(F617,Back!C:F,4,0),"NO")</f>
        <v>NO</v>
      </c>
      <c r="O617" s="26">
        <v>23</v>
      </c>
      <c r="P617" s="28" t="str">
        <f>IFERROR(VLOOKUP(F617,Back!C:E,3,0),"")</f>
        <v/>
      </c>
      <c r="Q617" s="28" t="str">
        <f>IFERROR(VLOOKUP(P617,Back!M:N,2,0),"")</f>
        <v/>
      </c>
      <c r="R617" s="27" t="str">
        <f>IF(N617="Si",IFERROR(VLOOKUP(F617,'TD Cumpl'!B:AB,27,0),"No Aplica"),"No Aplica")</f>
        <v>No Aplica</v>
      </c>
      <c r="S617" s="38">
        <v>55</v>
      </c>
      <c r="T617" s="36">
        <v>4434557</v>
      </c>
      <c r="U617" s="26">
        <v>214</v>
      </c>
      <c r="V617" s="37">
        <v>11240456</v>
      </c>
      <c r="W617" s="19">
        <v>114</v>
      </c>
      <c r="X617" s="37">
        <v>9292415</v>
      </c>
      <c r="Y617" s="46">
        <f t="shared" si="20"/>
        <v>1846926</v>
      </c>
    </row>
    <row r="618" spans="1:25" x14ac:dyDescent="0.25">
      <c r="A618" s="20">
        <f>+VLOOKUP(D618,Back!Q:R,2,0)</f>
        <v>4</v>
      </c>
      <c r="B618" s="20" t="str">
        <f t="shared" si="19"/>
        <v>2017 ABR</v>
      </c>
      <c r="C618" s="20">
        <v>2017</v>
      </c>
      <c r="D618" s="21" t="s">
        <v>140</v>
      </c>
      <c r="E618" s="21" t="s">
        <v>21</v>
      </c>
      <c r="F618" s="21">
        <v>1035417626</v>
      </c>
      <c r="G618" s="21" t="s">
        <v>80</v>
      </c>
      <c r="H618" s="22">
        <v>53615146</v>
      </c>
      <c r="I618" s="22">
        <v>762000</v>
      </c>
      <c r="J618" s="22">
        <v>10549665</v>
      </c>
      <c r="K618" s="23">
        <v>42303481</v>
      </c>
      <c r="L618" s="23">
        <v>41130434.782608695</v>
      </c>
      <c r="M618" s="24">
        <v>1.0285201511627906</v>
      </c>
      <c r="N618" s="209" t="str">
        <f>IFERROR(VLOOKUP(F618,Back!C:F,4,0),"NO")</f>
        <v>Si</v>
      </c>
      <c r="O618" s="26">
        <v>23</v>
      </c>
      <c r="P618" s="28" t="str">
        <f>IFERROR(VLOOKUP(F618,Back!C:E,3,0),"")</f>
        <v>IPS Pto De Vista Unicentro</v>
      </c>
      <c r="Q618" s="28" t="str">
        <f>IFERROR(VLOOKUP(P618,Back!M:N,2,0),"")</f>
        <v>Antioquia</v>
      </c>
      <c r="R618" s="27" t="str">
        <f>IF(N618="Si",IFERROR(VLOOKUP(F618,'TD Cumpl'!B:AB,27,0),"No Aplica"),"No Aplica")</f>
        <v>Cumple</v>
      </c>
      <c r="S618" s="38">
        <v>89</v>
      </c>
      <c r="T618" s="36">
        <v>10195025</v>
      </c>
      <c r="U618" s="26">
        <v>232</v>
      </c>
      <c r="V618" s="37">
        <v>26413279</v>
      </c>
      <c r="W618" s="19">
        <v>116</v>
      </c>
      <c r="X618" s="37">
        <v>10549665</v>
      </c>
      <c r="Y618" s="46">
        <f t="shared" si="20"/>
        <v>6457177</v>
      </c>
    </row>
    <row r="619" spans="1:25" x14ac:dyDescent="0.25">
      <c r="A619" s="20">
        <f>+VLOOKUP(D619,Back!Q:R,2,0)</f>
        <v>4</v>
      </c>
      <c r="B619" s="20" t="str">
        <f t="shared" si="19"/>
        <v>2017 ABR</v>
      </c>
      <c r="C619" s="20">
        <v>2017</v>
      </c>
      <c r="D619" s="21" t="s">
        <v>140</v>
      </c>
      <c r="E619" s="21" t="s">
        <v>20</v>
      </c>
      <c r="F619" s="21">
        <v>1017141451</v>
      </c>
      <c r="G619" s="21" t="s">
        <v>44</v>
      </c>
      <c r="H619" s="22">
        <v>61551230</v>
      </c>
      <c r="I619" s="22">
        <v>2867400</v>
      </c>
      <c r="J619" s="22">
        <v>12617440</v>
      </c>
      <c r="K619" s="23">
        <v>46066390</v>
      </c>
      <c r="L619" s="23">
        <v>43000000</v>
      </c>
      <c r="M619" s="24">
        <v>1.0713113953488371</v>
      </c>
      <c r="N619" s="209" t="str">
        <f>IFERROR(VLOOKUP(F619,Back!C:F,4,0),"NO")</f>
        <v>Si</v>
      </c>
      <c r="O619" s="26">
        <v>23</v>
      </c>
      <c r="P619" s="28" t="str">
        <f>IFERROR(VLOOKUP(F619,Back!C:E,3,0),"")</f>
        <v>IPS Pto De Vista Molinos</v>
      </c>
      <c r="Q619" s="28" t="str">
        <f>IFERROR(VLOOKUP(P619,Back!M:N,2,0),"")</f>
        <v>Antioquia</v>
      </c>
      <c r="R619" s="27" t="str">
        <f>IF(N619="Si",IFERROR(VLOOKUP(F619,'TD Cumpl'!B:AB,27,0),"No Aplica"),"No Aplica")</f>
        <v>Siempre Cumple</v>
      </c>
      <c r="S619" s="38">
        <v>101</v>
      </c>
      <c r="T619" s="36">
        <v>10632433</v>
      </c>
      <c r="U619" s="26">
        <v>269</v>
      </c>
      <c r="V619" s="37">
        <v>27069090</v>
      </c>
      <c r="W619" s="19">
        <v>126</v>
      </c>
      <c r="X619" s="37">
        <v>12617440</v>
      </c>
      <c r="Y619" s="46">
        <f t="shared" si="20"/>
        <v>11232267</v>
      </c>
    </row>
    <row r="620" spans="1:25" x14ac:dyDescent="0.25">
      <c r="A620" s="20">
        <f>+VLOOKUP(D620,Back!Q:R,2,0)</f>
        <v>4</v>
      </c>
      <c r="B620" s="20" t="str">
        <f t="shared" si="19"/>
        <v>2017 ABR</v>
      </c>
      <c r="C620" s="20">
        <v>2017</v>
      </c>
      <c r="D620" s="21" t="s">
        <v>140</v>
      </c>
      <c r="E620" s="21" t="s">
        <v>2</v>
      </c>
      <c r="F620" s="21">
        <v>52260671</v>
      </c>
      <c r="G620" s="21" t="s">
        <v>26</v>
      </c>
      <c r="H620" s="22">
        <v>34906218</v>
      </c>
      <c r="I620" s="22">
        <v>2019000</v>
      </c>
      <c r="J620" s="22">
        <v>6367677</v>
      </c>
      <c r="K620" s="23">
        <v>26519541</v>
      </c>
      <c r="L620" s="23">
        <v>22000000</v>
      </c>
      <c r="M620" s="24">
        <v>1.2054336818181819</v>
      </c>
      <c r="N620" s="209" t="str">
        <f>IFERROR(VLOOKUP(F620,Back!C:F,4,0),"NO")</f>
        <v>Si</v>
      </c>
      <c r="O620" s="26">
        <v>23</v>
      </c>
      <c r="P620" s="28" t="str">
        <f>IFERROR(VLOOKUP(F620,Back!C:E,3,0),"")</f>
        <v>IPS Pto De Vista Santa Bárbara</v>
      </c>
      <c r="Q620" s="28" t="str">
        <f>IFERROR(VLOOKUP(P620,Back!M:N,2,0),"")</f>
        <v>Centro</v>
      </c>
      <c r="R620" s="27" t="str">
        <f>IF(N620="Si",IFERROR(VLOOKUP(F620,'TD Cumpl'!B:AB,27,0),"No Aplica"),"No Aplica")</f>
        <v>Siempre Cumple</v>
      </c>
      <c r="S620" s="38">
        <v>75</v>
      </c>
      <c r="T620" s="36">
        <v>7100177</v>
      </c>
      <c r="U620" s="26">
        <v>186</v>
      </c>
      <c r="V620" s="37">
        <v>15733420</v>
      </c>
      <c r="W620" s="19">
        <v>91</v>
      </c>
      <c r="X620" s="37">
        <v>6367677</v>
      </c>
      <c r="Y620" s="46">
        <f t="shared" si="20"/>
        <v>5704944</v>
      </c>
    </row>
    <row r="621" spans="1:25" x14ac:dyDescent="0.25">
      <c r="A621" s="20">
        <f>+VLOOKUP(D621,Back!Q:R,2,0)</f>
        <v>4</v>
      </c>
      <c r="B621" s="20" t="str">
        <f t="shared" si="19"/>
        <v>2017 ABR</v>
      </c>
      <c r="C621" s="20">
        <v>2017</v>
      </c>
      <c r="D621" s="21" t="s">
        <v>140</v>
      </c>
      <c r="E621" s="21" t="s">
        <v>37</v>
      </c>
      <c r="F621" s="21">
        <v>1036779770</v>
      </c>
      <c r="G621" s="21" t="s">
        <v>52</v>
      </c>
      <c r="H621" s="22">
        <v>32886751</v>
      </c>
      <c r="I621" s="22">
        <v>3274800</v>
      </c>
      <c r="J621" s="22">
        <v>7308806</v>
      </c>
      <c r="K621" s="23">
        <v>22303145</v>
      </c>
      <c r="L621" s="23">
        <v>33000000</v>
      </c>
      <c r="M621" s="24">
        <v>0.67585287878787881</v>
      </c>
      <c r="N621" s="209" t="str">
        <f>IFERROR(VLOOKUP(F621,Back!C:F,4,0),"NO")</f>
        <v>No</v>
      </c>
      <c r="O621" s="26">
        <v>23</v>
      </c>
      <c r="P621" s="28" t="str">
        <f>IFERROR(VLOOKUP(F621,Back!C:E,3,0),"")</f>
        <v>IPS Pto De Vista Rionegro</v>
      </c>
      <c r="Q621" s="28" t="str">
        <f>IFERROR(VLOOKUP(P621,Back!M:N,2,0),"")</f>
        <v>Antioquia</v>
      </c>
      <c r="R621" s="27" t="str">
        <f>IF(N621="Si",IFERROR(VLOOKUP(F621,'TD Cumpl'!B:AB,27,0),"No Aplica"),"No Aplica")</f>
        <v>No Aplica</v>
      </c>
      <c r="S621" s="38">
        <v>64</v>
      </c>
      <c r="T621" s="36">
        <v>6033032</v>
      </c>
      <c r="U621" s="26">
        <v>159</v>
      </c>
      <c r="V621" s="37">
        <v>13095835</v>
      </c>
      <c r="W621" s="19">
        <v>92</v>
      </c>
      <c r="X621" s="37">
        <v>7308806</v>
      </c>
      <c r="Y621" s="46">
        <f t="shared" si="20"/>
        <v>6449078</v>
      </c>
    </row>
    <row r="622" spans="1:25" x14ac:dyDescent="0.25">
      <c r="A622" s="20">
        <f>+VLOOKUP(D622,Back!Q:R,2,0)</f>
        <v>4</v>
      </c>
      <c r="B622" s="20" t="str">
        <f t="shared" si="19"/>
        <v>2017 ABR</v>
      </c>
      <c r="C622" s="20">
        <v>2017</v>
      </c>
      <c r="D622" s="21" t="s">
        <v>140</v>
      </c>
      <c r="E622" s="21" t="s">
        <v>64</v>
      </c>
      <c r="F622" s="21">
        <v>1036598360</v>
      </c>
      <c r="G622" s="21" t="s">
        <v>146</v>
      </c>
      <c r="H622" s="22">
        <v>42438963</v>
      </c>
      <c r="I622" s="22">
        <v>440000</v>
      </c>
      <c r="J622" s="22">
        <v>7903876</v>
      </c>
      <c r="K622" s="23">
        <v>34095087</v>
      </c>
      <c r="L622" s="23">
        <v>30100000</v>
      </c>
      <c r="M622" s="24">
        <v>1.1327271428571428</v>
      </c>
      <c r="N622" s="209" t="str">
        <f>IFERROR(VLOOKUP(F622,Back!C:F,4,0),"NO")</f>
        <v>Si</v>
      </c>
      <c r="O622" s="26">
        <v>23</v>
      </c>
      <c r="P622" s="28" t="str">
        <f>IFERROR(VLOOKUP(F622,Back!C:E,3,0),"")</f>
        <v>IPS Pto De Vista Punto Clave</v>
      </c>
      <c r="Q622" s="28" t="str">
        <f>IFERROR(VLOOKUP(P622,Back!M:N,2,0),"")</f>
        <v>Antioquia</v>
      </c>
      <c r="R622" s="27" t="str">
        <f>IF(N622="Si",IFERROR(VLOOKUP(F622,'TD Cumpl'!B:AB,27,0),"No Aplica"),"No Aplica")</f>
        <v>Fluctúa</v>
      </c>
      <c r="S622" s="38">
        <v>76</v>
      </c>
      <c r="T622" s="36">
        <v>7622061</v>
      </c>
      <c r="U622" s="26">
        <v>170</v>
      </c>
      <c r="V622" s="37">
        <v>19482304</v>
      </c>
      <c r="W622" s="19">
        <v>85</v>
      </c>
      <c r="X622" s="37">
        <v>7903876</v>
      </c>
      <c r="Y622" s="46">
        <f t="shared" si="20"/>
        <v>7430722</v>
      </c>
    </row>
    <row r="623" spans="1:25" x14ac:dyDescent="0.25">
      <c r="A623" s="20">
        <f>+VLOOKUP(D623,Back!Q:R,2,0)</f>
        <v>4</v>
      </c>
      <c r="B623" s="20" t="str">
        <f t="shared" si="19"/>
        <v>2017 ABR</v>
      </c>
      <c r="C623" s="20">
        <v>2017</v>
      </c>
      <c r="D623" s="21" t="s">
        <v>140</v>
      </c>
      <c r="E623" s="21" t="s">
        <v>38</v>
      </c>
      <c r="F623" s="21">
        <v>43745192</v>
      </c>
      <c r="G623" s="21" t="s">
        <v>45</v>
      </c>
      <c r="H623" s="22">
        <v>31632703</v>
      </c>
      <c r="I623" s="22">
        <v>198000</v>
      </c>
      <c r="J623" s="22">
        <v>935715</v>
      </c>
      <c r="K623" s="23">
        <v>30498988</v>
      </c>
      <c r="L623" s="23">
        <v>25000000</v>
      </c>
      <c r="M623" s="24">
        <v>1.21995952</v>
      </c>
      <c r="N623" s="209" t="str">
        <f>IFERROR(VLOOKUP(F623,Back!C:F,4,0),"NO")</f>
        <v>Si</v>
      </c>
      <c r="O623" s="26">
        <v>23</v>
      </c>
      <c r="P623" s="28" t="str">
        <f>IFERROR(VLOOKUP(F623,Back!C:E,3,0),"")</f>
        <v>IPS Punto de Vista Mayorca</v>
      </c>
      <c r="Q623" s="28" t="str">
        <f>IFERROR(VLOOKUP(P623,Back!M:N,2,0),"")</f>
        <v>Antioquia</v>
      </c>
      <c r="R623" s="27" t="str">
        <f>IF(N623="Si",IFERROR(VLOOKUP(F623,'TD Cumpl'!B:AB,27,0),"No Aplica"),"No Aplica")</f>
        <v>Cumple</v>
      </c>
      <c r="S623" s="38">
        <v>62</v>
      </c>
      <c r="T623" s="36">
        <v>7830489</v>
      </c>
      <c r="U623" s="26">
        <v>175</v>
      </c>
      <c r="V623" s="37">
        <v>19814605</v>
      </c>
      <c r="W623" s="19">
        <v>9</v>
      </c>
      <c r="X623" s="37">
        <v>935715</v>
      </c>
      <c r="Y623" s="46">
        <f t="shared" si="20"/>
        <v>3051894</v>
      </c>
    </row>
    <row r="624" spans="1:25" x14ac:dyDescent="0.25">
      <c r="A624" s="20">
        <f>+VLOOKUP(D624,Back!Q:R,2,0)</f>
        <v>4</v>
      </c>
      <c r="B624" s="20" t="str">
        <f t="shared" si="19"/>
        <v>2017 ABR</v>
      </c>
      <c r="C624" s="20">
        <v>2017</v>
      </c>
      <c r="D624" s="21" t="s">
        <v>140</v>
      </c>
      <c r="E624" s="21" t="s">
        <v>13</v>
      </c>
      <c r="F624" s="21">
        <v>43866877</v>
      </c>
      <c r="G624" s="21" t="s">
        <v>46</v>
      </c>
      <c r="H624" s="22">
        <v>56381404</v>
      </c>
      <c r="I624" s="22">
        <v>860000</v>
      </c>
      <c r="J624" s="22">
        <v>14280440</v>
      </c>
      <c r="K624" s="23">
        <v>41240964</v>
      </c>
      <c r="L624" s="23">
        <v>39217391.304347828</v>
      </c>
      <c r="M624" s="24">
        <v>1.0515988603104212</v>
      </c>
      <c r="N624" s="209" t="str">
        <f>IFERROR(VLOOKUP(F624,Back!C:F,4,0),"NO")</f>
        <v>Si</v>
      </c>
      <c r="O624" s="26">
        <v>23</v>
      </c>
      <c r="P624" s="28" t="str">
        <f>IFERROR(VLOOKUP(F624,Back!C:E,3,0),"")</f>
        <v>IPS Pto De Vista Centro</v>
      </c>
      <c r="Q624" s="28" t="str">
        <f>IFERROR(VLOOKUP(P624,Back!M:N,2,0),"")</f>
        <v>Antioquia</v>
      </c>
      <c r="R624" s="27" t="str">
        <f>IF(N624="Si",IFERROR(VLOOKUP(F624,'TD Cumpl'!B:AB,27,0),"No Aplica"),"No Aplica")</f>
        <v>Siempre Cumple</v>
      </c>
      <c r="S624" s="38">
        <v>113</v>
      </c>
      <c r="T624" s="36">
        <v>11289983</v>
      </c>
      <c r="U624" s="26">
        <v>248</v>
      </c>
      <c r="V624" s="37">
        <v>23488599</v>
      </c>
      <c r="W624" s="19">
        <v>154</v>
      </c>
      <c r="X624" s="37">
        <v>14280440</v>
      </c>
      <c r="Y624" s="46">
        <f t="shared" si="20"/>
        <v>7322382</v>
      </c>
    </row>
    <row r="625" spans="1:25" x14ac:dyDescent="0.25">
      <c r="A625" s="20">
        <f>+VLOOKUP(D625,Back!Q:R,2,0)</f>
        <v>4</v>
      </c>
      <c r="B625" s="20" t="str">
        <f t="shared" si="19"/>
        <v>2017 ABR</v>
      </c>
      <c r="C625" s="20">
        <v>2017</v>
      </c>
      <c r="D625" s="21" t="s">
        <v>140</v>
      </c>
      <c r="E625" s="21" t="s">
        <v>17</v>
      </c>
      <c r="F625" s="21">
        <v>43113640</v>
      </c>
      <c r="G625" s="21" t="s">
        <v>47</v>
      </c>
      <c r="H625" s="22">
        <v>39066990</v>
      </c>
      <c r="I625" s="22">
        <v>1120000</v>
      </c>
      <c r="J625" s="22">
        <v>6330655</v>
      </c>
      <c r="K625" s="23">
        <v>31616335</v>
      </c>
      <c r="L625" s="23">
        <v>30100000</v>
      </c>
      <c r="M625" s="24">
        <v>1.0503765780730896</v>
      </c>
      <c r="N625" s="209" t="str">
        <f>IFERROR(VLOOKUP(F625,Back!C:F,4,0),"NO")</f>
        <v>Si</v>
      </c>
      <c r="O625" s="26">
        <v>23</v>
      </c>
      <c r="P625" s="28" t="str">
        <f>IFERROR(VLOOKUP(F625,Back!C:E,3,0),"")</f>
        <v>IPS Pto De Vista San Diego</v>
      </c>
      <c r="Q625" s="28" t="str">
        <f>IFERROR(VLOOKUP(P625,Back!M:N,2,0),"")</f>
        <v>Antioquia</v>
      </c>
      <c r="R625" s="27" t="str">
        <f>IF(N625="Si",IFERROR(VLOOKUP(F625,'TD Cumpl'!B:AB,27,0),"No Aplica"),"No Aplica")</f>
        <v>Cumple</v>
      </c>
      <c r="S625" s="38">
        <v>62</v>
      </c>
      <c r="T625" s="36">
        <v>6246765</v>
      </c>
      <c r="U625" s="26">
        <v>126</v>
      </c>
      <c r="V625" s="37">
        <v>20822649</v>
      </c>
      <c r="W625" s="19">
        <v>65</v>
      </c>
      <c r="X625" s="37">
        <v>6330655</v>
      </c>
      <c r="Y625" s="46">
        <f t="shared" si="20"/>
        <v>5666921</v>
      </c>
    </row>
    <row r="626" spans="1:25" x14ac:dyDescent="0.25">
      <c r="A626" s="20">
        <f>+VLOOKUP(D626,Back!Q:R,2,0)</f>
        <v>4</v>
      </c>
      <c r="B626" s="20" t="str">
        <f t="shared" si="19"/>
        <v>2017 ABR</v>
      </c>
      <c r="C626" s="20">
        <v>2017</v>
      </c>
      <c r="D626" s="21" t="s">
        <v>140</v>
      </c>
      <c r="E626" s="21" t="s">
        <v>24</v>
      </c>
      <c r="F626" s="21">
        <v>39448823</v>
      </c>
      <c r="G626" s="21" t="s">
        <v>48</v>
      </c>
      <c r="H626" s="22">
        <v>42511776</v>
      </c>
      <c r="I626" s="22">
        <v>334800</v>
      </c>
      <c r="J626" s="22">
        <v>7432502</v>
      </c>
      <c r="K626" s="23">
        <v>34744474</v>
      </c>
      <c r="L626" s="23">
        <v>33000000</v>
      </c>
      <c r="M626" s="24">
        <v>1.0528628484848486</v>
      </c>
      <c r="N626" s="209" t="str">
        <f>IFERROR(VLOOKUP(F626,Back!C:F,4,0),"NO")</f>
        <v>Si</v>
      </c>
      <c r="O626" s="26">
        <v>23</v>
      </c>
      <c r="P626" s="28" t="str">
        <f>IFERROR(VLOOKUP(F626,Back!C:E,3,0),"")</f>
        <v>IPS Pto De Vista Rionegro</v>
      </c>
      <c r="Q626" s="28" t="str">
        <f>IFERROR(VLOOKUP(P626,Back!M:N,2,0),"")</f>
        <v>Antioquia</v>
      </c>
      <c r="R626" s="27" t="str">
        <f>IF(N626="Si",IFERROR(VLOOKUP(F626,'TD Cumpl'!B:AB,27,0),"No Aplica"),"No Aplica")</f>
        <v>Siempre Cumple</v>
      </c>
      <c r="S626" s="38">
        <v>87</v>
      </c>
      <c r="T626" s="36">
        <v>8336647</v>
      </c>
      <c r="U626" s="26">
        <v>206</v>
      </c>
      <c r="V626" s="37">
        <v>23285268</v>
      </c>
      <c r="W626" s="19">
        <v>93</v>
      </c>
      <c r="X626" s="37">
        <v>7432502</v>
      </c>
      <c r="Y626" s="46">
        <f t="shared" si="20"/>
        <v>3457359</v>
      </c>
    </row>
    <row r="627" spans="1:25" x14ac:dyDescent="0.25">
      <c r="A627" s="20">
        <f>+VLOOKUP(D627,Back!Q:R,2,0)</f>
        <v>4</v>
      </c>
      <c r="B627" s="20" t="str">
        <f t="shared" si="19"/>
        <v>2017 ABR</v>
      </c>
      <c r="C627" s="20">
        <v>2017</v>
      </c>
      <c r="D627" s="21" t="s">
        <v>140</v>
      </c>
      <c r="E627" s="21" t="s">
        <v>10</v>
      </c>
      <c r="F627" s="21">
        <v>43109744</v>
      </c>
      <c r="G627" s="21" t="s">
        <v>53</v>
      </c>
      <c r="H627" s="22">
        <v>9371836</v>
      </c>
      <c r="I627" s="22">
        <v>210000</v>
      </c>
      <c r="J627" s="22">
        <v>3289180</v>
      </c>
      <c r="K627" s="23">
        <v>5872656</v>
      </c>
      <c r="L627" s="23">
        <v>9347826.0869565215</v>
      </c>
      <c r="M627" s="24">
        <v>0.62823761860465122</v>
      </c>
      <c r="N627" s="209" t="str">
        <f>IFERROR(VLOOKUP(F627,Back!C:F,4,0),"NO")</f>
        <v>NO</v>
      </c>
      <c r="O627" s="26">
        <v>23</v>
      </c>
      <c r="P627" s="28" t="str">
        <f>IFERROR(VLOOKUP(F627,Back!C:E,3,0),"")</f>
        <v/>
      </c>
      <c r="Q627" s="28" t="str">
        <f>IFERROR(VLOOKUP(P627,Back!M:N,2,0),"")</f>
        <v/>
      </c>
      <c r="R627" s="27" t="str">
        <f>IF(N627="Si",IFERROR(VLOOKUP(F627,'TD Cumpl'!B:AB,27,0),"No Aplica"),"No Aplica")</f>
        <v>No Aplica</v>
      </c>
      <c r="S627" s="38">
        <v>15</v>
      </c>
      <c r="T627" s="36">
        <v>974031</v>
      </c>
      <c r="U627" s="26">
        <v>36</v>
      </c>
      <c r="V627" s="37">
        <v>3558340</v>
      </c>
      <c r="W627" s="19">
        <v>42</v>
      </c>
      <c r="X627" s="37">
        <v>3289180</v>
      </c>
      <c r="Y627" s="46">
        <f t="shared" si="20"/>
        <v>1550285</v>
      </c>
    </row>
    <row r="628" spans="1:25" x14ac:dyDescent="0.25">
      <c r="A628" s="20">
        <f>+VLOOKUP(D628,Back!Q:R,2,0)</f>
        <v>4</v>
      </c>
      <c r="B628" s="20" t="str">
        <f t="shared" si="19"/>
        <v>2017 ABR</v>
      </c>
      <c r="C628" s="20">
        <v>2017</v>
      </c>
      <c r="D628" s="21" t="s">
        <v>140</v>
      </c>
      <c r="E628" s="21" t="s">
        <v>23</v>
      </c>
      <c r="F628" s="21">
        <v>43907427</v>
      </c>
      <c r="G628" s="21" t="s">
        <v>144</v>
      </c>
      <c r="H628" s="22">
        <v>41097230</v>
      </c>
      <c r="I628" s="22">
        <v>0</v>
      </c>
      <c r="J628" s="22">
        <v>3493229</v>
      </c>
      <c r="K628" s="23">
        <v>37604001</v>
      </c>
      <c r="L628" s="23">
        <v>36000000</v>
      </c>
      <c r="M628" s="24">
        <v>1.0445555833333333</v>
      </c>
      <c r="N628" s="209" t="str">
        <f>IFERROR(VLOOKUP(F628,Back!C:F,4,0),"NO")</f>
        <v>Si</v>
      </c>
      <c r="O628" s="26">
        <v>23</v>
      </c>
      <c r="P628" s="28" t="str">
        <f>IFERROR(VLOOKUP(F628,Back!C:E,3,0),"")</f>
        <v>IPS Pto De Vista Industriales</v>
      </c>
      <c r="Q628" s="28" t="str">
        <f>IFERROR(VLOOKUP(P628,Back!M:N,2,0),"")</f>
        <v>Antioquia</v>
      </c>
      <c r="R628" s="27" t="str">
        <f>IF(N628="Si",IFERROR(VLOOKUP(F628,'TD Cumpl'!B:AB,27,0),"No Aplica"),"No Aplica")</f>
        <v>Siempre Cumple</v>
      </c>
      <c r="S628" s="38">
        <v>50</v>
      </c>
      <c r="T628" s="36">
        <v>9246306</v>
      </c>
      <c r="U628" s="26">
        <v>124</v>
      </c>
      <c r="V628" s="37">
        <v>21551706</v>
      </c>
      <c r="W628" s="19">
        <v>44</v>
      </c>
      <c r="X628" s="37">
        <v>3493229</v>
      </c>
      <c r="Y628" s="46">
        <f t="shared" si="20"/>
        <v>6805989</v>
      </c>
    </row>
    <row r="629" spans="1:25" x14ac:dyDescent="0.25">
      <c r="A629" s="20">
        <f>+VLOOKUP(D629,Back!Q:R,2,0)</f>
        <v>4</v>
      </c>
      <c r="B629" s="20" t="str">
        <f t="shared" si="19"/>
        <v>2017 ABR</v>
      </c>
      <c r="C629" s="20">
        <v>2017</v>
      </c>
      <c r="D629" s="21" t="s">
        <v>140</v>
      </c>
      <c r="E629" s="21" t="s">
        <v>62</v>
      </c>
      <c r="F629" s="21">
        <v>32256379</v>
      </c>
      <c r="G629" s="21" t="s">
        <v>61</v>
      </c>
      <c r="H629" s="22">
        <v>62437572</v>
      </c>
      <c r="I629" s="22">
        <v>725400</v>
      </c>
      <c r="J629" s="22">
        <v>5009194</v>
      </c>
      <c r="K629" s="23">
        <v>56702978</v>
      </c>
      <c r="L629" s="23">
        <v>42086956.521739125</v>
      </c>
      <c r="M629" s="24">
        <v>1.347281502066116</v>
      </c>
      <c r="N629" s="209" t="str">
        <f>IFERROR(VLOOKUP(F629,Back!C:F,4,0),"NO")</f>
        <v>Si</v>
      </c>
      <c r="O629" s="26">
        <v>23</v>
      </c>
      <c r="P629" s="28" t="str">
        <f>IFERROR(VLOOKUP(F629,Back!C:E,3,0),"")</f>
        <v>Ferias Empresariales Antioquia</v>
      </c>
      <c r="Q629" s="28" t="str">
        <f>IFERROR(VLOOKUP(P629,Back!M:N,2,0),"")</f>
        <v>Antioquia</v>
      </c>
      <c r="R629" s="27" t="str">
        <f>IF(N629="Si",IFERROR(VLOOKUP(F629,'TD Cumpl'!B:AB,27,0),"No Aplica"),"No Aplica")</f>
        <v>Fluctúa</v>
      </c>
      <c r="S629" s="38">
        <v>71</v>
      </c>
      <c r="T629" s="36">
        <v>6872908</v>
      </c>
      <c r="U629" s="26">
        <v>162</v>
      </c>
      <c r="V629" s="37">
        <v>42684314</v>
      </c>
      <c r="W629" s="19">
        <v>52</v>
      </c>
      <c r="X629" s="37">
        <v>5009194</v>
      </c>
      <c r="Y629" s="46">
        <f t="shared" si="20"/>
        <v>7871156</v>
      </c>
    </row>
    <row r="630" spans="1:25" x14ac:dyDescent="0.25">
      <c r="A630" s="20">
        <f>+VLOOKUP(D630,Back!Q:R,2,0)</f>
        <v>4</v>
      </c>
      <c r="B630" s="20" t="str">
        <f t="shared" si="19"/>
        <v>2017 ABR</v>
      </c>
      <c r="C630" s="20">
        <v>2017</v>
      </c>
      <c r="D630" s="21" t="s">
        <v>140</v>
      </c>
      <c r="E630" s="21" t="s">
        <v>4</v>
      </c>
      <c r="F630" s="21">
        <v>79701425</v>
      </c>
      <c r="G630" s="21" t="s">
        <v>27</v>
      </c>
      <c r="H630" s="22">
        <v>29106841</v>
      </c>
      <c r="I630" s="22">
        <v>0</v>
      </c>
      <c r="J630" s="22">
        <v>7317088</v>
      </c>
      <c r="K630" s="23">
        <v>21789753</v>
      </c>
      <c r="L630" s="23">
        <v>20000000</v>
      </c>
      <c r="M630" s="24">
        <v>1.0894876499999999</v>
      </c>
      <c r="N630" s="209" t="str">
        <f>IFERROR(VLOOKUP(F630,Back!C:F,4,0),"NO")</f>
        <v>No</v>
      </c>
      <c r="O630" s="26">
        <v>23</v>
      </c>
      <c r="P630" s="28" t="str">
        <f>IFERROR(VLOOKUP(F630,Back!C:E,3,0),"")</f>
        <v>IPS Pto De Vista Olaya</v>
      </c>
      <c r="Q630" s="28" t="str">
        <f>IFERROR(VLOOKUP(P630,Back!M:N,2,0),"")</f>
        <v>Centro</v>
      </c>
      <c r="R630" s="27" t="str">
        <f>IF(N630="Si",IFERROR(VLOOKUP(F630,'TD Cumpl'!B:AB,27,0),"No Aplica"),"No Aplica")</f>
        <v>No Aplica</v>
      </c>
      <c r="S630" s="38">
        <v>76</v>
      </c>
      <c r="T630" s="36">
        <v>4372695</v>
      </c>
      <c r="U630" s="26">
        <v>204</v>
      </c>
      <c r="V630" s="37">
        <v>15429427</v>
      </c>
      <c r="W630" s="19">
        <v>106</v>
      </c>
      <c r="X630" s="37">
        <v>7317088</v>
      </c>
      <c r="Y630" s="46">
        <f t="shared" si="20"/>
        <v>1987631</v>
      </c>
    </row>
    <row r="631" spans="1:25" x14ac:dyDescent="0.25">
      <c r="A631" s="20">
        <f>+VLOOKUP(D631,Back!Q:R,2,0)</f>
        <v>4</v>
      </c>
      <c r="B631" s="20" t="str">
        <f t="shared" si="19"/>
        <v>2017 ABR</v>
      </c>
      <c r="C631" s="20">
        <v>2017</v>
      </c>
      <c r="D631" s="21" t="s">
        <v>140</v>
      </c>
      <c r="E631" s="21" t="s">
        <v>5</v>
      </c>
      <c r="F631" s="21">
        <v>34542470</v>
      </c>
      <c r="G631" s="21" t="s">
        <v>28</v>
      </c>
      <c r="H631" s="22">
        <v>32766045</v>
      </c>
      <c r="I631" s="22">
        <v>1081800</v>
      </c>
      <c r="J631" s="22">
        <v>4718601</v>
      </c>
      <c r="K631" s="23">
        <v>26965644</v>
      </c>
      <c r="L631" s="23">
        <v>25000000</v>
      </c>
      <c r="M631" s="24">
        <v>1.07862576</v>
      </c>
      <c r="N631" s="209" t="str">
        <f>IFERROR(VLOOKUP(F631,Back!C:F,4,0),"NO")</f>
        <v>Si</v>
      </c>
      <c r="O631" s="26">
        <v>23</v>
      </c>
      <c r="P631" s="28" t="str">
        <f>IFERROR(VLOOKUP(F631,Back!C:E,3,0),"")</f>
        <v>Optica Salud Sura Chipichape</v>
      </c>
      <c r="Q631" s="28" t="str">
        <f>IFERROR(VLOOKUP(P631,Back!M:N,2,0),"")</f>
        <v>Occidente</v>
      </c>
      <c r="R631" s="27" t="str">
        <f>IF(N631="Si",IFERROR(VLOOKUP(F631,'TD Cumpl'!B:AB,27,0),"No Aplica"),"No Aplica")</f>
        <v>Siempre Cumple</v>
      </c>
      <c r="S631" s="38">
        <v>57</v>
      </c>
      <c r="T631" s="36">
        <v>6976150</v>
      </c>
      <c r="U631" s="26">
        <v>160</v>
      </c>
      <c r="V631" s="37">
        <v>17637782</v>
      </c>
      <c r="W631" s="19">
        <v>56</v>
      </c>
      <c r="X631" s="37">
        <v>4718601</v>
      </c>
      <c r="Y631" s="46">
        <f t="shared" si="20"/>
        <v>3433512</v>
      </c>
    </row>
    <row r="632" spans="1:25" x14ac:dyDescent="0.25">
      <c r="A632" s="20">
        <f>+VLOOKUP(D632,Back!Q:R,2,0)</f>
        <v>4</v>
      </c>
      <c r="B632" s="20" t="str">
        <f t="shared" si="19"/>
        <v>2017 ABR</v>
      </c>
      <c r="C632" s="20">
        <v>2017</v>
      </c>
      <c r="D632" s="21" t="s">
        <v>140</v>
      </c>
      <c r="E632" s="21" t="s">
        <v>7</v>
      </c>
      <c r="F632" s="21">
        <v>43745952</v>
      </c>
      <c r="G632" s="21" t="s">
        <v>50</v>
      </c>
      <c r="H632" s="22">
        <v>75260268</v>
      </c>
      <c r="I632" s="22">
        <v>738000</v>
      </c>
      <c r="J632" s="22">
        <v>15013598</v>
      </c>
      <c r="K632" s="23">
        <v>59508670</v>
      </c>
      <c r="L632" s="23">
        <v>43000000</v>
      </c>
      <c r="M632" s="24">
        <v>1.3839225581395349</v>
      </c>
      <c r="N632" s="209" t="str">
        <f>IFERROR(VLOOKUP(F632,Back!C:F,4,0),"NO")</f>
        <v>Si</v>
      </c>
      <c r="O632" s="26">
        <v>23</v>
      </c>
      <c r="P632" s="28" t="str">
        <f>IFERROR(VLOOKUP(F632,Back!C:E,3,0),"")</f>
        <v>IPS Pto De Vista Unicentro</v>
      </c>
      <c r="Q632" s="28" t="str">
        <f>IFERROR(VLOOKUP(P632,Back!M:N,2,0),"")</f>
        <v>Antioquia</v>
      </c>
      <c r="R632" s="27" t="str">
        <f>IF(N632="Si",IFERROR(VLOOKUP(F632,'TD Cumpl'!B:AB,27,0),"No Aplica"),"No Aplica")</f>
        <v>Siempre Cumple</v>
      </c>
      <c r="S632" s="38">
        <v>139</v>
      </c>
      <c r="T632" s="36">
        <v>12371150</v>
      </c>
      <c r="U632" s="26">
        <v>299</v>
      </c>
      <c r="V632" s="37">
        <v>41233731</v>
      </c>
      <c r="W632" s="19">
        <v>168</v>
      </c>
      <c r="X632" s="37">
        <v>15013598</v>
      </c>
      <c r="Y632" s="46">
        <f t="shared" si="20"/>
        <v>6641789</v>
      </c>
    </row>
    <row r="633" spans="1:25" x14ac:dyDescent="0.25">
      <c r="A633" s="20">
        <f>+VLOOKUP(D633,Back!Q:R,2,0)</f>
        <v>4</v>
      </c>
      <c r="B633" s="20" t="str">
        <f t="shared" si="19"/>
        <v>2017 ABR</v>
      </c>
      <c r="C633" s="20">
        <v>2017</v>
      </c>
      <c r="D633" s="21" t="s">
        <v>140</v>
      </c>
      <c r="E633" s="21" t="s">
        <v>8</v>
      </c>
      <c r="F633" s="21">
        <v>43259130</v>
      </c>
      <c r="G633" s="21" t="s">
        <v>51</v>
      </c>
      <c r="H633" s="22">
        <v>56264329</v>
      </c>
      <c r="I633" s="22">
        <v>3328800</v>
      </c>
      <c r="J633" s="22">
        <v>10755212</v>
      </c>
      <c r="K633" s="23">
        <v>42180317</v>
      </c>
      <c r="L633" s="23">
        <v>43000000</v>
      </c>
      <c r="M633" s="24">
        <v>0.98093760465116275</v>
      </c>
      <c r="N633" s="209" t="str">
        <f>IFERROR(VLOOKUP(F633,Back!C:F,4,0),"NO")</f>
        <v>Si</v>
      </c>
      <c r="O633" s="26">
        <v>23</v>
      </c>
      <c r="P633" s="28" t="str">
        <f>IFERROR(VLOOKUP(F633,Back!C:E,3,0),"")</f>
        <v>IPS Pto De Vista Molinos</v>
      </c>
      <c r="Q633" s="28" t="str">
        <f>IFERROR(VLOOKUP(P633,Back!M:N,2,0),"")</f>
        <v>Antioquia</v>
      </c>
      <c r="R633" s="27" t="str">
        <f>IF(N633="Si",IFERROR(VLOOKUP(F633,'TD Cumpl'!B:AB,27,0),"No Aplica"),"No Aplica")</f>
        <v>Fluctúa</v>
      </c>
      <c r="S633" s="38">
        <v>93</v>
      </c>
      <c r="T633" s="36">
        <v>8307873</v>
      </c>
      <c r="U633" s="26">
        <v>244</v>
      </c>
      <c r="V633" s="37">
        <v>28962120</v>
      </c>
      <c r="W633" s="19">
        <v>123</v>
      </c>
      <c r="X633" s="37">
        <v>10755212</v>
      </c>
      <c r="Y633" s="46">
        <f t="shared" si="20"/>
        <v>8239124</v>
      </c>
    </row>
    <row r="634" spans="1:25" x14ac:dyDescent="0.25">
      <c r="A634" s="20">
        <f>+VLOOKUP(D634,Back!Q:R,2,0)</f>
        <v>4</v>
      </c>
      <c r="B634" s="20" t="str">
        <f t="shared" si="19"/>
        <v>2017 ABR</v>
      </c>
      <c r="C634" s="20">
        <v>2017</v>
      </c>
      <c r="D634" s="21" t="s">
        <v>140</v>
      </c>
      <c r="E634" s="21" t="s">
        <v>57</v>
      </c>
      <c r="F634" s="21">
        <v>43874518</v>
      </c>
      <c r="G634" s="21" t="s">
        <v>60</v>
      </c>
      <c r="H634" s="22">
        <v>44585588</v>
      </c>
      <c r="I634" s="22">
        <v>1405400</v>
      </c>
      <c r="J634" s="22">
        <v>10810959</v>
      </c>
      <c r="K634" s="23">
        <v>32369229</v>
      </c>
      <c r="L634" s="23">
        <v>28043478.260869566</v>
      </c>
      <c r="M634" s="24">
        <v>1.1542515767441861</v>
      </c>
      <c r="N634" s="209" t="str">
        <f>IFERROR(VLOOKUP(F634,Back!C:F,4,0),"NO")</f>
        <v>Si</v>
      </c>
      <c r="O634" s="26">
        <v>23</v>
      </c>
      <c r="P634" s="28" t="str">
        <f>IFERROR(VLOOKUP(F634,Back!C:E,3,0),"")</f>
        <v>IPS Pto De Vista Punto Clave</v>
      </c>
      <c r="Q634" s="28" t="str">
        <f>IFERROR(VLOOKUP(P634,Back!M:N,2,0),"")</f>
        <v>Antioquia</v>
      </c>
      <c r="R634" s="27" t="str">
        <f>IF(N634="Si",IFERROR(VLOOKUP(F634,'TD Cumpl'!B:AB,27,0),"No Aplica"),"No Aplica")</f>
        <v>Fluctúa</v>
      </c>
      <c r="S634" s="38">
        <v>85</v>
      </c>
      <c r="T634" s="36">
        <v>6445005</v>
      </c>
      <c r="U634" s="26">
        <v>230</v>
      </c>
      <c r="V634" s="37">
        <v>19839117</v>
      </c>
      <c r="W634" s="19">
        <v>116</v>
      </c>
      <c r="X634" s="37">
        <v>10810959</v>
      </c>
      <c r="Y634" s="46">
        <f t="shared" si="20"/>
        <v>7490507</v>
      </c>
    </row>
    <row r="635" spans="1:25" x14ac:dyDescent="0.25">
      <c r="A635" s="20">
        <f>+VLOOKUP(D635,Back!Q:R,2,0)</f>
        <v>4</v>
      </c>
      <c r="B635" s="20" t="str">
        <f t="shared" si="19"/>
        <v>2017 ABR</v>
      </c>
      <c r="C635" s="20">
        <v>2017</v>
      </c>
      <c r="D635" s="21" t="s">
        <v>140</v>
      </c>
      <c r="E635" s="21" t="s">
        <v>84</v>
      </c>
      <c r="F635" s="21">
        <v>1020736461</v>
      </c>
      <c r="G635" s="21" t="s">
        <v>156</v>
      </c>
      <c r="H635" s="22">
        <v>39892994</v>
      </c>
      <c r="I635" s="22">
        <v>2404000</v>
      </c>
      <c r="J635" s="22">
        <v>7101911</v>
      </c>
      <c r="K635" s="23">
        <v>30387083</v>
      </c>
      <c r="L635" s="23">
        <v>22000000</v>
      </c>
      <c r="M635" s="24">
        <v>1.3812310454545456</v>
      </c>
      <c r="N635" s="209" t="str">
        <f>IFERROR(VLOOKUP(F635,Back!C:F,4,0),"NO")</f>
        <v>Si</v>
      </c>
      <c r="O635" s="26">
        <v>23</v>
      </c>
      <c r="P635" s="28" t="str">
        <f>IFERROR(VLOOKUP(F635,Back!C:E,3,0),"")</f>
        <v>IPS Pto De Vista Santa Bárbara</v>
      </c>
      <c r="Q635" s="28" t="str">
        <f>IFERROR(VLOOKUP(P635,Back!M:N,2,0),"")</f>
        <v>Centro</v>
      </c>
      <c r="R635" s="27" t="str">
        <f>IF(N635="Si",IFERROR(VLOOKUP(F635,'TD Cumpl'!B:AB,27,0),"No Aplica"),"No Aplica")</f>
        <v>Siempre Cumple</v>
      </c>
      <c r="S635" s="38">
        <v>78</v>
      </c>
      <c r="T635" s="36">
        <v>6734506</v>
      </c>
      <c r="U635" s="26">
        <v>187</v>
      </c>
      <c r="V635" s="37">
        <v>21858647</v>
      </c>
      <c r="W635" s="19">
        <v>108</v>
      </c>
      <c r="X635" s="37">
        <v>7101911</v>
      </c>
      <c r="Y635" s="46">
        <f t="shared" si="20"/>
        <v>4197930</v>
      </c>
    </row>
    <row r="636" spans="1:25" x14ac:dyDescent="0.25">
      <c r="A636" s="20">
        <f>+VLOOKUP(D636,Back!Q:R,2,0)</f>
        <v>4</v>
      </c>
      <c r="B636" s="20" t="str">
        <f t="shared" si="19"/>
        <v>2017 ABR</v>
      </c>
      <c r="C636" s="20">
        <v>2017</v>
      </c>
      <c r="D636" s="21" t="s">
        <v>140</v>
      </c>
      <c r="E636" s="21" t="s">
        <v>81</v>
      </c>
      <c r="F636" s="21">
        <v>1017200970</v>
      </c>
      <c r="G636" s="21" t="s">
        <v>82</v>
      </c>
      <c r="H636" s="22">
        <v>35444630</v>
      </c>
      <c r="I636" s="22">
        <v>832000</v>
      </c>
      <c r="J636" s="22">
        <v>8119802</v>
      </c>
      <c r="K636" s="23">
        <v>26492828</v>
      </c>
      <c r="L636" s="23">
        <v>43000000</v>
      </c>
      <c r="M636" s="24">
        <v>0.6161122790697674</v>
      </c>
      <c r="N636" s="209" t="str">
        <f>IFERROR(VLOOKUP(F636,Back!C:F,4,0),"NO")</f>
        <v>Si</v>
      </c>
      <c r="O636" s="26">
        <v>23</v>
      </c>
      <c r="P636" s="28" t="str">
        <f>IFERROR(VLOOKUP(F636,Back!C:E,3,0),"")</f>
        <v>IPS Pto De Vista San Diego</v>
      </c>
      <c r="Q636" s="28" t="str">
        <f>IFERROR(VLOOKUP(P636,Back!M:N,2,0),"")</f>
        <v>Antioquia</v>
      </c>
      <c r="R636" s="27" t="str">
        <f>IF(N636="Si",IFERROR(VLOOKUP(F636,'TD Cumpl'!B:AB,27,0),"No Aplica"),"No Aplica")</f>
        <v>Cumple</v>
      </c>
      <c r="S636" s="38">
        <v>70</v>
      </c>
      <c r="T636" s="36">
        <v>6462744</v>
      </c>
      <c r="U636" s="26">
        <v>134</v>
      </c>
      <c r="V636" s="37">
        <v>14252095</v>
      </c>
      <c r="W636" s="19">
        <v>105</v>
      </c>
      <c r="X636" s="37">
        <v>8119802</v>
      </c>
      <c r="Y636" s="46">
        <f t="shared" si="20"/>
        <v>6609989</v>
      </c>
    </row>
    <row r="637" spans="1:25" x14ac:dyDescent="0.25">
      <c r="A637" s="20">
        <f>+VLOOKUP(D637,Back!Q:R,2,0)</f>
        <v>4</v>
      </c>
      <c r="B637" s="20" t="str">
        <f t="shared" si="19"/>
        <v>2017 ABR</v>
      </c>
      <c r="C637" s="20">
        <v>2017</v>
      </c>
      <c r="D637" s="21" t="s">
        <v>140</v>
      </c>
      <c r="E637" s="21" t="s">
        <v>72</v>
      </c>
      <c r="F637" s="21">
        <v>43636530</v>
      </c>
      <c r="G637" s="21" t="s">
        <v>483</v>
      </c>
      <c r="H637" s="22">
        <v>22037792</v>
      </c>
      <c r="I637" s="22">
        <v>958800</v>
      </c>
      <c r="J637" s="22">
        <v>9549346</v>
      </c>
      <c r="K637" s="23">
        <v>11529646</v>
      </c>
      <c r="L637" s="23">
        <v>41000000</v>
      </c>
      <c r="M637" s="24">
        <v>0.28121087804878048</v>
      </c>
      <c r="N637" s="209" t="str">
        <f>IFERROR(VLOOKUP(F637,Back!C:F,4,0),"NO")</f>
        <v>NO</v>
      </c>
      <c r="O637" s="26">
        <v>23</v>
      </c>
      <c r="P637" s="28" t="str">
        <f>IFERROR(VLOOKUP(F637,Back!C:E,3,0),"")</f>
        <v/>
      </c>
      <c r="Q637" s="28" t="str">
        <f>IFERROR(VLOOKUP(P637,Back!M:N,2,0),"")</f>
        <v/>
      </c>
      <c r="R637" s="27" t="str">
        <f>IF(N637="Si",IFERROR(VLOOKUP(F637,'TD Cumpl'!B:AB,27,0),"No Aplica"),"No Aplica")</f>
        <v>No Aplica</v>
      </c>
      <c r="S637" s="38">
        <v>28</v>
      </c>
      <c r="T637" s="36">
        <v>2163074</v>
      </c>
      <c r="U637" s="26">
        <v>80</v>
      </c>
      <c r="V637" s="37">
        <v>7141563</v>
      </c>
      <c r="W637" s="19">
        <v>111</v>
      </c>
      <c r="X637" s="37">
        <v>9549346</v>
      </c>
      <c r="Y637" s="46">
        <f t="shared" si="20"/>
        <v>3183809</v>
      </c>
    </row>
    <row r="638" spans="1:25" x14ac:dyDescent="0.25">
      <c r="A638" s="20">
        <f>+VLOOKUP(D638,Back!Q:R,2,0)</f>
        <v>4</v>
      </c>
      <c r="B638" s="20" t="str">
        <f t="shared" si="19"/>
        <v>2017 ABR</v>
      </c>
      <c r="C638" s="20">
        <v>2017</v>
      </c>
      <c r="D638" s="21" t="s">
        <v>140</v>
      </c>
      <c r="E638" s="21" t="s">
        <v>88</v>
      </c>
      <c r="F638" s="21">
        <v>31445278</v>
      </c>
      <c r="G638" s="21" t="s">
        <v>93</v>
      </c>
      <c r="H638" s="22">
        <v>22595457</v>
      </c>
      <c r="I638" s="22">
        <v>0</v>
      </c>
      <c r="J638" s="22">
        <v>7929449</v>
      </c>
      <c r="K638" s="23">
        <v>14666008</v>
      </c>
      <c r="L638" s="23">
        <v>30000000</v>
      </c>
      <c r="M638" s="24">
        <v>0.48886693333333331</v>
      </c>
      <c r="N638" s="209" t="str">
        <f>IFERROR(VLOOKUP(F638,Back!C:F,4,0),"NO")</f>
        <v>Si</v>
      </c>
      <c r="O638" s="26">
        <v>23</v>
      </c>
      <c r="P638" s="28" t="str">
        <f>IFERROR(VLOOKUP(F638,Back!C:E,3,0),"")</f>
        <v>Punto de Vista Tequendama</v>
      </c>
      <c r="Q638" s="28" t="str">
        <f>IFERROR(VLOOKUP(P638,Back!M:N,2,0),"")</f>
        <v>Occidente</v>
      </c>
      <c r="R638" s="27" t="str">
        <f>IF(N638="Si",IFERROR(VLOOKUP(F638,'TD Cumpl'!B:AB,27,0),"No Aplica"),"No Aplica")</f>
        <v>Cumple</v>
      </c>
      <c r="S638" s="38">
        <v>48</v>
      </c>
      <c r="T638" s="36">
        <v>3831327</v>
      </c>
      <c r="U638" s="26">
        <v>158</v>
      </c>
      <c r="V638" s="37">
        <v>8947661</v>
      </c>
      <c r="W638" s="19">
        <v>107</v>
      </c>
      <c r="X638" s="37">
        <v>7929449</v>
      </c>
      <c r="Y638" s="46">
        <f t="shared" si="20"/>
        <v>1887020</v>
      </c>
    </row>
    <row r="639" spans="1:25" x14ac:dyDescent="0.25">
      <c r="A639" s="20">
        <f>+VLOOKUP(D639,Back!Q:R,2,0)</f>
        <v>4</v>
      </c>
      <c r="B639" s="20" t="str">
        <f t="shared" ref="B639:B702" si="21">MID(UPPER(C639&amp;" "&amp;D639),1,8)</f>
        <v>2017 ABR</v>
      </c>
      <c r="C639" s="20">
        <v>2017</v>
      </c>
      <c r="D639" s="21" t="s">
        <v>140</v>
      </c>
      <c r="E639" s="21" t="s">
        <v>91</v>
      </c>
      <c r="F639" s="21">
        <v>43114534</v>
      </c>
      <c r="G639" s="21" t="s">
        <v>95</v>
      </c>
      <c r="H639" s="22">
        <v>21221451</v>
      </c>
      <c r="I639" s="22">
        <v>0</v>
      </c>
      <c r="J639" s="22">
        <v>3271204</v>
      </c>
      <c r="K639" s="23">
        <v>17950247</v>
      </c>
      <c r="L639" s="23">
        <v>18000000</v>
      </c>
      <c r="M639" s="24">
        <v>0.99723594444444441</v>
      </c>
      <c r="N639" s="209" t="str">
        <f>IFERROR(VLOOKUP(F639,Back!C:F,4,0),"NO")</f>
        <v>No</v>
      </c>
      <c r="O639" s="26">
        <v>23</v>
      </c>
      <c r="P639" s="28" t="str">
        <f>IFERROR(VLOOKUP(F639,Back!C:E,3,0),"")</f>
        <v>IPS Pto De Vista San Diego</v>
      </c>
      <c r="Q639" s="28" t="str">
        <f>IFERROR(VLOOKUP(P639,Back!M:N,2,0),"")</f>
        <v>Antioquia</v>
      </c>
      <c r="R639" s="27" t="str">
        <f>IF(N639="Si",IFERROR(VLOOKUP(F639,'TD Cumpl'!B:AB,27,0),"No Aplica"),"No Aplica")</f>
        <v>No Aplica</v>
      </c>
      <c r="S639" s="38">
        <v>40</v>
      </c>
      <c r="T639" s="36">
        <v>4292681</v>
      </c>
      <c r="U639" s="26">
        <v>105</v>
      </c>
      <c r="V639" s="37">
        <v>10592030</v>
      </c>
      <c r="W639" s="19">
        <v>41</v>
      </c>
      <c r="X639" s="37">
        <v>3271204</v>
      </c>
      <c r="Y639" s="46">
        <f t="shared" si="20"/>
        <v>3065536</v>
      </c>
    </row>
    <row r="640" spans="1:25" x14ac:dyDescent="0.25">
      <c r="A640" s="20">
        <f>+VLOOKUP(D640,Back!Q:R,2,0)</f>
        <v>4</v>
      </c>
      <c r="B640" s="20" t="str">
        <f t="shared" si="21"/>
        <v>2017 ABR</v>
      </c>
      <c r="C640" s="20">
        <v>2017</v>
      </c>
      <c r="D640" s="21" t="s">
        <v>140</v>
      </c>
      <c r="E640" s="21" t="s">
        <v>92</v>
      </c>
      <c r="F640" s="21">
        <v>1017167720</v>
      </c>
      <c r="G640" s="21" t="s">
        <v>96</v>
      </c>
      <c r="H640" s="22">
        <v>53784295</v>
      </c>
      <c r="I640" s="22">
        <v>1652700</v>
      </c>
      <c r="J640" s="22">
        <v>8609541</v>
      </c>
      <c r="K640" s="23">
        <v>43522054</v>
      </c>
      <c r="L640" s="23">
        <v>43000000</v>
      </c>
      <c r="M640" s="24">
        <v>1.0121407906976745</v>
      </c>
      <c r="N640" s="209" t="str">
        <f>IFERROR(VLOOKUP(F640,Back!C:F,4,0),"NO")</f>
        <v>Si</v>
      </c>
      <c r="O640" s="26">
        <v>23</v>
      </c>
      <c r="P640" s="28" t="str">
        <f>IFERROR(VLOOKUP(F640,Back!C:E,3,0),"")</f>
        <v>IPS Pto De Vista Punto Clave</v>
      </c>
      <c r="Q640" s="28" t="str">
        <f>IFERROR(VLOOKUP(P640,Back!M:N,2,0),"")</f>
        <v>Antioquia</v>
      </c>
      <c r="R640" s="27" t="str">
        <f>IF(N640="Si",IFERROR(VLOOKUP(F640,'TD Cumpl'!B:AB,27,0),"No Aplica"),"No Aplica")</f>
        <v>Cumple</v>
      </c>
      <c r="S640" s="38">
        <v>103</v>
      </c>
      <c r="T640" s="36">
        <v>10307485</v>
      </c>
      <c r="U640" s="26">
        <v>219</v>
      </c>
      <c r="V640" s="37">
        <v>24237376</v>
      </c>
      <c r="W640" s="19">
        <v>95</v>
      </c>
      <c r="X640" s="37">
        <v>8609541</v>
      </c>
      <c r="Y640" s="46">
        <f t="shared" si="20"/>
        <v>10629893</v>
      </c>
    </row>
    <row r="641" spans="1:25" x14ac:dyDescent="0.25">
      <c r="A641" s="20">
        <f>+VLOOKUP(D641,Back!Q:R,2,0)</f>
        <v>4</v>
      </c>
      <c r="B641" s="20" t="str">
        <f t="shared" si="21"/>
        <v>2017 ABR</v>
      </c>
      <c r="C641" s="20">
        <v>2017</v>
      </c>
      <c r="D641" s="21" t="s">
        <v>140</v>
      </c>
      <c r="E641" s="21" t="s">
        <v>90</v>
      </c>
      <c r="F641" s="21">
        <v>1020419011</v>
      </c>
      <c r="G641" s="21" t="s">
        <v>97</v>
      </c>
      <c r="H641" s="22">
        <v>56201028</v>
      </c>
      <c r="I641" s="22">
        <v>1924000</v>
      </c>
      <c r="J641" s="22">
        <v>10056930</v>
      </c>
      <c r="K641" s="23">
        <v>44220098</v>
      </c>
      <c r="L641" s="23">
        <v>43000000</v>
      </c>
      <c r="M641" s="24">
        <v>1.0283743720930232</v>
      </c>
      <c r="N641" s="209" t="str">
        <f>IFERROR(VLOOKUP(F641,Back!C:F,4,0),"NO")</f>
        <v>Si</v>
      </c>
      <c r="O641" s="26">
        <v>23</v>
      </c>
      <c r="P641" s="28" t="str">
        <f>IFERROR(VLOOKUP(F641,Back!C:E,3,0),"")</f>
        <v>IPS Pto De Vista Punto Clave</v>
      </c>
      <c r="Q641" s="28" t="str">
        <f>IFERROR(VLOOKUP(P641,Back!M:N,2,0),"")</f>
        <v>Antioquia</v>
      </c>
      <c r="R641" s="27" t="str">
        <f>IF(N641="Si",IFERROR(VLOOKUP(F641,'TD Cumpl'!B:AB,27,0),"No Aplica"),"No Aplica")</f>
        <v>Cumple</v>
      </c>
      <c r="S641" s="38">
        <v>106</v>
      </c>
      <c r="T641" s="36">
        <v>8698819</v>
      </c>
      <c r="U641" s="26">
        <v>258</v>
      </c>
      <c r="V641" s="37">
        <v>26761934</v>
      </c>
      <c r="W641" s="19">
        <v>115</v>
      </c>
      <c r="X641" s="37">
        <v>10056930</v>
      </c>
      <c r="Y641" s="46">
        <f t="shared" ref="Y641:Y704" si="22">+H641-X641-V641-T641</f>
        <v>10683345</v>
      </c>
    </row>
    <row r="642" spans="1:25" x14ac:dyDescent="0.25">
      <c r="A642" s="20">
        <f>+VLOOKUP(D642,Back!Q:R,2,0)</f>
        <v>4</v>
      </c>
      <c r="B642" s="20" t="str">
        <f t="shared" si="21"/>
        <v>2017 ABR</v>
      </c>
      <c r="C642" s="20">
        <v>2017</v>
      </c>
      <c r="D642" s="21" t="s">
        <v>140</v>
      </c>
      <c r="E642" s="21" t="s">
        <v>83</v>
      </c>
      <c r="F642" s="21">
        <v>43800272</v>
      </c>
      <c r="G642" s="21" t="s">
        <v>85</v>
      </c>
      <c r="H642" s="22">
        <v>38076284</v>
      </c>
      <c r="I642" s="22">
        <v>1323400</v>
      </c>
      <c r="J642" s="22">
        <v>9892273</v>
      </c>
      <c r="K642" s="23">
        <v>26860611</v>
      </c>
      <c r="L642" s="23">
        <v>41695652.173913047</v>
      </c>
      <c r="M642" s="24">
        <v>0.64420652033368087</v>
      </c>
      <c r="N642" s="209" t="str">
        <f>IFERROR(VLOOKUP(F642,Back!C:F,4,0),"NO")</f>
        <v>NO</v>
      </c>
      <c r="O642" s="26">
        <v>23</v>
      </c>
      <c r="P642" s="28" t="str">
        <f>IFERROR(VLOOKUP(F642,Back!C:E,3,0),"")</f>
        <v/>
      </c>
      <c r="Q642" s="28" t="str">
        <f>IFERROR(VLOOKUP(P642,Back!M:N,2,0),"")</f>
        <v/>
      </c>
      <c r="R642" s="27" t="str">
        <f>IF(N642="Si",IFERROR(VLOOKUP(F642,'TD Cumpl'!B:AB,27,0),"No Aplica"),"No Aplica")</f>
        <v>No Aplica</v>
      </c>
      <c r="S642" s="38">
        <v>68</v>
      </c>
      <c r="T642" s="36">
        <v>5877577</v>
      </c>
      <c r="U642" s="26">
        <v>193</v>
      </c>
      <c r="V642" s="37">
        <v>17100132</v>
      </c>
      <c r="W642" s="19">
        <v>112</v>
      </c>
      <c r="X642" s="37">
        <v>9892273</v>
      </c>
      <c r="Y642" s="46">
        <f t="shared" si="22"/>
        <v>5206302</v>
      </c>
    </row>
    <row r="643" spans="1:25" x14ac:dyDescent="0.25">
      <c r="A643" s="20">
        <f>+VLOOKUP(D643,Back!Q:R,2,0)</f>
        <v>4</v>
      </c>
      <c r="B643" s="20" t="str">
        <f t="shared" si="21"/>
        <v>2017 ABR</v>
      </c>
      <c r="C643" s="20">
        <v>2017</v>
      </c>
      <c r="D643" s="21" t="s">
        <v>140</v>
      </c>
      <c r="E643" s="21" t="s">
        <v>101</v>
      </c>
      <c r="F643" s="21">
        <v>21428423</v>
      </c>
      <c r="G643" s="21" t="s">
        <v>154</v>
      </c>
      <c r="H643" s="22">
        <v>51412692</v>
      </c>
      <c r="I643" s="22">
        <v>0</v>
      </c>
      <c r="J643" s="22">
        <v>10279918</v>
      </c>
      <c r="K643" s="23">
        <v>41132774</v>
      </c>
      <c r="L643" s="23">
        <v>41000000</v>
      </c>
      <c r="M643" s="24">
        <v>1.0032383902439024</v>
      </c>
      <c r="N643" s="209" t="str">
        <f>IFERROR(VLOOKUP(F643,Back!C:F,4,0),"NO")</f>
        <v>Si</v>
      </c>
      <c r="O643" s="26">
        <v>23</v>
      </c>
      <c r="P643" s="28" t="str">
        <f>IFERROR(VLOOKUP(F643,Back!C:E,3,0),"")</f>
        <v>IPS Pto De Vista Centro</v>
      </c>
      <c r="Q643" s="28" t="str">
        <f>IFERROR(VLOOKUP(P643,Back!M:N,2,0),"")</f>
        <v>Antioquia</v>
      </c>
      <c r="R643" s="27" t="str">
        <f>IF(N643="Si",IFERROR(VLOOKUP(F643,'TD Cumpl'!B:AB,27,0),"No Aplica"),"No Aplica")</f>
        <v>Fluctúa</v>
      </c>
      <c r="S643" s="38">
        <v>114</v>
      </c>
      <c r="T643" s="36">
        <v>8783309</v>
      </c>
      <c r="U643" s="26">
        <v>258</v>
      </c>
      <c r="V643" s="37">
        <v>28709887</v>
      </c>
      <c r="W643" s="19">
        <v>121</v>
      </c>
      <c r="X643" s="37">
        <v>10279918</v>
      </c>
      <c r="Y643" s="46">
        <f t="shared" si="22"/>
        <v>3639578</v>
      </c>
    </row>
    <row r="644" spans="1:25" x14ac:dyDescent="0.25">
      <c r="A644" s="20">
        <f>+VLOOKUP(D644,Back!Q:R,2,0)</f>
        <v>4</v>
      </c>
      <c r="B644" s="20" t="str">
        <f t="shared" si="21"/>
        <v>2017 ABR</v>
      </c>
      <c r="C644" s="20">
        <v>2017</v>
      </c>
      <c r="D644" s="21" t="s">
        <v>140</v>
      </c>
      <c r="E644" s="21" t="s">
        <v>102</v>
      </c>
      <c r="F644" s="21">
        <v>79850984</v>
      </c>
      <c r="G644" s="21" t="s">
        <v>106</v>
      </c>
      <c r="H644" s="22">
        <v>28903344</v>
      </c>
      <c r="I644" s="22">
        <v>352700</v>
      </c>
      <c r="J644" s="22">
        <v>5631838</v>
      </c>
      <c r="K644" s="23">
        <v>22918806</v>
      </c>
      <c r="L644" s="23">
        <v>22000000</v>
      </c>
      <c r="M644" s="24">
        <v>1.041763909090909</v>
      </c>
      <c r="N644" s="209" t="str">
        <f>IFERROR(VLOOKUP(F644,Back!C:F,4,0),"NO")</f>
        <v>Si</v>
      </c>
      <c r="O644" s="26">
        <v>23</v>
      </c>
      <c r="P644" s="28" t="str">
        <f>IFERROR(VLOOKUP(F644,Back!C:E,3,0),"")</f>
        <v>IPS Pto De Vista SSura Clle100</v>
      </c>
      <c r="Q644" s="28" t="str">
        <f>IFERROR(VLOOKUP(P644,Back!M:N,2,0),"")</f>
        <v>Centro</v>
      </c>
      <c r="R644" s="27" t="str">
        <f>IF(N644="Si",IFERROR(VLOOKUP(F644,'TD Cumpl'!B:AB,27,0),"No Aplica"),"No Aplica")</f>
        <v>Fluctúa</v>
      </c>
      <c r="S644" s="38">
        <v>46</v>
      </c>
      <c r="T644" s="36">
        <v>4300774</v>
      </c>
      <c r="U644" s="26">
        <v>138</v>
      </c>
      <c r="V644" s="37">
        <v>16124093</v>
      </c>
      <c r="W644" s="19">
        <v>82</v>
      </c>
      <c r="X644" s="37">
        <v>5631838</v>
      </c>
      <c r="Y644" s="46">
        <f t="shared" si="22"/>
        <v>2846639</v>
      </c>
    </row>
    <row r="645" spans="1:25" x14ac:dyDescent="0.25">
      <c r="A645" s="20">
        <f>+VLOOKUP(D645,Back!Q:R,2,0)</f>
        <v>4</v>
      </c>
      <c r="B645" s="20" t="str">
        <f t="shared" si="21"/>
        <v>2017 ABR</v>
      </c>
      <c r="C645" s="20">
        <v>2017</v>
      </c>
      <c r="D645" s="21" t="s">
        <v>140</v>
      </c>
      <c r="E645" s="21" t="s">
        <v>104</v>
      </c>
      <c r="F645" s="21">
        <v>1234189600</v>
      </c>
      <c r="G645" s="21" t="s">
        <v>107</v>
      </c>
      <c r="H645" s="22">
        <v>14733510</v>
      </c>
      <c r="I645" s="22">
        <v>0</v>
      </c>
      <c r="J645" s="22">
        <v>487920</v>
      </c>
      <c r="K645" s="23">
        <v>14245590</v>
      </c>
      <c r="L645" s="23">
        <v>31721000</v>
      </c>
      <c r="M645" s="24">
        <v>0.44909019261687838</v>
      </c>
      <c r="N645" s="209" t="str">
        <f>IFERROR(VLOOKUP(F645,Back!C:F,4,0),"NO")</f>
        <v>NO</v>
      </c>
      <c r="O645" s="26">
        <v>23</v>
      </c>
      <c r="P645" s="28" t="str">
        <f>IFERROR(VLOOKUP(F645,Back!C:E,3,0),"")</f>
        <v/>
      </c>
      <c r="Q645" s="28" t="str">
        <f>IFERROR(VLOOKUP(P645,Back!M:N,2,0),"")</f>
        <v/>
      </c>
      <c r="R645" s="27" t="str">
        <f>IF(N645="Si",IFERROR(VLOOKUP(F645,'TD Cumpl'!B:AB,27,0),"No Aplica"),"No Aplica")</f>
        <v>No Aplica</v>
      </c>
      <c r="S645" s="38">
        <v>17</v>
      </c>
      <c r="T645" s="36">
        <v>1601411</v>
      </c>
      <c r="U645" s="26">
        <v>40</v>
      </c>
      <c r="V645" s="37">
        <v>4610115</v>
      </c>
      <c r="W645" s="19">
        <v>7</v>
      </c>
      <c r="X645" s="37">
        <v>487920</v>
      </c>
      <c r="Y645" s="46">
        <f t="shared" si="22"/>
        <v>8034064</v>
      </c>
    </row>
    <row r="646" spans="1:25" x14ac:dyDescent="0.25">
      <c r="A646" s="20">
        <f>+VLOOKUP(D646,Back!Q:R,2,0)</f>
        <v>4</v>
      </c>
      <c r="B646" s="20" t="str">
        <f t="shared" si="21"/>
        <v>2017 ABR</v>
      </c>
      <c r="C646" s="20">
        <v>2017</v>
      </c>
      <c r="D646" s="21" t="s">
        <v>140</v>
      </c>
      <c r="E646" s="21" t="s">
        <v>108</v>
      </c>
      <c r="F646" s="21">
        <v>1020443426</v>
      </c>
      <c r="G646" s="21" t="s">
        <v>109</v>
      </c>
      <c r="H646" s="22">
        <v>36830246</v>
      </c>
      <c r="I646" s="22">
        <v>744000</v>
      </c>
      <c r="J646" s="22">
        <v>9886586</v>
      </c>
      <c r="K646" s="23">
        <v>26199660</v>
      </c>
      <c r="L646" s="23">
        <v>24965217.391304348</v>
      </c>
      <c r="M646" s="24">
        <v>1.0494464994775339</v>
      </c>
      <c r="N646" s="209" t="str">
        <f>IFERROR(VLOOKUP(F646,Back!C:F,4,0),"NO")</f>
        <v>Si</v>
      </c>
      <c r="O646" s="26">
        <v>23</v>
      </c>
      <c r="P646" s="28" t="str">
        <f>IFERROR(VLOOKUP(F646,Back!C:E,3,0),"")</f>
        <v>IPS Pto De Vista San Diego</v>
      </c>
      <c r="Q646" s="28" t="str">
        <f>IFERROR(VLOOKUP(P646,Back!M:N,2,0),"")</f>
        <v>Antioquia</v>
      </c>
      <c r="R646" s="27" t="str">
        <f>IF(N646="Si",IFERROR(VLOOKUP(F646,'TD Cumpl'!B:AB,27,0),"No Aplica"),"No Aplica")</f>
        <v>Fluctúa</v>
      </c>
      <c r="S646" s="38">
        <v>83</v>
      </c>
      <c r="T646" s="36">
        <v>5411199</v>
      </c>
      <c r="U646" s="26">
        <v>192</v>
      </c>
      <c r="V646" s="37">
        <v>19155476</v>
      </c>
      <c r="W646" s="19">
        <v>117</v>
      </c>
      <c r="X646" s="37">
        <v>9886586</v>
      </c>
      <c r="Y646" s="46">
        <f t="shared" si="22"/>
        <v>2376985</v>
      </c>
    </row>
    <row r="647" spans="1:25" x14ac:dyDescent="0.25">
      <c r="A647" s="20">
        <f>+VLOOKUP(D647,Back!Q:R,2,0)</f>
        <v>4</v>
      </c>
      <c r="B647" s="20" t="str">
        <f t="shared" si="21"/>
        <v>2017 ABR</v>
      </c>
      <c r="C647" s="20">
        <v>2017</v>
      </c>
      <c r="D647" s="21" t="s">
        <v>140</v>
      </c>
      <c r="E647" s="21" t="s">
        <v>110</v>
      </c>
      <c r="F647" s="21">
        <v>1144140699</v>
      </c>
      <c r="G647" s="21" t="s">
        <v>94</v>
      </c>
      <c r="H647" s="29">
        <v>23126266</v>
      </c>
      <c r="I647" s="22">
        <v>0</v>
      </c>
      <c r="J647" s="22">
        <v>8471618</v>
      </c>
      <c r="K647" s="23">
        <v>14654648</v>
      </c>
      <c r="L647" s="23">
        <v>30000000</v>
      </c>
      <c r="M647" s="24">
        <v>0.48848826666666667</v>
      </c>
      <c r="N647" s="209" t="str">
        <f>IFERROR(VLOOKUP(F647,Back!C:F,4,0),"NO")</f>
        <v>NO</v>
      </c>
      <c r="O647" s="26">
        <v>23</v>
      </c>
      <c r="P647" s="28" t="str">
        <f>IFERROR(VLOOKUP(F647,Back!C:E,3,0),"")</f>
        <v/>
      </c>
      <c r="Q647" s="28" t="str">
        <f>IFERROR(VLOOKUP(P647,Back!M:N,2,0),"")</f>
        <v/>
      </c>
      <c r="R647" s="27" t="str">
        <f>IF(N647="Si",IFERROR(VLOOKUP(F647,'TD Cumpl'!B:AB,27,0),"No Aplica"),"No Aplica")</f>
        <v>No Aplica</v>
      </c>
      <c r="S647" s="38">
        <v>46</v>
      </c>
      <c r="T647" s="36">
        <v>3555686</v>
      </c>
      <c r="U647" s="26">
        <v>124</v>
      </c>
      <c r="V647" s="37">
        <v>6599520</v>
      </c>
      <c r="W647" s="19">
        <v>93</v>
      </c>
      <c r="X647" s="37">
        <v>8471618</v>
      </c>
      <c r="Y647" s="46">
        <f t="shared" si="22"/>
        <v>4499442</v>
      </c>
    </row>
    <row r="648" spans="1:25" x14ac:dyDescent="0.25">
      <c r="A648" s="20">
        <f>+VLOOKUP(D648,Back!Q:R,2,0)</f>
        <v>4</v>
      </c>
      <c r="B648" s="20" t="str">
        <f t="shared" si="21"/>
        <v>2017 ABR</v>
      </c>
      <c r="C648" s="20">
        <v>2017</v>
      </c>
      <c r="D648" s="21" t="s">
        <v>140</v>
      </c>
      <c r="E648" s="21" t="s">
        <v>86</v>
      </c>
      <c r="F648" s="21"/>
      <c r="G648" s="21"/>
      <c r="H648" s="22">
        <v>0</v>
      </c>
      <c r="I648" s="22">
        <v>0</v>
      </c>
      <c r="J648" s="22">
        <v>0</v>
      </c>
      <c r="K648" s="23">
        <v>0</v>
      </c>
      <c r="L648" s="23"/>
      <c r="M648" s="24"/>
      <c r="N648" s="209" t="str">
        <f>IFERROR(VLOOKUP(F648,Back!C:F,4,0),"NO")</f>
        <v>NO</v>
      </c>
      <c r="O648" s="26">
        <v>23</v>
      </c>
      <c r="P648" s="28" t="str">
        <f>IFERROR(VLOOKUP(F648,Back!C:E,3,0),"")</f>
        <v/>
      </c>
      <c r="Q648" s="28" t="str">
        <f>IFERROR(VLOOKUP(P648,Back!M:N,2,0),"")</f>
        <v/>
      </c>
      <c r="R648" s="27" t="str">
        <f>IF(N648="Si",IFERROR(VLOOKUP(F648,'TD Cumpl'!B:AB,27,0),"No Aplica"),"No Aplica")</f>
        <v>No Aplica</v>
      </c>
      <c r="S648" s="38">
        <v>0</v>
      </c>
      <c r="T648" s="36">
        <v>0</v>
      </c>
      <c r="U648" s="26">
        <v>0</v>
      </c>
      <c r="V648" s="37">
        <v>0</v>
      </c>
      <c r="W648" s="19">
        <v>0</v>
      </c>
      <c r="X648" s="37">
        <v>0</v>
      </c>
      <c r="Y648" s="46">
        <f t="shared" si="22"/>
        <v>0</v>
      </c>
    </row>
    <row r="649" spans="1:25" x14ac:dyDescent="0.25">
      <c r="A649" s="20">
        <f>+VLOOKUP(D649,Back!Q:R,2,0)</f>
        <v>4</v>
      </c>
      <c r="B649" s="20" t="str">
        <f t="shared" si="21"/>
        <v>2017 ABR</v>
      </c>
      <c r="C649" s="20">
        <v>2017</v>
      </c>
      <c r="D649" s="21" t="s">
        <v>140</v>
      </c>
      <c r="E649" s="21" t="s">
        <v>1</v>
      </c>
      <c r="F649" s="21"/>
      <c r="G649" s="21"/>
      <c r="H649" s="22">
        <v>828000</v>
      </c>
      <c r="I649" s="22">
        <v>0</v>
      </c>
      <c r="J649" s="22">
        <v>0</v>
      </c>
      <c r="K649" s="23">
        <v>828000</v>
      </c>
      <c r="L649" s="23"/>
      <c r="M649" s="24"/>
      <c r="N649" s="209" t="str">
        <f>IFERROR(VLOOKUP(F649,Back!C:F,4,0),"NO")</f>
        <v>NO</v>
      </c>
      <c r="O649" s="26">
        <v>23</v>
      </c>
      <c r="P649" s="28" t="str">
        <f>IFERROR(VLOOKUP(F649,Back!C:E,3,0),"")</f>
        <v/>
      </c>
      <c r="Q649" s="28" t="str">
        <f>IFERROR(VLOOKUP(P649,Back!M:N,2,0),"")</f>
        <v/>
      </c>
      <c r="R649" s="27" t="str">
        <f>IF(N649="Si",IFERROR(VLOOKUP(F649,'TD Cumpl'!B:AB,27,0),"No Aplica"),"No Aplica")</f>
        <v>No Aplica</v>
      </c>
      <c r="S649" s="38">
        <v>0</v>
      </c>
      <c r="T649" s="36">
        <v>0</v>
      </c>
      <c r="U649" s="26">
        <v>0</v>
      </c>
      <c r="V649" s="37">
        <v>0</v>
      </c>
      <c r="W649" s="19">
        <v>0</v>
      </c>
      <c r="X649" s="37">
        <v>0</v>
      </c>
      <c r="Y649" s="46">
        <f t="shared" si="22"/>
        <v>828000</v>
      </c>
    </row>
    <row r="650" spans="1:25" x14ac:dyDescent="0.25">
      <c r="A650" s="20">
        <f>+VLOOKUP(D650,Back!Q:R,2,0)</f>
        <v>4</v>
      </c>
      <c r="B650" s="20" t="str">
        <f t="shared" si="21"/>
        <v>2017 ABR</v>
      </c>
      <c r="C650" s="20">
        <v>2017</v>
      </c>
      <c r="D650" s="21" t="s">
        <v>140</v>
      </c>
      <c r="E650" s="21" t="s">
        <v>19</v>
      </c>
      <c r="F650" s="21"/>
      <c r="G650" s="21"/>
      <c r="H650" s="22">
        <v>0</v>
      </c>
      <c r="I650" s="22">
        <v>0</v>
      </c>
      <c r="J650" s="22">
        <v>0</v>
      </c>
      <c r="K650" s="23">
        <v>0</v>
      </c>
      <c r="L650" s="23"/>
      <c r="M650" s="24"/>
      <c r="N650" s="209" t="str">
        <f>IFERROR(VLOOKUP(F650,Back!C:F,4,0),"NO")</f>
        <v>NO</v>
      </c>
      <c r="O650" s="26">
        <v>23</v>
      </c>
      <c r="P650" s="28" t="str">
        <f>IFERROR(VLOOKUP(F650,Back!C:E,3,0),"")</f>
        <v/>
      </c>
      <c r="Q650" s="28" t="str">
        <f>IFERROR(VLOOKUP(P650,Back!M:N,2,0),"")</f>
        <v/>
      </c>
      <c r="R650" s="27" t="str">
        <f>IF(N650="Si",IFERROR(VLOOKUP(F650,'TD Cumpl'!B:AB,27,0),"No Aplica"),"No Aplica")</f>
        <v>No Aplica</v>
      </c>
      <c r="S650" s="38">
        <v>0</v>
      </c>
      <c r="T650" s="36">
        <v>0</v>
      </c>
      <c r="U650" s="26">
        <v>0</v>
      </c>
      <c r="V650" s="37">
        <v>0</v>
      </c>
      <c r="W650" s="19">
        <v>0</v>
      </c>
      <c r="X650" s="37">
        <v>0</v>
      </c>
      <c r="Y650" s="46">
        <f t="shared" si="22"/>
        <v>0</v>
      </c>
    </row>
    <row r="651" spans="1:25" x14ac:dyDescent="0.25">
      <c r="A651" s="20">
        <f>+VLOOKUP(D651,Back!Q:R,2,0)</f>
        <v>4</v>
      </c>
      <c r="B651" s="20" t="str">
        <f t="shared" si="21"/>
        <v>2017 ABR</v>
      </c>
      <c r="C651" s="20">
        <v>2017</v>
      </c>
      <c r="D651" s="21" t="s">
        <v>140</v>
      </c>
      <c r="E651" s="21" t="s">
        <v>103</v>
      </c>
      <c r="F651" s="21"/>
      <c r="G651" s="21"/>
      <c r="H651" s="22">
        <v>69764</v>
      </c>
      <c r="I651" s="22">
        <v>0</v>
      </c>
      <c r="J651" s="22">
        <v>69764</v>
      </c>
      <c r="K651" s="23">
        <v>0</v>
      </c>
      <c r="L651" s="23"/>
      <c r="M651" s="24"/>
      <c r="N651" s="209" t="str">
        <f>IFERROR(VLOOKUP(F651,Back!C:F,4,0),"NO")</f>
        <v>NO</v>
      </c>
      <c r="O651" s="26">
        <v>23</v>
      </c>
      <c r="P651" s="28" t="str">
        <f>IFERROR(VLOOKUP(F651,Back!C:E,3,0),"")</f>
        <v/>
      </c>
      <c r="Q651" s="28" t="str">
        <f>IFERROR(VLOOKUP(P651,Back!M:N,2,0),"")</f>
        <v/>
      </c>
      <c r="R651" s="27" t="str">
        <f>IF(N651="Si",IFERROR(VLOOKUP(F651,'TD Cumpl'!B:AB,27,0),"No Aplica"),"No Aplica")</f>
        <v>No Aplica</v>
      </c>
      <c r="S651" s="38">
        <v>0</v>
      </c>
      <c r="T651" s="36">
        <v>0</v>
      </c>
      <c r="U651" s="26">
        <v>0</v>
      </c>
      <c r="V651" s="37">
        <v>0</v>
      </c>
      <c r="W651" s="19">
        <v>1</v>
      </c>
      <c r="X651" s="37">
        <v>69764</v>
      </c>
      <c r="Y651" s="46">
        <f t="shared" si="22"/>
        <v>0</v>
      </c>
    </row>
    <row r="652" spans="1:25" x14ac:dyDescent="0.25">
      <c r="A652" s="20">
        <f>+VLOOKUP(D652,Back!Q:R,2,0)</f>
        <v>4</v>
      </c>
      <c r="B652" s="20" t="str">
        <f t="shared" si="21"/>
        <v>2017 ABR</v>
      </c>
      <c r="C652" s="20">
        <v>2017</v>
      </c>
      <c r="D652" s="21" t="s">
        <v>140</v>
      </c>
      <c r="E652" s="21" t="s">
        <v>15</v>
      </c>
      <c r="F652" s="21"/>
      <c r="G652" s="21"/>
      <c r="H652" s="22">
        <v>4728272</v>
      </c>
      <c r="I652" s="22">
        <v>0</v>
      </c>
      <c r="J652" s="22">
        <v>2227740</v>
      </c>
      <c r="K652" s="23">
        <v>2500532</v>
      </c>
      <c r="L652" s="23"/>
      <c r="M652" s="24"/>
      <c r="N652" s="209" t="str">
        <f>IFERROR(VLOOKUP(F652,Back!C:F,4,0),"NO")</f>
        <v>NO</v>
      </c>
      <c r="O652" s="26">
        <v>23</v>
      </c>
      <c r="P652" s="28" t="str">
        <f>IFERROR(VLOOKUP(F652,Back!C:E,3,0),"")</f>
        <v/>
      </c>
      <c r="Q652" s="28" t="str">
        <f>IFERROR(VLOOKUP(P652,Back!M:N,2,0),"")</f>
        <v/>
      </c>
      <c r="R652" s="27" t="str">
        <f>IF(N652="Si",IFERROR(VLOOKUP(F652,'TD Cumpl'!B:AB,27,0),"No Aplica"),"No Aplica")</f>
        <v>No Aplica</v>
      </c>
      <c r="S652" s="38">
        <v>4</v>
      </c>
      <c r="T652" s="36">
        <v>379073</v>
      </c>
      <c r="U652" s="26">
        <v>6</v>
      </c>
      <c r="V652" s="37">
        <v>1063231</v>
      </c>
      <c r="W652" s="19">
        <v>22</v>
      </c>
      <c r="X652" s="37">
        <v>2227740</v>
      </c>
      <c r="Y652" s="46">
        <f t="shared" si="22"/>
        <v>1058228</v>
      </c>
    </row>
    <row r="653" spans="1:25" x14ac:dyDescent="0.25">
      <c r="A653" s="20">
        <f>+VLOOKUP(D653,Back!Q:R,2,0)</f>
        <v>4</v>
      </c>
      <c r="B653" s="20" t="str">
        <f t="shared" si="21"/>
        <v>2017 ABR</v>
      </c>
      <c r="C653" s="20">
        <v>2017</v>
      </c>
      <c r="D653" s="21" t="s">
        <v>140</v>
      </c>
      <c r="E653" s="21" t="s">
        <v>12</v>
      </c>
      <c r="F653" s="21"/>
      <c r="G653" s="21"/>
      <c r="H653" s="22">
        <v>0</v>
      </c>
      <c r="I653" s="22">
        <v>0</v>
      </c>
      <c r="J653" s="22">
        <v>0</v>
      </c>
      <c r="K653" s="23">
        <v>0</v>
      </c>
      <c r="L653" s="23"/>
      <c r="M653" s="24"/>
      <c r="N653" s="209" t="str">
        <f>IFERROR(VLOOKUP(F653,Back!C:F,4,0),"NO")</f>
        <v>NO</v>
      </c>
      <c r="O653" s="26">
        <v>23</v>
      </c>
      <c r="P653" s="28" t="str">
        <f>IFERROR(VLOOKUP(F653,Back!C:E,3,0),"")</f>
        <v/>
      </c>
      <c r="Q653" s="28" t="str">
        <f>IFERROR(VLOOKUP(P653,Back!M:N,2,0),"")</f>
        <v/>
      </c>
      <c r="R653" s="27" t="str">
        <f>IF(N653="Si",IFERROR(VLOOKUP(F653,'TD Cumpl'!B:AB,27,0),"No Aplica"),"No Aplica")</f>
        <v>No Aplica</v>
      </c>
      <c r="S653" s="38">
        <v>0</v>
      </c>
      <c r="T653" s="36">
        <v>0</v>
      </c>
      <c r="U653" s="26">
        <v>0</v>
      </c>
      <c r="V653" s="37">
        <v>0</v>
      </c>
      <c r="W653" s="19">
        <v>0</v>
      </c>
      <c r="X653" s="37">
        <v>0</v>
      </c>
      <c r="Y653" s="46">
        <f t="shared" si="22"/>
        <v>0</v>
      </c>
    </row>
    <row r="654" spans="1:25" x14ac:dyDescent="0.25">
      <c r="A654" s="20">
        <f>+VLOOKUP(D654,Back!Q:R,2,0)</f>
        <v>4</v>
      </c>
      <c r="B654" s="20" t="str">
        <f t="shared" si="21"/>
        <v>2017 ABR</v>
      </c>
      <c r="C654" s="20">
        <v>2017</v>
      </c>
      <c r="D654" s="21" t="s">
        <v>140</v>
      </c>
      <c r="E654" s="21" t="s">
        <v>100</v>
      </c>
      <c r="F654" s="21"/>
      <c r="G654" s="21"/>
      <c r="H654" s="22">
        <v>0</v>
      </c>
      <c r="I654" s="22">
        <v>0</v>
      </c>
      <c r="J654" s="22">
        <v>0</v>
      </c>
      <c r="K654" s="23">
        <v>0</v>
      </c>
      <c r="L654" s="23"/>
      <c r="M654" s="24"/>
      <c r="N654" s="209" t="str">
        <f>IFERROR(VLOOKUP(F654,Back!C:F,4,0),"NO")</f>
        <v>NO</v>
      </c>
      <c r="O654" s="26">
        <v>23</v>
      </c>
      <c r="P654" s="28" t="str">
        <f>IFERROR(VLOOKUP(F654,Back!C:E,3,0),"")</f>
        <v/>
      </c>
      <c r="Q654" s="28" t="str">
        <f>IFERROR(VLOOKUP(P654,Back!M:N,2,0),"")</f>
        <v/>
      </c>
      <c r="R654" s="27" t="str">
        <f>IF(N654="Si",IFERROR(VLOOKUP(F654,'TD Cumpl'!B:AB,27,0),"No Aplica"),"No Aplica")</f>
        <v>No Aplica</v>
      </c>
      <c r="S654" s="38">
        <v>0</v>
      </c>
      <c r="T654" s="36">
        <v>0</v>
      </c>
      <c r="U654" s="26">
        <v>0</v>
      </c>
      <c r="V654" s="37">
        <v>0</v>
      </c>
      <c r="W654" s="19">
        <v>0</v>
      </c>
      <c r="X654" s="37">
        <v>0</v>
      </c>
      <c r="Y654" s="46">
        <f t="shared" si="22"/>
        <v>0</v>
      </c>
    </row>
    <row r="655" spans="1:25" x14ac:dyDescent="0.25">
      <c r="A655" s="20">
        <f>+VLOOKUP(D655,Back!Q:R,2,0)</f>
        <v>4</v>
      </c>
      <c r="B655" s="20" t="str">
        <f t="shared" si="21"/>
        <v>2017 ABR</v>
      </c>
      <c r="C655" s="20">
        <v>2017</v>
      </c>
      <c r="D655" s="21" t="s">
        <v>140</v>
      </c>
      <c r="E655" s="21" t="s">
        <v>79</v>
      </c>
      <c r="F655" s="21"/>
      <c r="G655" s="21"/>
      <c r="H655" s="22">
        <v>276559</v>
      </c>
      <c r="I655" s="22">
        <v>0</v>
      </c>
      <c r="J655" s="22">
        <v>0</v>
      </c>
      <c r="K655" s="23">
        <v>276559</v>
      </c>
      <c r="L655" s="23"/>
      <c r="M655" s="24"/>
      <c r="N655" s="209" t="str">
        <f>IFERROR(VLOOKUP(F655,Back!C:F,4,0),"NO")</f>
        <v>NO</v>
      </c>
      <c r="O655" s="26">
        <v>23</v>
      </c>
      <c r="P655" s="28" t="str">
        <f>IFERROR(VLOOKUP(F655,Back!C:E,3,0),"")</f>
        <v/>
      </c>
      <c r="Q655" s="28" t="str">
        <f>IFERROR(VLOOKUP(P655,Back!M:N,2,0),"")</f>
        <v/>
      </c>
      <c r="R655" s="27" t="str">
        <f>IF(N655="Si",IFERROR(VLOOKUP(F655,'TD Cumpl'!B:AB,27,0),"No Aplica"),"No Aplica")</f>
        <v>No Aplica</v>
      </c>
      <c r="S655" s="38">
        <v>1</v>
      </c>
      <c r="T655" s="36">
        <v>103319</v>
      </c>
      <c r="U655" s="26">
        <v>2</v>
      </c>
      <c r="V655" s="37">
        <v>168440</v>
      </c>
      <c r="W655" s="19">
        <v>0</v>
      </c>
      <c r="X655" s="37">
        <v>0</v>
      </c>
      <c r="Y655" s="46">
        <f t="shared" si="22"/>
        <v>4800</v>
      </c>
    </row>
    <row r="656" spans="1:25" x14ac:dyDescent="0.25">
      <c r="A656" s="20">
        <f>+VLOOKUP(D656,Back!Q:R,2,0)</f>
        <v>4</v>
      </c>
      <c r="B656" s="20" t="str">
        <f t="shared" si="21"/>
        <v>2017 ABR</v>
      </c>
      <c r="C656" s="20">
        <v>2017</v>
      </c>
      <c r="D656" s="21" t="s">
        <v>140</v>
      </c>
      <c r="E656" s="21" t="s">
        <v>16</v>
      </c>
      <c r="F656" s="21"/>
      <c r="G656" s="21"/>
      <c r="H656" s="22">
        <v>417500</v>
      </c>
      <c r="I656" s="22">
        <v>0</v>
      </c>
      <c r="J656" s="22">
        <v>417500</v>
      </c>
      <c r="K656" s="23">
        <v>0</v>
      </c>
      <c r="L656" s="23"/>
      <c r="M656" s="24"/>
      <c r="N656" s="209" t="str">
        <f>IFERROR(VLOOKUP(F656,Back!C:F,4,0),"NO")</f>
        <v>NO</v>
      </c>
      <c r="O656" s="26">
        <v>23</v>
      </c>
      <c r="P656" s="28" t="str">
        <f>IFERROR(VLOOKUP(F656,Back!C:E,3,0),"")</f>
        <v/>
      </c>
      <c r="Q656" s="28" t="str">
        <f>IFERROR(VLOOKUP(P656,Back!M:N,2,0),"")</f>
        <v/>
      </c>
      <c r="R656" s="27" t="str">
        <f>IF(N656="Si",IFERROR(VLOOKUP(F656,'TD Cumpl'!B:AB,27,0),"No Aplica"),"No Aplica")</f>
        <v>No Aplica</v>
      </c>
      <c r="S656" s="38">
        <v>0</v>
      </c>
      <c r="T656" s="36">
        <v>0</v>
      </c>
      <c r="U656" s="26">
        <v>0</v>
      </c>
      <c r="V656" s="37">
        <v>0</v>
      </c>
      <c r="W656" s="19">
        <v>4</v>
      </c>
      <c r="X656" s="37">
        <v>417500</v>
      </c>
      <c r="Y656" s="46">
        <f t="shared" si="22"/>
        <v>0</v>
      </c>
    </row>
    <row r="657" spans="1:25" x14ac:dyDescent="0.25">
      <c r="A657" s="20">
        <f>+VLOOKUP(D657,Back!Q:R,2,0)</f>
        <v>4</v>
      </c>
      <c r="B657" s="20" t="str">
        <f t="shared" si="21"/>
        <v>2017 ABR</v>
      </c>
      <c r="C657" s="20">
        <v>2017</v>
      </c>
      <c r="D657" s="21" t="s">
        <v>140</v>
      </c>
      <c r="E657" s="21" t="s">
        <v>112</v>
      </c>
      <c r="F657" s="21"/>
      <c r="G657" s="21"/>
      <c r="H657" s="22">
        <v>125500</v>
      </c>
      <c r="I657" s="22">
        <v>0</v>
      </c>
      <c r="J657" s="22">
        <v>125500</v>
      </c>
      <c r="K657" s="23">
        <v>0</v>
      </c>
      <c r="L657" s="23"/>
      <c r="M657" s="24"/>
      <c r="N657" s="209" t="str">
        <f>IFERROR(VLOOKUP(F657,Back!C:F,4,0),"NO")</f>
        <v>NO</v>
      </c>
      <c r="O657" s="26">
        <v>23</v>
      </c>
      <c r="P657" s="28" t="str">
        <f>IFERROR(VLOOKUP(F657,Back!C:E,3,0),"")</f>
        <v/>
      </c>
      <c r="Q657" s="28" t="str">
        <f>IFERROR(VLOOKUP(P657,Back!M:N,2,0),"")</f>
        <v/>
      </c>
      <c r="R657" s="27" t="str">
        <f>IF(N657="Si",IFERROR(VLOOKUP(F657,'TD Cumpl'!B:AB,27,0),"No Aplica"),"No Aplica")</f>
        <v>No Aplica</v>
      </c>
      <c r="S657" s="38">
        <v>0</v>
      </c>
      <c r="T657" s="36">
        <v>0</v>
      </c>
      <c r="U657" s="26">
        <v>0</v>
      </c>
      <c r="V657" s="37">
        <v>0</v>
      </c>
      <c r="W657" s="19">
        <v>1</v>
      </c>
      <c r="X657" s="37">
        <v>125500</v>
      </c>
      <c r="Y657" s="46">
        <f t="shared" si="22"/>
        <v>0</v>
      </c>
    </row>
    <row r="658" spans="1:25" x14ac:dyDescent="0.25">
      <c r="A658" s="20">
        <f>+VLOOKUP(D658,Back!Q:R,2,0)</f>
        <v>4</v>
      </c>
      <c r="B658" s="20" t="str">
        <f t="shared" si="21"/>
        <v>2017 ABR</v>
      </c>
      <c r="C658" s="20">
        <v>2017</v>
      </c>
      <c r="D658" s="21" t="s">
        <v>140</v>
      </c>
      <c r="E658" s="21" t="s">
        <v>113</v>
      </c>
      <c r="F658" s="21"/>
      <c r="G658" s="21"/>
      <c r="H658" s="22">
        <v>850070</v>
      </c>
      <c r="I658" s="22">
        <v>0</v>
      </c>
      <c r="J658" s="22">
        <v>850070</v>
      </c>
      <c r="K658" s="23">
        <v>0</v>
      </c>
      <c r="L658" s="23"/>
      <c r="M658" s="24"/>
      <c r="N658" s="209" t="str">
        <f>IFERROR(VLOOKUP(F658,Back!C:F,4,0),"NO")</f>
        <v>NO</v>
      </c>
      <c r="O658" s="26">
        <v>23</v>
      </c>
      <c r="P658" s="28" t="str">
        <f>IFERROR(VLOOKUP(F658,Back!C:E,3,0),"")</f>
        <v/>
      </c>
      <c r="Q658" s="28" t="str">
        <f>IFERROR(VLOOKUP(P658,Back!M:N,2,0),"")</f>
        <v/>
      </c>
      <c r="R658" s="27" t="str">
        <f>IF(N658="Si",IFERROR(VLOOKUP(F658,'TD Cumpl'!B:AB,27,0),"No Aplica"),"No Aplica")</f>
        <v>No Aplica</v>
      </c>
      <c r="S658" s="38">
        <v>0</v>
      </c>
      <c r="T658" s="36">
        <v>0</v>
      </c>
      <c r="U658" s="26">
        <v>0</v>
      </c>
      <c r="V658" s="37">
        <v>0</v>
      </c>
      <c r="W658" s="19">
        <v>10</v>
      </c>
      <c r="X658" s="37">
        <v>850070</v>
      </c>
      <c r="Y658" s="46">
        <f t="shared" si="22"/>
        <v>0</v>
      </c>
    </row>
    <row r="659" spans="1:25" x14ac:dyDescent="0.25">
      <c r="A659" s="20">
        <f>+VLOOKUP(D659,Back!Q:R,2,0)</f>
        <v>5</v>
      </c>
      <c r="B659" s="20" t="str">
        <f t="shared" si="21"/>
        <v>2017 MAY</v>
      </c>
      <c r="C659" s="20">
        <v>2017</v>
      </c>
      <c r="D659" s="21" t="s">
        <v>141</v>
      </c>
      <c r="E659" s="30" t="s">
        <v>104</v>
      </c>
      <c r="F659" s="30">
        <v>1234189600</v>
      </c>
      <c r="G659" s="30" t="s">
        <v>107</v>
      </c>
      <c r="H659" s="31">
        <v>3668017</v>
      </c>
      <c r="I659" s="32">
        <v>0</v>
      </c>
      <c r="J659" s="32">
        <v>1578571</v>
      </c>
      <c r="K659" s="33">
        <v>2089446</v>
      </c>
      <c r="L659" s="33">
        <v>13544200</v>
      </c>
      <c r="M659" s="34">
        <v>0.15426869065725601</v>
      </c>
      <c r="N659" s="209" t="str">
        <f>IFERROR(VLOOKUP(F659,Back!C:F,4,0),"NO")</f>
        <v>NO</v>
      </c>
      <c r="O659" s="26">
        <v>25</v>
      </c>
      <c r="P659" s="28" t="str">
        <f>IFERROR(VLOOKUP(F659,Back!C:E,3,0),"")</f>
        <v/>
      </c>
      <c r="Q659" s="28" t="str">
        <f>IFERROR(VLOOKUP(P659,Back!M:N,2,0),"")</f>
        <v/>
      </c>
      <c r="R659" s="27" t="str">
        <f>IF(N659="Si",IFERROR(VLOOKUP(F659,'TD Cumpl'!B:AB,27,0),"No Aplica"),"No Aplica")</f>
        <v>No Aplica</v>
      </c>
      <c r="S659" s="38">
        <v>3</v>
      </c>
      <c r="T659" s="36">
        <v>107588</v>
      </c>
      <c r="U659" s="26">
        <v>16</v>
      </c>
      <c r="V659" s="37">
        <v>1831199</v>
      </c>
      <c r="W659" s="19">
        <v>16</v>
      </c>
      <c r="X659" s="37">
        <v>1578571</v>
      </c>
      <c r="Y659" s="46">
        <f t="shared" si="22"/>
        <v>150659</v>
      </c>
    </row>
    <row r="660" spans="1:25" x14ac:dyDescent="0.25">
      <c r="A660" s="20">
        <f>+VLOOKUP(D660,Back!Q:R,2,0)</f>
        <v>5</v>
      </c>
      <c r="B660" s="20" t="str">
        <f t="shared" si="21"/>
        <v>2017 MAY</v>
      </c>
      <c r="C660" s="20">
        <v>2017</v>
      </c>
      <c r="D660" s="21" t="s">
        <v>141</v>
      </c>
      <c r="E660" s="30" t="s">
        <v>62</v>
      </c>
      <c r="F660" s="30">
        <v>32256379</v>
      </c>
      <c r="G660" s="30" t="s">
        <v>61</v>
      </c>
      <c r="H660" s="32">
        <v>88570101</v>
      </c>
      <c r="I660" s="32">
        <v>408000</v>
      </c>
      <c r="J660" s="32">
        <v>12298794</v>
      </c>
      <c r="K660" s="33">
        <v>75863307</v>
      </c>
      <c r="L660" s="33">
        <v>42000000</v>
      </c>
      <c r="M660" s="34">
        <v>1.8062692142857142</v>
      </c>
      <c r="N660" s="209" t="str">
        <f>IFERROR(VLOOKUP(F660,Back!C:F,4,0),"NO")</f>
        <v>Si</v>
      </c>
      <c r="O660" s="26">
        <v>25</v>
      </c>
      <c r="P660" s="28" t="str">
        <f>IFERROR(VLOOKUP(F660,Back!C:E,3,0),"")</f>
        <v>Ferias Empresariales Antioquia</v>
      </c>
      <c r="Q660" s="28" t="str">
        <f>IFERROR(VLOOKUP(P660,Back!M:N,2,0),"")</f>
        <v>Antioquia</v>
      </c>
      <c r="R660" s="27" t="str">
        <f>IF(N660="Si",IFERROR(VLOOKUP(F660,'TD Cumpl'!B:AB,27,0),"No Aplica"),"No Aplica")</f>
        <v>Fluctúa</v>
      </c>
      <c r="S660" s="38">
        <v>81</v>
      </c>
      <c r="T660" s="36">
        <v>8153370</v>
      </c>
      <c r="U660" s="26">
        <v>184</v>
      </c>
      <c r="V660" s="37">
        <v>44202470</v>
      </c>
      <c r="W660" s="19">
        <v>119</v>
      </c>
      <c r="X660" s="37">
        <v>12298794</v>
      </c>
      <c r="Y660" s="46">
        <f t="shared" si="22"/>
        <v>23915467</v>
      </c>
    </row>
    <row r="661" spans="1:25" x14ac:dyDescent="0.25">
      <c r="A661" s="20">
        <f>+VLOOKUP(D661,Back!Q:R,2,0)</f>
        <v>5</v>
      </c>
      <c r="B661" s="20" t="str">
        <f t="shared" si="21"/>
        <v>2017 MAY</v>
      </c>
      <c r="C661" s="20">
        <v>2017</v>
      </c>
      <c r="D661" s="21" t="s">
        <v>141</v>
      </c>
      <c r="E661" s="30" t="s">
        <v>83</v>
      </c>
      <c r="F661" s="30">
        <v>43800272</v>
      </c>
      <c r="G661" s="30" t="s">
        <v>85</v>
      </c>
      <c r="H661" s="32">
        <v>27243766</v>
      </c>
      <c r="I661" s="32">
        <v>412000</v>
      </c>
      <c r="J661" s="32">
        <v>8236753</v>
      </c>
      <c r="K661" s="33">
        <v>18595013</v>
      </c>
      <c r="L661" s="33">
        <v>41000000</v>
      </c>
      <c r="M661" s="34">
        <v>0.45353690243902439</v>
      </c>
      <c r="N661" s="209" t="str">
        <f>IFERROR(VLOOKUP(F661,Back!C:F,4,0),"NO")</f>
        <v>NO</v>
      </c>
      <c r="O661" s="26">
        <v>25</v>
      </c>
      <c r="P661" s="28" t="str">
        <f>IFERROR(VLOOKUP(F661,Back!C:E,3,0),"")</f>
        <v/>
      </c>
      <c r="Q661" s="28" t="str">
        <f>IFERROR(VLOOKUP(P661,Back!M:N,2,0),"")</f>
        <v/>
      </c>
      <c r="R661" s="27" t="str">
        <f>IF(N661="Si",IFERROR(VLOOKUP(F661,'TD Cumpl'!B:AB,27,0),"No Aplica"),"No Aplica")</f>
        <v>No Aplica</v>
      </c>
      <c r="S661" s="38">
        <v>51</v>
      </c>
      <c r="T661" s="36">
        <v>3998390</v>
      </c>
      <c r="U661" s="26">
        <v>143</v>
      </c>
      <c r="V661" s="37">
        <v>12127181</v>
      </c>
      <c r="W661" s="19">
        <v>95</v>
      </c>
      <c r="X661" s="37">
        <v>8236753</v>
      </c>
      <c r="Y661" s="46">
        <f t="shared" si="22"/>
        <v>2881442</v>
      </c>
    </row>
    <row r="662" spans="1:25" x14ac:dyDescent="0.25">
      <c r="A662" s="20">
        <f>+VLOOKUP(D662,Back!Q:R,2,0)</f>
        <v>5</v>
      </c>
      <c r="B662" s="20" t="str">
        <f t="shared" si="21"/>
        <v>2017 MAY</v>
      </c>
      <c r="C662" s="20">
        <v>2017</v>
      </c>
      <c r="D662" s="21" t="s">
        <v>141</v>
      </c>
      <c r="E662" s="30" t="s">
        <v>56</v>
      </c>
      <c r="F662" s="30">
        <v>43971430</v>
      </c>
      <c r="G662" s="30" t="s">
        <v>142</v>
      </c>
      <c r="H662" s="32">
        <v>58971433</v>
      </c>
      <c r="I662" s="32">
        <v>1674000</v>
      </c>
      <c r="J662" s="32">
        <v>13479237</v>
      </c>
      <c r="K662" s="33">
        <v>43818196</v>
      </c>
      <c r="L662" s="33">
        <v>41000000</v>
      </c>
      <c r="M662" s="34">
        <v>1.068736487804878</v>
      </c>
      <c r="N662" s="209" t="str">
        <f>IFERROR(VLOOKUP(F662,Back!C:F,4,0),"NO")</f>
        <v>Si</v>
      </c>
      <c r="O662" s="26">
        <v>25</v>
      </c>
      <c r="P662" s="28" t="str">
        <f>IFERROR(VLOOKUP(F662,Back!C:E,3,0),"")</f>
        <v>IPS Pto De Vista Centro</v>
      </c>
      <c r="Q662" s="28" t="str">
        <f>IFERROR(VLOOKUP(P662,Back!M:N,2,0),"")</f>
        <v>Antioquia</v>
      </c>
      <c r="R662" s="27" t="str">
        <f>IF(N662="Si",IFERROR(VLOOKUP(F662,'TD Cumpl'!B:AB,27,0),"No Aplica"),"No Aplica")</f>
        <v>Siempre Cumple</v>
      </c>
      <c r="S662" s="38">
        <v>93</v>
      </c>
      <c r="T662" s="36">
        <v>7946456</v>
      </c>
      <c r="U662" s="26">
        <v>263</v>
      </c>
      <c r="V662" s="37">
        <v>31100642</v>
      </c>
      <c r="W662" s="19">
        <v>147</v>
      </c>
      <c r="X662" s="37">
        <v>13479237</v>
      </c>
      <c r="Y662" s="46">
        <f t="shared" si="22"/>
        <v>6445098</v>
      </c>
    </row>
    <row r="663" spans="1:25" x14ac:dyDescent="0.25">
      <c r="A663" s="20">
        <f>+VLOOKUP(D663,Back!Q:R,2,0)</f>
        <v>5</v>
      </c>
      <c r="B663" s="20" t="str">
        <f t="shared" si="21"/>
        <v>2017 MAY</v>
      </c>
      <c r="C663" s="20">
        <v>2017</v>
      </c>
      <c r="D663" s="21" t="s">
        <v>141</v>
      </c>
      <c r="E663" s="30" t="s">
        <v>59</v>
      </c>
      <c r="F663" s="30">
        <v>1030634664</v>
      </c>
      <c r="G663" s="30" t="s">
        <v>58</v>
      </c>
      <c r="H663" s="32">
        <v>51155402</v>
      </c>
      <c r="I663" s="32">
        <v>1891000</v>
      </c>
      <c r="J663" s="32">
        <v>12708497</v>
      </c>
      <c r="K663" s="33">
        <v>36555905</v>
      </c>
      <c r="L663" s="33">
        <v>41000000</v>
      </c>
      <c r="M663" s="34">
        <v>0.89160743902439021</v>
      </c>
      <c r="N663" s="209" t="str">
        <f>IFERROR(VLOOKUP(F663,Back!C:F,4,0),"NO")</f>
        <v>NO</v>
      </c>
      <c r="O663" s="26">
        <v>25</v>
      </c>
      <c r="P663" s="28" t="str">
        <f>IFERROR(VLOOKUP(F663,Back!C:E,3,0),"")</f>
        <v/>
      </c>
      <c r="Q663" s="28" t="str">
        <f>IFERROR(VLOOKUP(P663,Back!M:N,2,0),"")</f>
        <v/>
      </c>
      <c r="R663" s="27" t="str">
        <f>IF(N663="Si",IFERROR(VLOOKUP(F663,'TD Cumpl'!B:AB,27,0),"No Aplica"),"No Aplica")</f>
        <v>No Aplica</v>
      </c>
      <c r="S663" s="38">
        <v>95</v>
      </c>
      <c r="T663" s="36">
        <v>7967378</v>
      </c>
      <c r="U663" s="26">
        <v>224</v>
      </c>
      <c r="V663" s="37">
        <v>22611711</v>
      </c>
      <c r="W663" s="19">
        <v>144</v>
      </c>
      <c r="X663" s="37">
        <v>12708497</v>
      </c>
      <c r="Y663" s="46">
        <f t="shared" si="22"/>
        <v>7867816</v>
      </c>
    </row>
    <row r="664" spans="1:25" x14ac:dyDescent="0.25">
      <c r="A664" s="20">
        <f>+VLOOKUP(D664,Back!Q:R,2,0)</f>
        <v>5</v>
      </c>
      <c r="B664" s="20" t="str">
        <f t="shared" si="21"/>
        <v>2017 MAY</v>
      </c>
      <c r="C664" s="20">
        <v>2017</v>
      </c>
      <c r="D664" s="21" t="s">
        <v>141</v>
      </c>
      <c r="E664" s="30" t="s">
        <v>34</v>
      </c>
      <c r="F664" s="30">
        <v>43554403</v>
      </c>
      <c r="G664" s="30" t="s">
        <v>35</v>
      </c>
      <c r="H664" s="32">
        <v>62717121</v>
      </c>
      <c r="I664" s="32">
        <v>304000</v>
      </c>
      <c r="J664" s="32">
        <v>13755920</v>
      </c>
      <c r="K664" s="33">
        <v>48657201</v>
      </c>
      <c r="L664" s="33">
        <v>41000000</v>
      </c>
      <c r="M664" s="34">
        <v>1.186761</v>
      </c>
      <c r="N664" s="209" t="str">
        <f>IFERROR(VLOOKUP(F664,Back!C:F,4,0),"NO")</f>
        <v>Si</v>
      </c>
      <c r="O664" s="26">
        <v>25</v>
      </c>
      <c r="P664" s="28" t="str">
        <f>IFERROR(VLOOKUP(F664,Back!C:E,3,0),"")</f>
        <v>IPS Pto De Vista Centro</v>
      </c>
      <c r="Q664" s="28" t="str">
        <f>IFERROR(VLOOKUP(P664,Back!M:N,2,0),"")</f>
        <v>Antioquia</v>
      </c>
      <c r="R664" s="27" t="str">
        <f>IF(N664="Si",IFERROR(VLOOKUP(F664,'TD Cumpl'!B:AB,27,0),"No Aplica"),"No Aplica")</f>
        <v>Siempre Cumple</v>
      </c>
      <c r="S664" s="38">
        <v>98</v>
      </c>
      <c r="T664" s="36">
        <v>9925064</v>
      </c>
      <c r="U664" s="26">
        <v>248</v>
      </c>
      <c r="V664" s="37">
        <v>32063930</v>
      </c>
      <c r="W664" s="19">
        <v>157</v>
      </c>
      <c r="X664" s="37">
        <v>13755920</v>
      </c>
      <c r="Y664" s="46">
        <f t="shared" si="22"/>
        <v>6972207</v>
      </c>
    </row>
    <row r="665" spans="1:25" x14ac:dyDescent="0.25">
      <c r="A665" s="20">
        <f>+VLOOKUP(D665,Back!Q:R,2,0)</f>
        <v>5</v>
      </c>
      <c r="B665" s="20" t="str">
        <f t="shared" si="21"/>
        <v>2017 MAY</v>
      </c>
      <c r="C665" s="20">
        <v>2017</v>
      </c>
      <c r="D665" s="21" t="s">
        <v>141</v>
      </c>
      <c r="E665" s="30" t="s">
        <v>101</v>
      </c>
      <c r="F665" s="30">
        <v>21428423</v>
      </c>
      <c r="G665" s="30" t="s">
        <v>154</v>
      </c>
      <c r="H665" s="32">
        <v>55976916</v>
      </c>
      <c r="I665" s="32">
        <v>992800</v>
      </c>
      <c r="J665" s="32">
        <v>11480244</v>
      </c>
      <c r="K665" s="33">
        <v>43503872</v>
      </c>
      <c r="L665" s="33">
        <v>41000000</v>
      </c>
      <c r="M665" s="34">
        <v>1.0610700487804878</v>
      </c>
      <c r="N665" s="209" t="str">
        <f>IFERROR(VLOOKUP(F665,Back!C:F,4,0),"NO")</f>
        <v>Si</v>
      </c>
      <c r="O665" s="26">
        <v>25</v>
      </c>
      <c r="P665" s="28" t="str">
        <f>IFERROR(VLOOKUP(F665,Back!C:E,3,0),"")</f>
        <v>IPS Pto De Vista Centro</v>
      </c>
      <c r="Q665" s="28" t="str">
        <f>IFERROR(VLOOKUP(P665,Back!M:N,2,0),"")</f>
        <v>Antioquia</v>
      </c>
      <c r="R665" s="27" t="str">
        <f>IF(N665="Si",IFERROR(VLOOKUP(F665,'TD Cumpl'!B:AB,27,0),"No Aplica"),"No Aplica")</f>
        <v>Fluctúa</v>
      </c>
      <c r="S665" s="38">
        <v>122</v>
      </c>
      <c r="T665" s="36">
        <v>10209768</v>
      </c>
      <c r="U665" s="26">
        <v>280</v>
      </c>
      <c r="V665" s="37">
        <v>28029322</v>
      </c>
      <c r="W665" s="19">
        <v>118</v>
      </c>
      <c r="X665" s="37">
        <v>11480244</v>
      </c>
      <c r="Y665" s="46">
        <f t="shared" si="22"/>
        <v>6257582</v>
      </c>
    </row>
    <row r="666" spans="1:25" x14ac:dyDescent="0.25">
      <c r="A666" s="20">
        <f>+VLOOKUP(D666,Back!Q:R,2,0)</f>
        <v>5</v>
      </c>
      <c r="B666" s="20" t="str">
        <f t="shared" si="21"/>
        <v>2017 MAY</v>
      </c>
      <c r="C666" s="20">
        <v>2017</v>
      </c>
      <c r="D666" s="21" t="s">
        <v>141</v>
      </c>
      <c r="E666" s="30" t="s">
        <v>13</v>
      </c>
      <c r="F666" s="30">
        <v>43866877</v>
      </c>
      <c r="G666" s="30" t="s">
        <v>46</v>
      </c>
      <c r="H666" s="32">
        <v>62552566</v>
      </c>
      <c r="I666" s="32">
        <v>824000</v>
      </c>
      <c r="J666" s="32">
        <v>14888622</v>
      </c>
      <c r="K666" s="33">
        <v>46839944</v>
      </c>
      <c r="L666" s="33">
        <v>41000000</v>
      </c>
      <c r="M666" s="34">
        <v>1.1424376585365854</v>
      </c>
      <c r="N666" s="209" t="str">
        <f>IFERROR(VLOOKUP(F666,Back!C:F,4,0),"NO")</f>
        <v>Si</v>
      </c>
      <c r="O666" s="26">
        <v>25</v>
      </c>
      <c r="P666" s="28" t="str">
        <f>IFERROR(VLOOKUP(F666,Back!C:E,3,0),"")</f>
        <v>IPS Pto De Vista Centro</v>
      </c>
      <c r="Q666" s="28" t="str">
        <f>IFERROR(VLOOKUP(P666,Back!M:N,2,0),"")</f>
        <v>Antioquia</v>
      </c>
      <c r="R666" s="27" t="str">
        <f>IF(N666="Si",IFERROR(VLOOKUP(F666,'TD Cumpl'!B:AB,27,0),"No Aplica"),"No Aplica")</f>
        <v>Siempre Cumple</v>
      </c>
      <c r="S666" s="38">
        <v>112</v>
      </c>
      <c r="T666" s="36">
        <v>11752298</v>
      </c>
      <c r="U666" s="26">
        <v>260</v>
      </c>
      <c r="V666" s="37">
        <v>29104686</v>
      </c>
      <c r="W666" s="19">
        <v>176</v>
      </c>
      <c r="X666" s="37">
        <v>14888622</v>
      </c>
      <c r="Y666" s="46">
        <f t="shared" si="22"/>
        <v>6806960</v>
      </c>
    </row>
    <row r="667" spans="1:25" x14ac:dyDescent="0.25">
      <c r="A667" s="20">
        <f>+VLOOKUP(D667,Back!Q:R,2,0)</f>
        <v>5</v>
      </c>
      <c r="B667" s="20" t="str">
        <f t="shared" si="21"/>
        <v>2017 MAY</v>
      </c>
      <c r="C667" s="20">
        <v>2017</v>
      </c>
      <c r="D667" s="21" t="s">
        <v>141</v>
      </c>
      <c r="E667" s="30" t="s">
        <v>72</v>
      </c>
      <c r="F667" s="30">
        <v>43636530</v>
      </c>
      <c r="G667" s="30" t="s">
        <v>483</v>
      </c>
      <c r="H667" s="32">
        <v>6697457</v>
      </c>
      <c r="I667" s="32">
        <v>412000</v>
      </c>
      <c r="J667" s="32">
        <v>864774</v>
      </c>
      <c r="K667" s="33">
        <v>5420683</v>
      </c>
      <c r="L667" s="33">
        <v>8200000</v>
      </c>
      <c r="M667" s="34">
        <v>0.66105890243902443</v>
      </c>
      <c r="N667" s="209" t="str">
        <f>IFERROR(VLOOKUP(F667,Back!C:F,4,0),"NO")</f>
        <v>NO</v>
      </c>
      <c r="O667" s="26">
        <v>25</v>
      </c>
      <c r="P667" s="28" t="str">
        <f>IFERROR(VLOOKUP(F667,Back!C:E,3,0),"")</f>
        <v/>
      </c>
      <c r="Q667" s="28" t="str">
        <f>IFERROR(VLOOKUP(P667,Back!M:N,2,0),"")</f>
        <v/>
      </c>
      <c r="R667" s="27" t="str">
        <f>IF(N667="Si",IFERROR(VLOOKUP(F667,'TD Cumpl'!B:AB,27,0),"No Aplica"),"No Aplica")</f>
        <v>No Aplica</v>
      </c>
      <c r="S667" s="38">
        <v>17</v>
      </c>
      <c r="T667" s="36">
        <v>1200035</v>
      </c>
      <c r="U667" s="26">
        <v>40</v>
      </c>
      <c r="V667" s="37">
        <v>3126616</v>
      </c>
      <c r="W667" s="19">
        <v>15</v>
      </c>
      <c r="X667" s="37">
        <v>864774</v>
      </c>
      <c r="Y667" s="46">
        <f t="shared" si="22"/>
        <v>1506032</v>
      </c>
    </row>
    <row r="668" spans="1:25" x14ac:dyDescent="0.25">
      <c r="A668" s="20">
        <f>+VLOOKUP(D668,Back!Q:R,2,0)</f>
        <v>5</v>
      </c>
      <c r="B668" s="20" t="str">
        <f t="shared" si="21"/>
        <v>2017 MAY</v>
      </c>
      <c r="C668" s="20">
        <v>2017</v>
      </c>
      <c r="D668" s="21" t="s">
        <v>141</v>
      </c>
      <c r="E668" s="30" t="s">
        <v>18</v>
      </c>
      <c r="F668" s="30">
        <v>39442617</v>
      </c>
      <c r="G668" s="30" t="s">
        <v>41</v>
      </c>
      <c r="H668" s="32">
        <v>34228064</v>
      </c>
      <c r="I668" s="32">
        <v>1136400</v>
      </c>
      <c r="J668" s="32">
        <v>6610781</v>
      </c>
      <c r="K668" s="33">
        <v>26480883</v>
      </c>
      <c r="L668" s="33">
        <v>18000000</v>
      </c>
      <c r="M668" s="34">
        <v>1.4711601666666667</v>
      </c>
      <c r="N668" s="209" t="str">
        <f>IFERROR(VLOOKUP(F668,Back!C:F,4,0),"NO")</f>
        <v>Si</v>
      </c>
      <c r="O668" s="26">
        <v>25</v>
      </c>
      <c r="P668" s="28" t="str">
        <f>IFERROR(VLOOKUP(F668,Back!C:E,3,0),"")</f>
        <v>IPS Pto De Vista San Diego</v>
      </c>
      <c r="Q668" s="28" t="str">
        <f>IFERROR(VLOOKUP(P668,Back!M:N,2,0),"")</f>
        <v>Antioquia</v>
      </c>
      <c r="R668" s="27" t="str">
        <f>IF(N668="Si",IFERROR(VLOOKUP(F668,'TD Cumpl'!B:AB,27,0),"No Aplica"),"No Aplica")</f>
        <v>Cumple</v>
      </c>
      <c r="S668" s="38">
        <v>47</v>
      </c>
      <c r="T668" s="36">
        <v>6345610</v>
      </c>
      <c r="U668" s="26">
        <v>122</v>
      </c>
      <c r="V668" s="37">
        <v>18372791</v>
      </c>
      <c r="W668" s="19">
        <v>73</v>
      </c>
      <c r="X668" s="37">
        <v>6610781</v>
      </c>
      <c r="Y668" s="46">
        <f t="shared" si="22"/>
        <v>2898882</v>
      </c>
    </row>
    <row r="669" spans="1:25" x14ac:dyDescent="0.25">
      <c r="A669" s="20">
        <f>+VLOOKUP(D669,Back!Q:R,2,0)</f>
        <v>5</v>
      </c>
      <c r="B669" s="20" t="str">
        <f t="shared" si="21"/>
        <v>2017 MAY</v>
      </c>
      <c r="C669" s="20">
        <v>2017</v>
      </c>
      <c r="D669" s="21" t="s">
        <v>141</v>
      </c>
      <c r="E669" s="30" t="s">
        <v>23</v>
      </c>
      <c r="F669" s="30">
        <v>43907427</v>
      </c>
      <c r="G669" s="30" t="s">
        <v>144</v>
      </c>
      <c r="H669" s="32">
        <v>43819408</v>
      </c>
      <c r="I669" s="32">
        <v>0</v>
      </c>
      <c r="J669" s="32">
        <v>5034885</v>
      </c>
      <c r="K669" s="33">
        <v>38784523</v>
      </c>
      <c r="L669" s="33">
        <v>36000000</v>
      </c>
      <c r="M669" s="34">
        <v>1.0773478611111111</v>
      </c>
      <c r="N669" s="209" t="str">
        <f>IFERROR(VLOOKUP(F669,Back!C:F,4,0),"NO")</f>
        <v>Si</v>
      </c>
      <c r="O669" s="26">
        <v>25</v>
      </c>
      <c r="P669" s="28" t="str">
        <f>IFERROR(VLOOKUP(F669,Back!C:E,3,0),"")</f>
        <v>IPS Pto De Vista Industriales</v>
      </c>
      <c r="Q669" s="28" t="str">
        <f>IFERROR(VLOOKUP(P669,Back!M:N,2,0),"")</f>
        <v>Antioquia</v>
      </c>
      <c r="R669" s="27" t="str">
        <f>IF(N669="Si",IFERROR(VLOOKUP(F669,'TD Cumpl'!B:AB,27,0),"No Aplica"),"No Aplica")</f>
        <v>Siempre Cumple</v>
      </c>
      <c r="S669" s="38">
        <v>45</v>
      </c>
      <c r="T669" s="36">
        <v>8088460</v>
      </c>
      <c r="U669" s="26">
        <v>133</v>
      </c>
      <c r="V669" s="37">
        <v>26584580</v>
      </c>
      <c r="W669" s="19">
        <v>55</v>
      </c>
      <c r="X669" s="37">
        <v>5034885</v>
      </c>
      <c r="Y669" s="46">
        <f t="shared" si="22"/>
        <v>4111483</v>
      </c>
    </row>
    <row r="670" spans="1:25" x14ac:dyDescent="0.25">
      <c r="A670" s="20">
        <f>+VLOOKUP(D670,Back!Q:R,2,0)</f>
        <v>5</v>
      </c>
      <c r="B670" s="20" t="str">
        <f t="shared" si="21"/>
        <v>2017 MAY</v>
      </c>
      <c r="C670" s="20">
        <v>2017</v>
      </c>
      <c r="D670" s="21" t="s">
        <v>141</v>
      </c>
      <c r="E670" s="30" t="s">
        <v>21</v>
      </c>
      <c r="F670" s="30">
        <v>1035417626</v>
      </c>
      <c r="G670" s="30" t="s">
        <v>80</v>
      </c>
      <c r="H670" s="32">
        <v>58857561</v>
      </c>
      <c r="I670" s="32">
        <v>285400</v>
      </c>
      <c r="J670" s="32">
        <v>14286319</v>
      </c>
      <c r="K670" s="33">
        <v>44285842</v>
      </c>
      <c r="L670" s="33">
        <v>43000000</v>
      </c>
      <c r="M670" s="34">
        <v>1.0299033023255815</v>
      </c>
      <c r="N670" s="209" t="str">
        <f>IFERROR(VLOOKUP(F670,Back!C:F,4,0),"NO")</f>
        <v>Si</v>
      </c>
      <c r="O670" s="26">
        <v>25</v>
      </c>
      <c r="P670" s="28" t="str">
        <f>IFERROR(VLOOKUP(F670,Back!C:E,3,0),"")</f>
        <v>IPS Pto De Vista Unicentro</v>
      </c>
      <c r="Q670" s="28" t="str">
        <f>IFERROR(VLOOKUP(P670,Back!M:N,2,0),"")</f>
        <v>Antioquia</v>
      </c>
      <c r="R670" s="27" t="str">
        <f>IF(N670="Si",IFERROR(VLOOKUP(F670,'TD Cumpl'!B:AB,27,0),"No Aplica"),"No Aplica")</f>
        <v>Cumple</v>
      </c>
      <c r="S670" s="38">
        <v>87</v>
      </c>
      <c r="T670" s="36">
        <v>10969268</v>
      </c>
      <c r="U670" s="26">
        <v>238</v>
      </c>
      <c r="V670" s="37">
        <v>27709698</v>
      </c>
      <c r="W670" s="19">
        <v>147</v>
      </c>
      <c r="X670" s="37">
        <v>14286319</v>
      </c>
      <c r="Y670" s="46">
        <f t="shared" si="22"/>
        <v>5892276</v>
      </c>
    </row>
    <row r="671" spans="1:25" x14ac:dyDescent="0.25">
      <c r="A671" s="20">
        <f>+VLOOKUP(D671,Back!Q:R,2,0)</f>
        <v>5</v>
      </c>
      <c r="B671" s="20" t="str">
        <f t="shared" si="21"/>
        <v>2017 MAY</v>
      </c>
      <c r="C671" s="20">
        <v>2017</v>
      </c>
      <c r="D671" s="21" t="s">
        <v>141</v>
      </c>
      <c r="E671" s="30" t="s">
        <v>20</v>
      </c>
      <c r="F671" s="30">
        <v>1017141451</v>
      </c>
      <c r="G671" s="30" t="s">
        <v>44</v>
      </c>
      <c r="H671" s="32">
        <v>66887701</v>
      </c>
      <c r="I671" s="32">
        <v>602000</v>
      </c>
      <c r="J671" s="32">
        <v>16752241</v>
      </c>
      <c r="K671" s="33">
        <v>49533460</v>
      </c>
      <c r="L671" s="33">
        <v>43000000</v>
      </c>
      <c r="M671" s="34">
        <v>1.1519409302325581</v>
      </c>
      <c r="N671" s="209" t="str">
        <f>IFERROR(VLOOKUP(F671,Back!C:F,4,0),"NO")</f>
        <v>Si</v>
      </c>
      <c r="O671" s="26">
        <v>25</v>
      </c>
      <c r="P671" s="28" t="str">
        <f>IFERROR(VLOOKUP(F671,Back!C:E,3,0),"")</f>
        <v>IPS Pto De Vista Molinos</v>
      </c>
      <c r="Q671" s="28" t="str">
        <f>IFERROR(VLOOKUP(P671,Back!M:N,2,0),"")</f>
        <v>Antioquia</v>
      </c>
      <c r="R671" s="27" t="str">
        <f>IF(N671="Si",IFERROR(VLOOKUP(F671,'TD Cumpl'!B:AB,27,0),"No Aplica"),"No Aplica")</f>
        <v>Siempre Cumple</v>
      </c>
      <c r="S671" s="38">
        <v>113</v>
      </c>
      <c r="T671" s="36">
        <v>14259106</v>
      </c>
      <c r="U671" s="26">
        <v>299</v>
      </c>
      <c r="V671" s="37">
        <v>30461378</v>
      </c>
      <c r="W671" s="19">
        <v>190</v>
      </c>
      <c r="X671" s="37">
        <v>16752241</v>
      </c>
      <c r="Y671" s="46">
        <f t="shared" si="22"/>
        <v>5414976</v>
      </c>
    </row>
    <row r="672" spans="1:25" x14ac:dyDescent="0.25">
      <c r="A672" s="20">
        <f>+VLOOKUP(D672,Back!Q:R,2,0)</f>
        <v>5</v>
      </c>
      <c r="B672" s="20" t="str">
        <f t="shared" si="21"/>
        <v>2017 MAY</v>
      </c>
      <c r="C672" s="20">
        <v>2017</v>
      </c>
      <c r="D672" s="21" t="s">
        <v>141</v>
      </c>
      <c r="E672" s="30" t="s">
        <v>8</v>
      </c>
      <c r="F672" s="30">
        <v>43259130</v>
      </c>
      <c r="G672" s="30" t="s">
        <v>51</v>
      </c>
      <c r="H672" s="32">
        <v>64708305</v>
      </c>
      <c r="I672" s="32">
        <v>744000</v>
      </c>
      <c r="J672" s="32">
        <v>18233228</v>
      </c>
      <c r="K672" s="33">
        <v>45731077</v>
      </c>
      <c r="L672" s="33">
        <v>43000000</v>
      </c>
      <c r="M672" s="34">
        <v>1.0635134186046511</v>
      </c>
      <c r="N672" s="209" t="str">
        <f>IFERROR(VLOOKUP(F672,Back!C:F,4,0),"NO")</f>
        <v>Si</v>
      </c>
      <c r="O672" s="26">
        <v>25</v>
      </c>
      <c r="P672" s="28" t="str">
        <f>IFERROR(VLOOKUP(F672,Back!C:E,3,0),"")</f>
        <v>IPS Pto De Vista Molinos</v>
      </c>
      <c r="Q672" s="28" t="str">
        <f>IFERROR(VLOOKUP(P672,Back!M:N,2,0),"")</f>
        <v>Antioquia</v>
      </c>
      <c r="R672" s="27" t="str">
        <f>IF(N672="Si",IFERROR(VLOOKUP(F672,'TD Cumpl'!B:AB,27,0),"No Aplica"),"No Aplica")</f>
        <v>Fluctúa</v>
      </c>
      <c r="S672" s="38">
        <v>103</v>
      </c>
      <c r="T672" s="36">
        <v>10498946</v>
      </c>
      <c r="U672" s="26">
        <v>294</v>
      </c>
      <c r="V672" s="37">
        <v>30801716</v>
      </c>
      <c r="W672" s="19">
        <v>191</v>
      </c>
      <c r="X672" s="37">
        <v>18233228</v>
      </c>
      <c r="Y672" s="46">
        <f t="shared" si="22"/>
        <v>5174415</v>
      </c>
    </row>
    <row r="673" spans="1:25" x14ac:dyDescent="0.25">
      <c r="A673" s="20">
        <f>+VLOOKUP(D673,Back!Q:R,2,0)</f>
        <v>5</v>
      </c>
      <c r="B673" s="20" t="str">
        <f t="shared" si="21"/>
        <v>2017 MAY</v>
      </c>
      <c r="C673" s="20">
        <v>2017</v>
      </c>
      <c r="D673" s="21" t="s">
        <v>141</v>
      </c>
      <c r="E673" s="30" t="s">
        <v>3</v>
      </c>
      <c r="F673" s="30">
        <v>52725011</v>
      </c>
      <c r="G673" s="30" t="s">
        <v>42</v>
      </c>
      <c r="H673" s="32">
        <v>28256476</v>
      </c>
      <c r="I673" s="32">
        <v>0</v>
      </c>
      <c r="J673" s="32">
        <v>6694600</v>
      </c>
      <c r="K673" s="33">
        <v>21561876</v>
      </c>
      <c r="L673" s="33">
        <v>20000000</v>
      </c>
      <c r="M673" s="34">
        <v>1.0780938</v>
      </c>
      <c r="N673" s="209" t="str">
        <f>IFERROR(VLOOKUP(F673,Back!C:F,4,0),"NO")</f>
        <v>Si</v>
      </c>
      <c r="O673" s="26">
        <v>25</v>
      </c>
      <c r="P673" s="28" t="str">
        <f>IFERROR(VLOOKUP(F673,Back!C:E,3,0),"")</f>
        <v>IPS Pto De Vista Olaya</v>
      </c>
      <c r="Q673" s="28" t="str">
        <f>IFERROR(VLOOKUP(P673,Back!M:N,2,0),"")</f>
        <v>Centro</v>
      </c>
      <c r="R673" s="27" t="str">
        <f>IF(N673="Si",IFERROR(VLOOKUP(F673,'TD Cumpl'!B:AB,27,0),"No Aplica"),"No Aplica")</f>
        <v>Fluctúa</v>
      </c>
      <c r="S673" s="38">
        <v>80</v>
      </c>
      <c r="T673" s="36">
        <v>4438288</v>
      </c>
      <c r="U673" s="26">
        <v>196</v>
      </c>
      <c r="V673" s="37">
        <v>15764555</v>
      </c>
      <c r="W673" s="19">
        <v>95</v>
      </c>
      <c r="X673" s="37">
        <v>6694600</v>
      </c>
      <c r="Y673" s="46">
        <f t="shared" si="22"/>
        <v>1359033</v>
      </c>
    </row>
    <row r="674" spans="1:25" x14ac:dyDescent="0.25">
      <c r="A674" s="20">
        <f>+VLOOKUP(D674,Back!Q:R,2,0)</f>
        <v>5</v>
      </c>
      <c r="B674" s="20" t="str">
        <f t="shared" si="21"/>
        <v>2017 MAY</v>
      </c>
      <c r="C674" s="20">
        <v>2017</v>
      </c>
      <c r="D674" s="21" t="s">
        <v>141</v>
      </c>
      <c r="E674" s="30" t="s">
        <v>4</v>
      </c>
      <c r="F674" s="30">
        <v>79701425</v>
      </c>
      <c r="G674" s="30" t="s">
        <v>27</v>
      </c>
      <c r="H674" s="32">
        <v>31033644</v>
      </c>
      <c r="I674" s="32">
        <v>440000</v>
      </c>
      <c r="J674" s="32">
        <v>7906872</v>
      </c>
      <c r="K674" s="33">
        <v>22686772</v>
      </c>
      <c r="L674" s="33">
        <v>20000000</v>
      </c>
      <c r="M674" s="34">
        <v>1.1343386</v>
      </c>
      <c r="N674" s="209" t="str">
        <f>IFERROR(VLOOKUP(F674,Back!C:F,4,0),"NO")</f>
        <v>No</v>
      </c>
      <c r="O674" s="26">
        <v>25</v>
      </c>
      <c r="P674" s="28" t="str">
        <f>IFERROR(VLOOKUP(F674,Back!C:E,3,0),"")</f>
        <v>IPS Pto De Vista Olaya</v>
      </c>
      <c r="Q674" s="28" t="str">
        <f>IFERROR(VLOOKUP(P674,Back!M:N,2,0),"")</f>
        <v>Centro</v>
      </c>
      <c r="R674" s="27" t="str">
        <f>IF(N674="Si",IFERROR(VLOOKUP(F674,'TD Cumpl'!B:AB,27,0),"No Aplica"),"No Aplica")</f>
        <v>No Aplica</v>
      </c>
      <c r="S674" s="38">
        <v>95</v>
      </c>
      <c r="T674" s="36">
        <v>5895803</v>
      </c>
      <c r="U674" s="26">
        <v>218</v>
      </c>
      <c r="V674" s="37">
        <v>14741613</v>
      </c>
      <c r="W674" s="19">
        <v>118</v>
      </c>
      <c r="X674" s="37">
        <v>7906872</v>
      </c>
      <c r="Y674" s="46">
        <f t="shared" si="22"/>
        <v>2489356</v>
      </c>
    </row>
    <row r="675" spans="1:25" x14ac:dyDescent="0.25">
      <c r="A675" s="20">
        <f>+VLOOKUP(D675,Back!Q:R,2,0)</f>
        <v>5</v>
      </c>
      <c r="B675" s="20" t="str">
        <f t="shared" si="21"/>
        <v>2017 MAY</v>
      </c>
      <c r="C675" s="20">
        <v>2017</v>
      </c>
      <c r="D675" s="21" t="s">
        <v>141</v>
      </c>
      <c r="E675" s="30" t="s">
        <v>9</v>
      </c>
      <c r="F675" s="30">
        <v>43169964</v>
      </c>
      <c r="G675" s="30" t="s">
        <v>155</v>
      </c>
      <c r="H675" s="32">
        <v>55127749</v>
      </c>
      <c r="I675" s="32">
        <v>2036000</v>
      </c>
      <c r="J675" s="32">
        <v>13855537</v>
      </c>
      <c r="K675" s="33">
        <v>39236212</v>
      </c>
      <c r="L675" s="33">
        <v>35776000</v>
      </c>
      <c r="M675" s="34">
        <v>1.096718805903399</v>
      </c>
      <c r="N675" s="209" t="str">
        <f>IFERROR(VLOOKUP(F675,Back!C:F,4,0),"NO")</f>
        <v>Si</v>
      </c>
      <c r="O675" s="26">
        <v>25</v>
      </c>
      <c r="P675" s="28" t="str">
        <f>IFERROR(VLOOKUP(F675,Back!C:E,3,0),"")</f>
        <v>IPS Pto De Vista Molinos</v>
      </c>
      <c r="Q675" s="28" t="str">
        <f>IFERROR(VLOOKUP(P675,Back!M:N,2,0),"")</f>
        <v>Antioquia</v>
      </c>
      <c r="R675" s="27" t="str">
        <f>IF(N675="Si",IFERROR(VLOOKUP(F675,'TD Cumpl'!B:AB,27,0),"No Aplica"),"No Aplica")</f>
        <v>Cumple</v>
      </c>
      <c r="S675" s="38">
        <v>109</v>
      </c>
      <c r="T675" s="36">
        <v>9291250</v>
      </c>
      <c r="U675" s="26">
        <v>248</v>
      </c>
      <c r="V675" s="37">
        <v>26724587</v>
      </c>
      <c r="W675" s="19">
        <v>143</v>
      </c>
      <c r="X675" s="37">
        <v>13855537</v>
      </c>
      <c r="Y675" s="46">
        <f t="shared" si="22"/>
        <v>5256375</v>
      </c>
    </row>
    <row r="676" spans="1:25" x14ac:dyDescent="0.25">
      <c r="A676" s="20">
        <f>+VLOOKUP(D676,Back!Q:R,2,0)</f>
        <v>5</v>
      </c>
      <c r="B676" s="20" t="str">
        <f t="shared" si="21"/>
        <v>2017 MAY</v>
      </c>
      <c r="C676" s="20">
        <v>2017</v>
      </c>
      <c r="D676" s="21" t="s">
        <v>141</v>
      </c>
      <c r="E676" s="30" t="s">
        <v>66</v>
      </c>
      <c r="F676" s="30">
        <v>3438422</v>
      </c>
      <c r="G676" s="30" t="s">
        <v>71</v>
      </c>
      <c r="H676" s="32">
        <v>55683083</v>
      </c>
      <c r="I676" s="32">
        <v>304000</v>
      </c>
      <c r="J676" s="32">
        <v>13037094</v>
      </c>
      <c r="K676" s="33">
        <v>42341989</v>
      </c>
      <c r="L676" s="33">
        <v>34400000</v>
      </c>
      <c r="M676" s="34">
        <v>1.2308717732558139</v>
      </c>
      <c r="N676" s="209" t="str">
        <f>IFERROR(VLOOKUP(F676,Back!C:F,4,0),"NO")</f>
        <v>Si</v>
      </c>
      <c r="O676" s="26">
        <v>25</v>
      </c>
      <c r="P676" s="28" t="str">
        <f>IFERROR(VLOOKUP(F676,Back!C:E,3,0),"")</f>
        <v>IPS Pto De Vista Punto Clave</v>
      </c>
      <c r="Q676" s="28" t="str">
        <f>IFERROR(VLOOKUP(P676,Back!M:N,2,0),"")</f>
        <v>Antioquia</v>
      </c>
      <c r="R676" s="27" t="str">
        <f>IF(N676="Si",IFERROR(VLOOKUP(F676,'TD Cumpl'!B:AB,27,0),"No Aplica"),"No Aplica")</f>
        <v>Fluctúa</v>
      </c>
      <c r="S676" s="38">
        <v>79</v>
      </c>
      <c r="T676" s="36">
        <v>8781658</v>
      </c>
      <c r="U676" s="26">
        <v>210</v>
      </c>
      <c r="V676" s="37">
        <v>27043320</v>
      </c>
      <c r="W676" s="19">
        <v>140</v>
      </c>
      <c r="X676" s="37">
        <v>13037094</v>
      </c>
      <c r="Y676" s="46">
        <f t="shared" si="22"/>
        <v>6821011</v>
      </c>
    </row>
    <row r="677" spans="1:25" x14ac:dyDescent="0.25">
      <c r="A677" s="20">
        <f>+VLOOKUP(D677,Back!Q:R,2,0)</f>
        <v>5</v>
      </c>
      <c r="B677" s="20" t="str">
        <f t="shared" si="21"/>
        <v>2017 MAY</v>
      </c>
      <c r="C677" s="20">
        <v>2017</v>
      </c>
      <c r="D677" s="21" t="s">
        <v>141</v>
      </c>
      <c r="E677" s="30" t="s">
        <v>92</v>
      </c>
      <c r="F677" s="30">
        <v>1017167720</v>
      </c>
      <c r="G677" s="30" t="s">
        <v>96</v>
      </c>
      <c r="H677" s="32">
        <v>60634453</v>
      </c>
      <c r="I677" s="32">
        <v>1766860</v>
      </c>
      <c r="J677" s="32">
        <v>13129542</v>
      </c>
      <c r="K677" s="33">
        <v>45738051</v>
      </c>
      <c r="L677" s="33">
        <v>43000000</v>
      </c>
      <c r="M677" s="34">
        <v>1.0636756046511628</v>
      </c>
      <c r="N677" s="209" t="str">
        <f>IFERROR(VLOOKUP(F677,Back!C:F,4,0),"NO")</f>
        <v>Si</v>
      </c>
      <c r="O677" s="26">
        <v>25</v>
      </c>
      <c r="P677" s="28" t="str">
        <f>IFERROR(VLOOKUP(F677,Back!C:E,3,0),"")</f>
        <v>IPS Pto De Vista Punto Clave</v>
      </c>
      <c r="Q677" s="28" t="str">
        <f>IFERROR(VLOOKUP(P677,Back!M:N,2,0),"")</f>
        <v>Antioquia</v>
      </c>
      <c r="R677" s="27" t="str">
        <f>IF(N677="Si",IFERROR(VLOOKUP(F677,'TD Cumpl'!B:AB,27,0),"No Aplica"),"No Aplica")</f>
        <v>Cumple</v>
      </c>
      <c r="S677" s="38">
        <v>99</v>
      </c>
      <c r="T677" s="36">
        <v>10577757</v>
      </c>
      <c r="U677" s="26">
        <v>235</v>
      </c>
      <c r="V677" s="37">
        <v>27490946</v>
      </c>
      <c r="W677" s="19">
        <v>146</v>
      </c>
      <c r="X677" s="37">
        <v>13129542</v>
      </c>
      <c r="Y677" s="46">
        <f t="shared" si="22"/>
        <v>9436208</v>
      </c>
    </row>
    <row r="678" spans="1:25" x14ac:dyDescent="0.25">
      <c r="A678" s="20">
        <f>+VLOOKUP(D678,Back!Q:R,2,0)</f>
        <v>5</v>
      </c>
      <c r="B678" s="20" t="str">
        <f t="shared" si="21"/>
        <v>2017 MAY</v>
      </c>
      <c r="C678" s="20">
        <v>2017</v>
      </c>
      <c r="D678" s="21" t="s">
        <v>141</v>
      </c>
      <c r="E678" s="30" t="s">
        <v>57</v>
      </c>
      <c r="F678" s="30">
        <v>43874518</v>
      </c>
      <c r="G678" s="30" t="s">
        <v>60</v>
      </c>
      <c r="H678" s="32">
        <v>31318331</v>
      </c>
      <c r="I678" s="32">
        <v>223000</v>
      </c>
      <c r="J678" s="32">
        <v>4255069</v>
      </c>
      <c r="K678" s="33">
        <v>26840262</v>
      </c>
      <c r="L678" s="33">
        <v>25800000</v>
      </c>
      <c r="M678" s="34">
        <v>1.0403202325581395</v>
      </c>
      <c r="N678" s="209" t="str">
        <f>IFERROR(VLOOKUP(F678,Back!C:F,4,0),"NO")</f>
        <v>Si</v>
      </c>
      <c r="O678" s="26">
        <v>25</v>
      </c>
      <c r="P678" s="28" t="str">
        <f>IFERROR(VLOOKUP(F678,Back!C:E,3,0),"")</f>
        <v>IPS Pto De Vista Punto Clave</v>
      </c>
      <c r="Q678" s="28" t="str">
        <f>IFERROR(VLOOKUP(P678,Back!M:N,2,0),"")</f>
        <v>Antioquia</v>
      </c>
      <c r="R678" s="27" t="str">
        <f>IF(N678="Si",IFERROR(VLOOKUP(F678,'TD Cumpl'!B:AB,27,0),"No Aplica"),"No Aplica")</f>
        <v>Fluctúa</v>
      </c>
      <c r="S678" s="38">
        <v>58</v>
      </c>
      <c r="T678" s="36">
        <v>5133158</v>
      </c>
      <c r="U678" s="26">
        <v>168</v>
      </c>
      <c r="V678" s="37">
        <v>18376677</v>
      </c>
      <c r="W678" s="19">
        <v>49</v>
      </c>
      <c r="X678" s="37">
        <v>4255069</v>
      </c>
      <c r="Y678" s="46">
        <f t="shared" si="22"/>
        <v>3553427</v>
      </c>
    </row>
    <row r="679" spans="1:25" x14ac:dyDescent="0.25">
      <c r="A679" s="20">
        <f>+VLOOKUP(D679,Back!Q:R,2,0)</f>
        <v>5</v>
      </c>
      <c r="B679" s="20" t="str">
        <f t="shared" si="21"/>
        <v>2017 MAY</v>
      </c>
      <c r="C679" s="20">
        <v>2017</v>
      </c>
      <c r="D679" s="21" t="s">
        <v>141</v>
      </c>
      <c r="E679" s="30" t="s">
        <v>64</v>
      </c>
      <c r="F679" s="30">
        <v>1036598360</v>
      </c>
      <c r="G679" s="30" t="s">
        <v>146</v>
      </c>
      <c r="H679" s="32">
        <v>60533661</v>
      </c>
      <c r="I679" s="32">
        <v>412000</v>
      </c>
      <c r="J679" s="32">
        <v>12480373</v>
      </c>
      <c r="K679" s="33">
        <v>47641288</v>
      </c>
      <c r="L679" s="33">
        <v>34400000</v>
      </c>
      <c r="M679" s="34">
        <v>1.3849211627906977</v>
      </c>
      <c r="N679" s="209" t="str">
        <f>IFERROR(VLOOKUP(F679,Back!C:F,4,0),"NO")</f>
        <v>Si</v>
      </c>
      <c r="O679" s="26">
        <v>25</v>
      </c>
      <c r="P679" s="28" t="str">
        <f>IFERROR(VLOOKUP(F679,Back!C:E,3,0),"")</f>
        <v>IPS Pto De Vista Punto Clave</v>
      </c>
      <c r="Q679" s="28" t="str">
        <f>IFERROR(VLOOKUP(P679,Back!M:N,2,0),"")</f>
        <v>Antioquia</v>
      </c>
      <c r="R679" s="27" t="str">
        <f>IF(N679="Si",IFERROR(VLOOKUP(F679,'TD Cumpl'!B:AB,27,0),"No Aplica"),"No Aplica")</f>
        <v>Fluctúa</v>
      </c>
      <c r="S679" s="38">
        <v>92</v>
      </c>
      <c r="T679" s="36">
        <v>11309875</v>
      </c>
      <c r="U679" s="26">
        <v>250</v>
      </c>
      <c r="V679" s="37">
        <v>32832422</v>
      </c>
      <c r="W679" s="19">
        <v>136</v>
      </c>
      <c r="X679" s="37">
        <v>12480373</v>
      </c>
      <c r="Y679" s="46">
        <f t="shared" si="22"/>
        <v>3910991</v>
      </c>
    </row>
    <row r="680" spans="1:25" x14ac:dyDescent="0.25">
      <c r="A680" s="20">
        <f>+VLOOKUP(D680,Back!Q:R,2,0)</f>
        <v>5</v>
      </c>
      <c r="B680" s="20" t="str">
        <f t="shared" si="21"/>
        <v>2017 MAY</v>
      </c>
      <c r="C680" s="20">
        <v>2017</v>
      </c>
      <c r="D680" s="21" t="s">
        <v>141</v>
      </c>
      <c r="E680" s="30" t="s">
        <v>90</v>
      </c>
      <c r="F680" s="30">
        <v>1020419011</v>
      </c>
      <c r="G680" s="30" t="s">
        <v>97</v>
      </c>
      <c r="H680" s="32">
        <v>57429441</v>
      </c>
      <c r="I680" s="32">
        <v>1692400</v>
      </c>
      <c r="J680" s="32">
        <v>13334661</v>
      </c>
      <c r="K680" s="33">
        <v>42402380</v>
      </c>
      <c r="L680" s="33">
        <v>43000000</v>
      </c>
      <c r="M680" s="34">
        <v>0.98610186046511628</v>
      </c>
      <c r="N680" s="209" t="str">
        <f>IFERROR(VLOOKUP(F680,Back!C:F,4,0),"NO")</f>
        <v>Si</v>
      </c>
      <c r="O680" s="26">
        <v>25</v>
      </c>
      <c r="P680" s="28" t="str">
        <f>IFERROR(VLOOKUP(F680,Back!C:E,3,0),"")</f>
        <v>IPS Pto De Vista Punto Clave</v>
      </c>
      <c r="Q680" s="28" t="str">
        <f>IFERROR(VLOOKUP(P680,Back!M:N,2,0),"")</f>
        <v>Antioquia</v>
      </c>
      <c r="R680" s="27" t="str">
        <f>IF(N680="Si",IFERROR(VLOOKUP(F680,'TD Cumpl'!B:AB,27,0),"No Aplica"),"No Aplica")</f>
        <v>Cumple</v>
      </c>
      <c r="S680" s="38">
        <v>88</v>
      </c>
      <c r="T680" s="36">
        <v>9110324</v>
      </c>
      <c r="U680" s="26">
        <v>248</v>
      </c>
      <c r="V680" s="37">
        <v>27791133</v>
      </c>
      <c r="W680" s="19">
        <v>145</v>
      </c>
      <c r="X680" s="37">
        <v>13334661</v>
      </c>
      <c r="Y680" s="46">
        <f t="shared" si="22"/>
        <v>7193323</v>
      </c>
    </row>
    <row r="681" spans="1:25" x14ac:dyDescent="0.25">
      <c r="A681" s="20">
        <f>+VLOOKUP(D681,Back!Q:R,2,0)</f>
        <v>5</v>
      </c>
      <c r="B681" s="20" t="str">
        <f t="shared" si="21"/>
        <v>2017 MAY</v>
      </c>
      <c r="C681" s="20">
        <v>2017</v>
      </c>
      <c r="D681" s="21" t="s">
        <v>141</v>
      </c>
      <c r="E681" s="30" t="s">
        <v>117</v>
      </c>
      <c r="F681" s="30">
        <v>1020419615</v>
      </c>
      <c r="G681" s="30" t="s">
        <v>118</v>
      </c>
      <c r="H681" s="32">
        <v>30432461</v>
      </c>
      <c r="I681" s="32">
        <v>412000</v>
      </c>
      <c r="J681" s="32">
        <v>7332282</v>
      </c>
      <c r="K681" s="33">
        <v>22688179</v>
      </c>
      <c r="L681" s="33">
        <v>34400000</v>
      </c>
      <c r="M681" s="34">
        <v>0.65954008720930235</v>
      </c>
      <c r="N681" s="209" t="str">
        <f>IFERROR(VLOOKUP(F681,Back!C:F,4,0),"NO")</f>
        <v>Si</v>
      </c>
      <c r="O681" s="26">
        <v>25</v>
      </c>
      <c r="P681" s="28" t="str">
        <f>IFERROR(VLOOKUP(F681,Back!C:E,3,0),"")</f>
        <v>IPS Pto De Vista Punto Clave</v>
      </c>
      <c r="Q681" s="28" t="str">
        <f>IFERROR(VLOOKUP(P681,Back!M:N,2,0),"")</f>
        <v>Antioquia</v>
      </c>
      <c r="R681" s="27" t="str">
        <f>IF(N681="Si",IFERROR(VLOOKUP(F681,'TD Cumpl'!B:AB,27,0),"No Aplica"),"No Aplica")</f>
        <v>Cumple</v>
      </c>
      <c r="S681" s="38">
        <v>50</v>
      </c>
      <c r="T681" s="36">
        <v>5438243</v>
      </c>
      <c r="U681" s="26">
        <v>118</v>
      </c>
      <c r="V681" s="37">
        <v>13605903</v>
      </c>
      <c r="W681" s="19">
        <v>75</v>
      </c>
      <c r="X681" s="37">
        <v>7332282</v>
      </c>
      <c r="Y681" s="46">
        <f t="shared" si="22"/>
        <v>4056033</v>
      </c>
    </row>
    <row r="682" spans="1:25" x14ac:dyDescent="0.25">
      <c r="A682" s="20">
        <f>+VLOOKUP(D682,Back!Q:R,2,0)</f>
        <v>5</v>
      </c>
      <c r="B682" s="20" t="str">
        <f t="shared" si="21"/>
        <v>2017 MAY</v>
      </c>
      <c r="C682" s="20">
        <v>2017</v>
      </c>
      <c r="D682" s="21" t="s">
        <v>141</v>
      </c>
      <c r="E682" s="30" t="s">
        <v>25</v>
      </c>
      <c r="F682" s="30">
        <v>1040030764</v>
      </c>
      <c r="G682" s="30" t="s">
        <v>43</v>
      </c>
      <c r="H682" s="32">
        <v>43677122</v>
      </c>
      <c r="I682" s="32">
        <v>2709400</v>
      </c>
      <c r="J682" s="32">
        <v>7004676</v>
      </c>
      <c r="K682" s="33">
        <v>33963046</v>
      </c>
      <c r="L682" s="33">
        <v>33000000</v>
      </c>
      <c r="M682" s="34">
        <v>1.0291832121212121</v>
      </c>
      <c r="N682" s="209" t="str">
        <f>IFERROR(VLOOKUP(F682,Back!C:F,4,0),"NO")</f>
        <v>Si</v>
      </c>
      <c r="O682" s="26">
        <v>25</v>
      </c>
      <c r="P682" s="28" t="str">
        <f>IFERROR(VLOOKUP(F682,Back!C:E,3,0),"")</f>
        <v>IPS Pto De Vista Rionegro</v>
      </c>
      <c r="Q682" s="28" t="str">
        <f>IFERROR(VLOOKUP(P682,Back!M:N,2,0),"")</f>
        <v>Antioquia</v>
      </c>
      <c r="R682" s="27" t="str">
        <f>IF(N682="Si",IFERROR(VLOOKUP(F682,'TD Cumpl'!B:AB,27,0),"No Aplica"),"No Aplica")</f>
        <v>Cumple</v>
      </c>
      <c r="S682" s="38">
        <v>74</v>
      </c>
      <c r="T682" s="36">
        <v>7707622</v>
      </c>
      <c r="U682" s="26">
        <v>188</v>
      </c>
      <c r="V682" s="37">
        <v>23983600</v>
      </c>
      <c r="W682" s="19">
        <v>86</v>
      </c>
      <c r="X682" s="37">
        <v>7004676</v>
      </c>
      <c r="Y682" s="46">
        <f t="shared" si="22"/>
        <v>4981224</v>
      </c>
    </row>
    <row r="683" spans="1:25" x14ac:dyDescent="0.25">
      <c r="A683" s="20">
        <f>+VLOOKUP(D683,Back!Q:R,2,0)</f>
        <v>5</v>
      </c>
      <c r="B683" s="20" t="str">
        <f t="shared" si="21"/>
        <v>2017 MAY</v>
      </c>
      <c r="C683" s="20">
        <v>2017</v>
      </c>
      <c r="D683" s="21" t="s">
        <v>141</v>
      </c>
      <c r="E683" s="30" t="s">
        <v>37</v>
      </c>
      <c r="F683" s="30">
        <v>1036779770</v>
      </c>
      <c r="G683" s="30" t="s">
        <v>52</v>
      </c>
      <c r="H683" s="32">
        <v>44291879</v>
      </c>
      <c r="I683" s="32">
        <v>3894800</v>
      </c>
      <c r="J683" s="32">
        <v>7159910</v>
      </c>
      <c r="K683" s="33">
        <v>33237169</v>
      </c>
      <c r="L683" s="33">
        <v>33000000</v>
      </c>
      <c r="M683" s="34">
        <v>1.0071869393939394</v>
      </c>
      <c r="N683" s="209" t="str">
        <f>IFERROR(VLOOKUP(F683,Back!C:F,4,0),"NO")</f>
        <v>No</v>
      </c>
      <c r="O683" s="26">
        <v>25</v>
      </c>
      <c r="P683" s="28" t="str">
        <f>IFERROR(VLOOKUP(F683,Back!C:E,3,0),"")</f>
        <v>IPS Pto De Vista Rionegro</v>
      </c>
      <c r="Q683" s="28" t="str">
        <f>IFERROR(VLOOKUP(P683,Back!M:N,2,0),"")</f>
        <v>Antioquia</v>
      </c>
      <c r="R683" s="27" t="str">
        <f>IF(N683="Si",IFERROR(VLOOKUP(F683,'TD Cumpl'!B:AB,27,0),"No Aplica"),"No Aplica")</f>
        <v>No Aplica</v>
      </c>
      <c r="S683" s="38">
        <v>84</v>
      </c>
      <c r="T683" s="36">
        <v>8388176</v>
      </c>
      <c r="U683" s="26">
        <v>200</v>
      </c>
      <c r="V683" s="37">
        <v>20882641</v>
      </c>
      <c r="W683" s="19">
        <v>94</v>
      </c>
      <c r="X683" s="37">
        <v>7159910</v>
      </c>
      <c r="Y683" s="46">
        <f t="shared" si="22"/>
        <v>7861152</v>
      </c>
    </row>
    <row r="684" spans="1:25" x14ac:dyDescent="0.25">
      <c r="A684" s="20">
        <f>+VLOOKUP(D684,Back!Q:R,2,0)</f>
        <v>5</v>
      </c>
      <c r="B684" s="20" t="str">
        <f t="shared" si="21"/>
        <v>2017 MAY</v>
      </c>
      <c r="C684" s="20">
        <v>2017</v>
      </c>
      <c r="D684" s="21" t="s">
        <v>141</v>
      </c>
      <c r="E684" s="30" t="s">
        <v>24</v>
      </c>
      <c r="F684" s="30">
        <v>39448823</v>
      </c>
      <c r="G684" s="30" t="s">
        <v>48</v>
      </c>
      <c r="H684" s="32">
        <v>44186637</v>
      </c>
      <c r="I684" s="32">
        <v>1352000</v>
      </c>
      <c r="J684" s="32">
        <v>8243795</v>
      </c>
      <c r="K684" s="33">
        <v>34590842</v>
      </c>
      <c r="L684" s="33">
        <v>33000000</v>
      </c>
      <c r="M684" s="34">
        <v>1.0482073333333333</v>
      </c>
      <c r="N684" s="209" t="str">
        <f>IFERROR(VLOOKUP(F684,Back!C:F,4,0),"NO")</f>
        <v>Si</v>
      </c>
      <c r="O684" s="26">
        <v>25</v>
      </c>
      <c r="P684" s="28" t="str">
        <f>IFERROR(VLOOKUP(F684,Back!C:E,3,0),"")</f>
        <v>IPS Pto De Vista Rionegro</v>
      </c>
      <c r="Q684" s="28" t="str">
        <f>IFERROR(VLOOKUP(P684,Back!M:N,2,0),"")</f>
        <v>Antioquia</v>
      </c>
      <c r="R684" s="27" t="str">
        <f>IF(N684="Si",IFERROR(VLOOKUP(F684,'TD Cumpl'!B:AB,27,0),"No Aplica"),"No Aplica")</f>
        <v>Siempre Cumple</v>
      </c>
      <c r="S684" s="38">
        <v>95</v>
      </c>
      <c r="T684" s="36">
        <v>8674908</v>
      </c>
      <c r="U684" s="26">
        <v>209</v>
      </c>
      <c r="V684" s="37">
        <v>22760329</v>
      </c>
      <c r="W684" s="19">
        <v>95</v>
      </c>
      <c r="X684" s="37">
        <v>8243795</v>
      </c>
      <c r="Y684" s="46">
        <f t="shared" si="22"/>
        <v>4507605</v>
      </c>
    </row>
    <row r="685" spans="1:25" x14ac:dyDescent="0.25">
      <c r="A685" s="20">
        <f>+VLOOKUP(D685,Back!Q:R,2,0)</f>
        <v>5</v>
      </c>
      <c r="B685" s="20" t="str">
        <f t="shared" si="21"/>
        <v>2017 MAY</v>
      </c>
      <c r="C685" s="20">
        <v>2017</v>
      </c>
      <c r="D685" s="21" t="s">
        <v>141</v>
      </c>
      <c r="E685" s="30" t="s">
        <v>81</v>
      </c>
      <c r="F685" s="30">
        <v>1017200970</v>
      </c>
      <c r="G685" s="30" t="s">
        <v>82</v>
      </c>
      <c r="H685" s="32">
        <v>42506238</v>
      </c>
      <c r="I685" s="32">
        <v>1968400</v>
      </c>
      <c r="J685" s="32">
        <v>9005976</v>
      </c>
      <c r="K685" s="33">
        <v>31531862</v>
      </c>
      <c r="L685" s="33">
        <v>30100000</v>
      </c>
      <c r="M685" s="34">
        <v>1.0475701661129568</v>
      </c>
      <c r="N685" s="209" t="str">
        <f>IFERROR(VLOOKUP(F685,Back!C:F,4,0),"NO")</f>
        <v>Si</v>
      </c>
      <c r="O685" s="26">
        <v>25</v>
      </c>
      <c r="P685" s="28" t="str">
        <f>IFERROR(VLOOKUP(F685,Back!C:E,3,0),"")</f>
        <v>IPS Pto De Vista San Diego</v>
      </c>
      <c r="Q685" s="28" t="str">
        <f>IFERROR(VLOOKUP(P685,Back!M:N,2,0),"")</f>
        <v>Antioquia</v>
      </c>
      <c r="R685" s="27" t="str">
        <f>IF(N685="Si",IFERROR(VLOOKUP(F685,'TD Cumpl'!B:AB,27,0),"No Aplica"),"No Aplica")</f>
        <v>Cumple</v>
      </c>
      <c r="S685" s="38">
        <v>75</v>
      </c>
      <c r="T685" s="36">
        <v>7474900</v>
      </c>
      <c r="U685" s="26">
        <v>156</v>
      </c>
      <c r="V685" s="37">
        <v>17896405</v>
      </c>
      <c r="W685" s="19">
        <v>104</v>
      </c>
      <c r="X685" s="37">
        <v>9005976</v>
      </c>
      <c r="Y685" s="46">
        <f t="shared" si="22"/>
        <v>8128957</v>
      </c>
    </row>
    <row r="686" spans="1:25" x14ac:dyDescent="0.25">
      <c r="A686" s="20">
        <f>+VLOOKUP(D686,Back!Q:R,2,0)</f>
        <v>5</v>
      </c>
      <c r="B686" s="20" t="str">
        <f t="shared" si="21"/>
        <v>2017 MAY</v>
      </c>
      <c r="C686" s="20">
        <v>2017</v>
      </c>
      <c r="D686" s="21" t="s">
        <v>141</v>
      </c>
      <c r="E686" s="30" t="s">
        <v>91</v>
      </c>
      <c r="F686" s="30">
        <v>43114534</v>
      </c>
      <c r="G686" s="30" t="s">
        <v>95</v>
      </c>
      <c r="H686" s="32">
        <v>41599337</v>
      </c>
      <c r="I686" s="32">
        <v>440000</v>
      </c>
      <c r="J686" s="32">
        <v>10956907</v>
      </c>
      <c r="K686" s="33">
        <v>30202430</v>
      </c>
      <c r="L686" s="33">
        <v>24080000</v>
      </c>
      <c r="M686" s="34">
        <v>1.2542537375415281</v>
      </c>
      <c r="N686" s="209" t="str">
        <f>IFERROR(VLOOKUP(F686,Back!C:F,4,0),"NO")</f>
        <v>No</v>
      </c>
      <c r="O686" s="26">
        <v>25</v>
      </c>
      <c r="P686" s="28" t="str">
        <f>IFERROR(VLOOKUP(F686,Back!C:E,3,0),"")</f>
        <v>IPS Pto De Vista San Diego</v>
      </c>
      <c r="Q686" s="28" t="str">
        <f>IFERROR(VLOOKUP(P686,Back!M:N,2,0),"")</f>
        <v>Antioquia</v>
      </c>
      <c r="R686" s="27" t="str">
        <f>IF(N686="Si",IFERROR(VLOOKUP(F686,'TD Cumpl'!B:AB,27,0),"No Aplica"),"No Aplica")</f>
        <v>No Aplica</v>
      </c>
      <c r="S686" s="38">
        <v>74</v>
      </c>
      <c r="T686" s="36">
        <v>6714226</v>
      </c>
      <c r="U686" s="26">
        <v>200</v>
      </c>
      <c r="V686" s="37">
        <v>20420512</v>
      </c>
      <c r="W686" s="19">
        <v>114</v>
      </c>
      <c r="X686" s="37">
        <v>10956907</v>
      </c>
      <c r="Y686" s="46">
        <f t="shared" si="22"/>
        <v>3507692</v>
      </c>
    </row>
    <row r="687" spans="1:25" x14ac:dyDescent="0.25">
      <c r="A687" s="20">
        <f>+VLOOKUP(D687,Back!Q:R,2,0)</f>
        <v>5</v>
      </c>
      <c r="B687" s="20" t="str">
        <f t="shared" si="21"/>
        <v>2017 MAY</v>
      </c>
      <c r="C687" s="20">
        <v>2017</v>
      </c>
      <c r="D687" s="21" t="s">
        <v>141</v>
      </c>
      <c r="E687" s="30" t="s">
        <v>17</v>
      </c>
      <c r="F687" s="30">
        <v>43113640</v>
      </c>
      <c r="G687" s="30" t="s">
        <v>47</v>
      </c>
      <c r="H687" s="32">
        <v>29845018</v>
      </c>
      <c r="I687" s="32">
        <v>1058000</v>
      </c>
      <c r="J687" s="32">
        <v>6282505</v>
      </c>
      <c r="K687" s="33">
        <v>22504513</v>
      </c>
      <c r="L687" s="33">
        <v>13244000</v>
      </c>
      <c r="M687" s="34">
        <v>1.6992232709151314</v>
      </c>
      <c r="N687" s="209" t="str">
        <f>IFERROR(VLOOKUP(F687,Back!C:F,4,0),"NO")</f>
        <v>Si</v>
      </c>
      <c r="O687" s="26">
        <v>25</v>
      </c>
      <c r="P687" s="28" t="str">
        <f>IFERROR(VLOOKUP(F687,Back!C:E,3,0),"")</f>
        <v>IPS Pto De Vista San Diego</v>
      </c>
      <c r="Q687" s="28" t="str">
        <f>IFERROR(VLOOKUP(P687,Back!M:N,2,0),"")</f>
        <v>Antioquia</v>
      </c>
      <c r="R687" s="27" t="str">
        <f>IF(N687="Si",IFERROR(VLOOKUP(F687,'TD Cumpl'!B:AB,27,0),"No Aplica"),"No Aplica")</f>
        <v>Cumple</v>
      </c>
      <c r="S687" s="38">
        <v>44</v>
      </c>
      <c r="T687" s="36">
        <v>5030483</v>
      </c>
      <c r="U687" s="26">
        <v>109</v>
      </c>
      <c r="V687" s="37">
        <v>15054345</v>
      </c>
      <c r="W687" s="19">
        <v>66</v>
      </c>
      <c r="X687" s="37">
        <v>6282505</v>
      </c>
      <c r="Y687" s="46">
        <f t="shared" si="22"/>
        <v>3477685</v>
      </c>
    </row>
    <row r="688" spans="1:25" x14ac:dyDescent="0.25">
      <c r="A688" s="20">
        <f>+VLOOKUP(D688,Back!Q:R,2,0)</f>
        <v>5</v>
      </c>
      <c r="B688" s="20" t="str">
        <f t="shared" si="21"/>
        <v>2017 MAY</v>
      </c>
      <c r="C688" s="20">
        <v>2017</v>
      </c>
      <c r="D688" s="21" t="s">
        <v>141</v>
      </c>
      <c r="E688" s="30" t="s">
        <v>84</v>
      </c>
      <c r="F688" s="30">
        <v>1020736461</v>
      </c>
      <c r="G688" s="30" t="s">
        <v>156</v>
      </c>
      <c r="H688" s="32">
        <v>47467189</v>
      </c>
      <c r="I688" s="32">
        <v>1139000</v>
      </c>
      <c r="J688" s="32">
        <v>8125045</v>
      </c>
      <c r="K688" s="33">
        <v>38203144</v>
      </c>
      <c r="L688" s="33">
        <v>22000000</v>
      </c>
      <c r="M688" s="34">
        <v>1.7365065454545454</v>
      </c>
      <c r="N688" s="209" t="str">
        <f>IFERROR(VLOOKUP(F688,Back!C:F,4,0),"NO")</f>
        <v>Si</v>
      </c>
      <c r="O688" s="26">
        <v>25</v>
      </c>
      <c r="P688" s="28" t="str">
        <f>IFERROR(VLOOKUP(F688,Back!C:E,3,0),"")</f>
        <v>IPS Pto De Vista Santa Bárbara</v>
      </c>
      <c r="Q688" s="28" t="str">
        <f>IFERROR(VLOOKUP(P688,Back!M:N,2,0),"")</f>
        <v>Centro</v>
      </c>
      <c r="R688" s="27" t="str">
        <f>IF(N688="Si",IFERROR(VLOOKUP(F688,'TD Cumpl'!B:AB,27,0),"No Aplica"),"No Aplica")</f>
        <v>Siempre Cumple</v>
      </c>
      <c r="S688" s="38">
        <v>73</v>
      </c>
      <c r="T688" s="36">
        <v>7030028</v>
      </c>
      <c r="U688" s="26">
        <v>228</v>
      </c>
      <c r="V688" s="37">
        <v>29162055</v>
      </c>
      <c r="W688" s="19">
        <v>106</v>
      </c>
      <c r="X688" s="37">
        <v>8125045</v>
      </c>
      <c r="Y688" s="46">
        <f t="shared" si="22"/>
        <v>3150061</v>
      </c>
    </row>
    <row r="689" spans="1:25" x14ac:dyDescent="0.25">
      <c r="A689" s="20">
        <f>+VLOOKUP(D689,Back!Q:R,2,0)</f>
        <v>5</v>
      </c>
      <c r="B689" s="20" t="str">
        <f t="shared" si="21"/>
        <v>2017 MAY</v>
      </c>
      <c r="C689" s="20">
        <v>2017</v>
      </c>
      <c r="D689" s="21" t="s">
        <v>141</v>
      </c>
      <c r="E689" s="30" t="s">
        <v>102</v>
      </c>
      <c r="F689" s="30">
        <v>79850984</v>
      </c>
      <c r="G689" s="30" t="s">
        <v>106</v>
      </c>
      <c r="H689" s="32">
        <v>29831406</v>
      </c>
      <c r="I689" s="32">
        <v>865600</v>
      </c>
      <c r="J689" s="32">
        <v>5409385</v>
      </c>
      <c r="K689" s="33">
        <v>23556421</v>
      </c>
      <c r="L689" s="33">
        <v>22000000</v>
      </c>
      <c r="M689" s="34">
        <v>1.0707464090909091</v>
      </c>
      <c r="N689" s="209" t="str">
        <f>IFERROR(VLOOKUP(F689,Back!C:F,4,0),"NO")</f>
        <v>Si</v>
      </c>
      <c r="O689" s="26">
        <v>25</v>
      </c>
      <c r="P689" s="28" t="str">
        <f>IFERROR(VLOOKUP(F689,Back!C:E,3,0),"")</f>
        <v>IPS Pto De Vista SSura Clle100</v>
      </c>
      <c r="Q689" s="28" t="str">
        <f>IFERROR(VLOOKUP(P689,Back!M:N,2,0),"")</f>
        <v>Centro</v>
      </c>
      <c r="R689" s="27" t="str">
        <f>IF(N689="Si",IFERROR(VLOOKUP(F689,'TD Cumpl'!B:AB,27,0),"No Aplica"),"No Aplica")</f>
        <v>Fluctúa</v>
      </c>
      <c r="S689" s="38">
        <v>53</v>
      </c>
      <c r="T689" s="36">
        <v>4488132</v>
      </c>
      <c r="U689" s="26">
        <v>152</v>
      </c>
      <c r="V689" s="37">
        <v>16947490</v>
      </c>
      <c r="W689" s="19">
        <v>72</v>
      </c>
      <c r="X689" s="37">
        <v>5409385</v>
      </c>
      <c r="Y689" s="46">
        <f t="shared" si="22"/>
        <v>2986399</v>
      </c>
    </row>
    <row r="690" spans="1:25" x14ac:dyDescent="0.25">
      <c r="A690" s="20">
        <f>+VLOOKUP(D690,Back!Q:R,2,0)</f>
        <v>5</v>
      </c>
      <c r="B690" s="20" t="str">
        <f t="shared" si="21"/>
        <v>2017 MAY</v>
      </c>
      <c r="C690" s="20">
        <v>2017</v>
      </c>
      <c r="D690" s="21" t="s">
        <v>141</v>
      </c>
      <c r="E690" s="30" t="s">
        <v>2</v>
      </c>
      <c r="F690" s="30">
        <v>52260671</v>
      </c>
      <c r="G690" s="30" t="s">
        <v>26</v>
      </c>
      <c r="H690" s="32">
        <v>40376699</v>
      </c>
      <c r="I690" s="32">
        <v>880000</v>
      </c>
      <c r="J690" s="32">
        <v>7925490</v>
      </c>
      <c r="K690" s="33">
        <v>31571209</v>
      </c>
      <c r="L690" s="33">
        <v>22000000</v>
      </c>
      <c r="M690" s="34">
        <v>1.4350549545454545</v>
      </c>
      <c r="N690" s="209" t="str">
        <f>IFERROR(VLOOKUP(F690,Back!C:F,4,0),"NO")</f>
        <v>Si</v>
      </c>
      <c r="O690" s="26">
        <v>25</v>
      </c>
      <c r="P690" s="28" t="str">
        <f>IFERROR(VLOOKUP(F690,Back!C:E,3,0),"")</f>
        <v>IPS Pto De Vista Santa Bárbara</v>
      </c>
      <c r="Q690" s="28" t="str">
        <f>IFERROR(VLOOKUP(P690,Back!M:N,2,0),"")</f>
        <v>Centro</v>
      </c>
      <c r="R690" s="27" t="str">
        <f>IF(N690="Si",IFERROR(VLOOKUP(F690,'TD Cumpl'!B:AB,27,0),"No Aplica"),"No Aplica")</f>
        <v>Siempre Cumple</v>
      </c>
      <c r="S690" s="38">
        <v>82</v>
      </c>
      <c r="T690" s="36">
        <v>6636584</v>
      </c>
      <c r="U690" s="26">
        <v>224</v>
      </c>
      <c r="V690" s="37">
        <v>21745005</v>
      </c>
      <c r="W690" s="19">
        <v>113</v>
      </c>
      <c r="X690" s="37">
        <v>7925490</v>
      </c>
      <c r="Y690" s="46">
        <f t="shared" si="22"/>
        <v>4069620</v>
      </c>
    </row>
    <row r="691" spans="1:25" x14ac:dyDescent="0.25">
      <c r="A691" s="20">
        <f>+VLOOKUP(D691,Back!Q:R,2,0)</f>
        <v>5</v>
      </c>
      <c r="B691" s="20" t="str">
        <f t="shared" si="21"/>
        <v>2017 MAY</v>
      </c>
      <c r="C691" s="20">
        <v>2017</v>
      </c>
      <c r="D691" s="21" t="s">
        <v>141</v>
      </c>
      <c r="E691" s="30" t="s">
        <v>38</v>
      </c>
      <c r="F691" s="30">
        <v>43745192</v>
      </c>
      <c r="G691" s="30" t="s">
        <v>45</v>
      </c>
      <c r="H691" s="32">
        <v>18332971</v>
      </c>
      <c r="I691" s="32">
        <v>166680</v>
      </c>
      <c r="J691" s="32">
        <v>733164</v>
      </c>
      <c r="K691" s="33">
        <v>17433127</v>
      </c>
      <c r="L691" s="33">
        <v>25000000</v>
      </c>
      <c r="M691" s="34">
        <v>0.69732508000000004</v>
      </c>
      <c r="N691" s="209" t="str">
        <f>IFERROR(VLOOKUP(F691,Back!C:F,4,0),"NO")</f>
        <v>Si</v>
      </c>
      <c r="O691" s="26">
        <v>25</v>
      </c>
      <c r="P691" s="28" t="str">
        <f>IFERROR(VLOOKUP(F691,Back!C:E,3,0),"")</f>
        <v>IPS Punto de Vista Mayorca</v>
      </c>
      <c r="Q691" s="28" t="str">
        <f>IFERROR(VLOOKUP(P691,Back!M:N,2,0),"")</f>
        <v>Antioquia</v>
      </c>
      <c r="R691" s="27" t="str">
        <f>IF(N691="Si",IFERROR(VLOOKUP(F691,'TD Cumpl'!B:AB,27,0),"No Aplica"),"No Aplica")</f>
        <v>Cumple</v>
      </c>
      <c r="S691" s="38">
        <v>33</v>
      </c>
      <c r="T691" s="36">
        <v>4362207</v>
      </c>
      <c r="U691" s="26">
        <v>124</v>
      </c>
      <c r="V691" s="37">
        <v>12370686</v>
      </c>
      <c r="W691" s="19">
        <v>12</v>
      </c>
      <c r="X691" s="37">
        <v>733164</v>
      </c>
      <c r="Y691" s="46">
        <f t="shared" si="22"/>
        <v>866914</v>
      </c>
    </row>
    <row r="692" spans="1:25" x14ac:dyDescent="0.25">
      <c r="A692" s="20">
        <f>+VLOOKUP(D692,Back!Q:R,2,0)</f>
        <v>5</v>
      </c>
      <c r="B692" s="20" t="str">
        <f t="shared" si="21"/>
        <v>2017 MAY</v>
      </c>
      <c r="C692" s="20">
        <v>2017</v>
      </c>
      <c r="D692" s="21" t="s">
        <v>141</v>
      </c>
      <c r="E692" s="30" t="s">
        <v>6</v>
      </c>
      <c r="F692" s="30">
        <v>43821410</v>
      </c>
      <c r="G692" s="30" t="s">
        <v>40</v>
      </c>
      <c r="H692" s="32">
        <v>74655979</v>
      </c>
      <c r="I692" s="32">
        <v>812000</v>
      </c>
      <c r="J692" s="32">
        <v>14533604</v>
      </c>
      <c r="K692" s="33">
        <v>59310375</v>
      </c>
      <c r="L692" s="33">
        <v>43000000</v>
      </c>
      <c r="M692" s="34">
        <v>1.3793110465116278</v>
      </c>
      <c r="N692" s="209" t="str">
        <f>IFERROR(VLOOKUP(F692,Back!C:F,4,0),"NO")</f>
        <v>Si</v>
      </c>
      <c r="O692" s="26">
        <v>25</v>
      </c>
      <c r="P692" s="28" t="str">
        <f>IFERROR(VLOOKUP(F692,Back!C:E,3,0),"")</f>
        <v>IPS Pto De Vista Unicentro</v>
      </c>
      <c r="Q692" s="28" t="str">
        <f>IFERROR(VLOOKUP(P692,Back!M:N,2,0),"")</f>
        <v>Antioquia</v>
      </c>
      <c r="R692" s="27" t="str">
        <f>IF(N692="Si",IFERROR(VLOOKUP(F692,'TD Cumpl'!B:AB,27,0),"No Aplica"),"No Aplica")</f>
        <v>Siempre Cumple</v>
      </c>
      <c r="S692" s="38">
        <v>130</v>
      </c>
      <c r="T692" s="36">
        <v>15318400</v>
      </c>
      <c r="U692" s="26">
        <v>288</v>
      </c>
      <c r="V692" s="37">
        <v>37269358</v>
      </c>
      <c r="W692" s="19">
        <v>155</v>
      </c>
      <c r="X692" s="37">
        <v>14533604</v>
      </c>
      <c r="Y692" s="46">
        <f t="shared" si="22"/>
        <v>7534617</v>
      </c>
    </row>
    <row r="693" spans="1:25" x14ac:dyDescent="0.25">
      <c r="A693" s="20">
        <f>+VLOOKUP(D693,Back!Q:R,2,0)</f>
        <v>5</v>
      </c>
      <c r="B693" s="20" t="str">
        <f t="shared" si="21"/>
        <v>2017 MAY</v>
      </c>
      <c r="C693" s="20">
        <v>2017</v>
      </c>
      <c r="D693" s="21" t="s">
        <v>141</v>
      </c>
      <c r="E693" s="30" t="s">
        <v>22</v>
      </c>
      <c r="F693" s="30">
        <v>42164020</v>
      </c>
      <c r="G693" s="30" t="s">
        <v>105</v>
      </c>
      <c r="H693" s="32">
        <v>59603135</v>
      </c>
      <c r="I693" s="32">
        <v>2150000</v>
      </c>
      <c r="J693" s="32">
        <v>11040581</v>
      </c>
      <c r="K693" s="33">
        <v>46412554</v>
      </c>
      <c r="L693" s="33">
        <v>43000000</v>
      </c>
      <c r="M693" s="34">
        <v>1.0793617209302326</v>
      </c>
      <c r="N693" s="209" t="str">
        <f>IFERROR(VLOOKUP(F693,Back!C:F,4,0),"NO")</f>
        <v>Si</v>
      </c>
      <c r="O693" s="26">
        <v>25</v>
      </c>
      <c r="P693" s="28" t="str">
        <f>IFERROR(VLOOKUP(F693,Back!C:E,3,0),"")</f>
        <v>IPS Pto De Vista Molinos</v>
      </c>
      <c r="Q693" s="28" t="str">
        <f>IFERROR(VLOOKUP(P693,Back!M:N,2,0),"")</f>
        <v>Antioquia</v>
      </c>
      <c r="R693" s="27" t="str">
        <f>IF(N693="Si",IFERROR(VLOOKUP(F693,'TD Cumpl'!B:AB,27,0),"No Aplica"),"No Aplica")</f>
        <v>Siempre Cumple</v>
      </c>
      <c r="S693" s="38">
        <v>106</v>
      </c>
      <c r="T693" s="36">
        <v>10665452</v>
      </c>
      <c r="U693" s="26">
        <v>266</v>
      </c>
      <c r="V693" s="37">
        <v>28437279</v>
      </c>
      <c r="W693" s="19">
        <v>133</v>
      </c>
      <c r="X693" s="37">
        <v>11040581</v>
      </c>
      <c r="Y693" s="46">
        <f t="shared" si="22"/>
        <v>9459823</v>
      </c>
    </row>
    <row r="694" spans="1:25" x14ac:dyDescent="0.25">
      <c r="A694" s="20">
        <f>+VLOOKUP(D694,Back!Q:R,2,0)</f>
        <v>5</v>
      </c>
      <c r="B694" s="20" t="str">
        <f t="shared" si="21"/>
        <v>2017 MAY</v>
      </c>
      <c r="C694" s="20">
        <v>2017</v>
      </c>
      <c r="D694" s="21" t="s">
        <v>141</v>
      </c>
      <c r="E694" s="30" t="s">
        <v>7</v>
      </c>
      <c r="F694" s="30">
        <v>43745952</v>
      </c>
      <c r="G694" s="30" t="s">
        <v>50</v>
      </c>
      <c r="H694" s="32">
        <v>75506782</v>
      </c>
      <c r="I694" s="32">
        <v>1204600</v>
      </c>
      <c r="J694" s="32">
        <v>14331344</v>
      </c>
      <c r="K694" s="33">
        <v>59970838</v>
      </c>
      <c r="L694" s="33">
        <v>43000000</v>
      </c>
      <c r="M694" s="34">
        <v>1.3946706511627907</v>
      </c>
      <c r="N694" s="209" t="str">
        <f>IFERROR(VLOOKUP(F694,Back!C:F,4,0),"NO")</f>
        <v>Si</v>
      </c>
      <c r="O694" s="26">
        <v>25</v>
      </c>
      <c r="P694" s="28" t="str">
        <f>IFERROR(VLOOKUP(F694,Back!C:E,3,0),"")</f>
        <v>IPS Pto De Vista Unicentro</v>
      </c>
      <c r="Q694" s="28" t="str">
        <f>IFERROR(VLOOKUP(P694,Back!M:N,2,0),"")</f>
        <v>Antioquia</v>
      </c>
      <c r="R694" s="27" t="str">
        <f>IF(N694="Si",IFERROR(VLOOKUP(F694,'TD Cumpl'!B:AB,27,0),"No Aplica"),"No Aplica")</f>
        <v>Siempre Cumple</v>
      </c>
      <c r="S694" s="38">
        <v>141</v>
      </c>
      <c r="T694" s="36">
        <v>14134073</v>
      </c>
      <c r="U694" s="26">
        <v>344</v>
      </c>
      <c r="V694" s="37">
        <v>38045045</v>
      </c>
      <c r="W694" s="19">
        <v>169</v>
      </c>
      <c r="X694" s="37">
        <v>14331344</v>
      </c>
      <c r="Y694" s="46">
        <f t="shared" si="22"/>
        <v>8996320</v>
      </c>
    </row>
    <row r="695" spans="1:25" x14ac:dyDescent="0.25">
      <c r="A695" s="20">
        <f>+VLOOKUP(D695,Back!Q:R,2,0)</f>
        <v>5</v>
      </c>
      <c r="B695" s="20" t="str">
        <f t="shared" si="21"/>
        <v>2017 MAY</v>
      </c>
      <c r="C695" s="20">
        <v>2017</v>
      </c>
      <c r="D695" s="21" t="s">
        <v>141</v>
      </c>
      <c r="E695" s="30" t="s">
        <v>11</v>
      </c>
      <c r="F695" s="30">
        <v>43253531</v>
      </c>
      <c r="G695" s="30" t="s">
        <v>39</v>
      </c>
      <c r="H695" s="32">
        <v>49088008</v>
      </c>
      <c r="I695" s="32">
        <v>2003400</v>
      </c>
      <c r="J695" s="32">
        <v>10837602</v>
      </c>
      <c r="K695" s="33">
        <v>36247006</v>
      </c>
      <c r="L695" s="33">
        <v>29000000</v>
      </c>
      <c r="M695" s="34">
        <v>1.2498967586206897</v>
      </c>
      <c r="N695" s="209" t="str">
        <f>IFERROR(VLOOKUP(F695,Back!C:F,4,0),"NO")</f>
        <v>Si</v>
      </c>
      <c r="O695" s="26">
        <v>25</v>
      </c>
      <c r="P695" s="28" t="str">
        <f>IFERROR(VLOOKUP(F695,Back!C:E,3,0),"")</f>
        <v>IPS Punto de Vista Bello</v>
      </c>
      <c r="Q695" s="28" t="str">
        <f>IFERROR(VLOOKUP(P695,Back!M:N,2,0),"")</f>
        <v>Antioquia</v>
      </c>
      <c r="R695" s="27" t="str">
        <f>IF(N695="Si",IFERROR(VLOOKUP(F695,'TD Cumpl'!B:AB,27,0),"No Aplica"),"No Aplica")</f>
        <v>Cumple</v>
      </c>
      <c r="S695" s="38">
        <v>89</v>
      </c>
      <c r="T695" s="36">
        <v>7276233</v>
      </c>
      <c r="U695" s="26">
        <v>214</v>
      </c>
      <c r="V695" s="37">
        <v>24297429</v>
      </c>
      <c r="W695" s="19">
        <v>122</v>
      </c>
      <c r="X695" s="37">
        <v>10837602</v>
      </c>
      <c r="Y695" s="46">
        <f t="shared" si="22"/>
        <v>6676744</v>
      </c>
    </row>
    <row r="696" spans="1:25" x14ac:dyDescent="0.25">
      <c r="A696" s="20">
        <f>+VLOOKUP(D696,Back!Q:R,2,0)</f>
        <v>5</v>
      </c>
      <c r="B696" s="20" t="str">
        <f t="shared" si="21"/>
        <v>2017 MAY</v>
      </c>
      <c r="C696" s="20">
        <v>2017</v>
      </c>
      <c r="D696" s="21" t="s">
        <v>141</v>
      </c>
      <c r="E696" s="30" t="s">
        <v>108</v>
      </c>
      <c r="F696" s="30">
        <v>1020443426</v>
      </c>
      <c r="G696" s="30" t="s">
        <v>109</v>
      </c>
      <c r="H696" s="32">
        <v>42764394</v>
      </c>
      <c r="I696" s="32">
        <v>429000</v>
      </c>
      <c r="J696" s="32">
        <v>12872956</v>
      </c>
      <c r="K696" s="33">
        <v>29462438</v>
      </c>
      <c r="L696" s="33">
        <v>29000000</v>
      </c>
      <c r="M696" s="34">
        <v>1.0159461379310344</v>
      </c>
      <c r="N696" s="209" t="str">
        <f>IFERROR(VLOOKUP(F696,Back!C:F,4,0),"NO")</f>
        <v>Si</v>
      </c>
      <c r="O696" s="26">
        <v>25</v>
      </c>
      <c r="P696" s="28" t="str">
        <f>IFERROR(VLOOKUP(F696,Back!C:E,3,0),"")</f>
        <v>IPS Pto De Vista San Diego</v>
      </c>
      <c r="Q696" s="28" t="str">
        <f>IFERROR(VLOOKUP(P696,Back!M:N,2,0),"")</f>
        <v>Antioquia</v>
      </c>
      <c r="R696" s="27" t="str">
        <f>IF(N696="Si",IFERROR(VLOOKUP(F696,'TD Cumpl'!B:AB,27,0),"No Aplica"),"No Aplica")</f>
        <v>Fluctúa</v>
      </c>
      <c r="S696" s="38">
        <v>83</v>
      </c>
      <c r="T696" s="36">
        <v>5695970</v>
      </c>
      <c r="U696" s="26">
        <v>208</v>
      </c>
      <c r="V696" s="37">
        <v>21112283</v>
      </c>
      <c r="W696" s="19">
        <v>143</v>
      </c>
      <c r="X696" s="37">
        <v>12872956</v>
      </c>
      <c r="Y696" s="46">
        <f t="shared" si="22"/>
        <v>3083185</v>
      </c>
    </row>
    <row r="697" spans="1:25" x14ac:dyDescent="0.25">
      <c r="A697" s="20">
        <f>+VLOOKUP(D697,Back!Q:R,2,0)</f>
        <v>5</v>
      </c>
      <c r="B697" s="20" t="str">
        <f t="shared" si="21"/>
        <v>2017 MAY</v>
      </c>
      <c r="C697" s="20">
        <v>2017</v>
      </c>
      <c r="D697" s="21" t="s">
        <v>141</v>
      </c>
      <c r="E697" s="30" t="s">
        <v>33</v>
      </c>
      <c r="F697" s="30">
        <v>31307503</v>
      </c>
      <c r="G697" s="30" t="s">
        <v>36</v>
      </c>
      <c r="H697" s="31">
        <v>32656426</v>
      </c>
      <c r="I697" s="32">
        <v>0</v>
      </c>
      <c r="J697" s="32">
        <v>4395667</v>
      </c>
      <c r="K697" s="33">
        <v>28260759</v>
      </c>
      <c r="L697" s="33">
        <v>31376800</v>
      </c>
      <c r="M697" s="34">
        <v>0.90068964967746867</v>
      </c>
      <c r="N697" s="209" t="str">
        <f>IFERROR(VLOOKUP(F697,Back!C:F,4,0),"NO")</f>
        <v>NO</v>
      </c>
      <c r="O697" s="26">
        <v>25</v>
      </c>
      <c r="P697" s="28" t="str">
        <f>IFERROR(VLOOKUP(F697,Back!C:E,3,0),"")</f>
        <v/>
      </c>
      <c r="Q697" s="28" t="str">
        <f>IFERROR(VLOOKUP(P697,Back!M:N,2,0),"")</f>
        <v/>
      </c>
      <c r="R697" s="27" t="str">
        <f>IF(N697="Si",IFERROR(VLOOKUP(F697,'TD Cumpl'!B:AB,27,0),"No Aplica"),"No Aplica")</f>
        <v>No Aplica</v>
      </c>
      <c r="S697" s="38">
        <v>55</v>
      </c>
      <c r="T697" s="36">
        <v>5305067</v>
      </c>
      <c r="U697" s="26">
        <v>140</v>
      </c>
      <c r="V697" s="37">
        <v>12055919</v>
      </c>
      <c r="W697" s="19">
        <v>50</v>
      </c>
      <c r="X697" s="37">
        <v>4395667</v>
      </c>
      <c r="Y697" s="46">
        <f t="shared" si="22"/>
        <v>10899773</v>
      </c>
    </row>
    <row r="698" spans="1:25" x14ac:dyDescent="0.25">
      <c r="A698" s="20">
        <f>+VLOOKUP(D698,Back!Q:R,2,0)</f>
        <v>5</v>
      </c>
      <c r="B698" s="20" t="str">
        <f t="shared" si="21"/>
        <v>2017 MAY</v>
      </c>
      <c r="C698" s="20">
        <v>2017</v>
      </c>
      <c r="D698" s="21" t="s">
        <v>141</v>
      </c>
      <c r="E698" s="30" t="s">
        <v>110</v>
      </c>
      <c r="F698" s="30">
        <v>1144140699</v>
      </c>
      <c r="G698" s="30" t="s">
        <v>94</v>
      </c>
      <c r="H698" s="31">
        <v>29988473</v>
      </c>
      <c r="I698" s="32">
        <v>0</v>
      </c>
      <c r="J698" s="32">
        <v>10820268</v>
      </c>
      <c r="K698" s="33">
        <v>19168205</v>
      </c>
      <c r="L698" s="33">
        <v>30000000</v>
      </c>
      <c r="M698" s="34">
        <v>0.63894016666666664</v>
      </c>
      <c r="N698" s="209" t="str">
        <f>IFERROR(VLOOKUP(F698,Back!C:F,4,0),"NO")</f>
        <v>NO</v>
      </c>
      <c r="O698" s="26">
        <v>25</v>
      </c>
      <c r="P698" s="28" t="str">
        <f>IFERROR(VLOOKUP(F698,Back!C:E,3,0),"")</f>
        <v/>
      </c>
      <c r="Q698" s="28" t="str">
        <f>IFERROR(VLOOKUP(P698,Back!M:N,2,0),"")</f>
        <v/>
      </c>
      <c r="R698" s="27" t="str">
        <f>IF(N698="Si",IFERROR(VLOOKUP(F698,'TD Cumpl'!B:AB,27,0),"No Aplica"),"No Aplica")</f>
        <v>No Aplica</v>
      </c>
      <c r="S698" s="38">
        <v>44</v>
      </c>
      <c r="T698" s="36">
        <v>3608999</v>
      </c>
      <c r="U698" s="26">
        <v>124</v>
      </c>
      <c r="V698" s="37">
        <v>9413786</v>
      </c>
      <c r="W698" s="19">
        <v>126</v>
      </c>
      <c r="X698" s="37">
        <v>10820268</v>
      </c>
      <c r="Y698" s="46">
        <f t="shared" si="22"/>
        <v>6145420</v>
      </c>
    </row>
    <row r="699" spans="1:25" x14ac:dyDescent="0.25">
      <c r="A699" s="20">
        <f>+VLOOKUP(D699,Back!Q:R,2,0)</f>
        <v>5</v>
      </c>
      <c r="B699" s="20" t="str">
        <f t="shared" si="21"/>
        <v>2017 MAY</v>
      </c>
      <c r="C699" s="20">
        <v>2017</v>
      </c>
      <c r="D699" s="21" t="s">
        <v>141</v>
      </c>
      <c r="E699" s="30" t="s">
        <v>88</v>
      </c>
      <c r="F699" s="30">
        <v>31445278</v>
      </c>
      <c r="G699" s="30" t="s">
        <v>93</v>
      </c>
      <c r="H699" s="32">
        <v>28403809</v>
      </c>
      <c r="I699" s="32">
        <v>0</v>
      </c>
      <c r="J699" s="32">
        <v>9796053</v>
      </c>
      <c r="K699" s="33">
        <v>18607756</v>
      </c>
      <c r="L699" s="33">
        <v>30000000</v>
      </c>
      <c r="M699" s="34">
        <v>0.62025853333333336</v>
      </c>
      <c r="N699" s="209" t="str">
        <f>IFERROR(VLOOKUP(F699,Back!C:F,4,0),"NO")</f>
        <v>Si</v>
      </c>
      <c r="O699" s="26">
        <v>25</v>
      </c>
      <c r="P699" s="28" t="str">
        <f>IFERROR(VLOOKUP(F699,Back!C:E,3,0),"")</f>
        <v>Punto de Vista Tequendama</v>
      </c>
      <c r="Q699" s="28" t="str">
        <f>IFERROR(VLOOKUP(P699,Back!M:N,2,0),"")</f>
        <v>Occidente</v>
      </c>
      <c r="R699" s="27" t="str">
        <f>IF(N699="Si",IFERROR(VLOOKUP(F699,'TD Cumpl'!B:AB,27,0),"No Aplica"),"No Aplica")</f>
        <v>Cumple</v>
      </c>
      <c r="S699" s="38">
        <v>63</v>
      </c>
      <c r="T699" s="36">
        <v>4941376</v>
      </c>
      <c r="U699" s="26">
        <v>192</v>
      </c>
      <c r="V699" s="37">
        <v>10802139</v>
      </c>
      <c r="W699" s="19">
        <v>110</v>
      </c>
      <c r="X699" s="37">
        <v>9796053</v>
      </c>
      <c r="Y699" s="46">
        <f t="shared" si="22"/>
        <v>2864241</v>
      </c>
    </row>
    <row r="700" spans="1:25" x14ac:dyDescent="0.25">
      <c r="A700" s="20">
        <f>+VLOOKUP(D700,Back!Q:R,2,0)</f>
        <v>5</v>
      </c>
      <c r="B700" s="20" t="str">
        <f t="shared" si="21"/>
        <v>2017 MAY</v>
      </c>
      <c r="C700" s="20">
        <v>2017</v>
      </c>
      <c r="D700" s="21" t="s">
        <v>141</v>
      </c>
      <c r="E700" s="30" t="s">
        <v>5</v>
      </c>
      <c r="F700" s="30">
        <v>34542470</v>
      </c>
      <c r="G700" s="30" t="s">
        <v>28</v>
      </c>
      <c r="H700" s="32">
        <v>35211083</v>
      </c>
      <c r="I700" s="32">
        <v>680400</v>
      </c>
      <c r="J700" s="32">
        <v>4501490</v>
      </c>
      <c r="K700" s="33">
        <v>30029193</v>
      </c>
      <c r="L700" s="33">
        <v>25000000</v>
      </c>
      <c r="M700" s="34">
        <v>1.2011677199999999</v>
      </c>
      <c r="N700" s="209" t="str">
        <f>IFERROR(VLOOKUP(F700,Back!C:F,4,0),"NO")</f>
        <v>Si</v>
      </c>
      <c r="O700" s="26">
        <v>25</v>
      </c>
      <c r="P700" s="28" t="str">
        <f>IFERROR(VLOOKUP(F700,Back!C:E,3,0),"")</f>
        <v>Optica Salud Sura Chipichape</v>
      </c>
      <c r="Q700" s="28" t="str">
        <f>IFERROR(VLOOKUP(P700,Back!M:N,2,0),"")</f>
        <v>Occidente</v>
      </c>
      <c r="R700" s="27" t="str">
        <f>IF(N700="Si",IFERROR(VLOOKUP(F700,'TD Cumpl'!B:AB,27,0),"No Aplica"),"No Aplica")</f>
        <v>Siempre Cumple</v>
      </c>
      <c r="S700" s="38">
        <v>57</v>
      </c>
      <c r="T700" s="36">
        <v>7391018</v>
      </c>
      <c r="U700" s="26">
        <v>159</v>
      </c>
      <c r="V700" s="37">
        <v>20006920</v>
      </c>
      <c r="W700" s="19">
        <v>47</v>
      </c>
      <c r="X700" s="37">
        <v>4501490</v>
      </c>
      <c r="Y700" s="46">
        <f t="shared" si="22"/>
        <v>3311655</v>
      </c>
    </row>
    <row r="701" spans="1:25" x14ac:dyDescent="0.25">
      <c r="A701" s="20">
        <f>+VLOOKUP(D701,Back!Q:R,2,0)</f>
        <v>5</v>
      </c>
      <c r="B701" s="20" t="str">
        <f t="shared" si="21"/>
        <v>2017 MAY</v>
      </c>
      <c r="C701" s="20">
        <v>2017</v>
      </c>
      <c r="D701" s="21" t="s">
        <v>141</v>
      </c>
      <c r="E701" s="30" t="s">
        <v>86</v>
      </c>
      <c r="F701" s="30"/>
      <c r="G701" s="30"/>
      <c r="H701" s="32">
        <v>0</v>
      </c>
      <c r="I701" s="32">
        <v>0</v>
      </c>
      <c r="J701" s="32">
        <v>0</v>
      </c>
      <c r="K701" s="33">
        <v>0</v>
      </c>
      <c r="L701" s="33"/>
      <c r="M701" s="34"/>
      <c r="N701" s="209" t="str">
        <f>IFERROR(VLOOKUP(F701,Back!C:F,4,0),"NO")</f>
        <v>NO</v>
      </c>
      <c r="O701" s="26">
        <v>25</v>
      </c>
      <c r="P701" s="28" t="str">
        <f>IFERROR(VLOOKUP(F701,Back!C:E,3,0),"")</f>
        <v/>
      </c>
      <c r="Q701" s="28" t="str">
        <f>IFERROR(VLOOKUP(P701,Back!M:N,2,0),"")</f>
        <v/>
      </c>
      <c r="R701" s="27" t="str">
        <f>IF(N701="Si",IFERROR(VLOOKUP(F701,'TD Cumpl'!B:AB,27,0),"No Aplica"),"No Aplica")</f>
        <v>No Aplica</v>
      </c>
      <c r="S701" s="38">
        <v>0</v>
      </c>
      <c r="T701" s="36">
        <v>0</v>
      </c>
      <c r="U701" s="26">
        <v>0</v>
      </c>
      <c r="V701" s="37">
        <v>0</v>
      </c>
      <c r="W701" s="19">
        <v>0</v>
      </c>
      <c r="X701" s="37">
        <v>0</v>
      </c>
      <c r="Y701" s="46">
        <f t="shared" si="22"/>
        <v>0</v>
      </c>
    </row>
    <row r="702" spans="1:25" x14ac:dyDescent="0.25">
      <c r="A702" s="20">
        <f>+VLOOKUP(D702,Back!Q:R,2,0)</f>
        <v>5</v>
      </c>
      <c r="B702" s="20" t="str">
        <f t="shared" si="21"/>
        <v>2017 MAY</v>
      </c>
      <c r="C702" s="20">
        <v>2017</v>
      </c>
      <c r="D702" s="21" t="s">
        <v>141</v>
      </c>
      <c r="E702" s="30" t="s">
        <v>1</v>
      </c>
      <c r="F702" s="30"/>
      <c r="G702" s="30"/>
      <c r="H702" s="32">
        <v>0</v>
      </c>
      <c r="I702" s="32">
        <v>0</v>
      </c>
      <c r="J702" s="32">
        <v>0</v>
      </c>
      <c r="K702" s="33">
        <v>0</v>
      </c>
      <c r="L702" s="33"/>
      <c r="M702" s="34"/>
      <c r="N702" s="209" t="str">
        <f>IFERROR(VLOOKUP(F702,Back!C:F,4,0),"NO")</f>
        <v>NO</v>
      </c>
      <c r="O702" s="26">
        <v>25</v>
      </c>
      <c r="P702" s="28" t="str">
        <f>IFERROR(VLOOKUP(F702,Back!C:E,3,0),"")</f>
        <v/>
      </c>
      <c r="Q702" s="28" t="str">
        <f>IFERROR(VLOOKUP(P702,Back!M:N,2,0),"")</f>
        <v/>
      </c>
      <c r="R702" s="27" t="str">
        <f>IF(N702="Si",IFERROR(VLOOKUP(F702,'TD Cumpl'!B:AB,27,0),"No Aplica"),"No Aplica")</f>
        <v>No Aplica</v>
      </c>
      <c r="S702" s="38">
        <v>0</v>
      </c>
      <c r="T702" s="36">
        <v>0</v>
      </c>
      <c r="U702" s="26">
        <v>0</v>
      </c>
      <c r="V702" s="37">
        <v>0</v>
      </c>
      <c r="W702" s="19">
        <v>0</v>
      </c>
      <c r="X702" s="37">
        <v>0</v>
      </c>
      <c r="Y702" s="46">
        <f t="shared" si="22"/>
        <v>0</v>
      </c>
    </row>
    <row r="703" spans="1:25" x14ac:dyDescent="0.25">
      <c r="A703" s="20">
        <f>+VLOOKUP(D703,Back!Q:R,2,0)</f>
        <v>5</v>
      </c>
      <c r="B703" s="20" t="str">
        <f t="shared" ref="B703:B766" si="23">MID(UPPER(C703&amp;" "&amp;D703),1,8)</f>
        <v>2017 MAY</v>
      </c>
      <c r="C703" s="20">
        <v>2017</v>
      </c>
      <c r="D703" s="21" t="s">
        <v>141</v>
      </c>
      <c r="E703" s="30" t="s">
        <v>119</v>
      </c>
      <c r="F703" s="30"/>
      <c r="G703" s="30"/>
      <c r="H703" s="32">
        <v>87740</v>
      </c>
      <c r="I703" s="32">
        <v>0</v>
      </c>
      <c r="J703" s="32">
        <v>87740</v>
      </c>
      <c r="K703" s="33">
        <v>0</v>
      </c>
      <c r="L703" s="33"/>
      <c r="M703" s="34"/>
      <c r="N703" s="209" t="str">
        <f>IFERROR(VLOOKUP(F703,Back!C:F,4,0),"NO")</f>
        <v>NO</v>
      </c>
      <c r="O703" s="26">
        <v>25</v>
      </c>
      <c r="P703" s="28" t="str">
        <f>IFERROR(VLOOKUP(F703,Back!C:E,3,0),"")</f>
        <v/>
      </c>
      <c r="Q703" s="28" t="str">
        <f>IFERROR(VLOOKUP(P703,Back!M:N,2,0),"")</f>
        <v/>
      </c>
      <c r="R703" s="27" t="str">
        <f>IF(N703="Si",IFERROR(VLOOKUP(F703,'TD Cumpl'!B:AB,27,0),"No Aplica"),"No Aplica")</f>
        <v>No Aplica</v>
      </c>
      <c r="S703" s="38">
        <v>0</v>
      </c>
      <c r="T703" s="36">
        <v>0</v>
      </c>
      <c r="U703" s="26">
        <v>0</v>
      </c>
      <c r="V703" s="37">
        <v>0</v>
      </c>
      <c r="W703" s="19">
        <v>2</v>
      </c>
      <c r="X703" s="37">
        <v>87740</v>
      </c>
      <c r="Y703" s="46">
        <f t="shared" si="22"/>
        <v>0</v>
      </c>
    </row>
    <row r="704" spans="1:25" x14ac:dyDescent="0.25">
      <c r="A704" s="20">
        <f>+VLOOKUP(D704,Back!Q:R,2,0)</f>
        <v>5</v>
      </c>
      <c r="B704" s="20" t="str">
        <f t="shared" si="23"/>
        <v>2017 MAY</v>
      </c>
      <c r="C704" s="20">
        <v>2017</v>
      </c>
      <c r="D704" s="21" t="s">
        <v>141</v>
      </c>
      <c r="E704" s="30" t="s">
        <v>120</v>
      </c>
      <c r="F704" s="30"/>
      <c r="G704" s="30"/>
      <c r="H704" s="32">
        <v>113634</v>
      </c>
      <c r="I704" s="32">
        <v>0</v>
      </c>
      <c r="J704" s="32">
        <v>113634</v>
      </c>
      <c r="K704" s="33">
        <v>0</v>
      </c>
      <c r="L704" s="33"/>
      <c r="M704" s="34"/>
      <c r="N704" s="209" t="str">
        <f>IFERROR(VLOOKUP(F704,Back!C:F,4,0),"NO")</f>
        <v>NO</v>
      </c>
      <c r="O704" s="26">
        <v>25</v>
      </c>
      <c r="P704" s="28" t="str">
        <f>IFERROR(VLOOKUP(F704,Back!C:E,3,0),"")</f>
        <v/>
      </c>
      <c r="Q704" s="28" t="str">
        <f>IFERROR(VLOOKUP(P704,Back!M:N,2,0),"")</f>
        <v/>
      </c>
      <c r="R704" s="27" t="str">
        <f>IF(N704="Si",IFERROR(VLOOKUP(F704,'TD Cumpl'!B:AB,27,0),"No Aplica"),"No Aplica")</f>
        <v>No Aplica</v>
      </c>
      <c r="S704" s="38">
        <v>0</v>
      </c>
      <c r="T704" s="36">
        <v>0</v>
      </c>
      <c r="U704" s="26">
        <v>0</v>
      </c>
      <c r="V704" s="37">
        <v>0</v>
      </c>
      <c r="W704" s="19">
        <v>2</v>
      </c>
      <c r="X704" s="37">
        <v>113634</v>
      </c>
      <c r="Y704" s="46">
        <f t="shared" si="22"/>
        <v>0</v>
      </c>
    </row>
    <row r="705" spans="1:25" x14ac:dyDescent="0.25">
      <c r="A705" s="20">
        <f>+VLOOKUP(D705,Back!Q:R,2,0)</f>
        <v>5</v>
      </c>
      <c r="B705" s="20" t="str">
        <f t="shared" si="23"/>
        <v>2017 MAY</v>
      </c>
      <c r="C705" s="20">
        <v>2017</v>
      </c>
      <c r="D705" s="21" t="s">
        <v>141</v>
      </c>
      <c r="E705" s="30" t="s">
        <v>100</v>
      </c>
      <c r="F705" s="30"/>
      <c r="G705" s="30"/>
      <c r="H705" s="32">
        <v>0</v>
      </c>
      <c r="I705" s="32">
        <v>0</v>
      </c>
      <c r="J705" s="32">
        <v>0</v>
      </c>
      <c r="K705" s="33">
        <v>0</v>
      </c>
      <c r="L705" s="33"/>
      <c r="M705" s="34"/>
      <c r="N705" s="209" t="str">
        <f>IFERROR(VLOOKUP(F705,Back!C:F,4,0),"NO")</f>
        <v>NO</v>
      </c>
      <c r="O705" s="26">
        <v>25</v>
      </c>
      <c r="P705" s="28" t="str">
        <f>IFERROR(VLOOKUP(F705,Back!C:E,3,0),"")</f>
        <v/>
      </c>
      <c r="Q705" s="28" t="str">
        <f>IFERROR(VLOOKUP(P705,Back!M:N,2,0),"")</f>
        <v/>
      </c>
      <c r="R705" s="27" t="str">
        <f>IF(N705="Si",IFERROR(VLOOKUP(F705,'TD Cumpl'!B:AB,27,0),"No Aplica"),"No Aplica")</f>
        <v>No Aplica</v>
      </c>
      <c r="S705" s="38">
        <v>0</v>
      </c>
      <c r="T705" s="36">
        <v>0</v>
      </c>
      <c r="U705" s="26">
        <v>0</v>
      </c>
      <c r="V705" s="37">
        <v>0</v>
      </c>
      <c r="W705" s="19">
        <v>0</v>
      </c>
      <c r="X705" s="37">
        <v>0</v>
      </c>
      <c r="Y705" s="46">
        <f t="shared" ref="Y705:Y768" si="24">+H705-X705-V705-T705</f>
        <v>0</v>
      </c>
    </row>
    <row r="706" spans="1:25" x14ac:dyDescent="0.25">
      <c r="A706" s="20">
        <f>+VLOOKUP(D706,Back!Q:R,2,0)</f>
        <v>5</v>
      </c>
      <c r="B706" s="20" t="str">
        <f t="shared" si="23"/>
        <v>2017 MAY</v>
      </c>
      <c r="C706" s="20">
        <v>2017</v>
      </c>
      <c r="D706" s="21" t="s">
        <v>141</v>
      </c>
      <c r="E706" s="30" t="s">
        <v>79</v>
      </c>
      <c r="F706" s="30"/>
      <c r="G706" s="30"/>
      <c r="H706" s="32">
        <v>0</v>
      </c>
      <c r="I706" s="32">
        <v>0</v>
      </c>
      <c r="J706" s="32">
        <v>0</v>
      </c>
      <c r="K706" s="33">
        <v>0</v>
      </c>
      <c r="L706" s="33"/>
      <c r="M706" s="34"/>
      <c r="N706" s="209" t="str">
        <f>IFERROR(VLOOKUP(F706,Back!C:F,4,0),"NO")</f>
        <v>NO</v>
      </c>
      <c r="O706" s="26">
        <v>25</v>
      </c>
      <c r="P706" s="28" t="str">
        <f>IFERROR(VLOOKUP(F706,Back!C:E,3,0),"")</f>
        <v/>
      </c>
      <c r="Q706" s="28" t="str">
        <f>IFERROR(VLOOKUP(P706,Back!M:N,2,0),"")</f>
        <v/>
      </c>
      <c r="R706" s="27" t="str">
        <f>IF(N706="Si",IFERROR(VLOOKUP(F706,'TD Cumpl'!B:AB,27,0),"No Aplica"),"No Aplica")</f>
        <v>No Aplica</v>
      </c>
      <c r="S706" s="38">
        <v>0</v>
      </c>
      <c r="T706" s="36">
        <v>0</v>
      </c>
      <c r="U706" s="26">
        <v>0</v>
      </c>
      <c r="V706" s="37">
        <v>0</v>
      </c>
      <c r="W706" s="19">
        <v>0</v>
      </c>
      <c r="X706" s="37">
        <v>0</v>
      </c>
      <c r="Y706" s="46">
        <f t="shared" si="24"/>
        <v>0</v>
      </c>
    </row>
    <row r="707" spans="1:25" x14ac:dyDescent="0.25">
      <c r="A707" s="20">
        <f>+VLOOKUP(D707,Back!Q:R,2,0)</f>
        <v>5</v>
      </c>
      <c r="B707" s="20" t="str">
        <f t="shared" si="23"/>
        <v>2017 MAY</v>
      </c>
      <c r="C707" s="20">
        <v>2017</v>
      </c>
      <c r="D707" s="21" t="s">
        <v>141</v>
      </c>
      <c r="E707" s="30" t="s">
        <v>19</v>
      </c>
      <c r="F707" s="30"/>
      <c r="G707" s="30"/>
      <c r="H707" s="32">
        <v>0</v>
      </c>
      <c r="I707" s="32">
        <v>0</v>
      </c>
      <c r="J707" s="32">
        <v>0</v>
      </c>
      <c r="K707" s="33">
        <v>0</v>
      </c>
      <c r="L707" s="33"/>
      <c r="M707" s="34"/>
      <c r="N707" s="209" t="str">
        <f>IFERROR(VLOOKUP(F707,Back!C:F,4,0),"NO")</f>
        <v>NO</v>
      </c>
      <c r="O707" s="26">
        <v>25</v>
      </c>
      <c r="P707" s="28" t="str">
        <f>IFERROR(VLOOKUP(F707,Back!C:E,3,0),"")</f>
        <v/>
      </c>
      <c r="Q707" s="28" t="str">
        <f>IFERROR(VLOOKUP(P707,Back!M:N,2,0),"")</f>
        <v/>
      </c>
      <c r="R707" s="27" t="str">
        <f>IF(N707="Si",IFERROR(VLOOKUP(F707,'TD Cumpl'!B:AB,27,0),"No Aplica"),"No Aplica")</f>
        <v>No Aplica</v>
      </c>
      <c r="S707" s="38">
        <v>0</v>
      </c>
      <c r="T707" s="36">
        <v>0</v>
      </c>
      <c r="U707" s="26">
        <v>0</v>
      </c>
      <c r="V707" s="37">
        <v>0</v>
      </c>
      <c r="W707" s="19">
        <v>0</v>
      </c>
      <c r="X707" s="37">
        <v>0</v>
      </c>
      <c r="Y707" s="46">
        <f t="shared" si="24"/>
        <v>0</v>
      </c>
    </row>
    <row r="708" spans="1:25" x14ac:dyDescent="0.25">
      <c r="A708" s="20">
        <f>+VLOOKUP(D708,Back!Q:R,2,0)</f>
        <v>5</v>
      </c>
      <c r="B708" s="20" t="str">
        <f t="shared" si="23"/>
        <v>2017 MAY</v>
      </c>
      <c r="C708" s="20">
        <v>2017</v>
      </c>
      <c r="D708" s="21" t="s">
        <v>141</v>
      </c>
      <c r="E708" s="30" t="s">
        <v>16</v>
      </c>
      <c r="F708" s="30"/>
      <c r="G708" s="30"/>
      <c r="H708" s="32">
        <v>0</v>
      </c>
      <c r="I708" s="32">
        <v>0</v>
      </c>
      <c r="J708" s="32">
        <v>0</v>
      </c>
      <c r="K708" s="33">
        <v>0</v>
      </c>
      <c r="L708" s="33"/>
      <c r="M708" s="34"/>
      <c r="N708" s="209" t="str">
        <f>IFERROR(VLOOKUP(F708,Back!C:F,4,0),"NO")</f>
        <v>NO</v>
      </c>
      <c r="O708" s="26">
        <v>25</v>
      </c>
      <c r="P708" s="28" t="str">
        <f>IFERROR(VLOOKUP(F708,Back!C:E,3,0),"")</f>
        <v/>
      </c>
      <c r="Q708" s="28" t="str">
        <f>IFERROR(VLOOKUP(P708,Back!M:N,2,0),"")</f>
        <v/>
      </c>
      <c r="R708" s="27" t="str">
        <f>IF(N708="Si",IFERROR(VLOOKUP(F708,'TD Cumpl'!B:AB,27,0),"No Aplica"),"No Aplica")</f>
        <v>No Aplica</v>
      </c>
      <c r="S708" s="38">
        <v>0</v>
      </c>
      <c r="T708" s="36">
        <v>0</v>
      </c>
      <c r="U708" s="26">
        <v>0</v>
      </c>
      <c r="V708" s="37">
        <v>0</v>
      </c>
      <c r="W708" s="19">
        <v>0</v>
      </c>
      <c r="X708" s="37">
        <v>0</v>
      </c>
      <c r="Y708" s="46">
        <f t="shared" si="24"/>
        <v>0</v>
      </c>
    </row>
    <row r="709" spans="1:25" x14ac:dyDescent="0.25">
      <c r="A709" s="20">
        <f>+VLOOKUP(D709,Back!Q:R,2,0)</f>
        <v>5</v>
      </c>
      <c r="B709" s="20" t="str">
        <f t="shared" si="23"/>
        <v>2017 MAY</v>
      </c>
      <c r="C709" s="20">
        <v>2017</v>
      </c>
      <c r="D709" s="21" t="s">
        <v>141</v>
      </c>
      <c r="E709" s="30" t="s">
        <v>10</v>
      </c>
      <c r="F709" s="30"/>
      <c r="G709" s="30"/>
      <c r="H709" s="32">
        <v>461983</v>
      </c>
      <c r="I709" s="32">
        <v>0</v>
      </c>
      <c r="J709" s="32">
        <v>0</v>
      </c>
      <c r="K709" s="33">
        <v>461983</v>
      </c>
      <c r="L709" s="33"/>
      <c r="M709" s="34"/>
      <c r="N709" s="209" t="str">
        <f>IFERROR(VLOOKUP(F709,Back!C:F,4,0),"NO")</f>
        <v>NO</v>
      </c>
      <c r="O709" s="26">
        <v>25</v>
      </c>
      <c r="P709" s="28" t="str">
        <f>IFERROR(VLOOKUP(F709,Back!C:E,3,0),"")</f>
        <v/>
      </c>
      <c r="Q709" s="28" t="str">
        <f>IFERROR(VLOOKUP(P709,Back!M:N,2,0),"")</f>
        <v/>
      </c>
      <c r="R709" s="27" t="str">
        <f>IF(N709="Si",IFERROR(VLOOKUP(F709,'TD Cumpl'!B:AB,27,0),"No Aplica"),"No Aplica")</f>
        <v>No Aplica</v>
      </c>
      <c r="S709" s="38">
        <v>1</v>
      </c>
      <c r="T709" s="36">
        <v>85733</v>
      </c>
      <c r="U709" s="26">
        <v>2</v>
      </c>
      <c r="V709" s="37">
        <v>376250</v>
      </c>
      <c r="W709" s="19">
        <v>0</v>
      </c>
      <c r="X709" s="37">
        <v>0</v>
      </c>
      <c r="Y709" s="46">
        <f t="shared" si="24"/>
        <v>0</v>
      </c>
    </row>
    <row r="710" spans="1:25" x14ac:dyDescent="0.25">
      <c r="A710" s="20">
        <f>+VLOOKUP(D710,Back!Q:R,2,0)</f>
        <v>5</v>
      </c>
      <c r="B710" s="20" t="str">
        <f t="shared" si="23"/>
        <v>2017 MAY</v>
      </c>
      <c r="C710" s="20">
        <v>2017</v>
      </c>
      <c r="D710" s="21" t="s">
        <v>141</v>
      </c>
      <c r="E710" s="30" t="s">
        <v>15</v>
      </c>
      <c r="F710" s="30"/>
      <c r="G710" s="30"/>
      <c r="H710" s="32">
        <v>0</v>
      </c>
      <c r="I710" s="32">
        <v>0</v>
      </c>
      <c r="J710" s="32">
        <v>0</v>
      </c>
      <c r="K710" s="33">
        <v>0</v>
      </c>
      <c r="L710" s="33"/>
      <c r="M710" s="34"/>
      <c r="N710" s="209" t="str">
        <f>IFERROR(VLOOKUP(F710,Back!C:F,4,0),"NO")</f>
        <v>NO</v>
      </c>
      <c r="O710" s="26">
        <v>25</v>
      </c>
      <c r="P710" s="28" t="str">
        <f>IFERROR(VLOOKUP(F710,Back!C:E,3,0),"")</f>
        <v/>
      </c>
      <c r="Q710" s="28" t="str">
        <f>IFERROR(VLOOKUP(P710,Back!M:N,2,0),"")</f>
        <v/>
      </c>
      <c r="R710" s="27" t="str">
        <f>IF(N710="Si",IFERROR(VLOOKUP(F710,'TD Cumpl'!B:AB,27,0),"No Aplica"),"No Aplica")</f>
        <v>No Aplica</v>
      </c>
      <c r="S710" s="38">
        <v>0</v>
      </c>
      <c r="T710" s="36">
        <v>0</v>
      </c>
      <c r="U710" s="26">
        <v>0</v>
      </c>
      <c r="V710" s="37">
        <v>0</v>
      </c>
      <c r="W710" s="19">
        <v>0</v>
      </c>
      <c r="X710" s="37">
        <v>0</v>
      </c>
      <c r="Y710" s="46">
        <f t="shared" si="24"/>
        <v>0</v>
      </c>
    </row>
    <row r="711" spans="1:25" x14ac:dyDescent="0.25">
      <c r="A711" s="20">
        <f>+VLOOKUP(D711,Back!Q:R,2,0)</f>
        <v>5</v>
      </c>
      <c r="B711" s="20" t="str">
        <f t="shared" si="23"/>
        <v>2017 MAY</v>
      </c>
      <c r="C711" s="20">
        <v>2017</v>
      </c>
      <c r="D711" s="21" t="s">
        <v>141</v>
      </c>
      <c r="E711" s="30" t="s">
        <v>12</v>
      </c>
      <c r="F711" s="30"/>
      <c r="G711" s="30"/>
      <c r="H711" s="32">
        <v>90212</v>
      </c>
      <c r="I711" s="32">
        <v>0</v>
      </c>
      <c r="J711" s="32">
        <v>0</v>
      </c>
      <c r="K711" s="33">
        <v>90212</v>
      </c>
      <c r="L711" s="33"/>
      <c r="M711" s="34"/>
      <c r="N711" s="209" t="str">
        <f>IFERROR(VLOOKUP(F711,Back!C:F,4,0),"NO")</f>
        <v>NO</v>
      </c>
      <c r="O711" s="26">
        <v>25</v>
      </c>
      <c r="P711" s="28" t="str">
        <f>IFERROR(VLOOKUP(F711,Back!C:E,3,0),"")</f>
        <v/>
      </c>
      <c r="Q711" s="28" t="str">
        <f>IFERROR(VLOOKUP(P711,Back!M:N,2,0),"")</f>
        <v/>
      </c>
      <c r="R711" s="27" t="str">
        <f>IF(N711="Si",IFERROR(VLOOKUP(F711,'TD Cumpl'!B:AB,27,0),"No Aplica"),"No Aplica")</f>
        <v>No Aplica</v>
      </c>
      <c r="S711" s="38">
        <v>1</v>
      </c>
      <c r="T711" s="36">
        <v>35172</v>
      </c>
      <c r="U711" s="26">
        <v>2</v>
      </c>
      <c r="V711" s="37">
        <v>55040</v>
      </c>
      <c r="W711" s="19">
        <v>0</v>
      </c>
      <c r="X711" s="37">
        <v>0</v>
      </c>
      <c r="Y711" s="46">
        <f t="shared" si="24"/>
        <v>0</v>
      </c>
    </row>
    <row r="712" spans="1:25" x14ac:dyDescent="0.25">
      <c r="A712" s="20">
        <f>+VLOOKUP(D712,Back!Q:R,2,0)</f>
        <v>5</v>
      </c>
      <c r="B712" s="20" t="str">
        <f t="shared" si="23"/>
        <v>2017 MAY</v>
      </c>
      <c r="C712" s="20">
        <v>2017</v>
      </c>
      <c r="D712" s="21" t="s">
        <v>141</v>
      </c>
      <c r="E712" s="30" t="s">
        <v>103</v>
      </c>
      <c r="F712" s="30"/>
      <c r="G712" s="30"/>
      <c r="H712" s="32">
        <v>419226</v>
      </c>
      <c r="I712" s="32">
        <v>0</v>
      </c>
      <c r="J712" s="32">
        <v>419226</v>
      </c>
      <c r="K712" s="33">
        <v>0</v>
      </c>
      <c r="L712" s="33"/>
      <c r="M712" s="34"/>
      <c r="N712" s="209" t="str">
        <f>IFERROR(VLOOKUP(F712,Back!C:F,4,0),"NO")</f>
        <v>NO</v>
      </c>
      <c r="O712" s="26">
        <v>25</v>
      </c>
      <c r="P712" s="28" t="str">
        <f>IFERROR(VLOOKUP(F712,Back!C:E,3,0),"")</f>
        <v/>
      </c>
      <c r="Q712" s="28" t="str">
        <f>IFERROR(VLOOKUP(P712,Back!M:N,2,0),"")</f>
        <v/>
      </c>
      <c r="R712" s="27" t="str">
        <f>IF(N712="Si",IFERROR(VLOOKUP(F712,'TD Cumpl'!B:AB,27,0),"No Aplica"),"No Aplica")</f>
        <v>No Aplica</v>
      </c>
      <c r="S712" s="38">
        <v>0</v>
      </c>
      <c r="T712" s="36">
        <v>0</v>
      </c>
      <c r="U712" s="26">
        <v>0</v>
      </c>
      <c r="V712" s="37">
        <v>0</v>
      </c>
      <c r="W712" s="19">
        <v>4</v>
      </c>
      <c r="X712" s="37">
        <v>419226</v>
      </c>
      <c r="Y712" s="46">
        <f t="shared" si="24"/>
        <v>0</v>
      </c>
    </row>
    <row r="713" spans="1:25" x14ac:dyDescent="0.25">
      <c r="A713" s="20">
        <f>+VLOOKUP(D713,Back!Q:R,2,0)</f>
        <v>5</v>
      </c>
      <c r="B713" s="20" t="str">
        <f t="shared" si="23"/>
        <v>2017 MAY</v>
      </c>
      <c r="C713" s="20">
        <v>2017</v>
      </c>
      <c r="D713" s="21" t="s">
        <v>141</v>
      </c>
      <c r="E713" s="30" t="s">
        <v>121</v>
      </c>
      <c r="F713" s="30"/>
      <c r="G713" s="30"/>
      <c r="H713" s="32">
        <v>7589362</v>
      </c>
      <c r="I713" s="32">
        <v>0</v>
      </c>
      <c r="J713" s="32">
        <v>3509172</v>
      </c>
      <c r="K713" s="33">
        <v>4080190</v>
      </c>
      <c r="L713" s="33"/>
      <c r="M713" s="34"/>
      <c r="N713" s="209" t="str">
        <f>IFERROR(VLOOKUP(F713,Back!C:F,4,0),"NO")</f>
        <v>NO</v>
      </c>
      <c r="O713" s="26">
        <v>25</v>
      </c>
      <c r="P713" s="28" t="str">
        <f>IFERROR(VLOOKUP(F713,Back!C:E,3,0),"")</f>
        <v/>
      </c>
      <c r="Q713" s="28" t="str">
        <f>IFERROR(VLOOKUP(P713,Back!M:N,2,0),"")</f>
        <v/>
      </c>
      <c r="R713" s="27" t="str">
        <f>IF(N713="Si",IFERROR(VLOOKUP(F713,'TD Cumpl'!B:AB,27,0),"No Aplica"),"No Aplica")</f>
        <v>No Aplica</v>
      </c>
      <c r="S713" s="38">
        <v>8</v>
      </c>
      <c r="T713" s="36">
        <v>734124</v>
      </c>
      <c r="U713" s="26">
        <v>32</v>
      </c>
      <c r="V713" s="37">
        <v>2391845</v>
      </c>
      <c r="W713" s="19">
        <v>37</v>
      </c>
      <c r="X713" s="37">
        <v>3509172</v>
      </c>
      <c r="Y713" s="46">
        <f t="shared" si="24"/>
        <v>954221</v>
      </c>
    </row>
    <row r="714" spans="1:25" x14ac:dyDescent="0.25">
      <c r="A714" s="20">
        <f>+VLOOKUP(D714,Back!Q:R,2,0)</f>
        <v>5</v>
      </c>
      <c r="B714" s="20" t="str">
        <f t="shared" si="23"/>
        <v>2017 MAY</v>
      </c>
      <c r="C714" s="20">
        <v>2017</v>
      </c>
      <c r="D714" s="21" t="s">
        <v>141</v>
      </c>
      <c r="E714" s="30" t="s">
        <v>87</v>
      </c>
      <c r="F714" s="30"/>
      <c r="G714" s="30"/>
      <c r="H714" s="32">
        <v>-1868916</v>
      </c>
      <c r="I714" s="32">
        <v>0</v>
      </c>
      <c r="J714" s="32">
        <v>0</v>
      </c>
      <c r="K714" s="33">
        <v>-1868916</v>
      </c>
      <c r="L714" s="33"/>
      <c r="M714" s="34"/>
      <c r="N714" s="209" t="str">
        <f>IFERROR(VLOOKUP(F714,Back!C:F,4,0),"NO")</f>
        <v>NO</v>
      </c>
      <c r="O714" s="26">
        <v>25</v>
      </c>
      <c r="P714" s="28" t="str">
        <f>IFERROR(VLOOKUP(F714,Back!C:E,3,0),"")</f>
        <v/>
      </c>
      <c r="Q714" s="28" t="str">
        <f>IFERROR(VLOOKUP(P714,Back!M:N,2,0),"")</f>
        <v/>
      </c>
      <c r="R714" s="27" t="str">
        <f>IF(N714="Si",IFERROR(VLOOKUP(F714,'TD Cumpl'!B:AB,27,0),"No Aplica"),"No Aplica")</f>
        <v>No Aplica</v>
      </c>
      <c r="S714" s="38">
        <v>2</v>
      </c>
      <c r="T714" s="36">
        <v>-292988</v>
      </c>
      <c r="U714" s="26">
        <v>4</v>
      </c>
      <c r="V714" s="37">
        <v>-1036830</v>
      </c>
      <c r="W714" s="19">
        <v>0</v>
      </c>
      <c r="X714" s="37">
        <v>0</v>
      </c>
      <c r="Y714" s="46">
        <f t="shared" si="24"/>
        <v>-539098</v>
      </c>
    </row>
    <row r="715" spans="1:25" x14ac:dyDescent="0.25">
      <c r="A715" s="20">
        <f>+VLOOKUP(D715,Back!Q:R,2,0)</f>
        <v>6</v>
      </c>
      <c r="B715" s="20" t="str">
        <f t="shared" si="23"/>
        <v>2017 JUN</v>
      </c>
      <c r="C715" s="20">
        <v>2017</v>
      </c>
      <c r="D715" s="21" t="s">
        <v>153</v>
      </c>
      <c r="E715" s="30" t="s">
        <v>33</v>
      </c>
      <c r="F715" s="30">
        <v>31307503</v>
      </c>
      <c r="G715" s="30" t="s">
        <v>36</v>
      </c>
      <c r="H715" s="32">
        <v>26864371</v>
      </c>
      <c r="I715" s="32">
        <v>0</v>
      </c>
      <c r="J715" s="32">
        <v>974235</v>
      </c>
      <c r="K715" s="33">
        <v>25890136</v>
      </c>
      <c r="L715" s="33">
        <v>31721000</v>
      </c>
      <c r="M715" s="34">
        <v>0.8161828441726301</v>
      </c>
      <c r="N715" s="209" t="str">
        <f>IFERROR(VLOOKUP(F715,Back!C:F,4,0),"NO")</f>
        <v>NO</v>
      </c>
      <c r="O715" s="26">
        <v>24</v>
      </c>
      <c r="P715" s="28" t="str">
        <f>IFERROR(VLOOKUP(F715,Back!C:E,3,0),"")</f>
        <v/>
      </c>
      <c r="Q715" s="28" t="str">
        <f>IFERROR(VLOOKUP(P715,Back!M:N,2,0),"")</f>
        <v/>
      </c>
      <c r="R715" s="27" t="str">
        <f>IF(N715="Si",IFERROR(VLOOKUP(F715,'TD Cumpl'!B:AB,27,0),"No Aplica"),"No Aplica")</f>
        <v>No Aplica</v>
      </c>
      <c r="S715" s="38">
        <v>31</v>
      </c>
      <c r="T715" s="36">
        <v>2249704</v>
      </c>
      <c r="U715" s="26">
        <v>84</v>
      </c>
      <c r="V715" s="37">
        <v>5351485</v>
      </c>
      <c r="W715" s="19">
        <v>14</v>
      </c>
      <c r="X715" s="37">
        <v>974235</v>
      </c>
      <c r="Y715" s="46">
        <f t="shared" si="24"/>
        <v>18288947</v>
      </c>
    </row>
    <row r="716" spans="1:25" x14ac:dyDescent="0.25">
      <c r="A716" s="20">
        <f>+VLOOKUP(D716,Back!Q:R,2,0)</f>
        <v>6</v>
      </c>
      <c r="B716" s="20" t="str">
        <f t="shared" si="23"/>
        <v>2017 JUN</v>
      </c>
      <c r="C716" s="20">
        <v>2017</v>
      </c>
      <c r="D716" s="21" t="s">
        <v>153</v>
      </c>
      <c r="E716" s="30" t="s">
        <v>62</v>
      </c>
      <c r="F716" s="30">
        <v>32256379</v>
      </c>
      <c r="G716" s="30" t="s">
        <v>61</v>
      </c>
      <c r="H716" s="32">
        <v>99846027</v>
      </c>
      <c r="I716" s="32">
        <v>0</v>
      </c>
      <c r="J716" s="32">
        <v>5938500</v>
      </c>
      <c r="K716" s="33">
        <v>93907527</v>
      </c>
      <c r="L716" s="33">
        <v>42000000</v>
      </c>
      <c r="M716" s="34">
        <v>2.2358935</v>
      </c>
      <c r="N716" s="209" t="str">
        <f>IFERROR(VLOOKUP(F716,Back!C:F,4,0),"NO")</f>
        <v>Si</v>
      </c>
      <c r="O716" s="26">
        <v>24</v>
      </c>
      <c r="P716" s="28" t="str">
        <f>IFERROR(VLOOKUP(F716,Back!C:E,3,0),"")</f>
        <v>Ferias Empresariales Antioquia</v>
      </c>
      <c r="Q716" s="28" t="str">
        <f>IFERROR(VLOOKUP(P716,Back!M:N,2,0),"")</f>
        <v>Antioquia</v>
      </c>
      <c r="R716" s="27" t="str">
        <f>IF(N716="Si",IFERROR(VLOOKUP(F716,'TD Cumpl'!B:AB,27,0),"No Aplica"),"No Aplica")</f>
        <v>Fluctúa</v>
      </c>
      <c r="S716" s="38">
        <v>143</v>
      </c>
      <c r="T716" s="36">
        <v>20584005</v>
      </c>
      <c r="U716" s="26">
        <v>254</v>
      </c>
      <c r="V716" s="37">
        <v>37383406</v>
      </c>
      <c r="W716" s="19">
        <v>88</v>
      </c>
      <c r="X716" s="37">
        <v>5938500</v>
      </c>
      <c r="Y716" s="46">
        <f t="shared" si="24"/>
        <v>35940116</v>
      </c>
    </row>
    <row r="717" spans="1:25" x14ac:dyDescent="0.25">
      <c r="A717" s="20">
        <f>+VLOOKUP(D717,Back!Q:R,2,0)</f>
        <v>6</v>
      </c>
      <c r="B717" s="20" t="str">
        <f t="shared" si="23"/>
        <v>2017 JUN</v>
      </c>
      <c r="C717" s="20">
        <v>2017</v>
      </c>
      <c r="D717" s="21" t="s">
        <v>153</v>
      </c>
      <c r="E717" s="30" t="s">
        <v>83</v>
      </c>
      <c r="F717" s="30">
        <v>43800272</v>
      </c>
      <c r="G717" s="30" t="s">
        <v>85</v>
      </c>
      <c r="H717" s="32">
        <v>32371984</v>
      </c>
      <c r="I717" s="32">
        <v>69800</v>
      </c>
      <c r="J717" s="32">
        <v>8405312</v>
      </c>
      <c r="K717" s="33">
        <v>23896872</v>
      </c>
      <c r="L717" s="33">
        <v>41000000</v>
      </c>
      <c r="M717" s="34">
        <v>0.5828505365853659</v>
      </c>
      <c r="N717" s="209" t="str">
        <f>IFERROR(VLOOKUP(F717,Back!C:F,4,0),"NO")</f>
        <v>NO</v>
      </c>
      <c r="O717" s="26">
        <v>24</v>
      </c>
      <c r="P717" s="28" t="str">
        <f>IFERROR(VLOOKUP(F717,Back!C:E,3,0),"")</f>
        <v/>
      </c>
      <c r="Q717" s="28" t="str">
        <f>IFERROR(VLOOKUP(P717,Back!M:N,2,0),"")</f>
        <v/>
      </c>
      <c r="R717" s="27" t="str">
        <f>IF(N717="Si",IFERROR(VLOOKUP(F717,'TD Cumpl'!B:AB,27,0),"No Aplica"),"No Aplica")</f>
        <v>No Aplica</v>
      </c>
      <c r="S717" s="38">
        <v>58</v>
      </c>
      <c r="T717" s="36">
        <v>5316570</v>
      </c>
      <c r="U717" s="26">
        <v>160</v>
      </c>
      <c r="V717" s="37">
        <v>15786991</v>
      </c>
      <c r="W717" s="19">
        <v>95</v>
      </c>
      <c r="X717" s="37">
        <v>8405312</v>
      </c>
      <c r="Y717" s="46">
        <f t="shared" si="24"/>
        <v>2863111</v>
      </c>
    </row>
    <row r="718" spans="1:25" x14ac:dyDescent="0.25">
      <c r="A718" s="20">
        <f>+VLOOKUP(D718,Back!Q:R,2,0)</f>
        <v>6</v>
      </c>
      <c r="B718" s="20" t="str">
        <f t="shared" si="23"/>
        <v>2017 JUN</v>
      </c>
      <c r="C718" s="20">
        <v>2017</v>
      </c>
      <c r="D718" s="21" t="s">
        <v>153</v>
      </c>
      <c r="E718" s="30" t="s">
        <v>56</v>
      </c>
      <c r="F718" s="30">
        <v>43971430</v>
      </c>
      <c r="G718" s="30" t="s">
        <v>142</v>
      </c>
      <c r="H718" s="32">
        <v>63999634</v>
      </c>
      <c r="I718" s="32">
        <v>101520</v>
      </c>
      <c r="J718" s="32">
        <v>11791828</v>
      </c>
      <c r="K718" s="33">
        <v>52106286</v>
      </c>
      <c r="L718" s="33">
        <v>41583333.333333328</v>
      </c>
      <c r="M718" s="34">
        <v>1.253056977955912</v>
      </c>
      <c r="N718" s="209" t="str">
        <f>IFERROR(VLOOKUP(F718,Back!C:F,4,0),"NO")</f>
        <v>Si</v>
      </c>
      <c r="O718" s="26">
        <v>24</v>
      </c>
      <c r="P718" s="28" t="str">
        <f>IFERROR(VLOOKUP(F718,Back!C:E,3,0),"")</f>
        <v>IPS Pto De Vista Centro</v>
      </c>
      <c r="Q718" s="28" t="str">
        <f>IFERROR(VLOOKUP(P718,Back!M:N,2,0),"")</f>
        <v>Antioquia</v>
      </c>
      <c r="R718" s="27" t="str">
        <f>IF(N718="Si",IFERROR(VLOOKUP(F718,'TD Cumpl'!B:AB,27,0),"No Aplica"),"No Aplica")</f>
        <v>Siempre Cumple</v>
      </c>
      <c r="S718" s="38">
        <v>125</v>
      </c>
      <c r="T718" s="36">
        <v>18006727</v>
      </c>
      <c r="U718" s="26">
        <v>260</v>
      </c>
      <c r="V718" s="37">
        <v>29653906</v>
      </c>
      <c r="W718" s="19">
        <v>142</v>
      </c>
      <c r="X718" s="37">
        <v>11791828</v>
      </c>
      <c r="Y718" s="46">
        <f t="shared" si="24"/>
        <v>4547173</v>
      </c>
    </row>
    <row r="719" spans="1:25" x14ac:dyDescent="0.25">
      <c r="A719" s="20">
        <f>+VLOOKUP(D719,Back!Q:R,2,0)</f>
        <v>6</v>
      </c>
      <c r="B719" s="20" t="str">
        <f t="shared" si="23"/>
        <v>2017 JUN</v>
      </c>
      <c r="C719" s="20">
        <v>2017</v>
      </c>
      <c r="D719" s="21" t="s">
        <v>153</v>
      </c>
      <c r="E719" s="30" t="s">
        <v>59</v>
      </c>
      <c r="F719" s="30">
        <v>1030634664</v>
      </c>
      <c r="G719" s="30" t="s">
        <v>58</v>
      </c>
      <c r="H719" s="32">
        <v>57430281</v>
      </c>
      <c r="I719" s="32">
        <v>866000</v>
      </c>
      <c r="J719" s="32">
        <v>14558527</v>
      </c>
      <c r="K719" s="33">
        <v>42005754</v>
      </c>
      <c r="L719" s="33">
        <v>41000000</v>
      </c>
      <c r="M719" s="34">
        <v>1.0245305853658537</v>
      </c>
      <c r="N719" s="209" t="str">
        <f>IFERROR(VLOOKUP(F719,Back!C:F,4,0),"NO")</f>
        <v>NO</v>
      </c>
      <c r="O719" s="26">
        <v>24</v>
      </c>
      <c r="P719" s="28" t="str">
        <f>IFERROR(VLOOKUP(F719,Back!C:E,3,0),"")</f>
        <v/>
      </c>
      <c r="Q719" s="28" t="str">
        <f>IFERROR(VLOOKUP(P719,Back!M:N,2,0),"")</f>
        <v/>
      </c>
      <c r="R719" s="27" t="str">
        <f>IF(N719="Si",IFERROR(VLOOKUP(F719,'TD Cumpl'!B:AB,27,0),"No Aplica"),"No Aplica")</f>
        <v>No Aplica</v>
      </c>
      <c r="S719" s="38">
        <v>89</v>
      </c>
      <c r="T719" s="36">
        <v>7833921</v>
      </c>
      <c r="U719" s="26">
        <v>227</v>
      </c>
      <c r="V719" s="37">
        <v>22837426</v>
      </c>
      <c r="W719" s="19">
        <v>150</v>
      </c>
      <c r="X719" s="37">
        <v>14558527</v>
      </c>
      <c r="Y719" s="46">
        <f t="shared" si="24"/>
        <v>12200407</v>
      </c>
    </row>
    <row r="720" spans="1:25" x14ac:dyDescent="0.25">
      <c r="A720" s="20">
        <f>+VLOOKUP(D720,Back!Q:R,2,0)</f>
        <v>6</v>
      </c>
      <c r="B720" s="20" t="str">
        <f t="shared" si="23"/>
        <v>2017 JUN</v>
      </c>
      <c r="C720" s="20">
        <v>2017</v>
      </c>
      <c r="D720" s="21" t="s">
        <v>153</v>
      </c>
      <c r="E720" s="30" t="s">
        <v>34</v>
      </c>
      <c r="F720" s="30">
        <v>43554403</v>
      </c>
      <c r="G720" s="30" t="s">
        <v>35</v>
      </c>
      <c r="H720" s="32">
        <v>57342626</v>
      </c>
      <c r="I720" s="32">
        <v>1184000</v>
      </c>
      <c r="J720" s="32">
        <v>12056225</v>
      </c>
      <c r="K720" s="33">
        <v>44102401</v>
      </c>
      <c r="L720" s="33">
        <v>41000000</v>
      </c>
      <c r="M720" s="34">
        <v>1.0756683170731707</v>
      </c>
      <c r="N720" s="209" t="str">
        <f>IFERROR(VLOOKUP(F720,Back!C:F,4,0),"NO")</f>
        <v>Si</v>
      </c>
      <c r="O720" s="26">
        <v>24</v>
      </c>
      <c r="P720" s="28" t="str">
        <f>IFERROR(VLOOKUP(F720,Back!C:E,3,0),"")</f>
        <v>IPS Pto De Vista Centro</v>
      </c>
      <c r="Q720" s="28" t="str">
        <f>IFERROR(VLOOKUP(P720,Back!M:N,2,0),"")</f>
        <v>Antioquia</v>
      </c>
      <c r="R720" s="27" t="str">
        <f>IF(N720="Si",IFERROR(VLOOKUP(F720,'TD Cumpl'!B:AB,27,0),"No Aplica"),"No Aplica")</f>
        <v>Siempre Cumple</v>
      </c>
      <c r="S720" s="38">
        <v>101</v>
      </c>
      <c r="T720" s="36">
        <v>10443186</v>
      </c>
      <c r="U720" s="26">
        <v>248</v>
      </c>
      <c r="V720" s="37">
        <v>26602077</v>
      </c>
      <c r="W720" s="19">
        <v>141</v>
      </c>
      <c r="X720" s="37">
        <v>12056225</v>
      </c>
      <c r="Y720" s="46">
        <f t="shared" si="24"/>
        <v>8241138</v>
      </c>
    </row>
    <row r="721" spans="1:25" x14ac:dyDescent="0.25">
      <c r="A721" s="20">
        <f>+VLOOKUP(D721,Back!Q:R,2,0)</f>
        <v>6</v>
      </c>
      <c r="B721" s="20" t="str">
        <f t="shared" si="23"/>
        <v>2017 JUN</v>
      </c>
      <c r="C721" s="20">
        <v>2017</v>
      </c>
      <c r="D721" s="21" t="s">
        <v>153</v>
      </c>
      <c r="E721" s="30" t="s">
        <v>101</v>
      </c>
      <c r="F721" s="30">
        <v>21428423</v>
      </c>
      <c r="G721" s="30" t="s">
        <v>154</v>
      </c>
      <c r="H721" s="32">
        <v>32198150</v>
      </c>
      <c r="I721" s="32">
        <v>152000</v>
      </c>
      <c r="J721" s="32">
        <v>8177047</v>
      </c>
      <c r="K721" s="33">
        <v>23869103</v>
      </c>
      <c r="L721" s="33">
        <v>41000000</v>
      </c>
      <c r="M721" s="34">
        <v>0.58217324390243907</v>
      </c>
      <c r="N721" s="209" t="str">
        <f>IFERROR(VLOOKUP(F721,Back!C:F,4,0),"NO")</f>
        <v>Si</v>
      </c>
      <c r="O721" s="26">
        <v>24</v>
      </c>
      <c r="P721" s="28" t="str">
        <f>IFERROR(VLOOKUP(F721,Back!C:E,3,0),"")</f>
        <v>IPS Pto De Vista Centro</v>
      </c>
      <c r="Q721" s="28" t="str">
        <f>IFERROR(VLOOKUP(P721,Back!M:N,2,0),"")</f>
        <v>Antioquia</v>
      </c>
      <c r="R721" s="27" t="str">
        <f>IF(N721="Si",IFERROR(VLOOKUP(F721,'TD Cumpl'!B:AB,27,0),"No Aplica"),"No Aplica")</f>
        <v>Fluctúa</v>
      </c>
      <c r="S721" s="38">
        <v>65</v>
      </c>
      <c r="T721" s="36">
        <v>4877995</v>
      </c>
      <c r="U721" s="26">
        <v>160</v>
      </c>
      <c r="V721" s="37">
        <v>15315518</v>
      </c>
      <c r="W721" s="19">
        <v>96</v>
      </c>
      <c r="X721" s="37">
        <v>8177047</v>
      </c>
      <c r="Y721" s="46">
        <f t="shared" si="24"/>
        <v>3827590</v>
      </c>
    </row>
    <row r="722" spans="1:25" x14ac:dyDescent="0.25">
      <c r="A722" s="20">
        <f>+VLOOKUP(D722,Back!Q:R,2,0)</f>
        <v>6</v>
      </c>
      <c r="B722" s="20" t="str">
        <f t="shared" si="23"/>
        <v>2017 JUN</v>
      </c>
      <c r="C722" s="20">
        <v>2017</v>
      </c>
      <c r="D722" s="21" t="s">
        <v>153</v>
      </c>
      <c r="E722" s="30" t="s">
        <v>13</v>
      </c>
      <c r="F722" s="30">
        <v>43866877</v>
      </c>
      <c r="G722" s="30" t="s">
        <v>46</v>
      </c>
      <c r="H722" s="32">
        <v>56007009</v>
      </c>
      <c r="I722" s="32">
        <v>412000</v>
      </c>
      <c r="J722" s="32">
        <v>12484974</v>
      </c>
      <c r="K722" s="33">
        <v>43110035</v>
      </c>
      <c r="L722" s="33">
        <v>41000000</v>
      </c>
      <c r="M722" s="34">
        <v>1.0514642682926829</v>
      </c>
      <c r="N722" s="209" t="str">
        <f>IFERROR(VLOOKUP(F722,Back!C:F,4,0),"NO")</f>
        <v>Si</v>
      </c>
      <c r="O722" s="26">
        <v>24</v>
      </c>
      <c r="P722" s="28" t="str">
        <f>IFERROR(VLOOKUP(F722,Back!C:E,3,0),"")</f>
        <v>IPS Pto De Vista Centro</v>
      </c>
      <c r="Q722" s="28" t="str">
        <f>IFERROR(VLOOKUP(P722,Back!M:N,2,0),"")</f>
        <v>Antioquia</v>
      </c>
      <c r="R722" s="27" t="str">
        <f>IF(N722="Si",IFERROR(VLOOKUP(F722,'TD Cumpl'!B:AB,27,0),"No Aplica"),"No Aplica")</f>
        <v>Siempre Cumple</v>
      </c>
      <c r="S722" s="38">
        <v>108</v>
      </c>
      <c r="T722" s="36">
        <v>11433551</v>
      </c>
      <c r="U722" s="26">
        <v>258</v>
      </c>
      <c r="V722" s="37">
        <v>26449526</v>
      </c>
      <c r="W722" s="19">
        <v>144</v>
      </c>
      <c r="X722" s="37">
        <v>12484974</v>
      </c>
      <c r="Y722" s="46">
        <f t="shared" si="24"/>
        <v>5638958</v>
      </c>
    </row>
    <row r="723" spans="1:25" x14ac:dyDescent="0.25">
      <c r="A723" s="20">
        <f>+VLOOKUP(D723,Back!Q:R,2,0)</f>
        <v>6</v>
      </c>
      <c r="B723" s="20" t="str">
        <f t="shared" si="23"/>
        <v>2017 JUN</v>
      </c>
      <c r="C723" s="20">
        <v>2017</v>
      </c>
      <c r="D723" s="21" t="s">
        <v>153</v>
      </c>
      <c r="E723" s="30" t="s">
        <v>121</v>
      </c>
      <c r="F723" s="30">
        <v>21982241</v>
      </c>
      <c r="G723" s="30" t="s">
        <v>143</v>
      </c>
      <c r="H723" s="32">
        <v>27953653</v>
      </c>
      <c r="I723" s="32">
        <v>426000</v>
      </c>
      <c r="J723" s="32">
        <v>6911986</v>
      </c>
      <c r="K723" s="33">
        <v>20615667</v>
      </c>
      <c r="L723" s="33">
        <v>32800000</v>
      </c>
      <c r="M723" s="34">
        <v>0.6285264329268293</v>
      </c>
      <c r="N723" s="209" t="str">
        <f>IFERROR(VLOOKUP(F723,Back!C:F,4,0),"NO")</f>
        <v>Si</v>
      </c>
      <c r="O723" s="26">
        <v>24</v>
      </c>
      <c r="P723" s="28" t="str">
        <f>IFERROR(VLOOKUP(F723,Back!C:E,3,0),"")</f>
        <v>IPS Punto de Vista Bello</v>
      </c>
      <c r="Q723" s="28" t="str">
        <f>IFERROR(VLOOKUP(P723,Back!M:N,2,0),"")</f>
        <v>Antioquia</v>
      </c>
      <c r="R723" s="27" t="str">
        <f>IF(N723="Si",IFERROR(VLOOKUP(F723,'TD Cumpl'!B:AB,27,0),"No Aplica"),"No Aplica")</f>
        <v>Fluctúa</v>
      </c>
      <c r="S723" s="38">
        <v>56</v>
      </c>
      <c r="T723" s="36">
        <v>4896699</v>
      </c>
      <c r="U723" s="26">
        <v>158</v>
      </c>
      <c r="V723" s="37">
        <v>14146964</v>
      </c>
      <c r="W723" s="19">
        <v>81</v>
      </c>
      <c r="X723" s="37">
        <v>6911986</v>
      </c>
      <c r="Y723" s="46">
        <f t="shared" si="24"/>
        <v>1998004</v>
      </c>
    </row>
    <row r="724" spans="1:25" x14ac:dyDescent="0.25">
      <c r="A724" s="20">
        <f>+VLOOKUP(D724,Back!Q:R,2,0)</f>
        <v>6</v>
      </c>
      <c r="B724" s="20" t="str">
        <f t="shared" si="23"/>
        <v>2017 JUN</v>
      </c>
      <c r="C724" s="20">
        <v>2017</v>
      </c>
      <c r="D724" s="21" t="s">
        <v>153</v>
      </c>
      <c r="E724" s="30" t="s">
        <v>18</v>
      </c>
      <c r="F724" s="30">
        <v>39442617</v>
      </c>
      <c r="G724" s="30" t="s">
        <v>41</v>
      </c>
      <c r="H724" s="31">
        <v>27139619</v>
      </c>
      <c r="I724" s="32">
        <v>238680</v>
      </c>
      <c r="J724" s="32">
        <v>2968149</v>
      </c>
      <c r="K724" s="33">
        <v>23932790</v>
      </c>
      <c r="L724" s="33">
        <v>18000000</v>
      </c>
      <c r="M724" s="34">
        <v>1.3295994444444443</v>
      </c>
      <c r="N724" s="209" t="str">
        <f>IFERROR(VLOOKUP(F724,Back!C:F,4,0),"NO")</f>
        <v>Si</v>
      </c>
      <c r="O724" s="26">
        <v>24</v>
      </c>
      <c r="P724" s="28" t="str">
        <f>IFERROR(VLOOKUP(F724,Back!C:E,3,0),"")</f>
        <v>IPS Pto De Vista San Diego</v>
      </c>
      <c r="Q724" s="28" t="str">
        <f>IFERROR(VLOOKUP(P724,Back!M:N,2,0),"")</f>
        <v>Antioquia</v>
      </c>
      <c r="R724" s="27" t="str">
        <f>IF(N724="Si",IFERROR(VLOOKUP(F724,'TD Cumpl'!B:AB,27,0),"No Aplica"),"No Aplica")</f>
        <v>Cumple</v>
      </c>
      <c r="S724" s="38">
        <v>41</v>
      </c>
      <c r="T724" s="36">
        <v>6717699</v>
      </c>
      <c r="U724" s="26">
        <v>104</v>
      </c>
      <c r="V724" s="37">
        <v>13509600</v>
      </c>
      <c r="W724" s="19">
        <v>34</v>
      </c>
      <c r="X724" s="37">
        <v>2968149</v>
      </c>
      <c r="Y724" s="46">
        <f t="shared" si="24"/>
        <v>3944171</v>
      </c>
    </row>
    <row r="725" spans="1:25" x14ac:dyDescent="0.25">
      <c r="A725" s="20">
        <f>+VLOOKUP(D725,Back!Q:R,2,0)</f>
        <v>6</v>
      </c>
      <c r="B725" s="20" t="str">
        <f t="shared" si="23"/>
        <v>2017 JUN</v>
      </c>
      <c r="C725" s="20">
        <v>2017</v>
      </c>
      <c r="D725" s="21" t="s">
        <v>153</v>
      </c>
      <c r="E725" s="30" t="s">
        <v>23</v>
      </c>
      <c r="F725" s="30">
        <v>43907427</v>
      </c>
      <c r="G725" s="30" t="s">
        <v>144</v>
      </c>
      <c r="H725" s="32">
        <v>45985201</v>
      </c>
      <c r="I725" s="31">
        <v>0</v>
      </c>
      <c r="J725" s="32">
        <v>4583773</v>
      </c>
      <c r="K725" s="33">
        <v>41401428</v>
      </c>
      <c r="L725" s="33">
        <v>36000000</v>
      </c>
      <c r="M725" s="34">
        <v>1.1500396666666666</v>
      </c>
      <c r="N725" s="209" t="str">
        <f>IFERROR(VLOOKUP(F725,Back!C:F,4,0),"NO")</f>
        <v>Si</v>
      </c>
      <c r="O725" s="26">
        <v>24</v>
      </c>
      <c r="P725" s="28" t="str">
        <f>IFERROR(VLOOKUP(F725,Back!C:E,3,0),"")</f>
        <v>IPS Pto De Vista Industriales</v>
      </c>
      <c r="Q725" s="28" t="str">
        <f>IFERROR(VLOOKUP(P725,Back!M:N,2,0),"")</f>
        <v>Antioquia</v>
      </c>
      <c r="R725" s="27" t="str">
        <f>IF(N725="Si",IFERROR(VLOOKUP(F725,'TD Cumpl'!B:AB,27,0),"No Aplica"),"No Aplica")</f>
        <v>Siempre Cumple</v>
      </c>
      <c r="S725" s="38">
        <v>41</v>
      </c>
      <c r="T725" s="36">
        <v>8257624</v>
      </c>
      <c r="U725" s="26">
        <v>132</v>
      </c>
      <c r="V725" s="37">
        <v>28347145</v>
      </c>
      <c r="W725" s="19">
        <v>58</v>
      </c>
      <c r="X725" s="37">
        <v>4583773</v>
      </c>
      <c r="Y725" s="46">
        <f t="shared" si="24"/>
        <v>4796659</v>
      </c>
    </row>
    <row r="726" spans="1:25" x14ac:dyDescent="0.25">
      <c r="A726" s="20">
        <f>+VLOOKUP(D726,Back!Q:R,2,0)</f>
        <v>6</v>
      </c>
      <c r="B726" s="20" t="str">
        <f t="shared" si="23"/>
        <v>2017 JUN</v>
      </c>
      <c r="C726" s="20">
        <v>2017</v>
      </c>
      <c r="D726" s="21" t="s">
        <v>153</v>
      </c>
      <c r="E726" s="30" t="s">
        <v>21</v>
      </c>
      <c r="F726" s="30">
        <v>1035417626</v>
      </c>
      <c r="G726" s="30" t="s">
        <v>80</v>
      </c>
      <c r="H726" s="32">
        <v>71855061</v>
      </c>
      <c r="I726" s="32">
        <v>852000</v>
      </c>
      <c r="J726" s="32">
        <v>12646758</v>
      </c>
      <c r="K726" s="33">
        <v>58356303</v>
      </c>
      <c r="L726" s="33">
        <v>43000000</v>
      </c>
      <c r="M726" s="34">
        <v>1.3571233255813953</v>
      </c>
      <c r="N726" s="209" t="str">
        <f>IFERROR(VLOOKUP(F726,Back!C:F,4,0),"NO")</f>
        <v>Si</v>
      </c>
      <c r="O726" s="26">
        <v>24</v>
      </c>
      <c r="P726" s="28" t="str">
        <f>IFERROR(VLOOKUP(F726,Back!C:E,3,0),"")</f>
        <v>IPS Pto De Vista Unicentro</v>
      </c>
      <c r="Q726" s="28" t="str">
        <f>IFERROR(VLOOKUP(P726,Back!M:N,2,0),"")</f>
        <v>Antioquia</v>
      </c>
      <c r="R726" s="27" t="str">
        <f>IF(N726="Si",IFERROR(VLOOKUP(F726,'TD Cumpl'!B:AB,27,0),"No Aplica"),"No Aplica")</f>
        <v>Cumple</v>
      </c>
      <c r="S726" s="38">
        <v>108</v>
      </c>
      <c r="T726" s="36">
        <v>13635350</v>
      </c>
      <c r="U726" s="26">
        <v>299</v>
      </c>
      <c r="V726" s="37">
        <v>39214284</v>
      </c>
      <c r="W726" s="19">
        <v>145</v>
      </c>
      <c r="X726" s="37">
        <v>12646758</v>
      </c>
      <c r="Y726" s="46">
        <f t="shared" si="24"/>
        <v>6358669</v>
      </c>
    </row>
    <row r="727" spans="1:25" x14ac:dyDescent="0.25">
      <c r="A727" s="20">
        <f>+VLOOKUP(D727,Back!Q:R,2,0)</f>
        <v>6</v>
      </c>
      <c r="B727" s="20" t="str">
        <f t="shared" si="23"/>
        <v>2017 JUN</v>
      </c>
      <c r="C727" s="20">
        <v>2017</v>
      </c>
      <c r="D727" s="21" t="s">
        <v>153</v>
      </c>
      <c r="E727" s="30" t="s">
        <v>103</v>
      </c>
      <c r="F727" s="30">
        <v>1020409789</v>
      </c>
      <c r="G727" s="30" t="s">
        <v>145</v>
      </c>
      <c r="H727" s="32">
        <v>39681098</v>
      </c>
      <c r="I727" s="32">
        <v>2024200</v>
      </c>
      <c r="J727" s="32">
        <v>9460084</v>
      </c>
      <c r="K727" s="33">
        <v>28196814</v>
      </c>
      <c r="L727" s="33">
        <v>24366666.666666672</v>
      </c>
      <c r="M727" s="34">
        <v>1.1571879890560872</v>
      </c>
      <c r="N727" s="209" t="str">
        <f>IFERROR(VLOOKUP(F727,Back!C:F,4,0),"NO")</f>
        <v>Si</v>
      </c>
      <c r="O727" s="26">
        <v>24</v>
      </c>
      <c r="P727" s="28" t="str">
        <f>IFERROR(VLOOKUP(F727,Back!C:E,3,0),"")</f>
        <v>IPS Pto De Vista Molinos</v>
      </c>
      <c r="Q727" s="28" t="str">
        <f>IFERROR(VLOOKUP(P727,Back!M:N,2,0),"")</f>
        <v>Antioquia</v>
      </c>
      <c r="R727" s="27" t="str">
        <f>IF(N727="Si",IFERROR(VLOOKUP(F727,'TD Cumpl'!B:AB,27,0),"No Aplica"),"No Aplica")</f>
        <v>Cumple</v>
      </c>
      <c r="S727" s="38">
        <v>58</v>
      </c>
      <c r="T727" s="36">
        <v>6902429</v>
      </c>
      <c r="U727" s="26">
        <v>168</v>
      </c>
      <c r="V727" s="37">
        <v>19203532</v>
      </c>
      <c r="W727" s="19">
        <v>105</v>
      </c>
      <c r="X727" s="37">
        <v>9460084</v>
      </c>
      <c r="Y727" s="46">
        <f t="shared" si="24"/>
        <v>4115053</v>
      </c>
    </row>
    <row r="728" spans="1:25" x14ac:dyDescent="0.25">
      <c r="A728" s="20">
        <f>+VLOOKUP(D728,Back!Q:R,2,0)</f>
        <v>6</v>
      </c>
      <c r="B728" s="20" t="str">
        <f t="shared" si="23"/>
        <v>2017 JUN</v>
      </c>
      <c r="C728" s="20">
        <v>2017</v>
      </c>
      <c r="D728" s="21" t="s">
        <v>153</v>
      </c>
      <c r="E728" s="30" t="s">
        <v>8</v>
      </c>
      <c r="F728" s="30">
        <v>43259130</v>
      </c>
      <c r="G728" s="30" t="s">
        <v>51</v>
      </c>
      <c r="H728" s="32">
        <v>76089022</v>
      </c>
      <c r="I728" s="32">
        <v>1194800</v>
      </c>
      <c r="J728" s="32">
        <v>15124557</v>
      </c>
      <c r="K728" s="33">
        <v>59769665</v>
      </c>
      <c r="L728" s="33">
        <v>43000000</v>
      </c>
      <c r="M728" s="34">
        <v>1.3899922093023256</v>
      </c>
      <c r="N728" s="209" t="str">
        <f>IFERROR(VLOOKUP(F728,Back!C:F,4,0),"NO")</f>
        <v>Si</v>
      </c>
      <c r="O728" s="26">
        <v>24</v>
      </c>
      <c r="P728" s="28" t="str">
        <f>IFERROR(VLOOKUP(F728,Back!C:E,3,0),"")</f>
        <v>IPS Pto De Vista Molinos</v>
      </c>
      <c r="Q728" s="28" t="str">
        <f>IFERROR(VLOOKUP(P728,Back!M:N,2,0),"")</f>
        <v>Antioquia</v>
      </c>
      <c r="R728" s="27" t="str">
        <f>IF(N728="Si",IFERROR(VLOOKUP(F728,'TD Cumpl'!B:AB,27,0),"No Aplica"),"No Aplica")</f>
        <v>Fluctúa</v>
      </c>
      <c r="S728" s="38">
        <v>135</v>
      </c>
      <c r="T728" s="36">
        <v>15812354</v>
      </c>
      <c r="U728" s="26">
        <v>336</v>
      </c>
      <c r="V728" s="37">
        <v>37704240</v>
      </c>
      <c r="W728" s="19">
        <v>164</v>
      </c>
      <c r="X728" s="37">
        <v>15124557</v>
      </c>
      <c r="Y728" s="46">
        <f t="shared" si="24"/>
        <v>7447871</v>
      </c>
    </row>
    <row r="729" spans="1:25" x14ac:dyDescent="0.25">
      <c r="A729" s="20">
        <f>+VLOOKUP(D729,Back!Q:R,2,0)</f>
        <v>6</v>
      </c>
      <c r="B729" s="20" t="str">
        <f t="shared" si="23"/>
        <v>2017 JUN</v>
      </c>
      <c r="C729" s="20">
        <v>2017</v>
      </c>
      <c r="D729" s="21" t="s">
        <v>153</v>
      </c>
      <c r="E729" s="30" t="s">
        <v>7</v>
      </c>
      <c r="F729" s="30">
        <v>43745952</v>
      </c>
      <c r="G729" s="30" t="s">
        <v>50</v>
      </c>
      <c r="H729" s="32">
        <v>83563443</v>
      </c>
      <c r="I729" s="32">
        <v>1019000</v>
      </c>
      <c r="J729" s="32">
        <v>18764055</v>
      </c>
      <c r="K729" s="33">
        <v>63780388</v>
      </c>
      <c r="L729" s="33">
        <v>43000000</v>
      </c>
      <c r="M729" s="34">
        <v>1.4832648372093022</v>
      </c>
      <c r="N729" s="209" t="str">
        <f>IFERROR(VLOOKUP(F729,Back!C:F,4,0),"NO")</f>
        <v>Si</v>
      </c>
      <c r="O729" s="26">
        <v>24</v>
      </c>
      <c r="P729" s="28" t="str">
        <f>IFERROR(VLOOKUP(F729,Back!C:E,3,0),"")</f>
        <v>IPS Pto De Vista Unicentro</v>
      </c>
      <c r="Q729" s="28" t="str">
        <f>IFERROR(VLOOKUP(P729,Back!M:N,2,0),"")</f>
        <v>Antioquia</v>
      </c>
      <c r="R729" s="27" t="str">
        <f>IF(N729="Si",IFERROR(VLOOKUP(F729,'TD Cumpl'!B:AB,27,0),"No Aplica"),"No Aplica")</f>
        <v>Siempre Cumple</v>
      </c>
      <c r="S729" s="38">
        <v>141</v>
      </c>
      <c r="T729" s="36">
        <v>15942182</v>
      </c>
      <c r="U729" s="26">
        <v>358</v>
      </c>
      <c r="V729" s="37">
        <v>40363522</v>
      </c>
      <c r="W729" s="19">
        <v>196</v>
      </c>
      <c r="X729" s="37">
        <v>18764055</v>
      </c>
      <c r="Y729" s="46">
        <f t="shared" si="24"/>
        <v>8493684</v>
      </c>
    </row>
    <row r="730" spans="1:25" x14ac:dyDescent="0.25">
      <c r="A730" s="20">
        <f>+VLOOKUP(D730,Back!Q:R,2,0)</f>
        <v>6</v>
      </c>
      <c r="B730" s="20" t="str">
        <f t="shared" si="23"/>
        <v>2017 JUN</v>
      </c>
      <c r="C730" s="20">
        <v>2017</v>
      </c>
      <c r="D730" s="21" t="s">
        <v>153</v>
      </c>
      <c r="E730" s="30" t="s">
        <v>3</v>
      </c>
      <c r="F730" s="30">
        <v>52725011</v>
      </c>
      <c r="G730" s="30" t="s">
        <v>42</v>
      </c>
      <c r="H730" s="32">
        <v>34315438</v>
      </c>
      <c r="I730" s="32">
        <v>440000</v>
      </c>
      <c r="J730" s="32">
        <v>7950697</v>
      </c>
      <c r="K730" s="33">
        <v>25924741</v>
      </c>
      <c r="L730" s="33">
        <v>20000000</v>
      </c>
      <c r="M730" s="34">
        <v>1.29623705</v>
      </c>
      <c r="N730" s="209" t="str">
        <f>IFERROR(VLOOKUP(F730,Back!C:F,4,0),"NO")</f>
        <v>Si</v>
      </c>
      <c r="O730" s="26">
        <v>24</v>
      </c>
      <c r="P730" s="28" t="str">
        <f>IFERROR(VLOOKUP(F730,Back!C:E,3,0),"")</f>
        <v>IPS Pto De Vista Olaya</v>
      </c>
      <c r="Q730" s="28" t="str">
        <f>IFERROR(VLOOKUP(P730,Back!M:N,2,0),"")</f>
        <v>Centro</v>
      </c>
      <c r="R730" s="27" t="str">
        <f>IF(N730="Si",IFERROR(VLOOKUP(F730,'TD Cumpl'!B:AB,27,0),"No Aplica"),"No Aplica")</f>
        <v>Fluctúa</v>
      </c>
      <c r="S730" s="38">
        <v>98</v>
      </c>
      <c r="T730" s="36">
        <v>5817492</v>
      </c>
      <c r="U730" s="26">
        <v>242</v>
      </c>
      <c r="V730" s="37">
        <v>18168107</v>
      </c>
      <c r="W730" s="19">
        <v>119</v>
      </c>
      <c r="X730" s="37">
        <v>7950697</v>
      </c>
      <c r="Y730" s="46">
        <f t="shared" si="24"/>
        <v>2379142</v>
      </c>
    </row>
    <row r="731" spans="1:25" x14ac:dyDescent="0.25">
      <c r="A731" s="20">
        <f>+VLOOKUP(D731,Back!Q:R,2,0)</f>
        <v>6</v>
      </c>
      <c r="B731" s="20" t="str">
        <f t="shared" si="23"/>
        <v>2017 JUN</v>
      </c>
      <c r="C731" s="20">
        <v>2017</v>
      </c>
      <c r="D731" s="21" t="s">
        <v>153</v>
      </c>
      <c r="E731" s="30" t="s">
        <v>4</v>
      </c>
      <c r="F731" s="30">
        <v>79701425</v>
      </c>
      <c r="G731" s="30" t="s">
        <v>27</v>
      </c>
      <c r="H731" s="32">
        <v>31996252</v>
      </c>
      <c r="I731" s="32">
        <v>440000</v>
      </c>
      <c r="J731" s="32">
        <v>6328729</v>
      </c>
      <c r="K731" s="33">
        <v>25227523</v>
      </c>
      <c r="L731" s="33">
        <v>20000000</v>
      </c>
      <c r="M731" s="34">
        <v>1.26137615</v>
      </c>
      <c r="N731" s="209" t="str">
        <f>IFERROR(VLOOKUP(F731,Back!C:F,4,0),"NO")</f>
        <v>No</v>
      </c>
      <c r="O731" s="26">
        <v>24</v>
      </c>
      <c r="P731" s="28" t="str">
        <f>IFERROR(VLOOKUP(F731,Back!C:E,3,0),"")</f>
        <v>IPS Pto De Vista Olaya</v>
      </c>
      <c r="Q731" s="28" t="str">
        <f>IFERROR(VLOOKUP(P731,Back!M:N,2,0),"")</f>
        <v>Centro</v>
      </c>
      <c r="R731" s="27" t="str">
        <f>IF(N731="Si",IFERROR(VLOOKUP(F731,'TD Cumpl'!B:AB,27,0),"No Aplica"),"No Aplica")</f>
        <v>No Aplica</v>
      </c>
      <c r="S731" s="38">
        <v>93</v>
      </c>
      <c r="T731" s="36">
        <v>5811931</v>
      </c>
      <c r="U731" s="26">
        <v>227</v>
      </c>
      <c r="V731" s="37">
        <v>17092578</v>
      </c>
      <c r="W731" s="19">
        <v>101</v>
      </c>
      <c r="X731" s="37">
        <v>6328729</v>
      </c>
      <c r="Y731" s="46">
        <f t="shared" si="24"/>
        <v>2763014</v>
      </c>
    </row>
    <row r="732" spans="1:25" x14ac:dyDescent="0.25">
      <c r="A732" s="20">
        <f>+VLOOKUP(D732,Back!Q:R,2,0)</f>
        <v>6</v>
      </c>
      <c r="B732" s="20" t="str">
        <f t="shared" si="23"/>
        <v>2017 JUN</v>
      </c>
      <c r="C732" s="20">
        <v>2017</v>
      </c>
      <c r="D732" s="21" t="s">
        <v>153</v>
      </c>
      <c r="E732" s="30" t="s">
        <v>66</v>
      </c>
      <c r="F732" s="30">
        <v>3438422</v>
      </c>
      <c r="G732" s="30" t="s">
        <v>71</v>
      </c>
      <c r="H732" s="32">
        <v>52468369</v>
      </c>
      <c r="I732" s="32">
        <v>852000</v>
      </c>
      <c r="J732" s="32">
        <v>10411314</v>
      </c>
      <c r="K732" s="33">
        <v>41205055</v>
      </c>
      <c r="L732" s="33">
        <v>38700000</v>
      </c>
      <c r="M732" s="34">
        <v>1.0647301033591732</v>
      </c>
      <c r="N732" s="209" t="str">
        <f>IFERROR(VLOOKUP(F732,Back!C:F,4,0),"NO")</f>
        <v>Si</v>
      </c>
      <c r="O732" s="26">
        <v>24</v>
      </c>
      <c r="P732" s="28" t="str">
        <f>IFERROR(VLOOKUP(F732,Back!C:E,3,0),"")</f>
        <v>IPS Pto De Vista Punto Clave</v>
      </c>
      <c r="Q732" s="28" t="str">
        <f>IFERROR(VLOOKUP(P732,Back!M:N,2,0),"")</f>
        <v>Antioquia</v>
      </c>
      <c r="R732" s="27" t="str">
        <f>IF(N732="Si",IFERROR(VLOOKUP(F732,'TD Cumpl'!B:AB,27,0),"No Aplica"),"No Aplica")</f>
        <v>Fluctúa</v>
      </c>
      <c r="S732" s="38">
        <v>81</v>
      </c>
      <c r="T732" s="36">
        <v>8990136</v>
      </c>
      <c r="U732" s="26">
        <v>177</v>
      </c>
      <c r="V732" s="37">
        <v>24454101</v>
      </c>
      <c r="W732" s="19">
        <v>109</v>
      </c>
      <c r="X732" s="37">
        <v>10411314</v>
      </c>
      <c r="Y732" s="46">
        <f t="shared" si="24"/>
        <v>8612818</v>
      </c>
    </row>
    <row r="733" spans="1:25" x14ac:dyDescent="0.25">
      <c r="A733" s="20">
        <f>+VLOOKUP(D733,Back!Q:R,2,0)</f>
        <v>6</v>
      </c>
      <c r="B733" s="20" t="str">
        <f t="shared" si="23"/>
        <v>2017 JUN</v>
      </c>
      <c r="C733" s="20">
        <v>2017</v>
      </c>
      <c r="D733" s="21" t="s">
        <v>153</v>
      </c>
      <c r="E733" s="30" t="s">
        <v>92</v>
      </c>
      <c r="F733" s="30">
        <v>1017167720</v>
      </c>
      <c r="G733" s="30" t="s">
        <v>96</v>
      </c>
      <c r="H733" s="32">
        <v>53105446</v>
      </c>
      <c r="I733" s="32">
        <v>1184000</v>
      </c>
      <c r="J733" s="32">
        <v>8298706</v>
      </c>
      <c r="K733" s="33">
        <v>43622740</v>
      </c>
      <c r="L733" s="33">
        <v>43000000</v>
      </c>
      <c r="M733" s="34">
        <v>1.0144823255813953</v>
      </c>
      <c r="N733" s="209" t="str">
        <f>IFERROR(VLOOKUP(F733,Back!C:F,4,0),"NO")</f>
        <v>Si</v>
      </c>
      <c r="O733" s="26">
        <v>24</v>
      </c>
      <c r="P733" s="28" t="str">
        <f>IFERROR(VLOOKUP(F733,Back!C:E,3,0),"")</f>
        <v>IPS Pto De Vista Punto Clave</v>
      </c>
      <c r="Q733" s="28" t="str">
        <f>IFERROR(VLOOKUP(P733,Back!M:N,2,0),"")</f>
        <v>Antioquia</v>
      </c>
      <c r="R733" s="27" t="str">
        <f>IF(N733="Si",IFERROR(VLOOKUP(F733,'TD Cumpl'!B:AB,27,0),"No Aplica"),"No Aplica")</f>
        <v>Cumple</v>
      </c>
      <c r="S733" s="38">
        <v>102</v>
      </c>
      <c r="T733" s="36">
        <v>12220255</v>
      </c>
      <c r="U733" s="26">
        <v>239</v>
      </c>
      <c r="V733" s="37">
        <v>24845411</v>
      </c>
      <c r="W733" s="19">
        <v>93</v>
      </c>
      <c r="X733" s="37">
        <v>8298706</v>
      </c>
      <c r="Y733" s="46">
        <f t="shared" si="24"/>
        <v>7741074</v>
      </c>
    </row>
    <row r="734" spans="1:25" x14ac:dyDescent="0.25">
      <c r="A734" s="20">
        <f>+VLOOKUP(D734,Back!Q:R,2,0)</f>
        <v>6</v>
      </c>
      <c r="B734" s="20" t="str">
        <f t="shared" si="23"/>
        <v>2017 JUN</v>
      </c>
      <c r="C734" s="20">
        <v>2017</v>
      </c>
      <c r="D734" s="21" t="s">
        <v>153</v>
      </c>
      <c r="E734" s="30" t="s">
        <v>57</v>
      </c>
      <c r="F734" s="30">
        <v>43874518</v>
      </c>
      <c r="G734" s="30" t="s">
        <v>60</v>
      </c>
      <c r="H734" s="32">
        <v>56107941</v>
      </c>
      <c r="I734" s="32">
        <v>1047600</v>
      </c>
      <c r="J734" s="32">
        <v>10799636</v>
      </c>
      <c r="K734" s="33">
        <v>44260705</v>
      </c>
      <c r="L734" s="33">
        <v>43000000</v>
      </c>
      <c r="M734" s="34">
        <v>1.0293187209302326</v>
      </c>
      <c r="N734" s="209" t="str">
        <f>IFERROR(VLOOKUP(F734,Back!C:F,4,0),"NO")</f>
        <v>Si</v>
      </c>
      <c r="O734" s="26">
        <v>24</v>
      </c>
      <c r="P734" s="28" t="str">
        <f>IFERROR(VLOOKUP(F734,Back!C:E,3,0),"")</f>
        <v>IPS Pto De Vista Punto Clave</v>
      </c>
      <c r="Q734" s="28" t="str">
        <f>IFERROR(VLOOKUP(P734,Back!M:N,2,0),"")</f>
        <v>Antioquia</v>
      </c>
      <c r="R734" s="27" t="str">
        <f>IF(N734="Si",IFERROR(VLOOKUP(F734,'TD Cumpl'!B:AB,27,0),"No Aplica"),"No Aplica")</f>
        <v>Fluctúa</v>
      </c>
      <c r="S734" s="38">
        <v>96</v>
      </c>
      <c r="T734" s="36">
        <v>9348763</v>
      </c>
      <c r="U734" s="26">
        <v>252</v>
      </c>
      <c r="V734" s="37">
        <v>27797967</v>
      </c>
      <c r="W734" s="19">
        <v>115</v>
      </c>
      <c r="X734" s="37">
        <v>10799636</v>
      </c>
      <c r="Y734" s="46">
        <f t="shared" si="24"/>
        <v>8161575</v>
      </c>
    </row>
    <row r="735" spans="1:25" x14ac:dyDescent="0.25">
      <c r="A735" s="20">
        <f>+VLOOKUP(D735,Back!Q:R,2,0)</f>
        <v>6</v>
      </c>
      <c r="B735" s="20" t="str">
        <f t="shared" si="23"/>
        <v>2017 JUN</v>
      </c>
      <c r="C735" s="20">
        <v>2017</v>
      </c>
      <c r="D735" s="21" t="s">
        <v>153</v>
      </c>
      <c r="E735" s="30" t="s">
        <v>64</v>
      </c>
      <c r="F735" s="30">
        <v>1036598360</v>
      </c>
      <c r="G735" s="30" t="s">
        <v>146</v>
      </c>
      <c r="H735" s="32">
        <v>61450915</v>
      </c>
      <c r="I735" s="32">
        <v>1086000</v>
      </c>
      <c r="J735" s="32">
        <v>11791710</v>
      </c>
      <c r="K735" s="33">
        <v>48573205</v>
      </c>
      <c r="L735" s="33">
        <v>38700000</v>
      </c>
      <c r="M735" s="34">
        <v>1.2551215762273902</v>
      </c>
      <c r="N735" s="209" t="str">
        <f>IFERROR(VLOOKUP(F735,Back!C:F,4,0),"NO")</f>
        <v>Si</v>
      </c>
      <c r="O735" s="26">
        <v>24</v>
      </c>
      <c r="P735" s="28" t="str">
        <f>IFERROR(VLOOKUP(F735,Back!C:E,3,0),"")</f>
        <v>IPS Pto De Vista Punto Clave</v>
      </c>
      <c r="Q735" s="28" t="str">
        <f>IFERROR(VLOOKUP(P735,Back!M:N,2,0),"")</f>
        <v>Antioquia</v>
      </c>
      <c r="R735" s="27" t="str">
        <f>IF(N735="Si",IFERROR(VLOOKUP(F735,'TD Cumpl'!B:AB,27,0),"No Aplica"),"No Aplica")</f>
        <v>Fluctúa</v>
      </c>
      <c r="S735" s="38">
        <v>82</v>
      </c>
      <c r="T735" s="36">
        <v>10142140</v>
      </c>
      <c r="U735" s="26">
        <v>212</v>
      </c>
      <c r="V735" s="37">
        <v>30160325</v>
      </c>
      <c r="W735" s="19">
        <v>121</v>
      </c>
      <c r="X735" s="37">
        <v>11791710</v>
      </c>
      <c r="Y735" s="46">
        <f t="shared" si="24"/>
        <v>9356740</v>
      </c>
    </row>
    <row r="736" spans="1:25" x14ac:dyDescent="0.25">
      <c r="A736" s="20">
        <f>+VLOOKUP(D736,Back!Q:R,2,0)</f>
        <v>6</v>
      </c>
      <c r="B736" s="20" t="str">
        <f t="shared" si="23"/>
        <v>2017 JUN</v>
      </c>
      <c r="C736" s="20">
        <v>2017</v>
      </c>
      <c r="D736" s="21" t="s">
        <v>153</v>
      </c>
      <c r="E736" s="30" t="s">
        <v>90</v>
      </c>
      <c r="F736" s="30">
        <v>1020419011</v>
      </c>
      <c r="G736" s="30" t="s">
        <v>97</v>
      </c>
      <c r="H736" s="32">
        <v>56421701</v>
      </c>
      <c r="I736" s="32">
        <v>705400</v>
      </c>
      <c r="J736" s="32">
        <v>10686751</v>
      </c>
      <c r="K736" s="33">
        <v>45029550</v>
      </c>
      <c r="L736" s="33">
        <v>43000000</v>
      </c>
      <c r="M736" s="34">
        <v>1.0471988372093024</v>
      </c>
      <c r="N736" s="209" t="str">
        <f>IFERROR(VLOOKUP(F736,Back!C:F,4,0),"NO")</f>
        <v>Si</v>
      </c>
      <c r="O736" s="26">
        <v>24</v>
      </c>
      <c r="P736" s="28" t="str">
        <f>IFERROR(VLOOKUP(F736,Back!C:E,3,0),"")</f>
        <v>IPS Pto De Vista Punto Clave</v>
      </c>
      <c r="Q736" s="28" t="str">
        <f>IFERROR(VLOOKUP(P736,Back!M:N,2,0),"")</f>
        <v>Antioquia</v>
      </c>
      <c r="R736" s="27" t="str">
        <f>IF(N736="Si",IFERROR(VLOOKUP(F736,'TD Cumpl'!B:AB,27,0),"No Aplica"),"No Aplica")</f>
        <v>Cumple</v>
      </c>
      <c r="S736" s="38">
        <v>92</v>
      </c>
      <c r="T736" s="36">
        <v>9620397</v>
      </c>
      <c r="U736" s="26">
        <v>240</v>
      </c>
      <c r="V736" s="37">
        <v>24797288</v>
      </c>
      <c r="W736" s="19">
        <v>126</v>
      </c>
      <c r="X736" s="37">
        <v>10686751</v>
      </c>
      <c r="Y736" s="46">
        <f t="shared" si="24"/>
        <v>11317265</v>
      </c>
    </row>
    <row r="737" spans="1:25" x14ac:dyDescent="0.25">
      <c r="A737" s="20">
        <f>+VLOOKUP(D737,Back!Q:R,2,0)</f>
        <v>6</v>
      </c>
      <c r="B737" s="20" t="str">
        <f t="shared" si="23"/>
        <v>2017 JUN</v>
      </c>
      <c r="C737" s="20">
        <v>2017</v>
      </c>
      <c r="D737" s="21" t="s">
        <v>153</v>
      </c>
      <c r="E737" s="30" t="s">
        <v>117</v>
      </c>
      <c r="F737" s="30">
        <v>1020419615</v>
      </c>
      <c r="G737" s="30" t="s">
        <v>118</v>
      </c>
      <c r="H737" s="32">
        <v>50662810</v>
      </c>
      <c r="I737" s="32">
        <v>0</v>
      </c>
      <c r="J737" s="32">
        <v>9075633</v>
      </c>
      <c r="K737" s="33">
        <v>41587177</v>
      </c>
      <c r="L737" s="33">
        <v>38700000</v>
      </c>
      <c r="M737" s="34">
        <v>1.0746040568475452</v>
      </c>
      <c r="N737" s="209" t="str">
        <f>IFERROR(VLOOKUP(F737,Back!C:F,4,0),"NO")</f>
        <v>Si</v>
      </c>
      <c r="O737" s="26">
        <v>24</v>
      </c>
      <c r="P737" s="28" t="str">
        <f>IFERROR(VLOOKUP(F737,Back!C:E,3,0),"")</f>
        <v>IPS Pto De Vista Punto Clave</v>
      </c>
      <c r="Q737" s="28" t="str">
        <f>IFERROR(VLOOKUP(P737,Back!M:N,2,0),"")</f>
        <v>Antioquia</v>
      </c>
      <c r="R737" s="27" t="str">
        <f>IF(N737="Si",IFERROR(VLOOKUP(F737,'TD Cumpl'!B:AB,27,0),"No Aplica"),"No Aplica")</f>
        <v>Cumple</v>
      </c>
      <c r="S737" s="38">
        <v>89</v>
      </c>
      <c r="T737" s="36">
        <v>8796109</v>
      </c>
      <c r="U737" s="26">
        <v>216</v>
      </c>
      <c r="V737" s="37">
        <v>24810274</v>
      </c>
      <c r="W737" s="19">
        <v>111</v>
      </c>
      <c r="X737" s="37">
        <v>9075633</v>
      </c>
      <c r="Y737" s="46">
        <f t="shared" si="24"/>
        <v>7980794</v>
      </c>
    </row>
    <row r="738" spans="1:25" x14ac:dyDescent="0.25">
      <c r="A738" s="20">
        <f>+VLOOKUP(D738,Back!Q:R,2,0)</f>
        <v>6</v>
      </c>
      <c r="B738" s="20" t="str">
        <f t="shared" si="23"/>
        <v>2017 JUN</v>
      </c>
      <c r="C738" s="20">
        <v>2017</v>
      </c>
      <c r="D738" s="21" t="s">
        <v>153</v>
      </c>
      <c r="E738" s="30" t="s">
        <v>25</v>
      </c>
      <c r="F738" s="30">
        <v>1040030764</v>
      </c>
      <c r="G738" s="30" t="s">
        <v>43</v>
      </c>
      <c r="H738" s="32">
        <v>43679817</v>
      </c>
      <c r="I738" s="32">
        <v>3632000</v>
      </c>
      <c r="J738" s="32">
        <v>6586706</v>
      </c>
      <c r="K738" s="33">
        <v>33461111</v>
      </c>
      <c r="L738" s="33">
        <v>33000000</v>
      </c>
      <c r="M738" s="34">
        <v>1.0139730606060606</v>
      </c>
      <c r="N738" s="209" t="str">
        <f>IFERROR(VLOOKUP(F738,Back!C:F,4,0),"NO")</f>
        <v>Si</v>
      </c>
      <c r="O738" s="26">
        <v>24</v>
      </c>
      <c r="P738" s="28" t="str">
        <f>IFERROR(VLOOKUP(F738,Back!C:E,3,0),"")</f>
        <v>IPS Pto De Vista Rionegro</v>
      </c>
      <c r="Q738" s="28" t="str">
        <f>IFERROR(VLOOKUP(P738,Back!M:N,2,0),"")</f>
        <v>Antioquia</v>
      </c>
      <c r="R738" s="27" t="str">
        <f>IF(N738="Si",IFERROR(VLOOKUP(F738,'TD Cumpl'!B:AB,27,0),"No Aplica"),"No Aplica")</f>
        <v>Cumple</v>
      </c>
      <c r="S738" s="38">
        <v>77</v>
      </c>
      <c r="T738" s="36">
        <v>8549122</v>
      </c>
      <c r="U738" s="26">
        <v>203</v>
      </c>
      <c r="V738" s="37">
        <v>21836786</v>
      </c>
      <c r="W738" s="19">
        <v>84</v>
      </c>
      <c r="X738" s="37">
        <v>6586706</v>
      </c>
      <c r="Y738" s="46">
        <f t="shared" si="24"/>
        <v>6707203</v>
      </c>
    </row>
    <row r="739" spans="1:25" x14ac:dyDescent="0.25">
      <c r="A739" s="20">
        <f>+VLOOKUP(D739,Back!Q:R,2,0)</f>
        <v>6</v>
      </c>
      <c r="B739" s="20" t="str">
        <f t="shared" si="23"/>
        <v>2017 JUN</v>
      </c>
      <c r="C739" s="20">
        <v>2017</v>
      </c>
      <c r="D739" s="21" t="s">
        <v>153</v>
      </c>
      <c r="E739" s="30" t="s">
        <v>37</v>
      </c>
      <c r="F739" s="30">
        <v>1036779770</v>
      </c>
      <c r="G739" s="30" t="s">
        <v>52</v>
      </c>
      <c r="H739" s="32">
        <v>33249619</v>
      </c>
      <c r="I739" s="32">
        <v>1316000</v>
      </c>
      <c r="J739" s="32">
        <v>7211975</v>
      </c>
      <c r="K739" s="33">
        <v>24721644</v>
      </c>
      <c r="L739" s="33">
        <v>33000000</v>
      </c>
      <c r="M739" s="34">
        <v>0.74914072727272729</v>
      </c>
      <c r="N739" s="209" t="str">
        <f>IFERROR(VLOOKUP(F739,Back!C:F,4,0),"NO")</f>
        <v>No</v>
      </c>
      <c r="O739" s="26">
        <v>24</v>
      </c>
      <c r="P739" s="28" t="str">
        <f>IFERROR(VLOOKUP(F739,Back!C:E,3,0),"")</f>
        <v>IPS Pto De Vista Rionegro</v>
      </c>
      <c r="Q739" s="28" t="str">
        <f>IFERROR(VLOOKUP(P739,Back!M:N,2,0),"")</f>
        <v>Antioquia</v>
      </c>
      <c r="R739" s="27" t="str">
        <f>IF(N739="Si",IFERROR(VLOOKUP(F739,'TD Cumpl'!B:AB,27,0),"No Aplica"),"No Aplica")</f>
        <v>No Aplica</v>
      </c>
      <c r="S739" s="38">
        <v>61</v>
      </c>
      <c r="T739" s="36">
        <v>5926027</v>
      </c>
      <c r="U739" s="26">
        <v>156</v>
      </c>
      <c r="V739" s="37">
        <v>15081132</v>
      </c>
      <c r="W739" s="19">
        <v>95</v>
      </c>
      <c r="X739" s="37">
        <v>7211975</v>
      </c>
      <c r="Y739" s="46">
        <f t="shared" si="24"/>
        <v>5030485</v>
      </c>
    </row>
    <row r="740" spans="1:25" x14ac:dyDescent="0.25">
      <c r="A740" s="20">
        <f>+VLOOKUP(D740,Back!Q:R,2,0)</f>
        <v>6</v>
      </c>
      <c r="B740" s="20" t="str">
        <f t="shared" si="23"/>
        <v>2017 JUN</v>
      </c>
      <c r="C740" s="20">
        <v>2017</v>
      </c>
      <c r="D740" s="21" t="s">
        <v>153</v>
      </c>
      <c r="E740" s="30" t="s">
        <v>24</v>
      </c>
      <c r="F740" s="30">
        <v>39448823</v>
      </c>
      <c r="G740" s="30" t="s">
        <v>48</v>
      </c>
      <c r="H740" s="32">
        <v>42313791</v>
      </c>
      <c r="I740" s="32">
        <v>1827400</v>
      </c>
      <c r="J740" s="32">
        <v>5592581</v>
      </c>
      <c r="K740" s="33">
        <v>34893810</v>
      </c>
      <c r="L740" s="33">
        <v>33000000</v>
      </c>
      <c r="M740" s="34">
        <v>1.0573881818181818</v>
      </c>
      <c r="N740" s="209" t="str">
        <f>IFERROR(VLOOKUP(F740,Back!C:F,4,0),"NO")</f>
        <v>Si</v>
      </c>
      <c r="O740" s="26">
        <v>24</v>
      </c>
      <c r="P740" s="28" t="str">
        <f>IFERROR(VLOOKUP(F740,Back!C:E,3,0),"")</f>
        <v>IPS Pto De Vista Rionegro</v>
      </c>
      <c r="Q740" s="28" t="str">
        <f>IFERROR(VLOOKUP(P740,Back!M:N,2,0),"")</f>
        <v>Antioquia</v>
      </c>
      <c r="R740" s="27" t="str">
        <f>IF(N740="Si",IFERROR(VLOOKUP(F740,'TD Cumpl'!B:AB,27,0),"No Aplica"),"No Aplica")</f>
        <v>Siempre Cumple</v>
      </c>
      <c r="S740" s="38">
        <v>87</v>
      </c>
      <c r="T740" s="36">
        <v>8172866</v>
      </c>
      <c r="U740" s="26">
        <v>201</v>
      </c>
      <c r="V740" s="37">
        <v>22240101</v>
      </c>
      <c r="W740" s="19">
        <v>77</v>
      </c>
      <c r="X740" s="37">
        <v>5592581</v>
      </c>
      <c r="Y740" s="46">
        <f t="shared" si="24"/>
        <v>6308243</v>
      </c>
    </row>
    <row r="741" spans="1:25" x14ac:dyDescent="0.25">
      <c r="A741" s="20">
        <f>+VLOOKUP(D741,Back!Q:R,2,0)</f>
        <v>6</v>
      </c>
      <c r="B741" s="20" t="str">
        <f t="shared" si="23"/>
        <v>2017 JUN</v>
      </c>
      <c r="C741" s="20">
        <v>2017</v>
      </c>
      <c r="D741" s="21" t="s">
        <v>153</v>
      </c>
      <c r="E741" s="30" t="s">
        <v>9</v>
      </c>
      <c r="F741" s="30">
        <v>43169964</v>
      </c>
      <c r="G741" s="30" t="s">
        <v>155</v>
      </c>
      <c r="H741" s="32">
        <v>45966507</v>
      </c>
      <c r="I741" s="32">
        <v>744000</v>
      </c>
      <c r="J741" s="32">
        <v>10753714</v>
      </c>
      <c r="K741" s="33">
        <v>34468793</v>
      </c>
      <c r="L741" s="33">
        <v>30350000</v>
      </c>
      <c r="M741" s="34">
        <v>1.1357098187808896</v>
      </c>
      <c r="N741" s="209" t="str">
        <f>IFERROR(VLOOKUP(F741,Back!C:F,4,0),"NO")</f>
        <v>Si</v>
      </c>
      <c r="O741" s="26">
        <v>24</v>
      </c>
      <c r="P741" s="28" t="str">
        <f>IFERROR(VLOOKUP(F741,Back!C:E,3,0),"")</f>
        <v>IPS Pto De Vista Molinos</v>
      </c>
      <c r="Q741" s="28" t="str">
        <f>IFERROR(VLOOKUP(P741,Back!M:N,2,0),"")</f>
        <v>Antioquia</v>
      </c>
      <c r="R741" s="27" t="str">
        <f>IF(N741="Si",IFERROR(VLOOKUP(F741,'TD Cumpl'!B:AB,27,0),"No Aplica"),"No Aplica")</f>
        <v>Cumple</v>
      </c>
      <c r="S741" s="38">
        <v>99</v>
      </c>
      <c r="T741" s="36">
        <v>7933725</v>
      </c>
      <c r="U741" s="26">
        <v>224</v>
      </c>
      <c r="V741" s="37">
        <v>21786418</v>
      </c>
      <c r="W741" s="19">
        <v>119</v>
      </c>
      <c r="X741" s="37">
        <v>10753714</v>
      </c>
      <c r="Y741" s="46">
        <f t="shared" si="24"/>
        <v>5492650</v>
      </c>
    </row>
    <row r="742" spans="1:25" x14ac:dyDescent="0.25">
      <c r="A742" s="20">
        <f>+VLOOKUP(D742,Back!Q:R,2,0)</f>
        <v>6</v>
      </c>
      <c r="B742" s="20" t="str">
        <f t="shared" si="23"/>
        <v>2017 JUN</v>
      </c>
      <c r="C742" s="20">
        <v>2017</v>
      </c>
      <c r="D742" s="21" t="s">
        <v>153</v>
      </c>
      <c r="E742" s="30" t="s">
        <v>81</v>
      </c>
      <c r="F742" s="30">
        <v>1017200970</v>
      </c>
      <c r="G742" s="30" t="s">
        <v>82</v>
      </c>
      <c r="H742" s="32">
        <v>39474197</v>
      </c>
      <c r="I742" s="32">
        <v>1556000</v>
      </c>
      <c r="J742" s="32">
        <v>6445680</v>
      </c>
      <c r="K742" s="33">
        <v>31472517</v>
      </c>
      <c r="L742" s="33">
        <v>30100000</v>
      </c>
      <c r="M742" s="34">
        <v>1.0455985714285714</v>
      </c>
      <c r="N742" s="209" t="str">
        <f>IFERROR(VLOOKUP(F742,Back!C:F,4,0),"NO")</f>
        <v>Si</v>
      </c>
      <c r="O742" s="26">
        <v>24</v>
      </c>
      <c r="P742" s="28" t="str">
        <f>IFERROR(VLOOKUP(F742,Back!C:E,3,0),"")</f>
        <v>IPS Pto De Vista San Diego</v>
      </c>
      <c r="Q742" s="28" t="str">
        <f>IFERROR(VLOOKUP(P742,Back!M:N,2,0),"")</f>
        <v>Antioquia</v>
      </c>
      <c r="R742" s="27" t="str">
        <f>IF(N742="Si",IFERROR(VLOOKUP(F742,'TD Cumpl'!B:AB,27,0),"No Aplica"),"No Aplica")</f>
        <v>Cumple</v>
      </c>
      <c r="S742" s="38">
        <v>78</v>
      </c>
      <c r="T742" s="36">
        <v>7738946</v>
      </c>
      <c r="U742" s="26">
        <v>172</v>
      </c>
      <c r="V742" s="37">
        <v>18348482</v>
      </c>
      <c r="W742" s="19">
        <v>76</v>
      </c>
      <c r="X742" s="37">
        <v>6445680</v>
      </c>
      <c r="Y742" s="46">
        <f t="shared" si="24"/>
        <v>6941089</v>
      </c>
    </row>
    <row r="743" spans="1:25" x14ac:dyDescent="0.25">
      <c r="A743" s="20">
        <f>+VLOOKUP(D743,Back!Q:R,2,0)</f>
        <v>6</v>
      </c>
      <c r="B743" s="20" t="str">
        <f t="shared" si="23"/>
        <v>2017 JUN</v>
      </c>
      <c r="C743" s="20">
        <v>2017</v>
      </c>
      <c r="D743" s="21" t="s">
        <v>153</v>
      </c>
      <c r="E743" s="30" t="s">
        <v>91</v>
      </c>
      <c r="F743" s="30">
        <v>43114534</v>
      </c>
      <c r="G743" s="30" t="s">
        <v>95</v>
      </c>
      <c r="H743" s="32">
        <v>44461114</v>
      </c>
      <c r="I743" s="32">
        <v>1129760</v>
      </c>
      <c r="J743" s="32">
        <v>11490623</v>
      </c>
      <c r="K743" s="33">
        <v>31840731</v>
      </c>
      <c r="L743" s="33">
        <v>27090000</v>
      </c>
      <c r="M743" s="34">
        <v>1.1753684385382059</v>
      </c>
      <c r="N743" s="209" t="str">
        <f>IFERROR(VLOOKUP(F743,Back!C:F,4,0),"NO")</f>
        <v>No</v>
      </c>
      <c r="O743" s="26">
        <v>24</v>
      </c>
      <c r="P743" s="28" t="str">
        <f>IFERROR(VLOOKUP(F743,Back!C:E,3,0),"")</f>
        <v>IPS Pto De Vista San Diego</v>
      </c>
      <c r="Q743" s="28" t="str">
        <f>IFERROR(VLOOKUP(P743,Back!M:N,2,0),"")</f>
        <v>Antioquia</v>
      </c>
      <c r="R743" s="27" t="str">
        <f>IF(N743="Si",IFERROR(VLOOKUP(F743,'TD Cumpl'!B:AB,27,0),"No Aplica"),"No Aplica")</f>
        <v>No Aplica</v>
      </c>
      <c r="S743" s="38">
        <v>84</v>
      </c>
      <c r="T743" s="36">
        <v>7633919</v>
      </c>
      <c r="U743" s="26">
        <v>222</v>
      </c>
      <c r="V743" s="37">
        <v>19838965</v>
      </c>
      <c r="W743" s="19">
        <v>133</v>
      </c>
      <c r="X743" s="37">
        <v>11490623</v>
      </c>
      <c r="Y743" s="46">
        <f t="shared" si="24"/>
        <v>5497607</v>
      </c>
    </row>
    <row r="744" spans="1:25" x14ac:dyDescent="0.25">
      <c r="A744" s="20">
        <f>+VLOOKUP(D744,Back!Q:R,2,0)</f>
        <v>6</v>
      </c>
      <c r="B744" s="20" t="str">
        <f t="shared" si="23"/>
        <v>2017 JUN</v>
      </c>
      <c r="C744" s="20">
        <v>2017</v>
      </c>
      <c r="D744" s="21" t="s">
        <v>153</v>
      </c>
      <c r="E744" s="30" t="s">
        <v>17</v>
      </c>
      <c r="F744" s="30">
        <v>43113640</v>
      </c>
      <c r="G744" s="30" t="s">
        <v>47</v>
      </c>
      <c r="H744" s="32">
        <v>31196120</v>
      </c>
      <c r="I744" s="32">
        <v>608000</v>
      </c>
      <c r="J744" s="32">
        <v>5445123</v>
      </c>
      <c r="K744" s="33">
        <v>25142997</v>
      </c>
      <c r="L744" s="33">
        <v>25083333.333333336</v>
      </c>
      <c r="M744" s="34">
        <v>1.0023786179401992</v>
      </c>
      <c r="N744" s="209" t="str">
        <f>IFERROR(VLOOKUP(F744,Back!C:F,4,0),"NO")</f>
        <v>Si</v>
      </c>
      <c r="O744" s="26">
        <v>24</v>
      </c>
      <c r="P744" s="28" t="str">
        <f>IFERROR(VLOOKUP(F744,Back!C:E,3,0),"")</f>
        <v>IPS Pto De Vista San Diego</v>
      </c>
      <c r="Q744" s="28" t="str">
        <f>IFERROR(VLOOKUP(P744,Back!M:N,2,0),"")</f>
        <v>Antioquia</v>
      </c>
      <c r="R744" s="27" t="str">
        <f>IF(N744="Si",IFERROR(VLOOKUP(F744,'TD Cumpl'!B:AB,27,0),"No Aplica"),"No Aplica")</f>
        <v>Cumple</v>
      </c>
      <c r="S744" s="38">
        <v>62</v>
      </c>
      <c r="T744" s="36">
        <v>7621611</v>
      </c>
      <c r="U744" s="26">
        <v>126</v>
      </c>
      <c r="V744" s="37">
        <v>13548371</v>
      </c>
      <c r="W744" s="19">
        <v>57</v>
      </c>
      <c r="X744" s="37">
        <v>5445123</v>
      </c>
      <c r="Y744" s="46">
        <f t="shared" si="24"/>
        <v>4581015</v>
      </c>
    </row>
    <row r="745" spans="1:25" x14ac:dyDescent="0.25">
      <c r="A745" s="20">
        <f>+VLOOKUP(D745,Back!Q:R,2,0)</f>
        <v>6</v>
      </c>
      <c r="B745" s="20" t="str">
        <f t="shared" si="23"/>
        <v>2017 JUN</v>
      </c>
      <c r="C745" s="20">
        <v>2017</v>
      </c>
      <c r="D745" s="21" t="s">
        <v>153</v>
      </c>
      <c r="E745" s="30" t="s">
        <v>84</v>
      </c>
      <c r="F745" s="30">
        <v>1020736461</v>
      </c>
      <c r="G745" s="30" t="s">
        <v>156</v>
      </c>
      <c r="H745" s="32">
        <v>53113087</v>
      </c>
      <c r="I745" s="32">
        <v>1334000</v>
      </c>
      <c r="J745" s="32">
        <v>8163565</v>
      </c>
      <c r="K745" s="33">
        <v>43615522</v>
      </c>
      <c r="L745" s="33">
        <v>22000000</v>
      </c>
      <c r="M745" s="34">
        <v>1.9825237272727272</v>
      </c>
      <c r="N745" s="209" t="str">
        <f>IFERROR(VLOOKUP(F745,Back!C:F,4,0),"NO")</f>
        <v>Si</v>
      </c>
      <c r="O745" s="26">
        <v>24</v>
      </c>
      <c r="P745" s="28" t="str">
        <f>IFERROR(VLOOKUP(F745,Back!C:E,3,0),"")</f>
        <v>IPS Pto De Vista Santa Bárbara</v>
      </c>
      <c r="Q745" s="28" t="str">
        <f>IFERROR(VLOOKUP(P745,Back!M:N,2,0),"")</f>
        <v>Centro</v>
      </c>
      <c r="R745" s="27" t="str">
        <f>IF(N745="Si",IFERROR(VLOOKUP(F745,'TD Cumpl'!B:AB,27,0),"No Aplica"),"No Aplica")</f>
        <v>Siempre Cumple</v>
      </c>
      <c r="S745" s="38">
        <v>89</v>
      </c>
      <c r="T745" s="36">
        <v>9055246</v>
      </c>
      <c r="U745" s="26">
        <v>284</v>
      </c>
      <c r="V745" s="37">
        <v>33225950</v>
      </c>
      <c r="W745" s="19">
        <v>111</v>
      </c>
      <c r="X745" s="37">
        <v>8163565</v>
      </c>
      <c r="Y745" s="46">
        <f t="shared" si="24"/>
        <v>2668326</v>
      </c>
    </row>
    <row r="746" spans="1:25" x14ac:dyDescent="0.25">
      <c r="A746" s="20">
        <f>+VLOOKUP(D746,Back!Q:R,2,0)</f>
        <v>6</v>
      </c>
      <c r="B746" s="20" t="str">
        <f t="shared" si="23"/>
        <v>2017 JUN</v>
      </c>
      <c r="C746" s="20">
        <v>2017</v>
      </c>
      <c r="D746" s="21" t="s">
        <v>153</v>
      </c>
      <c r="E746" s="30" t="s">
        <v>102</v>
      </c>
      <c r="F746" s="30">
        <v>79850984</v>
      </c>
      <c r="G746" s="30" t="s">
        <v>106</v>
      </c>
      <c r="H746" s="32">
        <v>22742035</v>
      </c>
      <c r="I746" s="32">
        <v>412000</v>
      </c>
      <c r="J746" s="32">
        <v>3957288</v>
      </c>
      <c r="K746" s="33">
        <v>18372747</v>
      </c>
      <c r="L746" s="33">
        <v>13750000</v>
      </c>
      <c r="M746" s="34">
        <v>1.3361997818181819</v>
      </c>
      <c r="N746" s="209" t="str">
        <f>IFERROR(VLOOKUP(F746,Back!C:F,4,0),"NO")</f>
        <v>Si</v>
      </c>
      <c r="O746" s="26">
        <v>24</v>
      </c>
      <c r="P746" s="28" t="str">
        <f>IFERROR(VLOOKUP(F746,Back!C:E,3,0),"")</f>
        <v>IPS Pto De Vista SSura Clle100</v>
      </c>
      <c r="Q746" s="28" t="str">
        <f>IFERROR(VLOOKUP(P746,Back!M:N,2,0),"")</f>
        <v>Centro</v>
      </c>
      <c r="R746" s="27" t="str">
        <f>IF(N746="Si",IFERROR(VLOOKUP(F746,'TD Cumpl'!B:AB,27,0),"No Aplica"),"No Aplica")</f>
        <v>Fluctúa</v>
      </c>
      <c r="S746" s="38">
        <v>41</v>
      </c>
      <c r="T746" s="36">
        <v>3303310</v>
      </c>
      <c r="U746" s="26">
        <v>114</v>
      </c>
      <c r="V746" s="37">
        <v>13387551</v>
      </c>
      <c r="W746" s="19">
        <v>53</v>
      </c>
      <c r="X746" s="37">
        <v>3957288</v>
      </c>
      <c r="Y746" s="46">
        <f t="shared" si="24"/>
        <v>2093886</v>
      </c>
    </row>
    <row r="747" spans="1:25" x14ac:dyDescent="0.25">
      <c r="A747" s="20">
        <f>+VLOOKUP(D747,Back!Q:R,2,0)</f>
        <v>6</v>
      </c>
      <c r="B747" s="20" t="str">
        <f t="shared" si="23"/>
        <v>2017 JUN</v>
      </c>
      <c r="C747" s="20">
        <v>2017</v>
      </c>
      <c r="D747" s="21" t="s">
        <v>153</v>
      </c>
      <c r="E747" s="30" t="s">
        <v>2</v>
      </c>
      <c r="F747" s="30">
        <v>52260671</v>
      </c>
      <c r="G747" s="30" t="s">
        <v>26</v>
      </c>
      <c r="H747" s="32">
        <v>38407732</v>
      </c>
      <c r="I747" s="32">
        <v>1787400</v>
      </c>
      <c r="J747" s="32">
        <v>6726127</v>
      </c>
      <c r="K747" s="33">
        <v>29894205</v>
      </c>
      <c r="L747" s="33">
        <v>22000000</v>
      </c>
      <c r="M747" s="34">
        <v>1.3588275000000001</v>
      </c>
      <c r="N747" s="209" t="str">
        <f>IFERROR(VLOOKUP(F747,Back!C:F,4,0),"NO")</f>
        <v>Si</v>
      </c>
      <c r="O747" s="26">
        <v>24</v>
      </c>
      <c r="P747" s="28" t="str">
        <f>IFERROR(VLOOKUP(F747,Back!C:E,3,0),"")</f>
        <v>IPS Pto De Vista Santa Bárbara</v>
      </c>
      <c r="Q747" s="28" t="str">
        <f>IFERROR(VLOOKUP(P747,Back!M:N,2,0),"")</f>
        <v>Centro</v>
      </c>
      <c r="R747" s="27" t="str">
        <f>IF(N747="Si",IFERROR(VLOOKUP(F747,'TD Cumpl'!B:AB,27,0),"No Aplica"),"No Aplica")</f>
        <v>Siempre Cumple</v>
      </c>
      <c r="S747" s="38">
        <v>77</v>
      </c>
      <c r="T747" s="36">
        <v>7056236</v>
      </c>
      <c r="U747" s="26">
        <v>206</v>
      </c>
      <c r="V747" s="37">
        <v>20300768</v>
      </c>
      <c r="W747" s="19">
        <v>98</v>
      </c>
      <c r="X747" s="37">
        <v>6726127</v>
      </c>
      <c r="Y747" s="46">
        <f t="shared" si="24"/>
        <v>4324601</v>
      </c>
    </row>
    <row r="748" spans="1:25" x14ac:dyDescent="0.25">
      <c r="A748" s="20">
        <f>+VLOOKUP(D748,Back!Q:R,2,0)</f>
        <v>6</v>
      </c>
      <c r="B748" s="20" t="str">
        <f t="shared" si="23"/>
        <v>2017 JUN</v>
      </c>
      <c r="C748" s="20">
        <v>2017</v>
      </c>
      <c r="D748" s="21" t="s">
        <v>153</v>
      </c>
      <c r="E748" s="30" t="s">
        <v>38</v>
      </c>
      <c r="F748" s="30">
        <v>43745192</v>
      </c>
      <c r="G748" s="30" t="s">
        <v>45</v>
      </c>
      <c r="H748" s="32">
        <v>30697130</v>
      </c>
      <c r="I748" s="32">
        <v>669600</v>
      </c>
      <c r="J748" s="32">
        <v>691969</v>
      </c>
      <c r="K748" s="33">
        <v>29335561</v>
      </c>
      <c r="L748" s="33">
        <v>25000000</v>
      </c>
      <c r="M748" s="34">
        <v>1.17342244</v>
      </c>
      <c r="N748" s="209" t="str">
        <f>IFERROR(VLOOKUP(F748,Back!C:F,4,0),"NO")</f>
        <v>Si</v>
      </c>
      <c r="O748" s="26">
        <v>24</v>
      </c>
      <c r="P748" s="28" t="str">
        <f>IFERROR(VLOOKUP(F748,Back!C:E,3,0),"")</f>
        <v>IPS Punto de Vista Mayorca</v>
      </c>
      <c r="Q748" s="28" t="str">
        <f>IFERROR(VLOOKUP(P748,Back!M:N,2,0),"")</f>
        <v>Antioquia</v>
      </c>
      <c r="R748" s="27" t="str">
        <f>IF(N748="Si",IFERROR(VLOOKUP(F748,'TD Cumpl'!B:AB,27,0),"No Aplica"),"No Aplica")</f>
        <v>Cumple</v>
      </c>
      <c r="S748" s="38">
        <v>50</v>
      </c>
      <c r="T748" s="36">
        <v>6518830</v>
      </c>
      <c r="U748" s="26">
        <v>159</v>
      </c>
      <c r="V748" s="37">
        <v>20796206</v>
      </c>
      <c r="W748" s="19">
        <v>9</v>
      </c>
      <c r="X748" s="37">
        <v>691969</v>
      </c>
      <c r="Y748" s="46">
        <f t="shared" si="24"/>
        <v>2690125</v>
      </c>
    </row>
    <row r="749" spans="1:25" x14ac:dyDescent="0.25">
      <c r="A749" s="20">
        <f>+VLOOKUP(D749,Back!Q:R,2,0)</f>
        <v>6</v>
      </c>
      <c r="B749" s="20" t="str">
        <f t="shared" si="23"/>
        <v>2017 JUN</v>
      </c>
      <c r="C749" s="20">
        <v>2017</v>
      </c>
      <c r="D749" s="21" t="s">
        <v>153</v>
      </c>
      <c r="E749" s="30" t="s">
        <v>6</v>
      </c>
      <c r="F749" s="30">
        <v>43821410</v>
      </c>
      <c r="G749" s="30" t="s">
        <v>40</v>
      </c>
      <c r="H749" s="32">
        <v>74256180</v>
      </c>
      <c r="I749" s="32">
        <v>1196000</v>
      </c>
      <c r="J749" s="32">
        <v>12454479</v>
      </c>
      <c r="K749" s="33">
        <v>60605701</v>
      </c>
      <c r="L749" s="33">
        <v>43000000</v>
      </c>
      <c r="M749" s="34">
        <v>1.4094349069767442</v>
      </c>
      <c r="N749" s="209" t="str">
        <f>IFERROR(VLOOKUP(F749,Back!C:F,4,0),"NO")</f>
        <v>Si</v>
      </c>
      <c r="O749" s="26">
        <v>24</v>
      </c>
      <c r="P749" s="28" t="str">
        <f>IFERROR(VLOOKUP(F749,Back!C:E,3,0),"")</f>
        <v>IPS Pto De Vista Unicentro</v>
      </c>
      <c r="Q749" s="28" t="str">
        <f>IFERROR(VLOOKUP(P749,Back!M:N,2,0),"")</f>
        <v>Antioquia</v>
      </c>
      <c r="R749" s="27" t="str">
        <f>IF(N749="Si",IFERROR(VLOOKUP(F749,'TD Cumpl'!B:AB,27,0),"No Aplica"),"No Aplica")</f>
        <v>Siempre Cumple</v>
      </c>
      <c r="S749" s="38">
        <v>122</v>
      </c>
      <c r="T749" s="36">
        <v>15262193</v>
      </c>
      <c r="U749" s="26">
        <v>276</v>
      </c>
      <c r="V749" s="37">
        <v>37908358</v>
      </c>
      <c r="W749" s="19">
        <v>132</v>
      </c>
      <c r="X749" s="37">
        <v>12454479</v>
      </c>
      <c r="Y749" s="46">
        <f t="shared" si="24"/>
        <v>8631150</v>
      </c>
    </row>
    <row r="750" spans="1:25" x14ac:dyDescent="0.25">
      <c r="A750" s="20">
        <f>+VLOOKUP(D750,Back!Q:R,2,0)</f>
        <v>6</v>
      </c>
      <c r="B750" s="20" t="str">
        <f t="shared" si="23"/>
        <v>2017 JUN</v>
      </c>
      <c r="C750" s="20">
        <v>2017</v>
      </c>
      <c r="D750" s="21" t="s">
        <v>153</v>
      </c>
      <c r="E750" s="30" t="s">
        <v>22</v>
      </c>
      <c r="F750" s="30">
        <v>42164020</v>
      </c>
      <c r="G750" s="30" t="s">
        <v>105</v>
      </c>
      <c r="H750" s="32">
        <v>53586384</v>
      </c>
      <c r="I750" s="32">
        <v>412000</v>
      </c>
      <c r="J750" s="32">
        <v>11555251</v>
      </c>
      <c r="K750" s="33">
        <v>41619133</v>
      </c>
      <c r="L750" s="33">
        <v>39416666.666666672</v>
      </c>
      <c r="M750" s="34">
        <v>1.0558765243128962</v>
      </c>
      <c r="N750" s="209" t="str">
        <f>IFERROR(VLOOKUP(F750,Back!C:F,4,0),"NO")</f>
        <v>Si</v>
      </c>
      <c r="O750" s="26">
        <v>24</v>
      </c>
      <c r="P750" s="28" t="str">
        <f>IFERROR(VLOOKUP(F750,Back!C:E,3,0),"")</f>
        <v>IPS Pto De Vista Molinos</v>
      </c>
      <c r="Q750" s="28" t="str">
        <f>IFERROR(VLOOKUP(P750,Back!M:N,2,0),"")</f>
        <v>Antioquia</v>
      </c>
      <c r="R750" s="27" t="str">
        <f>IF(N750="Si",IFERROR(VLOOKUP(F750,'TD Cumpl'!B:AB,27,0),"No Aplica"),"No Aplica")</f>
        <v>Siempre Cumple</v>
      </c>
      <c r="S750" s="38">
        <v>84</v>
      </c>
      <c r="T750" s="36">
        <v>8628881</v>
      </c>
      <c r="U750" s="26">
        <v>232</v>
      </c>
      <c r="V750" s="37">
        <v>28696773</v>
      </c>
      <c r="W750" s="19">
        <v>120</v>
      </c>
      <c r="X750" s="37">
        <v>11555251</v>
      </c>
      <c r="Y750" s="46">
        <f t="shared" si="24"/>
        <v>4705479</v>
      </c>
    </row>
    <row r="751" spans="1:25" x14ac:dyDescent="0.25">
      <c r="A751" s="20">
        <f>+VLOOKUP(D751,Back!Q:R,2,0)</f>
        <v>6</v>
      </c>
      <c r="B751" s="20" t="str">
        <f t="shared" si="23"/>
        <v>2017 JUN</v>
      </c>
      <c r="C751" s="20">
        <v>2017</v>
      </c>
      <c r="D751" s="21" t="s">
        <v>153</v>
      </c>
      <c r="E751" s="30" t="s">
        <v>20</v>
      </c>
      <c r="F751" s="30">
        <v>1017141451</v>
      </c>
      <c r="G751" s="30" t="s">
        <v>44</v>
      </c>
      <c r="H751" s="32">
        <v>56763919</v>
      </c>
      <c r="I751" s="32">
        <v>2548000</v>
      </c>
      <c r="J751" s="32">
        <v>9989208</v>
      </c>
      <c r="K751" s="33">
        <v>44226711</v>
      </c>
      <c r="L751" s="33">
        <v>43000000</v>
      </c>
      <c r="M751" s="34">
        <v>1.0285281627906977</v>
      </c>
      <c r="N751" s="209" t="str">
        <f>IFERROR(VLOOKUP(F751,Back!C:F,4,0),"NO")</f>
        <v>Si</v>
      </c>
      <c r="O751" s="26">
        <v>24</v>
      </c>
      <c r="P751" s="28" t="str">
        <f>IFERROR(VLOOKUP(F751,Back!C:E,3,0),"")</f>
        <v>IPS Pto De Vista Molinos</v>
      </c>
      <c r="Q751" s="28" t="str">
        <f>IFERROR(VLOOKUP(P751,Back!M:N,2,0),"")</f>
        <v>Antioquia</v>
      </c>
      <c r="R751" s="27" t="str">
        <f>IF(N751="Si",IFERROR(VLOOKUP(F751,'TD Cumpl'!B:AB,27,0),"No Aplica"),"No Aplica")</f>
        <v>Siempre Cumple</v>
      </c>
      <c r="S751" s="38">
        <v>100</v>
      </c>
      <c r="T751" s="36">
        <v>12334360</v>
      </c>
      <c r="U751" s="26">
        <v>258</v>
      </c>
      <c r="V751" s="37">
        <v>26937636</v>
      </c>
      <c r="W751" s="19">
        <v>115</v>
      </c>
      <c r="X751" s="37">
        <v>9989208</v>
      </c>
      <c r="Y751" s="46">
        <f t="shared" si="24"/>
        <v>7502715</v>
      </c>
    </row>
    <row r="752" spans="1:25" x14ac:dyDescent="0.25">
      <c r="A752" s="20">
        <f>+VLOOKUP(D752,Back!Q:R,2,0)</f>
        <v>6</v>
      </c>
      <c r="B752" s="20" t="str">
        <f t="shared" si="23"/>
        <v>2017 JUN</v>
      </c>
      <c r="C752" s="20">
        <v>2017</v>
      </c>
      <c r="D752" s="21" t="s">
        <v>153</v>
      </c>
      <c r="E752" s="30" t="s">
        <v>11</v>
      </c>
      <c r="F752" s="30">
        <v>43253531</v>
      </c>
      <c r="G752" s="30" t="s">
        <v>39</v>
      </c>
      <c r="H752" s="32">
        <v>19190423</v>
      </c>
      <c r="I752" s="32">
        <v>304000</v>
      </c>
      <c r="J752" s="32">
        <v>608945</v>
      </c>
      <c r="K752" s="33">
        <v>18277478</v>
      </c>
      <c r="L752" s="33">
        <v>7250000</v>
      </c>
      <c r="M752" s="34">
        <v>2.521031448275862</v>
      </c>
      <c r="N752" s="209" t="str">
        <f>IFERROR(VLOOKUP(F752,Back!C:F,4,0),"NO")</f>
        <v>Si</v>
      </c>
      <c r="O752" s="26">
        <v>24</v>
      </c>
      <c r="P752" s="28" t="str">
        <f>IFERROR(VLOOKUP(F752,Back!C:E,3,0),"")</f>
        <v>IPS Punto de Vista Bello</v>
      </c>
      <c r="Q752" s="28" t="str">
        <f>IFERROR(VLOOKUP(P752,Back!M:N,2,0),"")</f>
        <v>Antioquia</v>
      </c>
      <c r="R752" s="27" t="str">
        <f>IF(N752="Si",IFERROR(VLOOKUP(F752,'TD Cumpl'!B:AB,27,0),"No Aplica"),"No Aplica")</f>
        <v>Cumple</v>
      </c>
      <c r="S752" s="38">
        <v>34</v>
      </c>
      <c r="T752" s="36">
        <v>3089639</v>
      </c>
      <c r="U752" s="26">
        <v>97</v>
      </c>
      <c r="V752" s="37">
        <v>12952502</v>
      </c>
      <c r="W752" s="19">
        <v>8</v>
      </c>
      <c r="X752" s="37">
        <v>608945</v>
      </c>
      <c r="Y752" s="46">
        <f t="shared" si="24"/>
        <v>2539337</v>
      </c>
    </row>
    <row r="753" spans="1:25" x14ac:dyDescent="0.25">
      <c r="A753" s="20">
        <f>+VLOOKUP(D753,Back!Q:R,2,0)</f>
        <v>6</v>
      </c>
      <c r="B753" s="20" t="str">
        <f t="shared" si="23"/>
        <v>2017 JUN</v>
      </c>
      <c r="C753" s="20">
        <v>2017</v>
      </c>
      <c r="D753" s="21" t="s">
        <v>153</v>
      </c>
      <c r="E753" s="30" t="s">
        <v>108</v>
      </c>
      <c r="F753" s="30">
        <v>1020443426</v>
      </c>
      <c r="G753" s="30" t="s">
        <v>109</v>
      </c>
      <c r="H753" s="32">
        <v>47046467</v>
      </c>
      <c r="I753" s="32">
        <v>676000</v>
      </c>
      <c r="J753" s="32">
        <v>14725768</v>
      </c>
      <c r="K753" s="33">
        <v>31644699</v>
      </c>
      <c r="L753" s="33">
        <v>30208333.333333332</v>
      </c>
      <c r="M753" s="34">
        <v>1.0475486565517242</v>
      </c>
      <c r="N753" s="209" t="str">
        <f>IFERROR(VLOOKUP(F753,Back!C:F,4,0),"NO")</f>
        <v>Si</v>
      </c>
      <c r="O753" s="26">
        <v>24</v>
      </c>
      <c r="P753" s="28" t="str">
        <f>IFERROR(VLOOKUP(F753,Back!C:E,3,0),"")</f>
        <v>IPS Pto De Vista San Diego</v>
      </c>
      <c r="Q753" s="28" t="str">
        <f>IFERROR(VLOOKUP(P753,Back!M:N,2,0),"")</f>
        <v>Antioquia</v>
      </c>
      <c r="R753" s="27" t="str">
        <f>IF(N753="Si",IFERROR(VLOOKUP(F753,'TD Cumpl'!B:AB,27,0),"No Aplica"),"No Aplica")</f>
        <v>Fluctúa</v>
      </c>
      <c r="S753" s="38">
        <v>96</v>
      </c>
      <c r="T753" s="36">
        <v>7589179</v>
      </c>
      <c r="U753" s="26">
        <v>216</v>
      </c>
      <c r="V753" s="37">
        <v>21200553</v>
      </c>
      <c r="W753" s="19">
        <v>169</v>
      </c>
      <c r="X753" s="37">
        <v>14725768</v>
      </c>
      <c r="Y753" s="46">
        <f t="shared" si="24"/>
        <v>3530967</v>
      </c>
    </row>
    <row r="754" spans="1:25" x14ac:dyDescent="0.25">
      <c r="A754" s="20">
        <f>+VLOOKUP(D754,Back!Q:R,2,0)</f>
        <v>6</v>
      </c>
      <c r="B754" s="20" t="str">
        <f t="shared" si="23"/>
        <v>2017 JUN</v>
      </c>
      <c r="C754" s="20">
        <v>2017</v>
      </c>
      <c r="D754" s="21" t="s">
        <v>153</v>
      </c>
      <c r="E754" s="30" t="s">
        <v>147</v>
      </c>
      <c r="F754" s="30">
        <v>31309227</v>
      </c>
      <c r="G754" s="30" t="s">
        <v>148</v>
      </c>
      <c r="H754" s="32">
        <v>8792151</v>
      </c>
      <c r="I754" s="32">
        <v>0</v>
      </c>
      <c r="J754" s="32">
        <v>2747760</v>
      </c>
      <c r="K754" s="33">
        <v>6044391</v>
      </c>
      <c r="L754" s="33">
        <v>24000000</v>
      </c>
      <c r="M754" s="34">
        <v>0.25184962500000002</v>
      </c>
      <c r="N754" s="209" t="str">
        <f>IFERROR(VLOOKUP(F754,Back!C:F,4,0),"NO")</f>
        <v>No</v>
      </c>
      <c r="O754" s="26">
        <v>24</v>
      </c>
      <c r="P754" s="28" t="str">
        <f>IFERROR(VLOOKUP(F754,Back!C:E,3,0),"")</f>
        <v/>
      </c>
      <c r="Q754" s="28" t="str">
        <f>IFERROR(VLOOKUP(P754,Back!M:N,2,0),"")</f>
        <v/>
      </c>
      <c r="R754" s="27" t="str">
        <f>IF(N754="Si",IFERROR(VLOOKUP(F754,'TD Cumpl'!B:AB,27,0),"No Aplica"),"No Aplica")</f>
        <v>No Aplica</v>
      </c>
      <c r="S754" s="38">
        <v>16</v>
      </c>
      <c r="T754" s="36">
        <v>1302390</v>
      </c>
      <c r="U754" s="26">
        <v>52</v>
      </c>
      <c r="V754" s="37">
        <v>4084395</v>
      </c>
      <c r="W754" s="19">
        <v>40</v>
      </c>
      <c r="X754" s="37">
        <v>2747760</v>
      </c>
      <c r="Y754" s="46">
        <f t="shared" si="24"/>
        <v>657606</v>
      </c>
    </row>
    <row r="755" spans="1:25" x14ac:dyDescent="0.25">
      <c r="A755" s="20">
        <f>+VLOOKUP(D755,Back!Q:R,2,0)</f>
        <v>6</v>
      </c>
      <c r="B755" s="20" t="str">
        <f t="shared" si="23"/>
        <v>2017 JUN</v>
      </c>
      <c r="C755" s="20">
        <v>2017</v>
      </c>
      <c r="D755" s="21" t="s">
        <v>153</v>
      </c>
      <c r="E755" s="30" t="s">
        <v>149</v>
      </c>
      <c r="F755" s="30">
        <v>1130597373</v>
      </c>
      <c r="G755" s="30" t="s">
        <v>150</v>
      </c>
      <c r="H755" s="31">
        <v>18435092</v>
      </c>
      <c r="I755" s="32">
        <v>0</v>
      </c>
      <c r="J755" s="32">
        <v>7135081</v>
      </c>
      <c r="K755" s="33">
        <v>11300011</v>
      </c>
      <c r="L755" s="33">
        <v>24000000</v>
      </c>
      <c r="M755" s="34">
        <v>0.47083379166666667</v>
      </c>
      <c r="N755" s="209" t="str">
        <f>IFERROR(VLOOKUP(F755,Back!C:F,4,0),"NO")</f>
        <v>Si</v>
      </c>
      <c r="O755" s="26">
        <v>24</v>
      </c>
      <c r="P755" s="28" t="str">
        <f>IFERROR(VLOOKUP(F755,Back!C:E,3,0),"")</f>
        <v>Punto de Vista Cali Norte</v>
      </c>
      <c r="Q755" s="28" t="str">
        <f>IFERROR(VLOOKUP(P755,Back!M:N,2,0),"")</f>
        <v>Occidente</v>
      </c>
      <c r="R755" s="27" t="str">
        <f>IF(N755="Si",IFERROR(VLOOKUP(F755,'TD Cumpl'!B:AB,27,0),"No Aplica"),"No Aplica")</f>
        <v>Fluctúa</v>
      </c>
      <c r="S755" s="38">
        <v>28</v>
      </c>
      <c r="T755" s="36">
        <v>2710399</v>
      </c>
      <c r="U755" s="26">
        <v>86</v>
      </c>
      <c r="V755" s="37">
        <v>6667642</v>
      </c>
      <c r="W755" s="19">
        <v>82</v>
      </c>
      <c r="X755" s="37">
        <v>7135081</v>
      </c>
      <c r="Y755" s="46">
        <f t="shared" si="24"/>
        <v>1921970</v>
      </c>
    </row>
    <row r="756" spans="1:25" x14ac:dyDescent="0.25">
      <c r="A756" s="20">
        <f>+VLOOKUP(D756,Back!Q:R,2,0)</f>
        <v>6</v>
      </c>
      <c r="B756" s="20" t="str">
        <f t="shared" si="23"/>
        <v>2017 JUN</v>
      </c>
      <c r="C756" s="20">
        <v>2017</v>
      </c>
      <c r="D756" s="21" t="s">
        <v>153</v>
      </c>
      <c r="E756" s="30" t="s">
        <v>88</v>
      </c>
      <c r="F756" s="30">
        <v>31445278</v>
      </c>
      <c r="G756" s="30" t="s">
        <v>93</v>
      </c>
      <c r="H756" s="32">
        <v>43263275</v>
      </c>
      <c r="I756" s="32">
        <v>0</v>
      </c>
      <c r="J756" s="32">
        <v>8453428</v>
      </c>
      <c r="K756" s="33">
        <v>34809847</v>
      </c>
      <c r="L756" s="33">
        <v>30000000</v>
      </c>
      <c r="M756" s="34">
        <v>1.1603282333333333</v>
      </c>
      <c r="N756" s="209" t="str">
        <f>IFERROR(VLOOKUP(F756,Back!C:F,4,0),"NO")</f>
        <v>Si</v>
      </c>
      <c r="O756" s="26">
        <v>24</v>
      </c>
      <c r="P756" s="28" t="str">
        <f>IFERROR(VLOOKUP(F756,Back!C:E,3,0),"")</f>
        <v>Punto de Vista Tequendama</v>
      </c>
      <c r="Q756" s="28" t="str">
        <f>IFERROR(VLOOKUP(P756,Back!M:N,2,0),"")</f>
        <v>Occidente</v>
      </c>
      <c r="R756" s="27" t="str">
        <f>IF(N756="Si",IFERROR(VLOOKUP(F756,'TD Cumpl'!B:AB,27,0),"No Aplica"),"No Aplica")</f>
        <v>Cumple</v>
      </c>
      <c r="S756" s="38">
        <v>96</v>
      </c>
      <c r="T756" s="36">
        <v>8971814</v>
      </c>
      <c r="U756" s="26">
        <v>292</v>
      </c>
      <c r="V756" s="37">
        <v>21341093</v>
      </c>
      <c r="W756" s="19">
        <v>104</v>
      </c>
      <c r="X756" s="37">
        <v>8453428</v>
      </c>
      <c r="Y756" s="46">
        <f t="shared" si="24"/>
        <v>4496940</v>
      </c>
    </row>
    <row r="757" spans="1:25" x14ac:dyDescent="0.25">
      <c r="A757" s="20">
        <f>+VLOOKUP(D757,Back!Q:R,2,0)</f>
        <v>6</v>
      </c>
      <c r="B757" s="20" t="str">
        <f t="shared" si="23"/>
        <v>2017 JUN</v>
      </c>
      <c r="C757" s="20">
        <v>2017</v>
      </c>
      <c r="D757" s="21" t="s">
        <v>153</v>
      </c>
      <c r="E757" s="30" t="s">
        <v>5</v>
      </c>
      <c r="F757" s="30">
        <v>34542470</v>
      </c>
      <c r="G757" s="30" t="s">
        <v>28</v>
      </c>
      <c r="H757" s="32">
        <v>29745580</v>
      </c>
      <c r="I757" s="32">
        <v>166680</v>
      </c>
      <c r="J757" s="32">
        <v>3801496</v>
      </c>
      <c r="K757" s="33">
        <v>25777404</v>
      </c>
      <c r="L757" s="33">
        <v>25000000</v>
      </c>
      <c r="M757" s="34">
        <v>1.0310961599999999</v>
      </c>
      <c r="N757" s="209" t="str">
        <f>IFERROR(VLOOKUP(F757,Back!C:F,4,0),"NO")</f>
        <v>Si</v>
      </c>
      <c r="O757" s="26">
        <v>24</v>
      </c>
      <c r="P757" s="28" t="str">
        <f>IFERROR(VLOOKUP(F757,Back!C:E,3,0),"")</f>
        <v>Optica Salud Sura Chipichape</v>
      </c>
      <c r="Q757" s="28" t="str">
        <f>IFERROR(VLOOKUP(P757,Back!M:N,2,0),"")</f>
        <v>Occidente</v>
      </c>
      <c r="R757" s="27" t="str">
        <f>IF(N757="Si",IFERROR(VLOOKUP(F757,'TD Cumpl'!B:AB,27,0),"No Aplica"),"No Aplica")</f>
        <v>Siempre Cumple</v>
      </c>
      <c r="S757" s="38">
        <v>53</v>
      </c>
      <c r="T757" s="36">
        <v>7155323</v>
      </c>
      <c r="U757" s="26">
        <v>156</v>
      </c>
      <c r="V757" s="37">
        <v>16270529</v>
      </c>
      <c r="W757" s="19">
        <v>44</v>
      </c>
      <c r="X757" s="37">
        <v>3801496</v>
      </c>
      <c r="Y757" s="46">
        <f t="shared" si="24"/>
        <v>2518232</v>
      </c>
    </row>
    <row r="758" spans="1:25" x14ac:dyDescent="0.25">
      <c r="A758" s="20">
        <f>+VLOOKUP(D758,Back!Q:R,2,0)</f>
        <v>6</v>
      </c>
      <c r="B758" s="20" t="str">
        <f t="shared" si="23"/>
        <v>2017 JUN</v>
      </c>
      <c r="C758" s="20">
        <v>2017</v>
      </c>
      <c r="D758" s="21" t="s">
        <v>153</v>
      </c>
      <c r="E758" s="30" t="s">
        <v>86</v>
      </c>
      <c r="F758" s="30"/>
      <c r="G758" s="30"/>
      <c r="H758" s="32">
        <v>0</v>
      </c>
      <c r="I758" s="32">
        <v>0</v>
      </c>
      <c r="J758" s="32">
        <v>0</v>
      </c>
      <c r="K758" s="33">
        <v>0</v>
      </c>
      <c r="L758" s="33"/>
      <c r="M758" s="34"/>
      <c r="N758" s="209" t="str">
        <f>IFERROR(VLOOKUP(F758,Back!C:F,4,0),"NO")</f>
        <v>NO</v>
      </c>
      <c r="O758" s="26">
        <v>24</v>
      </c>
      <c r="P758" s="28" t="str">
        <f>IFERROR(VLOOKUP(F758,Back!C:E,3,0),"")</f>
        <v/>
      </c>
      <c r="Q758" s="28" t="str">
        <f>IFERROR(VLOOKUP(P758,Back!M:N,2,0),"")</f>
        <v/>
      </c>
      <c r="R758" s="27" t="str">
        <f>IF(N758="Si",IFERROR(VLOOKUP(F758,'TD Cumpl'!B:AB,27,0),"No Aplica"),"No Aplica")</f>
        <v>No Aplica</v>
      </c>
      <c r="S758" s="38">
        <v>0</v>
      </c>
      <c r="T758" s="36">
        <v>0</v>
      </c>
      <c r="U758" s="26">
        <v>0</v>
      </c>
      <c r="V758" s="37">
        <v>0</v>
      </c>
      <c r="W758" s="19">
        <v>0</v>
      </c>
      <c r="X758" s="37">
        <v>0</v>
      </c>
      <c r="Y758" s="46">
        <f t="shared" si="24"/>
        <v>0</v>
      </c>
    </row>
    <row r="759" spans="1:25" x14ac:dyDescent="0.25">
      <c r="A759" s="20">
        <f>+VLOOKUP(D759,Back!Q:R,2,0)</f>
        <v>6</v>
      </c>
      <c r="B759" s="20" t="str">
        <f t="shared" si="23"/>
        <v>2017 JUN</v>
      </c>
      <c r="C759" s="20">
        <v>2017</v>
      </c>
      <c r="D759" s="21" t="s">
        <v>153</v>
      </c>
      <c r="E759" s="30" t="s">
        <v>151</v>
      </c>
      <c r="F759" s="30"/>
      <c r="G759" s="30"/>
      <c r="H759" s="32">
        <v>88400</v>
      </c>
      <c r="I759" s="32">
        <v>0</v>
      </c>
      <c r="J759" s="32">
        <v>0</v>
      </c>
      <c r="K759" s="33">
        <v>88400</v>
      </c>
      <c r="L759" s="33"/>
      <c r="M759" s="34"/>
      <c r="N759" s="209" t="str">
        <f>IFERROR(VLOOKUP(F759,Back!C:F,4,0),"NO")</f>
        <v>NO</v>
      </c>
      <c r="O759" s="26">
        <v>24</v>
      </c>
      <c r="P759" s="28" t="str">
        <f>IFERROR(VLOOKUP(F759,Back!C:E,3,0),"")</f>
        <v/>
      </c>
      <c r="Q759" s="28" t="str">
        <f>IFERROR(VLOOKUP(P759,Back!M:N,2,0),"")</f>
        <v/>
      </c>
      <c r="R759" s="27" t="str">
        <f>IF(N759="Si",IFERROR(VLOOKUP(F759,'TD Cumpl'!B:AB,27,0),"No Aplica"),"No Aplica")</f>
        <v>No Aplica</v>
      </c>
      <c r="S759" s="38">
        <v>0</v>
      </c>
      <c r="T759" s="36">
        <v>0</v>
      </c>
      <c r="U759" s="26">
        <v>0</v>
      </c>
      <c r="V759" s="37">
        <v>0</v>
      </c>
      <c r="W759" s="19">
        <v>0</v>
      </c>
      <c r="X759" s="37">
        <v>0</v>
      </c>
      <c r="Y759" s="46">
        <f t="shared" si="24"/>
        <v>88400</v>
      </c>
    </row>
    <row r="760" spans="1:25" x14ac:dyDescent="0.25">
      <c r="A760" s="20">
        <f>+VLOOKUP(D760,Back!Q:R,2,0)</f>
        <v>6</v>
      </c>
      <c r="B760" s="20" t="str">
        <f t="shared" si="23"/>
        <v>2017 JUN</v>
      </c>
      <c r="C760" s="20">
        <v>2017</v>
      </c>
      <c r="D760" s="21" t="s">
        <v>153</v>
      </c>
      <c r="E760" s="30" t="s">
        <v>119</v>
      </c>
      <c r="F760" s="30"/>
      <c r="G760" s="30"/>
      <c r="H760" s="32">
        <v>1752706</v>
      </c>
      <c r="I760" s="32">
        <v>0</v>
      </c>
      <c r="J760" s="32">
        <v>539708</v>
      </c>
      <c r="K760" s="33">
        <v>1212998</v>
      </c>
      <c r="L760" s="33"/>
      <c r="M760" s="34"/>
      <c r="N760" s="209" t="str">
        <f>IFERROR(VLOOKUP(F760,Back!C:F,4,0),"NO")</f>
        <v>NO</v>
      </c>
      <c r="O760" s="26">
        <v>24</v>
      </c>
      <c r="P760" s="28" t="str">
        <f>IFERROR(VLOOKUP(F760,Back!C:E,3,0),"")</f>
        <v/>
      </c>
      <c r="Q760" s="28" t="str">
        <f>IFERROR(VLOOKUP(P760,Back!M:N,2,0),"")</f>
        <v/>
      </c>
      <c r="R760" s="27" t="str">
        <f>IF(N760="Si",IFERROR(VLOOKUP(F760,'TD Cumpl'!B:AB,27,0),"No Aplica"),"No Aplica")</f>
        <v>No Aplica</v>
      </c>
      <c r="S760" s="38">
        <v>3</v>
      </c>
      <c r="T760" s="36">
        <v>229854</v>
      </c>
      <c r="U760" s="26">
        <v>4</v>
      </c>
      <c r="V760" s="37">
        <v>646245</v>
      </c>
      <c r="W760" s="19">
        <v>7</v>
      </c>
      <c r="X760" s="37">
        <v>539708</v>
      </c>
      <c r="Y760" s="46">
        <f t="shared" si="24"/>
        <v>336899</v>
      </c>
    </row>
    <row r="761" spans="1:25" x14ac:dyDescent="0.25">
      <c r="A761" s="20">
        <f>+VLOOKUP(D761,Back!Q:R,2,0)</f>
        <v>6</v>
      </c>
      <c r="B761" s="20" t="str">
        <f t="shared" si="23"/>
        <v>2017 JUN</v>
      </c>
      <c r="C761" s="20">
        <v>2017</v>
      </c>
      <c r="D761" s="21" t="s">
        <v>153</v>
      </c>
      <c r="E761" s="30" t="s">
        <v>120</v>
      </c>
      <c r="F761" s="30"/>
      <c r="G761" s="30"/>
      <c r="H761" s="32">
        <v>0</v>
      </c>
      <c r="I761" s="32">
        <v>0</v>
      </c>
      <c r="J761" s="32">
        <v>0</v>
      </c>
      <c r="K761" s="33">
        <v>0</v>
      </c>
      <c r="L761" s="33"/>
      <c r="M761" s="34"/>
      <c r="N761" s="209" t="str">
        <f>IFERROR(VLOOKUP(F761,Back!C:F,4,0),"NO")</f>
        <v>NO</v>
      </c>
      <c r="O761" s="26">
        <v>24</v>
      </c>
      <c r="P761" s="28" t="str">
        <f>IFERROR(VLOOKUP(F761,Back!C:E,3,0),"")</f>
        <v/>
      </c>
      <c r="Q761" s="28" t="str">
        <f>IFERROR(VLOOKUP(P761,Back!M:N,2,0),"")</f>
        <v/>
      </c>
      <c r="R761" s="27" t="str">
        <f>IF(N761="Si",IFERROR(VLOOKUP(F761,'TD Cumpl'!B:AB,27,0),"No Aplica"),"No Aplica")</f>
        <v>No Aplica</v>
      </c>
      <c r="S761" s="38">
        <v>0</v>
      </c>
      <c r="T761" s="36">
        <v>0</v>
      </c>
      <c r="U761" s="26">
        <v>0</v>
      </c>
      <c r="V761" s="37">
        <v>0</v>
      </c>
      <c r="W761" s="19">
        <v>0</v>
      </c>
      <c r="X761" s="37">
        <v>0</v>
      </c>
      <c r="Y761" s="46">
        <f t="shared" si="24"/>
        <v>0</v>
      </c>
    </row>
    <row r="762" spans="1:25" x14ac:dyDescent="0.25">
      <c r="A762" s="20">
        <f>+VLOOKUP(D762,Back!Q:R,2,0)</f>
        <v>6</v>
      </c>
      <c r="B762" s="20" t="str">
        <f t="shared" si="23"/>
        <v>2017 JUN</v>
      </c>
      <c r="C762" s="20">
        <v>2017</v>
      </c>
      <c r="D762" s="21" t="s">
        <v>153</v>
      </c>
      <c r="E762" s="30" t="s">
        <v>110</v>
      </c>
      <c r="F762" s="30"/>
      <c r="G762" s="30"/>
      <c r="H762" s="32">
        <v>3621897</v>
      </c>
      <c r="I762" s="32">
        <v>0</v>
      </c>
      <c r="J762" s="32">
        <v>2044770</v>
      </c>
      <c r="K762" s="33">
        <v>1577127</v>
      </c>
      <c r="L762" s="33"/>
      <c r="M762" s="34"/>
      <c r="N762" s="209" t="str">
        <f>IFERROR(VLOOKUP(F762,Back!C:F,4,0),"NO")</f>
        <v>NO</v>
      </c>
      <c r="O762" s="26">
        <v>24</v>
      </c>
      <c r="P762" s="28" t="str">
        <f>IFERROR(VLOOKUP(F762,Back!C:E,3,0),"")</f>
        <v/>
      </c>
      <c r="Q762" s="28" t="str">
        <f>IFERROR(VLOOKUP(P762,Back!M:N,2,0),"")</f>
        <v/>
      </c>
      <c r="R762" s="27" t="str">
        <f>IF(N762="Si",IFERROR(VLOOKUP(F762,'TD Cumpl'!B:AB,27,0),"No Aplica"),"No Aplica")</f>
        <v>No Aplica</v>
      </c>
      <c r="S762" s="38">
        <v>8</v>
      </c>
      <c r="T762" s="36">
        <v>668277</v>
      </c>
      <c r="U762" s="26">
        <v>14</v>
      </c>
      <c r="V762" s="37">
        <v>471965</v>
      </c>
      <c r="W762" s="19">
        <v>26</v>
      </c>
      <c r="X762" s="37">
        <v>2044770</v>
      </c>
      <c r="Y762" s="46">
        <f t="shared" si="24"/>
        <v>436885</v>
      </c>
    </row>
    <row r="763" spans="1:25" x14ac:dyDescent="0.25">
      <c r="A763" s="20">
        <f>+VLOOKUP(D763,Back!Q:R,2,0)</f>
        <v>6</v>
      </c>
      <c r="B763" s="20" t="str">
        <f t="shared" si="23"/>
        <v>2017 JUN</v>
      </c>
      <c r="C763" s="20">
        <v>2017</v>
      </c>
      <c r="D763" s="21" t="s">
        <v>153</v>
      </c>
      <c r="E763" s="30" t="s">
        <v>152</v>
      </c>
      <c r="F763" s="30"/>
      <c r="G763" s="30"/>
      <c r="H763" s="32">
        <v>0</v>
      </c>
      <c r="I763" s="32">
        <v>0</v>
      </c>
      <c r="J763" s="32">
        <v>0</v>
      </c>
      <c r="K763" s="33">
        <v>0</v>
      </c>
      <c r="L763" s="33"/>
      <c r="M763" s="34"/>
      <c r="N763" s="209" t="str">
        <f>IFERROR(VLOOKUP(F763,Back!C:F,4,0),"NO")</f>
        <v>NO</v>
      </c>
      <c r="O763" s="26">
        <v>24</v>
      </c>
      <c r="P763" s="28" t="str">
        <f>IFERROR(VLOOKUP(F763,Back!C:E,3,0),"")</f>
        <v/>
      </c>
      <c r="Q763" s="28" t="str">
        <f>IFERROR(VLOOKUP(P763,Back!M:N,2,0),"")</f>
        <v/>
      </c>
      <c r="R763" s="27" t="str">
        <f>IF(N763="Si",IFERROR(VLOOKUP(F763,'TD Cumpl'!B:AB,27,0),"No Aplica"),"No Aplica")</f>
        <v>No Aplica</v>
      </c>
      <c r="S763" s="38">
        <v>0</v>
      </c>
      <c r="T763" s="36">
        <v>0</v>
      </c>
      <c r="U763" s="26">
        <v>0</v>
      </c>
      <c r="V763" s="37">
        <v>0</v>
      </c>
      <c r="W763" s="19">
        <v>0</v>
      </c>
      <c r="X763" s="37">
        <v>0</v>
      </c>
      <c r="Y763" s="46">
        <f t="shared" si="24"/>
        <v>0</v>
      </c>
    </row>
    <row r="764" spans="1:25" x14ac:dyDescent="0.25">
      <c r="A764" s="20">
        <f>+VLOOKUP(D764,Back!Q:R,2,0)</f>
        <v>6</v>
      </c>
      <c r="B764" s="20" t="str">
        <f t="shared" si="23"/>
        <v>2017 JUN</v>
      </c>
      <c r="C764" s="20">
        <v>2017</v>
      </c>
      <c r="D764" s="21" t="s">
        <v>153</v>
      </c>
      <c r="E764" s="30" t="s">
        <v>89</v>
      </c>
      <c r="F764" s="30"/>
      <c r="G764" s="30"/>
      <c r="H764" s="32">
        <v>213897</v>
      </c>
      <c r="I764" s="32">
        <v>0</v>
      </c>
      <c r="J764" s="32">
        <v>0</v>
      </c>
      <c r="K764" s="33">
        <v>213897</v>
      </c>
      <c r="L764" s="33"/>
      <c r="M764" s="34"/>
      <c r="N764" s="209" t="str">
        <f>IFERROR(VLOOKUP(F764,Back!C:F,4,0),"NO")</f>
        <v>NO</v>
      </c>
      <c r="O764" s="26">
        <v>24</v>
      </c>
      <c r="P764" s="28" t="str">
        <f>IFERROR(VLOOKUP(F764,Back!C:E,3,0),"")</f>
        <v/>
      </c>
      <c r="Q764" s="28" t="str">
        <f>IFERROR(VLOOKUP(P764,Back!M:N,2,0),"")</f>
        <v/>
      </c>
      <c r="R764" s="27" t="str">
        <f>IF(N764="Si",IFERROR(VLOOKUP(F764,'TD Cumpl'!B:AB,27,0),"No Aplica"),"No Aplica")</f>
        <v>No Aplica</v>
      </c>
      <c r="S764" s="38">
        <v>1</v>
      </c>
      <c r="T764" s="36">
        <v>41767</v>
      </c>
      <c r="U764" s="26">
        <v>2</v>
      </c>
      <c r="V764" s="37">
        <v>172130</v>
      </c>
      <c r="W764" s="19">
        <v>0</v>
      </c>
      <c r="X764" s="37">
        <v>0</v>
      </c>
      <c r="Y764" s="46">
        <f t="shared" si="24"/>
        <v>0</v>
      </c>
    </row>
    <row r="765" spans="1:25" x14ac:dyDescent="0.25">
      <c r="A765" s="20">
        <f>+VLOOKUP(D765,Back!Q:R,2,0)</f>
        <v>6</v>
      </c>
      <c r="B765" s="20" t="str">
        <f t="shared" si="23"/>
        <v>2017 JUN</v>
      </c>
      <c r="C765" s="20">
        <v>2017</v>
      </c>
      <c r="D765" s="21" t="s">
        <v>153</v>
      </c>
      <c r="E765" s="30" t="s">
        <v>100</v>
      </c>
      <c r="F765" s="30"/>
      <c r="G765" s="30"/>
      <c r="H765" s="32">
        <v>183200</v>
      </c>
      <c r="I765" s="32">
        <v>0</v>
      </c>
      <c r="J765" s="32">
        <v>0</v>
      </c>
      <c r="K765" s="33">
        <v>183200</v>
      </c>
      <c r="L765" s="33"/>
      <c r="M765" s="34"/>
      <c r="N765" s="209" t="str">
        <f>IFERROR(VLOOKUP(F765,Back!C:F,4,0),"NO")</f>
        <v>NO</v>
      </c>
      <c r="O765" s="26">
        <v>24</v>
      </c>
      <c r="P765" s="28" t="str">
        <f>IFERROR(VLOOKUP(F765,Back!C:E,3,0),"")</f>
        <v/>
      </c>
      <c r="Q765" s="28" t="str">
        <f>IFERROR(VLOOKUP(P765,Back!M:N,2,0),"")</f>
        <v/>
      </c>
      <c r="R765" s="27" t="str">
        <f>IF(N765="Si",IFERROR(VLOOKUP(F765,'TD Cumpl'!B:AB,27,0),"No Aplica"),"No Aplica")</f>
        <v>No Aplica</v>
      </c>
      <c r="S765" s="38">
        <v>0</v>
      </c>
      <c r="T765" s="36">
        <v>0</v>
      </c>
      <c r="U765" s="26">
        <v>0</v>
      </c>
      <c r="V765" s="37">
        <v>0</v>
      </c>
      <c r="W765" s="19">
        <v>0</v>
      </c>
      <c r="X765" s="37">
        <v>0</v>
      </c>
      <c r="Y765" s="46">
        <f t="shared" si="24"/>
        <v>183200</v>
      </c>
    </row>
    <row r="766" spans="1:25" x14ac:dyDescent="0.25">
      <c r="A766" s="20">
        <f>+VLOOKUP(D766,Back!Q:R,2,0)</f>
        <v>6</v>
      </c>
      <c r="B766" s="20" t="str">
        <f t="shared" si="23"/>
        <v>2017 JUN</v>
      </c>
      <c r="C766" s="20">
        <v>2017</v>
      </c>
      <c r="D766" s="21" t="s">
        <v>153</v>
      </c>
      <c r="E766" s="30" t="s">
        <v>104</v>
      </c>
      <c r="F766" s="30"/>
      <c r="G766" s="30"/>
      <c r="H766" s="32">
        <v>300440</v>
      </c>
      <c r="I766" s="32">
        <v>0</v>
      </c>
      <c r="J766" s="32">
        <v>0</v>
      </c>
      <c r="K766" s="33">
        <v>300440</v>
      </c>
      <c r="L766" s="33"/>
      <c r="M766" s="34"/>
      <c r="N766" s="209" t="str">
        <f>IFERROR(VLOOKUP(F766,Back!C:F,4,0),"NO")</f>
        <v>NO</v>
      </c>
      <c r="O766" s="26">
        <v>24</v>
      </c>
      <c r="P766" s="28" t="str">
        <f>IFERROR(VLOOKUP(F766,Back!C:E,3,0),"")</f>
        <v/>
      </c>
      <c r="Q766" s="28" t="str">
        <f>IFERROR(VLOOKUP(P766,Back!M:N,2,0),"")</f>
        <v/>
      </c>
      <c r="R766" s="27" t="str">
        <f>IF(N766="Si",IFERROR(VLOOKUP(F766,'TD Cumpl'!B:AB,27,0),"No Aplica"),"No Aplica")</f>
        <v>No Aplica</v>
      </c>
      <c r="S766" s="38">
        <v>1</v>
      </c>
      <c r="T766" s="36">
        <v>108440</v>
      </c>
      <c r="U766" s="26">
        <v>2</v>
      </c>
      <c r="V766" s="37">
        <v>192000</v>
      </c>
      <c r="W766" s="19">
        <v>0</v>
      </c>
      <c r="X766" s="37">
        <v>0</v>
      </c>
      <c r="Y766" s="46">
        <f t="shared" si="24"/>
        <v>0</v>
      </c>
    </row>
    <row r="767" spans="1:25" x14ac:dyDescent="0.25">
      <c r="A767" s="20">
        <f>+VLOOKUP(D767,Back!Q:R,2,0)</f>
        <v>6</v>
      </c>
      <c r="B767" s="20" t="str">
        <f t="shared" ref="B767:B830" si="25">MID(UPPER(C767&amp;" "&amp;D767),1,8)</f>
        <v>2017 JUN</v>
      </c>
      <c r="C767" s="20">
        <v>2017</v>
      </c>
      <c r="D767" s="21" t="s">
        <v>153</v>
      </c>
      <c r="E767" s="30" t="s">
        <v>10</v>
      </c>
      <c r="F767" s="30"/>
      <c r="G767" s="30"/>
      <c r="H767" s="32">
        <v>351170</v>
      </c>
      <c r="I767" s="32">
        <v>0</v>
      </c>
      <c r="J767" s="32">
        <v>351170</v>
      </c>
      <c r="K767" s="33">
        <v>0</v>
      </c>
      <c r="L767" s="33"/>
      <c r="M767" s="34"/>
      <c r="N767" s="209" t="str">
        <f>IFERROR(VLOOKUP(F767,Back!C:F,4,0),"NO")</f>
        <v>NO</v>
      </c>
      <c r="O767" s="26">
        <v>24</v>
      </c>
      <c r="P767" s="28" t="str">
        <f>IFERROR(VLOOKUP(F767,Back!C:E,3,0),"")</f>
        <v/>
      </c>
      <c r="Q767" s="28" t="str">
        <f>IFERROR(VLOOKUP(P767,Back!M:N,2,0),"")</f>
        <v/>
      </c>
      <c r="R767" s="27" t="str">
        <f>IF(N767="Si",IFERROR(VLOOKUP(F767,'TD Cumpl'!B:AB,27,0),"No Aplica"),"No Aplica")</f>
        <v>No Aplica</v>
      </c>
      <c r="S767" s="38">
        <v>0</v>
      </c>
      <c r="T767" s="36">
        <v>0</v>
      </c>
      <c r="U767" s="26">
        <v>0</v>
      </c>
      <c r="V767" s="37">
        <v>0</v>
      </c>
      <c r="W767" s="19">
        <v>5</v>
      </c>
      <c r="X767" s="37">
        <v>351170</v>
      </c>
      <c r="Y767" s="46">
        <f t="shared" si="24"/>
        <v>0</v>
      </c>
    </row>
    <row r="768" spans="1:25" x14ac:dyDescent="0.25">
      <c r="A768" s="20">
        <f>+VLOOKUP(D768,Back!Q:R,2,0)</f>
        <v>6</v>
      </c>
      <c r="B768" s="20" t="str">
        <f t="shared" si="25"/>
        <v>2017 JUN</v>
      </c>
      <c r="C768" s="20">
        <v>2017</v>
      </c>
      <c r="D768" s="21" t="s">
        <v>153</v>
      </c>
      <c r="E768" s="30" t="s">
        <v>15</v>
      </c>
      <c r="F768" s="30"/>
      <c r="G768" s="30"/>
      <c r="H768" s="32">
        <v>374000</v>
      </c>
      <c r="I768" s="32">
        <v>0</v>
      </c>
      <c r="J768" s="32">
        <v>374000</v>
      </c>
      <c r="K768" s="33">
        <v>0</v>
      </c>
      <c r="L768" s="33"/>
      <c r="M768" s="34"/>
      <c r="N768" s="209" t="str">
        <f>IFERROR(VLOOKUP(F768,Back!C:F,4,0),"NO")</f>
        <v>NO</v>
      </c>
      <c r="O768" s="26">
        <v>24</v>
      </c>
      <c r="P768" s="28" t="str">
        <f>IFERROR(VLOOKUP(F768,Back!C:E,3,0),"")</f>
        <v/>
      </c>
      <c r="Q768" s="28" t="str">
        <f>IFERROR(VLOOKUP(P768,Back!M:N,2,0),"")</f>
        <v/>
      </c>
      <c r="R768" s="27" t="str">
        <f>IF(N768="Si",IFERROR(VLOOKUP(F768,'TD Cumpl'!B:AB,27,0),"No Aplica"),"No Aplica")</f>
        <v>No Aplica</v>
      </c>
      <c r="S768" s="38">
        <v>0</v>
      </c>
      <c r="T768" s="36">
        <v>0</v>
      </c>
      <c r="U768" s="26">
        <v>0</v>
      </c>
      <c r="V768" s="37">
        <v>0</v>
      </c>
      <c r="W768" s="19">
        <v>5</v>
      </c>
      <c r="X768" s="37">
        <v>374000</v>
      </c>
      <c r="Y768" s="46">
        <f t="shared" si="24"/>
        <v>0</v>
      </c>
    </row>
    <row r="769" spans="1:25" x14ac:dyDescent="0.25">
      <c r="A769" s="20">
        <f>+VLOOKUP(D769,Back!Q:R,2,0)</f>
        <v>6</v>
      </c>
      <c r="B769" s="20" t="str">
        <f t="shared" si="25"/>
        <v>2017 JUN</v>
      </c>
      <c r="C769" s="20">
        <v>2017</v>
      </c>
      <c r="D769" s="21" t="s">
        <v>153</v>
      </c>
      <c r="E769" s="30" t="s">
        <v>12</v>
      </c>
      <c r="F769" s="30"/>
      <c r="G769" s="30"/>
      <c r="H769" s="32">
        <v>272607</v>
      </c>
      <c r="I769" s="32">
        <v>0</v>
      </c>
      <c r="J769" s="32">
        <v>134285</v>
      </c>
      <c r="K769" s="33">
        <v>138322</v>
      </c>
      <c r="L769" s="33"/>
      <c r="M769" s="34"/>
      <c r="N769" s="209" t="str">
        <f>IFERROR(VLOOKUP(F769,Back!C:F,4,0),"NO")</f>
        <v>NO</v>
      </c>
      <c r="O769" s="26">
        <v>24</v>
      </c>
      <c r="P769" s="28" t="str">
        <f>IFERROR(VLOOKUP(F769,Back!C:E,3,0),"")</f>
        <v/>
      </c>
      <c r="Q769" s="28" t="str">
        <f>IFERROR(VLOOKUP(P769,Back!M:N,2,0),"")</f>
        <v/>
      </c>
      <c r="R769" s="27" t="str">
        <f>IF(N769="Si",IFERROR(VLOOKUP(F769,'TD Cumpl'!B:AB,27,0),"No Aplica"),"No Aplica")</f>
        <v>No Aplica</v>
      </c>
      <c r="S769" s="38">
        <v>0</v>
      </c>
      <c r="T769" s="36">
        <v>0</v>
      </c>
      <c r="U769" s="26">
        <v>2</v>
      </c>
      <c r="V769" s="37">
        <v>138322</v>
      </c>
      <c r="W769" s="19">
        <v>1</v>
      </c>
      <c r="X769" s="37">
        <v>134285</v>
      </c>
      <c r="Y769" s="46">
        <f t="shared" ref="Y769:Y832" si="26">+H769-X769-V769-T769</f>
        <v>0</v>
      </c>
    </row>
    <row r="770" spans="1:25" x14ac:dyDescent="0.25">
      <c r="A770" s="20">
        <f>+VLOOKUP(D770,Back!Q:R,2,0)</f>
        <v>6</v>
      </c>
      <c r="B770" s="20" t="str">
        <f t="shared" si="25"/>
        <v>2017 JUN</v>
      </c>
      <c r="C770" s="20">
        <v>2017</v>
      </c>
      <c r="D770" s="21" t="s">
        <v>153</v>
      </c>
      <c r="E770" s="30" t="s">
        <v>72</v>
      </c>
      <c r="F770" s="30"/>
      <c r="G770" s="30"/>
      <c r="H770" s="32">
        <v>191970</v>
      </c>
      <c r="I770" s="32">
        <v>0</v>
      </c>
      <c r="J770" s="32">
        <v>0</v>
      </c>
      <c r="K770" s="33">
        <v>191970</v>
      </c>
      <c r="L770" s="33"/>
      <c r="M770" s="34"/>
      <c r="N770" s="209" t="str">
        <f>IFERROR(VLOOKUP(F770,Back!C:F,4,0),"NO")</f>
        <v>NO</v>
      </c>
      <c r="O770" s="26">
        <v>24</v>
      </c>
      <c r="P770" s="28" t="str">
        <f>IFERROR(VLOOKUP(F770,Back!C:E,3,0),"")</f>
        <v/>
      </c>
      <c r="Q770" s="28" t="str">
        <f>IFERROR(VLOOKUP(P770,Back!M:N,2,0),"")</f>
        <v/>
      </c>
      <c r="R770" s="27" t="str">
        <f>IF(N770="Si",IFERROR(VLOOKUP(F770,'TD Cumpl'!B:AB,27,0),"No Aplica"),"No Aplica")</f>
        <v>No Aplica</v>
      </c>
      <c r="S770" s="38">
        <v>0</v>
      </c>
      <c r="T770" s="36">
        <v>0</v>
      </c>
      <c r="U770" s="26">
        <v>4</v>
      </c>
      <c r="V770" s="37">
        <v>191970</v>
      </c>
      <c r="W770" s="19">
        <v>0</v>
      </c>
      <c r="X770" s="37">
        <v>0</v>
      </c>
      <c r="Y770" s="46">
        <f t="shared" si="26"/>
        <v>0</v>
      </c>
    </row>
    <row r="771" spans="1:25" x14ac:dyDescent="0.25">
      <c r="A771" s="20">
        <f>+VLOOKUP(D771,Back!Q:R,2,0)</f>
        <v>6</v>
      </c>
      <c r="B771" s="20" t="str">
        <f t="shared" si="25"/>
        <v>2017 JUN</v>
      </c>
      <c r="C771" s="30">
        <v>2017</v>
      </c>
      <c r="D771" s="30" t="s">
        <v>153</v>
      </c>
      <c r="E771" s="30" t="s">
        <v>87</v>
      </c>
      <c r="F771" s="30"/>
      <c r="G771" s="30"/>
      <c r="H771" s="32">
        <v>-150656</v>
      </c>
      <c r="I771" s="32">
        <v>0</v>
      </c>
      <c r="J771" s="32">
        <v>0</v>
      </c>
      <c r="K771" s="33">
        <v>-150656</v>
      </c>
      <c r="L771" s="33"/>
      <c r="M771" s="34"/>
      <c r="N771" s="209" t="str">
        <f>IFERROR(VLOOKUP(F771,Back!C:F,4,0),"NO")</f>
        <v>NO</v>
      </c>
      <c r="O771" s="26">
        <v>24</v>
      </c>
      <c r="P771" s="28" t="str">
        <f>IFERROR(VLOOKUP(F771,Back!C:E,3,0),"")</f>
        <v/>
      </c>
      <c r="Q771" s="28" t="str">
        <f>IFERROR(VLOOKUP(P771,Back!M:N,2,0),"")</f>
        <v/>
      </c>
      <c r="R771" s="27" t="str">
        <f>IF(N771="Si",IFERROR(VLOOKUP(F771,'TD Cumpl'!B:AB,27,0),"No Aplica"),"No Aplica")</f>
        <v>No Aplica</v>
      </c>
      <c r="S771" s="38">
        <v>0</v>
      </c>
      <c r="T771" s="36">
        <v>0</v>
      </c>
      <c r="U771" s="26">
        <v>0</v>
      </c>
      <c r="V771" s="37">
        <v>0</v>
      </c>
      <c r="W771" s="19">
        <v>0</v>
      </c>
      <c r="X771" s="37">
        <v>0</v>
      </c>
      <c r="Y771" s="46">
        <f t="shared" si="26"/>
        <v>-150656</v>
      </c>
    </row>
    <row r="772" spans="1:25" x14ac:dyDescent="0.25">
      <c r="A772" s="20">
        <f>+VLOOKUP(D772,Back!Q:R,2,0)</f>
        <v>7</v>
      </c>
      <c r="B772" s="20" t="str">
        <f t="shared" si="25"/>
        <v>2017 JUL</v>
      </c>
      <c r="C772" s="30">
        <v>2017</v>
      </c>
      <c r="D772" s="30" t="s">
        <v>157</v>
      </c>
      <c r="E772" s="30" t="s">
        <v>33</v>
      </c>
      <c r="F772" s="30">
        <v>31307503</v>
      </c>
      <c r="G772" s="30" t="s">
        <v>36</v>
      </c>
      <c r="H772" s="32">
        <v>27164816</v>
      </c>
      <c r="I772" s="32">
        <v>370800</v>
      </c>
      <c r="J772" s="32">
        <v>1388111</v>
      </c>
      <c r="K772" s="33">
        <v>25405905</v>
      </c>
      <c r="L772" s="33">
        <v>31721000</v>
      </c>
      <c r="M772" s="34">
        <v>0.80091753097317231</v>
      </c>
      <c r="N772" s="209" t="str">
        <f>IFERROR(VLOOKUP(F772,Back!C:F,4,0),"NO")</f>
        <v>NO</v>
      </c>
      <c r="O772" s="26">
        <v>24</v>
      </c>
      <c r="P772" s="28" t="str">
        <f>IFERROR(VLOOKUP(F772,Back!C:E,3,0),"")</f>
        <v/>
      </c>
      <c r="Q772" s="28" t="str">
        <f>IFERROR(VLOOKUP(P772,Back!M:N,2,0),"")</f>
        <v/>
      </c>
      <c r="R772" s="27" t="str">
        <f>IF(N772="Si",IFERROR(VLOOKUP(F772,'TD Cumpl'!B:AB,27,0),"No Aplica"),"No Aplica")</f>
        <v>No Aplica</v>
      </c>
      <c r="S772" s="38">
        <v>59</v>
      </c>
      <c r="T772" s="36">
        <v>6195217</v>
      </c>
      <c r="U772" s="26">
        <v>128</v>
      </c>
      <c r="V772" s="37">
        <v>11948999</v>
      </c>
      <c r="W772" s="19">
        <v>22</v>
      </c>
      <c r="X772" s="37">
        <v>1388111</v>
      </c>
      <c r="Y772" s="46">
        <f t="shared" si="26"/>
        <v>7632489</v>
      </c>
    </row>
    <row r="773" spans="1:25" x14ac:dyDescent="0.25">
      <c r="A773" s="20">
        <f>+VLOOKUP(D773,Back!Q:R,2,0)</f>
        <v>7</v>
      </c>
      <c r="B773" s="20" t="str">
        <f t="shared" si="25"/>
        <v>2017 JUL</v>
      </c>
      <c r="C773" s="30">
        <v>2017</v>
      </c>
      <c r="D773" s="30" t="s">
        <v>157</v>
      </c>
      <c r="E773" s="30" t="s">
        <v>62</v>
      </c>
      <c r="F773" s="30">
        <v>32256379</v>
      </c>
      <c r="G773" s="30" t="s">
        <v>61</v>
      </c>
      <c r="H773" s="32">
        <v>54520375</v>
      </c>
      <c r="I773" s="32">
        <v>0</v>
      </c>
      <c r="J773" s="32">
        <v>7179914</v>
      </c>
      <c r="K773" s="33">
        <v>47340461</v>
      </c>
      <c r="L773" s="33">
        <v>42000000</v>
      </c>
      <c r="M773" s="34">
        <v>1.1271538333333333</v>
      </c>
      <c r="N773" s="209" t="str">
        <f>IFERROR(VLOOKUP(F773,Back!C:F,4,0),"NO")</f>
        <v>Si</v>
      </c>
      <c r="O773" s="26">
        <v>24</v>
      </c>
      <c r="P773" s="28" t="str">
        <f>IFERROR(VLOOKUP(F773,Back!C:E,3,0),"")</f>
        <v>Ferias Empresariales Antioquia</v>
      </c>
      <c r="Q773" s="28" t="str">
        <f>IFERROR(VLOOKUP(P773,Back!M:N,2,0),"")</f>
        <v>Antioquia</v>
      </c>
      <c r="R773" s="27" t="str">
        <f>IF(N773="Si",IFERROR(VLOOKUP(F773,'TD Cumpl'!B:AB,27,0),"No Aplica"),"No Aplica")</f>
        <v>Fluctúa</v>
      </c>
      <c r="S773" s="38">
        <v>110</v>
      </c>
      <c r="T773" s="36">
        <v>15020091</v>
      </c>
      <c r="U773" s="26">
        <v>240</v>
      </c>
      <c r="V773" s="37">
        <v>25658836</v>
      </c>
      <c r="W773" s="19">
        <v>93</v>
      </c>
      <c r="X773" s="37">
        <v>7179914</v>
      </c>
      <c r="Y773" s="46">
        <f t="shared" si="26"/>
        <v>6661534</v>
      </c>
    </row>
    <row r="774" spans="1:25" x14ac:dyDescent="0.25">
      <c r="A774" s="20">
        <f>+VLOOKUP(D774,Back!Q:R,2,0)</f>
        <v>7</v>
      </c>
      <c r="B774" s="20" t="str">
        <f t="shared" si="25"/>
        <v>2017 JUL</v>
      </c>
      <c r="C774" s="30">
        <v>2017</v>
      </c>
      <c r="D774" s="30" t="s">
        <v>157</v>
      </c>
      <c r="E774" s="30" t="s">
        <v>83</v>
      </c>
      <c r="F774" s="30">
        <v>43800272</v>
      </c>
      <c r="G774" s="30" t="s">
        <v>85</v>
      </c>
      <c r="H774" s="32">
        <v>56889664</v>
      </c>
      <c r="I774" s="32">
        <v>2116000</v>
      </c>
      <c r="J774" s="32">
        <v>12307996</v>
      </c>
      <c r="K774" s="33">
        <v>42465668</v>
      </c>
      <c r="L774" s="33">
        <v>41000000</v>
      </c>
      <c r="M774" s="34">
        <v>1.0357479999999999</v>
      </c>
      <c r="N774" s="209" t="str">
        <f>IFERROR(VLOOKUP(F774,Back!C:F,4,0),"NO")</f>
        <v>NO</v>
      </c>
      <c r="O774" s="26">
        <v>24</v>
      </c>
      <c r="P774" s="28" t="str">
        <f>IFERROR(VLOOKUP(F774,Back!C:E,3,0),"")</f>
        <v/>
      </c>
      <c r="Q774" s="28" t="str">
        <f>IFERROR(VLOOKUP(P774,Back!M:N,2,0),"")</f>
        <v/>
      </c>
      <c r="R774" s="27" t="str">
        <f>IF(N774="Si",IFERROR(VLOOKUP(F774,'TD Cumpl'!B:AB,27,0),"No Aplica"),"No Aplica")</f>
        <v>No Aplica</v>
      </c>
      <c r="S774" s="38">
        <v>113</v>
      </c>
      <c r="T774" s="36">
        <v>11079221</v>
      </c>
      <c r="U774" s="26">
        <v>280</v>
      </c>
      <c r="V774" s="37">
        <v>24834467</v>
      </c>
      <c r="W774" s="19">
        <v>134</v>
      </c>
      <c r="X774" s="37">
        <v>12307996</v>
      </c>
      <c r="Y774" s="46">
        <f t="shared" si="26"/>
        <v>8667980</v>
      </c>
    </row>
    <row r="775" spans="1:25" x14ac:dyDescent="0.25">
      <c r="A775" s="20">
        <f>+VLOOKUP(D775,Back!Q:R,2,0)</f>
        <v>7</v>
      </c>
      <c r="B775" s="20" t="str">
        <f t="shared" si="25"/>
        <v>2017 JUL</v>
      </c>
      <c r="C775" s="30">
        <v>2017</v>
      </c>
      <c r="D775" s="30" t="s">
        <v>157</v>
      </c>
      <c r="E775" s="30" t="s">
        <v>56</v>
      </c>
      <c r="F775" s="30">
        <v>43971430</v>
      </c>
      <c r="G775" s="30" t="s">
        <v>142</v>
      </c>
      <c r="H775" s="32">
        <v>69453091</v>
      </c>
      <c r="I775" s="32">
        <v>773360</v>
      </c>
      <c r="J775" s="32">
        <v>11522616</v>
      </c>
      <c r="K775" s="33">
        <v>57157115</v>
      </c>
      <c r="L775" s="33">
        <v>41166666.666666664</v>
      </c>
      <c r="M775" s="34">
        <v>1.3884319433198382</v>
      </c>
      <c r="N775" s="209" t="str">
        <f>IFERROR(VLOOKUP(F775,Back!C:F,4,0),"NO")</f>
        <v>Si</v>
      </c>
      <c r="O775" s="26">
        <v>24</v>
      </c>
      <c r="P775" s="28" t="str">
        <f>IFERROR(VLOOKUP(F775,Back!C:E,3,0),"")</f>
        <v>IPS Pto De Vista Centro</v>
      </c>
      <c r="Q775" s="28" t="str">
        <f>IFERROR(VLOOKUP(P775,Back!M:N,2,0),"")</f>
        <v>Antioquia</v>
      </c>
      <c r="R775" s="27" t="str">
        <f>IF(N775="Si",IFERROR(VLOOKUP(F775,'TD Cumpl'!B:AB,27,0),"No Aplica"),"No Aplica")</f>
        <v>Siempre Cumple</v>
      </c>
      <c r="S775" s="38">
        <v>115</v>
      </c>
      <c r="T775" s="36">
        <v>16582902</v>
      </c>
      <c r="U775" s="26">
        <v>292</v>
      </c>
      <c r="V775" s="37">
        <v>34083168</v>
      </c>
      <c r="W775" s="19">
        <v>144</v>
      </c>
      <c r="X775" s="37">
        <v>11522616</v>
      </c>
      <c r="Y775" s="46">
        <f t="shared" si="26"/>
        <v>7264405</v>
      </c>
    </row>
    <row r="776" spans="1:25" x14ac:dyDescent="0.25">
      <c r="A776" s="20">
        <f>+VLOOKUP(D776,Back!Q:R,2,0)</f>
        <v>7</v>
      </c>
      <c r="B776" s="20" t="str">
        <f t="shared" si="25"/>
        <v>2017 JUL</v>
      </c>
      <c r="C776" s="30">
        <v>2017</v>
      </c>
      <c r="D776" s="30" t="s">
        <v>157</v>
      </c>
      <c r="E776" s="30" t="s">
        <v>59</v>
      </c>
      <c r="F776" s="30">
        <v>1030634664</v>
      </c>
      <c r="G776" s="30" t="s">
        <v>58</v>
      </c>
      <c r="H776" s="32">
        <v>63237777</v>
      </c>
      <c r="I776" s="32">
        <v>440000</v>
      </c>
      <c r="J776" s="32">
        <v>15243541</v>
      </c>
      <c r="K776" s="33">
        <v>47554236</v>
      </c>
      <c r="L776" s="33">
        <v>41000000</v>
      </c>
      <c r="M776" s="34">
        <v>1.1598594146341463</v>
      </c>
      <c r="N776" s="209" t="str">
        <f>IFERROR(VLOOKUP(F776,Back!C:F,4,0),"NO")</f>
        <v>NO</v>
      </c>
      <c r="O776" s="26">
        <v>24</v>
      </c>
      <c r="P776" s="28" t="str">
        <f>IFERROR(VLOOKUP(F776,Back!C:E,3,0),"")</f>
        <v/>
      </c>
      <c r="Q776" s="28" t="str">
        <f>IFERROR(VLOOKUP(P776,Back!M:N,2,0),"")</f>
        <v/>
      </c>
      <c r="R776" s="27" t="str">
        <f>IF(N776="Si",IFERROR(VLOOKUP(F776,'TD Cumpl'!B:AB,27,0),"No Aplica"),"No Aplica")</f>
        <v>No Aplica</v>
      </c>
      <c r="S776" s="38">
        <v>120</v>
      </c>
      <c r="T776" s="36">
        <v>10458616</v>
      </c>
      <c r="U776" s="26">
        <v>293</v>
      </c>
      <c r="V776" s="37">
        <v>30170205</v>
      </c>
      <c r="W776" s="19">
        <v>170</v>
      </c>
      <c r="X776" s="37">
        <v>15243541</v>
      </c>
      <c r="Y776" s="46">
        <f t="shared" si="26"/>
        <v>7365415</v>
      </c>
    </row>
    <row r="777" spans="1:25" x14ac:dyDescent="0.25">
      <c r="A777" s="20">
        <f>+VLOOKUP(D777,Back!Q:R,2,0)</f>
        <v>7</v>
      </c>
      <c r="B777" s="20" t="str">
        <f t="shared" si="25"/>
        <v>2017 JUL</v>
      </c>
      <c r="C777" s="30">
        <v>2017</v>
      </c>
      <c r="D777" s="30" t="s">
        <v>157</v>
      </c>
      <c r="E777" s="30" t="s">
        <v>34</v>
      </c>
      <c r="F777" s="30">
        <v>43554403</v>
      </c>
      <c r="G777" s="30" t="s">
        <v>35</v>
      </c>
      <c r="H777" s="32">
        <v>72673039</v>
      </c>
      <c r="I777" s="32">
        <v>866000</v>
      </c>
      <c r="J777" s="32">
        <v>15645326</v>
      </c>
      <c r="K777" s="33">
        <v>56161713</v>
      </c>
      <c r="L777" s="33">
        <v>41000000</v>
      </c>
      <c r="M777" s="34">
        <v>1.3697978780487805</v>
      </c>
      <c r="N777" s="209" t="str">
        <f>IFERROR(VLOOKUP(F777,Back!C:F,4,0),"NO")</f>
        <v>Si</v>
      </c>
      <c r="O777" s="26">
        <v>24</v>
      </c>
      <c r="P777" s="28" t="str">
        <f>IFERROR(VLOOKUP(F777,Back!C:E,3,0),"")</f>
        <v>IPS Pto De Vista Centro</v>
      </c>
      <c r="Q777" s="28" t="str">
        <f>IFERROR(VLOOKUP(P777,Back!M:N,2,0),"")</f>
        <v>Antioquia</v>
      </c>
      <c r="R777" s="27" t="str">
        <f>IF(N777="Si",IFERROR(VLOOKUP(F777,'TD Cumpl'!B:AB,27,0),"No Aplica"),"No Aplica")</f>
        <v>Siempre Cumple</v>
      </c>
      <c r="S777" s="38">
        <v>125</v>
      </c>
      <c r="T777" s="36">
        <v>12969891</v>
      </c>
      <c r="U777" s="26">
        <v>312</v>
      </c>
      <c r="V777" s="37">
        <v>34680844</v>
      </c>
      <c r="W777" s="19">
        <v>175</v>
      </c>
      <c r="X777" s="37">
        <v>15645326</v>
      </c>
      <c r="Y777" s="46">
        <f t="shared" si="26"/>
        <v>9376978</v>
      </c>
    </row>
    <row r="778" spans="1:25" x14ac:dyDescent="0.25">
      <c r="A778" s="20">
        <f>+VLOOKUP(D778,Back!Q:R,2,0)</f>
        <v>7</v>
      </c>
      <c r="B778" s="20" t="str">
        <f t="shared" si="25"/>
        <v>2017 JUL</v>
      </c>
      <c r="C778" s="30">
        <v>2017</v>
      </c>
      <c r="D778" s="30" t="s">
        <v>157</v>
      </c>
      <c r="E778" s="30" t="s">
        <v>101</v>
      </c>
      <c r="F778" s="30">
        <v>21428423</v>
      </c>
      <c r="G778" s="30" t="s">
        <v>154</v>
      </c>
      <c r="H778" s="32">
        <v>53457636</v>
      </c>
      <c r="I778" s="32">
        <v>626000</v>
      </c>
      <c r="J778" s="32">
        <v>10395799</v>
      </c>
      <c r="K778" s="33">
        <v>42435837</v>
      </c>
      <c r="L778" s="33">
        <v>41000000</v>
      </c>
      <c r="M778" s="34">
        <v>1.0350204146341464</v>
      </c>
      <c r="N778" s="209" t="str">
        <f>IFERROR(VLOOKUP(F778,Back!C:F,4,0),"NO")</f>
        <v>Si</v>
      </c>
      <c r="O778" s="26">
        <v>24</v>
      </c>
      <c r="P778" s="28" t="str">
        <f>IFERROR(VLOOKUP(F778,Back!C:E,3,0),"")</f>
        <v>IPS Pto De Vista Centro</v>
      </c>
      <c r="Q778" s="28" t="str">
        <f>IFERROR(VLOOKUP(P778,Back!M:N,2,0),"")</f>
        <v>Antioquia</v>
      </c>
      <c r="R778" s="27" t="str">
        <f>IF(N778="Si",IFERROR(VLOOKUP(F778,'TD Cumpl'!B:AB,27,0),"No Aplica"),"No Aplica")</f>
        <v>Fluctúa</v>
      </c>
      <c r="S778" s="38">
        <v>111</v>
      </c>
      <c r="T778" s="36">
        <v>10208242</v>
      </c>
      <c r="U778" s="26">
        <v>270</v>
      </c>
      <c r="V778" s="37">
        <v>23668730</v>
      </c>
      <c r="W778" s="19">
        <v>121</v>
      </c>
      <c r="X778" s="37">
        <v>10395799</v>
      </c>
      <c r="Y778" s="46">
        <f t="shared" si="26"/>
        <v>9184865</v>
      </c>
    </row>
    <row r="779" spans="1:25" x14ac:dyDescent="0.25">
      <c r="A779" s="20">
        <f>+VLOOKUP(D779,Back!Q:R,2,0)</f>
        <v>7</v>
      </c>
      <c r="B779" s="20" t="str">
        <f t="shared" si="25"/>
        <v>2017 JUL</v>
      </c>
      <c r="C779" s="30">
        <v>2017</v>
      </c>
      <c r="D779" s="30" t="s">
        <v>157</v>
      </c>
      <c r="E779" s="30" t="s">
        <v>13</v>
      </c>
      <c r="F779" s="30">
        <v>43866877</v>
      </c>
      <c r="G779" s="30" t="s">
        <v>46</v>
      </c>
      <c r="H779" s="32">
        <v>49969193</v>
      </c>
      <c r="I779" s="32">
        <v>744000</v>
      </c>
      <c r="J779" s="32">
        <v>13270247</v>
      </c>
      <c r="K779" s="33">
        <v>35954946</v>
      </c>
      <c r="L779" s="33">
        <v>25625000</v>
      </c>
      <c r="M779" s="34">
        <v>1.403119843902439</v>
      </c>
      <c r="N779" s="209" t="str">
        <f>IFERROR(VLOOKUP(F779,Back!C:F,4,0),"NO")</f>
        <v>Si</v>
      </c>
      <c r="O779" s="26">
        <v>24</v>
      </c>
      <c r="P779" s="28" t="str">
        <f>IFERROR(VLOOKUP(F779,Back!C:E,3,0),"")</f>
        <v>IPS Pto De Vista Centro</v>
      </c>
      <c r="Q779" s="28" t="str">
        <f>IFERROR(VLOOKUP(P779,Back!M:N,2,0),"")</f>
        <v>Antioquia</v>
      </c>
      <c r="R779" s="27" t="str">
        <f>IF(N779="Si",IFERROR(VLOOKUP(F779,'TD Cumpl'!B:AB,27,0),"No Aplica"),"No Aplica")</f>
        <v>Siempre Cumple</v>
      </c>
      <c r="S779" s="38">
        <v>89</v>
      </c>
      <c r="T779" s="36">
        <v>9623992</v>
      </c>
      <c r="U779" s="26">
        <v>228</v>
      </c>
      <c r="V779" s="37">
        <v>21820271</v>
      </c>
      <c r="W779" s="19">
        <v>161</v>
      </c>
      <c r="X779" s="37">
        <v>13270247</v>
      </c>
      <c r="Y779" s="46">
        <f t="shared" si="26"/>
        <v>5254683</v>
      </c>
    </row>
    <row r="780" spans="1:25" x14ac:dyDescent="0.25">
      <c r="A780" s="20">
        <f>+VLOOKUP(D780,Back!Q:R,2,0)</f>
        <v>7</v>
      </c>
      <c r="B780" s="20" t="str">
        <f t="shared" si="25"/>
        <v>2017 JUL</v>
      </c>
      <c r="C780" s="30">
        <v>2017</v>
      </c>
      <c r="D780" s="30" t="s">
        <v>157</v>
      </c>
      <c r="E780" s="30" t="s">
        <v>121</v>
      </c>
      <c r="F780" s="30">
        <v>21982241</v>
      </c>
      <c r="G780" s="30" t="s">
        <v>143</v>
      </c>
      <c r="H780" s="32">
        <v>42128113</v>
      </c>
      <c r="I780" s="32">
        <v>304000</v>
      </c>
      <c r="J780" s="32">
        <v>9143899</v>
      </c>
      <c r="K780" s="33">
        <v>32680214</v>
      </c>
      <c r="L780" s="33">
        <v>41000000</v>
      </c>
      <c r="M780" s="34">
        <v>0.79707839024390248</v>
      </c>
      <c r="N780" s="209" t="str">
        <f>IFERROR(VLOOKUP(F780,Back!C:F,4,0),"NO")</f>
        <v>Si</v>
      </c>
      <c r="O780" s="26">
        <v>24</v>
      </c>
      <c r="P780" s="28" t="str">
        <f>IFERROR(VLOOKUP(F780,Back!C:E,3,0),"")</f>
        <v>IPS Punto de Vista Bello</v>
      </c>
      <c r="Q780" s="28" t="str">
        <f>IFERROR(VLOOKUP(P780,Back!M:N,2,0),"")</f>
        <v>Antioquia</v>
      </c>
      <c r="R780" s="27" t="str">
        <f>IF(N780="Si",IFERROR(VLOOKUP(F780,'TD Cumpl'!B:AB,27,0),"No Aplica"),"No Aplica")</f>
        <v>Fluctúa</v>
      </c>
      <c r="S780" s="38">
        <v>87</v>
      </c>
      <c r="T780" s="36">
        <v>8036000</v>
      </c>
      <c r="U780" s="26">
        <v>222</v>
      </c>
      <c r="V780" s="37">
        <v>18580986</v>
      </c>
      <c r="W780" s="19">
        <v>106</v>
      </c>
      <c r="X780" s="37">
        <v>9143899</v>
      </c>
      <c r="Y780" s="46">
        <f t="shared" si="26"/>
        <v>6367228</v>
      </c>
    </row>
    <row r="781" spans="1:25" x14ac:dyDescent="0.25">
      <c r="A781" s="20">
        <f>+VLOOKUP(D781,Back!Q:R,2,0)</f>
        <v>7</v>
      </c>
      <c r="B781" s="20" t="str">
        <f t="shared" si="25"/>
        <v>2017 JUL</v>
      </c>
      <c r="C781" s="30">
        <v>2017</v>
      </c>
      <c r="D781" s="30" t="s">
        <v>157</v>
      </c>
      <c r="E781" s="30" t="s">
        <v>9</v>
      </c>
      <c r="F781" s="30">
        <v>43169964</v>
      </c>
      <c r="G781" s="30" t="s">
        <v>155</v>
      </c>
      <c r="H781" s="32">
        <v>60228056</v>
      </c>
      <c r="I781" s="32">
        <v>1830000</v>
      </c>
      <c r="J781" s="32">
        <v>10530726</v>
      </c>
      <c r="K781" s="33">
        <v>47867330</v>
      </c>
      <c r="L781" s="33">
        <v>42250000</v>
      </c>
      <c r="M781" s="34">
        <v>1.1329545562130177</v>
      </c>
      <c r="N781" s="209" t="str">
        <f>IFERROR(VLOOKUP(F781,Back!C:F,4,0),"NO")</f>
        <v>Si</v>
      </c>
      <c r="O781" s="26">
        <v>24</v>
      </c>
      <c r="P781" s="28" t="str">
        <f>IFERROR(VLOOKUP(F781,Back!C:E,3,0),"")</f>
        <v>IPS Pto De Vista Molinos</v>
      </c>
      <c r="Q781" s="28" t="str">
        <f>IFERROR(VLOOKUP(P781,Back!M:N,2,0),"")</f>
        <v>Antioquia</v>
      </c>
      <c r="R781" s="27" t="str">
        <f>IF(N781="Si",IFERROR(VLOOKUP(F781,'TD Cumpl'!B:AB,27,0),"No Aplica"),"No Aplica")</f>
        <v>Cumple</v>
      </c>
      <c r="S781" s="38">
        <v>112</v>
      </c>
      <c r="T781" s="36">
        <v>11623652</v>
      </c>
      <c r="U781" s="26">
        <v>298</v>
      </c>
      <c r="V781" s="37">
        <v>31702347</v>
      </c>
      <c r="W781" s="19">
        <v>113</v>
      </c>
      <c r="X781" s="37">
        <v>10530726</v>
      </c>
      <c r="Y781" s="46">
        <f t="shared" si="26"/>
        <v>6371331</v>
      </c>
    </row>
    <row r="782" spans="1:25" x14ac:dyDescent="0.25">
      <c r="A782" s="20">
        <f>+VLOOKUP(D782,Back!Q:R,2,0)</f>
        <v>7</v>
      </c>
      <c r="B782" s="20" t="str">
        <f t="shared" si="25"/>
        <v>2017 JUL</v>
      </c>
      <c r="C782" s="30">
        <v>2017</v>
      </c>
      <c r="D782" s="30" t="s">
        <v>157</v>
      </c>
      <c r="E782" s="30" t="s">
        <v>18</v>
      </c>
      <c r="F782" s="30">
        <v>39442617</v>
      </c>
      <c r="G782" s="30" t="s">
        <v>41</v>
      </c>
      <c r="H782" s="32">
        <v>21809258</v>
      </c>
      <c r="I782" s="32">
        <v>644400</v>
      </c>
      <c r="J782" s="32">
        <v>2540608</v>
      </c>
      <c r="K782" s="33">
        <v>18624250</v>
      </c>
      <c r="L782" s="33">
        <v>18000000</v>
      </c>
      <c r="M782" s="34">
        <v>1.0346805555555556</v>
      </c>
      <c r="N782" s="209" t="str">
        <f>IFERROR(VLOOKUP(F782,Back!C:F,4,0),"NO")</f>
        <v>Si</v>
      </c>
      <c r="O782" s="26">
        <v>24</v>
      </c>
      <c r="P782" s="28" t="str">
        <f>IFERROR(VLOOKUP(F782,Back!C:E,3,0),"")</f>
        <v>IPS Pto De Vista San Diego</v>
      </c>
      <c r="Q782" s="28" t="str">
        <f>IFERROR(VLOOKUP(P782,Back!M:N,2,0),"")</f>
        <v>Antioquia</v>
      </c>
      <c r="R782" s="27" t="str">
        <f>IF(N782="Si",IFERROR(VLOOKUP(F782,'TD Cumpl'!B:AB,27,0),"No Aplica"),"No Aplica")</f>
        <v>Cumple</v>
      </c>
      <c r="S782" s="38">
        <v>30</v>
      </c>
      <c r="T782" s="36">
        <v>4518658</v>
      </c>
      <c r="U782" s="26">
        <v>78</v>
      </c>
      <c r="V782" s="37">
        <v>11388854</v>
      </c>
      <c r="W782" s="19">
        <v>32</v>
      </c>
      <c r="X782" s="37">
        <v>2540608</v>
      </c>
      <c r="Y782" s="46">
        <f t="shared" si="26"/>
        <v>3361138</v>
      </c>
    </row>
    <row r="783" spans="1:25" x14ac:dyDescent="0.25">
      <c r="A783" s="20">
        <f>+VLOOKUP(D783,Back!Q:R,2,0)</f>
        <v>7</v>
      </c>
      <c r="B783" s="20" t="str">
        <f t="shared" si="25"/>
        <v>2017 JUL</v>
      </c>
      <c r="C783" s="30">
        <v>2017</v>
      </c>
      <c r="D783" s="30" t="s">
        <v>157</v>
      </c>
      <c r="E783" s="30" t="s">
        <v>23</v>
      </c>
      <c r="F783" s="30">
        <v>43907427</v>
      </c>
      <c r="G783" s="30" t="s">
        <v>144</v>
      </c>
      <c r="H783" s="32">
        <v>40606049</v>
      </c>
      <c r="I783" s="32">
        <v>318680</v>
      </c>
      <c r="J783" s="32">
        <v>4079589</v>
      </c>
      <c r="K783" s="33">
        <v>36207780</v>
      </c>
      <c r="L783" s="33">
        <v>36000000</v>
      </c>
      <c r="M783" s="34">
        <v>1.0057716666666667</v>
      </c>
      <c r="N783" s="209" t="str">
        <f>IFERROR(VLOOKUP(F783,Back!C:F,4,0),"NO")</f>
        <v>Si</v>
      </c>
      <c r="O783" s="26">
        <v>24</v>
      </c>
      <c r="P783" s="28" t="str">
        <f>IFERROR(VLOOKUP(F783,Back!C:E,3,0),"")</f>
        <v>IPS Pto De Vista Industriales</v>
      </c>
      <c r="Q783" s="28" t="str">
        <f>IFERROR(VLOOKUP(P783,Back!M:N,2,0),"")</f>
        <v>Antioquia</v>
      </c>
      <c r="R783" s="27" t="str">
        <f>IF(N783="Si",IFERROR(VLOOKUP(F783,'TD Cumpl'!B:AB,27,0),"No Aplica"),"No Aplica")</f>
        <v>Siempre Cumple</v>
      </c>
      <c r="S783" s="38">
        <v>51</v>
      </c>
      <c r="T783" s="36">
        <v>10275644</v>
      </c>
      <c r="U783" s="26">
        <v>108</v>
      </c>
      <c r="V783" s="37">
        <v>21499300</v>
      </c>
      <c r="W783" s="19">
        <v>45</v>
      </c>
      <c r="X783" s="37">
        <v>4079589</v>
      </c>
      <c r="Y783" s="46">
        <f t="shared" si="26"/>
        <v>4751516</v>
      </c>
    </row>
    <row r="784" spans="1:25" x14ac:dyDescent="0.25">
      <c r="A784" s="20">
        <f>+VLOOKUP(D784,Back!Q:R,2,0)</f>
        <v>7</v>
      </c>
      <c r="B784" s="20" t="str">
        <f t="shared" si="25"/>
        <v>2017 JUL</v>
      </c>
      <c r="C784" s="30">
        <v>2017</v>
      </c>
      <c r="D784" s="30" t="s">
        <v>157</v>
      </c>
      <c r="E784" s="30" t="s">
        <v>21</v>
      </c>
      <c r="F784" s="30">
        <v>1035417626</v>
      </c>
      <c r="G784" s="30" t="s">
        <v>80</v>
      </c>
      <c r="H784" s="32">
        <v>57879690</v>
      </c>
      <c r="I784" s="32">
        <v>1688800</v>
      </c>
      <c r="J784" s="32">
        <v>11805310</v>
      </c>
      <c r="K784" s="33">
        <v>44385580</v>
      </c>
      <c r="L784" s="33">
        <v>34041666.666666672</v>
      </c>
      <c r="M784" s="34">
        <v>1.3038603671970623</v>
      </c>
      <c r="N784" s="209" t="str">
        <f>IFERROR(VLOOKUP(F784,Back!C:F,4,0),"NO")</f>
        <v>Si</v>
      </c>
      <c r="O784" s="26">
        <v>24</v>
      </c>
      <c r="P784" s="28" t="str">
        <f>IFERROR(VLOOKUP(F784,Back!C:E,3,0),"")</f>
        <v>IPS Pto De Vista Unicentro</v>
      </c>
      <c r="Q784" s="28" t="str">
        <f>IFERROR(VLOOKUP(P784,Back!M:N,2,0),"")</f>
        <v>Antioquia</v>
      </c>
      <c r="R784" s="27" t="str">
        <f>IF(N784="Si",IFERROR(VLOOKUP(F784,'TD Cumpl'!B:AB,27,0),"No Aplica"),"No Aplica")</f>
        <v>Cumple</v>
      </c>
      <c r="S784" s="38">
        <v>94</v>
      </c>
      <c r="T784" s="36">
        <v>10281587</v>
      </c>
      <c r="U784" s="26">
        <v>240</v>
      </c>
      <c r="V784" s="37">
        <v>29248537</v>
      </c>
      <c r="W784" s="19">
        <v>126</v>
      </c>
      <c r="X784" s="37">
        <v>11805310</v>
      </c>
      <c r="Y784" s="46">
        <f t="shared" si="26"/>
        <v>6544256</v>
      </c>
    </row>
    <row r="785" spans="1:25" x14ac:dyDescent="0.25">
      <c r="A785" s="20">
        <f>+VLOOKUP(D785,Back!Q:R,2,0)</f>
        <v>7</v>
      </c>
      <c r="B785" s="20" t="str">
        <f t="shared" si="25"/>
        <v>2017 JUL</v>
      </c>
      <c r="C785" s="30">
        <v>2017</v>
      </c>
      <c r="D785" s="30" t="s">
        <v>157</v>
      </c>
      <c r="E785" s="30" t="s">
        <v>103</v>
      </c>
      <c r="F785" s="30">
        <v>1020409789</v>
      </c>
      <c r="G785" s="30" t="s">
        <v>145</v>
      </c>
      <c r="H785" s="32">
        <v>53143488</v>
      </c>
      <c r="I785" s="32">
        <v>976000</v>
      </c>
      <c r="J785" s="32">
        <v>9248652</v>
      </c>
      <c r="K785" s="33">
        <v>42918836</v>
      </c>
      <c r="L785" s="33">
        <v>34041666.666666672</v>
      </c>
      <c r="M785" s="34">
        <v>1.2607736401468785</v>
      </c>
      <c r="N785" s="209" t="str">
        <f>IFERROR(VLOOKUP(F785,Back!C:F,4,0),"NO")</f>
        <v>Si</v>
      </c>
      <c r="O785" s="26">
        <v>24</v>
      </c>
      <c r="P785" s="28" t="str">
        <f>IFERROR(VLOOKUP(F785,Back!C:E,3,0),"")</f>
        <v>IPS Pto De Vista Molinos</v>
      </c>
      <c r="Q785" s="28" t="str">
        <f>IFERROR(VLOOKUP(P785,Back!M:N,2,0),"")</f>
        <v>Antioquia</v>
      </c>
      <c r="R785" s="27" t="str">
        <f>IF(N785="Si",IFERROR(VLOOKUP(F785,'TD Cumpl'!B:AB,27,0),"No Aplica"),"No Aplica")</f>
        <v>Cumple</v>
      </c>
      <c r="S785" s="38">
        <v>88</v>
      </c>
      <c r="T785" s="36">
        <v>9700054</v>
      </c>
      <c r="U785" s="26">
        <v>230</v>
      </c>
      <c r="V785" s="37">
        <v>27088398</v>
      </c>
      <c r="W785" s="19">
        <v>106</v>
      </c>
      <c r="X785" s="37">
        <v>9248652</v>
      </c>
      <c r="Y785" s="46">
        <f t="shared" si="26"/>
        <v>7106384</v>
      </c>
    </row>
    <row r="786" spans="1:25" x14ac:dyDescent="0.25">
      <c r="A786" s="20">
        <f>+VLOOKUP(D786,Back!Q:R,2,0)</f>
        <v>7</v>
      </c>
      <c r="B786" s="20" t="str">
        <f t="shared" si="25"/>
        <v>2017 JUL</v>
      </c>
      <c r="C786" s="30">
        <v>2017</v>
      </c>
      <c r="D786" s="30" t="s">
        <v>157</v>
      </c>
      <c r="E786" s="30" t="s">
        <v>8</v>
      </c>
      <c r="F786" s="30">
        <v>43259130</v>
      </c>
      <c r="G786" s="30" t="s">
        <v>51</v>
      </c>
      <c r="H786" s="32">
        <v>71842319</v>
      </c>
      <c r="I786" s="32">
        <v>206000</v>
      </c>
      <c r="J786" s="32">
        <v>15874199</v>
      </c>
      <c r="K786" s="33">
        <v>55762120</v>
      </c>
      <c r="L786" s="33">
        <v>43000000</v>
      </c>
      <c r="M786" s="34">
        <v>1.2967934883720931</v>
      </c>
      <c r="N786" s="209" t="str">
        <f>IFERROR(VLOOKUP(F786,Back!C:F,4,0),"NO")</f>
        <v>Si</v>
      </c>
      <c r="O786" s="26">
        <v>24</v>
      </c>
      <c r="P786" s="28" t="str">
        <f>IFERROR(VLOOKUP(F786,Back!C:E,3,0),"")</f>
        <v>IPS Pto De Vista Molinos</v>
      </c>
      <c r="Q786" s="28" t="str">
        <f>IFERROR(VLOOKUP(P786,Back!M:N,2,0),"")</f>
        <v>Antioquia</v>
      </c>
      <c r="R786" s="27" t="str">
        <f>IF(N786="Si",IFERROR(VLOOKUP(F786,'TD Cumpl'!B:AB,27,0),"No Aplica"),"No Aplica")</f>
        <v>Fluctúa</v>
      </c>
      <c r="S786" s="38">
        <v>128</v>
      </c>
      <c r="T786" s="36">
        <v>12741239</v>
      </c>
      <c r="U786" s="26">
        <v>328</v>
      </c>
      <c r="V786" s="37">
        <v>36832241</v>
      </c>
      <c r="W786" s="19">
        <v>179</v>
      </c>
      <c r="X786" s="37">
        <v>15874199</v>
      </c>
      <c r="Y786" s="46">
        <f t="shared" si="26"/>
        <v>6394640</v>
      </c>
    </row>
    <row r="787" spans="1:25" x14ac:dyDescent="0.25">
      <c r="A787" s="20">
        <f>+VLOOKUP(D787,Back!Q:R,2,0)</f>
        <v>7</v>
      </c>
      <c r="B787" s="20" t="str">
        <f t="shared" si="25"/>
        <v>2017 JUL</v>
      </c>
      <c r="C787" s="30">
        <v>2017</v>
      </c>
      <c r="D787" s="30" t="s">
        <v>157</v>
      </c>
      <c r="E787" s="30" t="s">
        <v>7</v>
      </c>
      <c r="F787" s="30">
        <v>43745952</v>
      </c>
      <c r="G787" s="30" t="s">
        <v>50</v>
      </c>
      <c r="H787" s="32">
        <v>103867711</v>
      </c>
      <c r="I787" s="32">
        <v>639000</v>
      </c>
      <c r="J787" s="32">
        <v>23386455</v>
      </c>
      <c r="K787" s="33">
        <v>79842256</v>
      </c>
      <c r="L787" s="33">
        <v>43000000</v>
      </c>
      <c r="M787" s="34">
        <v>1.8567966511627907</v>
      </c>
      <c r="N787" s="209" t="str">
        <f>IFERROR(VLOOKUP(F787,Back!C:F,4,0),"NO")</f>
        <v>Si</v>
      </c>
      <c r="O787" s="26">
        <v>24</v>
      </c>
      <c r="P787" s="28" t="str">
        <f>IFERROR(VLOOKUP(F787,Back!C:E,3,0),"")</f>
        <v>IPS Pto De Vista Unicentro</v>
      </c>
      <c r="Q787" s="28" t="str">
        <f>IFERROR(VLOOKUP(P787,Back!M:N,2,0),"")</f>
        <v>Antioquia</v>
      </c>
      <c r="R787" s="27" t="str">
        <f>IF(N787="Si",IFERROR(VLOOKUP(F787,'TD Cumpl'!B:AB,27,0),"No Aplica"),"No Aplica")</f>
        <v>Siempre Cumple</v>
      </c>
      <c r="S787" s="38">
        <v>174</v>
      </c>
      <c r="T787" s="36">
        <v>17431781</v>
      </c>
      <c r="U787" s="26">
        <v>445</v>
      </c>
      <c r="V787" s="37">
        <v>51060091</v>
      </c>
      <c r="W787" s="19">
        <v>246</v>
      </c>
      <c r="X787" s="37">
        <v>23386455</v>
      </c>
      <c r="Y787" s="46">
        <f t="shared" si="26"/>
        <v>11989384</v>
      </c>
    </row>
    <row r="788" spans="1:25" x14ac:dyDescent="0.25">
      <c r="A788" s="20">
        <f>+VLOOKUP(D788,Back!Q:R,2,0)</f>
        <v>7</v>
      </c>
      <c r="B788" s="20" t="str">
        <f t="shared" si="25"/>
        <v>2017 JUL</v>
      </c>
      <c r="C788" s="30">
        <v>2017</v>
      </c>
      <c r="D788" s="30" t="s">
        <v>157</v>
      </c>
      <c r="E788" s="30" t="s">
        <v>3</v>
      </c>
      <c r="F788" s="30">
        <v>52725011</v>
      </c>
      <c r="G788" s="30" t="s">
        <v>42</v>
      </c>
      <c r="H788" s="32">
        <v>32211226</v>
      </c>
      <c r="I788" s="32">
        <v>440000</v>
      </c>
      <c r="J788" s="32">
        <v>6063688</v>
      </c>
      <c r="K788" s="33">
        <v>25707538</v>
      </c>
      <c r="L788" s="33">
        <v>20000000</v>
      </c>
      <c r="M788" s="34">
        <v>1.2853768999999999</v>
      </c>
      <c r="N788" s="209" t="str">
        <f>IFERROR(VLOOKUP(F788,Back!C:F,4,0),"NO")</f>
        <v>Si</v>
      </c>
      <c r="O788" s="26">
        <v>24</v>
      </c>
      <c r="P788" s="28" t="str">
        <f>IFERROR(VLOOKUP(F788,Back!C:E,3,0),"")</f>
        <v>IPS Pto De Vista Olaya</v>
      </c>
      <c r="Q788" s="28" t="str">
        <f>IFERROR(VLOOKUP(P788,Back!M:N,2,0),"")</f>
        <v>Centro</v>
      </c>
      <c r="R788" s="27" t="str">
        <f>IF(N788="Si",IFERROR(VLOOKUP(F788,'TD Cumpl'!B:AB,27,0),"No Aplica"),"No Aplica")</f>
        <v>Fluctúa</v>
      </c>
      <c r="S788" s="38">
        <v>96</v>
      </c>
      <c r="T788" s="36">
        <v>6197831</v>
      </c>
      <c r="U788" s="26">
        <v>216</v>
      </c>
      <c r="V788" s="37">
        <v>17315995</v>
      </c>
      <c r="W788" s="19">
        <v>95</v>
      </c>
      <c r="X788" s="37">
        <v>6063688</v>
      </c>
      <c r="Y788" s="46">
        <f t="shared" si="26"/>
        <v>2633712</v>
      </c>
    </row>
    <row r="789" spans="1:25" x14ac:dyDescent="0.25">
      <c r="A789" s="20">
        <f>+VLOOKUP(D789,Back!Q:R,2,0)</f>
        <v>7</v>
      </c>
      <c r="B789" s="20" t="str">
        <f t="shared" si="25"/>
        <v>2017 JUL</v>
      </c>
      <c r="C789" s="30">
        <v>2017</v>
      </c>
      <c r="D789" s="30" t="s">
        <v>157</v>
      </c>
      <c r="E789" s="30" t="s">
        <v>4</v>
      </c>
      <c r="F789" s="30">
        <v>79701425</v>
      </c>
      <c r="G789" s="30" t="s">
        <v>27</v>
      </c>
      <c r="H789" s="32">
        <v>37181858</v>
      </c>
      <c r="I789" s="32">
        <v>220000</v>
      </c>
      <c r="J789" s="32">
        <v>8314449</v>
      </c>
      <c r="K789" s="33">
        <v>28647409</v>
      </c>
      <c r="L789" s="33">
        <v>20000000</v>
      </c>
      <c r="M789" s="34">
        <v>1.4323704500000001</v>
      </c>
      <c r="N789" s="209" t="str">
        <f>IFERROR(VLOOKUP(F789,Back!C:F,4,0),"NO")</f>
        <v>No</v>
      </c>
      <c r="O789" s="26">
        <v>24</v>
      </c>
      <c r="P789" s="28" t="str">
        <f>IFERROR(VLOOKUP(F789,Back!C:E,3,0),"")</f>
        <v>IPS Pto De Vista Olaya</v>
      </c>
      <c r="Q789" s="28" t="str">
        <f>IFERROR(VLOOKUP(P789,Back!M:N,2,0),"")</f>
        <v>Centro</v>
      </c>
      <c r="R789" s="27" t="str">
        <f>IF(N789="Si",IFERROR(VLOOKUP(F789,'TD Cumpl'!B:AB,27,0),"No Aplica"),"No Aplica")</f>
        <v>No Aplica</v>
      </c>
      <c r="S789" s="38">
        <v>99</v>
      </c>
      <c r="T789" s="36">
        <v>6615393</v>
      </c>
      <c r="U789" s="26">
        <v>237</v>
      </c>
      <c r="V789" s="37">
        <v>19240675</v>
      </c>
      <c r="W789" s="19">
        <v>117</v>
      </c>
      <c r="X789" s="37">
        <v>8314449</v>
      </c>
      <c r="Y789" s="46">
        <f t="shared" si="26"/>
        <v>3011341</v>
      </c>
    </row>
    <row r="790" spans="1:25" x14ac:dyDescent="0.25">
      <c r="A790" s="20">
        <f>+VLOOKUP(D790,Back!Q:R,2,0)</f>
        <v>7</v>
      </c>
      <c r="B790" s="20" t="str">
        <f t="shared" si="25"/>
        <v>2017 JUL</v>
      </c>
      <c r="C790" s="30">
        <v>2017</v>
      </c>
      <c r="D790" s="30" t="s">
        <v>157</v>
      </c>
      <c r="E790" s="30" t="s">
        <v>66</v>
      </c>
      <c r="F790" s="30">
        <v>3438422</v>
      </c>
      <c r="G790" s="30" t="s">
        <v>71</v>
      </c>
      <c r="H790" s="32">
        <v>55256749</v>
      </c>
      <c r="I790" s="32">
        <v>852000</v>
      </c>
      <c r="J790" s="32">
        <v>10572991</v>
      </c>
      <c r="K790" s="33">
        <v>43831758</v>
      </c>
      <c r="L790" s="33">
        <v>43000000</v>
      </c>
      <c r="M790" s="34">
        <v>1.0193432093023256</v>
      </c>
      <c r="N790" s="209" t="str">
        <f>IFERROR(VLOOKUP(F790,Back!C:F,4,0),"NO")</f>
        <v>Si</v>
      </c>
      <c r="O790" s="26">
        <v>24</v>
      </c>
      <c r="P790" s="28" t="str">
        <f>IFERROR(VLOOKUP(F790,Back!C:E,3,0),"")</f>
        <v>IPS Pto De Vista Punto Clave</v>
      </c>
      <c r="Q790" s="28" t="str">
        <f>IFERROR(VLOOKUP(P790,Back!M:N,2,0),"")</f>
        <v>Antioquia</v>
      </c>
      <c r="R790" s="27" t="str">
        <f>IF(N790="Si",IFERROR(VLOOKUP(F790,'TD Cumpl'!B:AB,27,0),"No Aplica"),"No Aplica")</f>
        <v>Fluctúa</v>
      </c>
      <c r="S790" s="38">
        <v>88</v>
      </c>
      <c r="T790" s="36">
        <v>8778905</v>
      </c>
      <c r="U790" s="26">
        <v>217</v>
      </c>
      <c r="V790" s="37">
        <v>27246022</v>
      </c>
      <c r="W790" s="19">
        <v>114</v>
      </c>
      <c r="X790" s="37">
        <v>10572991</v>
      </c>
      <c r="Y790" s="46">
        <f t="shared" si="26"/>
        <v>8658831</v>
      </c>
    </row>
    <row r="791" spans="1:25" x14ac:dyDescent="0.25">
      <c r="A791" s="20">
        <f>+VLOOKUP(D791,Back!Q:R,2,0)</f>
        <v>7</v>
      </c>
      <c r="B791" s="20" t="str">
        <f t="shared" si="25"/>
        <v>2017 JUL</v>
      </c>
      <c r="C791" s="30">
        <v>2017</v>
      </c>
      <c r="D791" s="30" t="s">
        <v>157</v>
      </c>
      <c r="E791" s="30" t="s">
        <v>92</v>
      </c>
      <c r="F791" s="30">
        <v>1017167720</v>
      </c>
      <c r="G791" s="30" t="s">
        <v>96</v>
      </c>
      <c r="H791" s="32">
        <v>56871129</v>
      </c>
      <c r="I791" s="32">
        <v>1216000</v>
      </c>
      <c r="J791" s="32">
        <v>11795466</v>
      </c>
      <c r="K791" s="33">
        <v>43859663</v>
      </c>
      <c r="L791" s="33">
        <v>43000000</v>
      </c>
      <c r="M791" s="34">
        <v>1.0199921627906976</v>
      </c>
      <c r="N791" s="209" t="str">
        <f>IFERROR(VLOOKUP(F791,Back!C:F,4,0),"NO")</f>
        <v>Si</v>
      </c>
      <c r="O791" s="26">
        <v>24</v>
      </c>
      <c r="P791" s="28" t="str">
        <f>IFERROR(VLOOKUP(F791,Back!C:E,3,0),"")</f>
        <v>IPS Pto De Vista Punto Clave</v>
      </c>
      <c r="Q791" s="28" t="str">
        <f>IFERROR(VLOOKUP(P791,Back!M:N,2,0),"")</f>
        <v>Antioquia</v>
      </c>
      <c r="R791" s="27" t="str">
        <f>IF(N791="Si",IFERROR(VLOOKUP(F791,'TD Cumpl'!B:AB,27,0),"No Aplica"),"No Aplica")</f>
        <v>Cumple</v>
      </c>
      <c r="S791" s="38">
        <v>97</v>
      </c>
      <c r="T791" s="36">
        <v>12483903</v>
      </c>
      <c r="U791" s="26">
        <v>224</v>
      </c>
      <c r="V791" s="37">
        <v>25092117</v>
      </c>
      <c r="W791" s="19">
        <v>144</v>
      </c>
      <c r="X791" s="37">
        <v>11795466</v>
      </c>
      <c r="Y791" s="46">
        <f t="shared" si="26"/>
        <v>7499643</v>
      </c>
    </row>
    <row r="792" spans="1:25" x14ac:dyDescent="0.25">
      <c r="A792" s="20">
        <f>+VLOOKUP(D792,Back!Q:R,2,0)</f>
        <v>7</v>
      </c>
      <c r="B792" s="20" t="str">
        <f t="shared" si="25"/>
        <v>2017 JUL</v>
      </c>
      <c r="C792" s="30">
        <v>2017</v>
      </c>
      <c r="D792" s="30" t="s">
        <v>157</v>
      </c>
      <c r="E792" s="30" t="s">
        <v>57</v>
      </c>
      <c r="F792" s="30">
        <v>43874518</v>
      </c>
      <c r="G792" s="30" t="s">
        <v>60</v>
      </c>
      <c r="H792" s="32">
        <v>58721303</v>
      </c>
      <c r="I792" s="32">
        <v>744000</v>
      </c>
      <c r="J792" s="32">
        <v>13725318</v>
      </c>
      <c r="K792" s="33">
        <v>44251985</v>
      </c>
      <c r="L792" s="33">
        <v>43000000</v>
      </c>
      <c r="M792" s="34">
        <v>1.0291159302325581</v>
      </c>
      <c r="N792" s="209" t="str">
        <f>IFERROR(VLOOKUP(F792,Back!C:F,4,0),"NO")</f>
        <v>Si</v>
      </c>
      <c r="O792" s="26">
        <v>24</v>
      </c>
      <c r="P792" s="28" t="str">
        <f>IFERROR(VLOOKUP(F792,Back!C:E,3,0),"")</f>
        <v>IPS Pto De Vista Punto Clave</v>
      </c>
      <c r="Q792" s="28" t="str">
        <f>IFERROR(VLOOKUP(P792,Back!M:N,2,0),"")</f>
        <v>Antioquia</v>
      </c>
      <c r="R792" s="27" t="str">
        <f>IF(N792="Si",IFERROR(VLOOKUP(F792,'TD Cumpl'!B:AB,27,0),"No Aplica"),"No Aplica")</f>
        <v>Fluctúa</v>
      </c>
      <c r="S792" s="38">
        <v>117</v>
      </c>
      <c r="T792" s="36">
        <v>10415676</v>
      </c>
      <c r="U792" s="26">
        <v>292</v>
      </c>
      <c r="V792" s="37">
        <v>27383869</v>
      </c>
      <c r="W792" s="19">
        <v>151</v>
      </c>
      <c r="X792" s="37">
        <v>13725318</v>
      </c>
      <c r="Y792" s="46">
        <f t="shared" si="26"/>
        <v>7196440</v>
      </c>
    </row>
    <row r="793" spans="1:25" x14ac:dyDescent="0.25">
      <c r="A793" s="20">
        <f>+VLOOKUP(D793,Back!Q:R,2,0)</f>
        <v>7</v>
      </c>
      <c r="B793" s="20" t="str">
        <f t="shared" si="25"/>
        <v>2017 JUL</v>
      </c>
      <c r="C793" s="30">
        <v>2017</v>
      </c>
      <c r="D793" s="30" t="s">
        <v>157</v>
      </c>
      <c r="E793" s="30" t="s">
        <v>64</v>
      </c>
      <c r="F793" s="30">
        <v>1036598360</v>
      </c>
      <c r="G793" s="30" t="s">
        <v>146</v>
      </c>
      <c r="H793" s="32">
        <v>34679994</v>
      </c>
      <c r="I793" s="32">
        <v>808000</v>
      </c>
      <c r="J793" s="32">
        <v>5519595</v>
      </c>
      <c r="K793" s="33">
        <v>28352399</v>
      </c>
      <c r="L793" s="33">
        <v>25083333.333333336</v>
      </c>
      <c r="M793" s="34">
        <v>1.1303281993355481</v>
      </c>
      <c r="N793" s="209" t="str">
        <f>IFERROR(VLOOKUP(F793,Back!C:F,4,0),"NO")</f>
        <v>Si</v>
      </c>
      <c r="O793" s="26">
        <v>24</v>
      </c>
      <c r="P793" s="28" t="str">
        <f>IFERROR(VLOOKUP(F793,Back!C:E,3,0),"")</f>
        <v>IPS Pto De Vista Punto Clave</v>
      </c>
      <c r="Q793" s="28" t="str">
        <f>IFERROR(VLOOKUP(P793,Back!M:N,2,0),"")</f>
        <v>Antioquia</v>
      </c>
      <c r="R793" s="27" t="str">
        <f>IF(N793="Si",IFERROR(VLOOKUP(F793,'TD Cumpl'!B:AB,27,0),"No Aplica"),"No Aplica")</f>
        <v>Fluctúa</v>
      </c>
      <c r="S793" s="38">
        <v>51</v>
      </c>
      <c r="T793" s="36">
        <v>5729702</v>
      </c>
      <c r="U793" s="26">
        <v>136</v>
      </c>
      <c r="V793" s="37">
        <v>17135235</v>
      </c>
      <c r="W793" s="19">
        <v>63</v>
      </c>
      <c r="X793" s="37">
        <v>5519595</v>
      </c>
      <c r="Y793" s="46">
        <f t="shared" si="26"/>
        <v>6295462</v>
      </c>
    </row>
    <row r="794" spans="1:25" x14ac:dyDescent="0.25">
      <c r="A794" s="20">
        <f>+VLOOKUP(D794,Back!Q:R,2,0)</f>
        <v>7</v>
      </c>
      <c r="B794" s="20" t="str">
        <f t="shared" si="25"/>
        <v>2017 JUL</v>
      </c>
      <c r="C794" s="30">
        <v>2017</v>
      </c>
      <c r="D794" s="30" t="s">
        <v>157</v>
      </c>
      <c r="E794" s="30" t="s">
        <v>90</v>
      </c>
      <c r="F794" s="30">
        <v>1020419011</v>
      </c>
      <c r="G794" s="30" t="s">
        <v>97</v>
      </c>
      <c r="H794" s="32">
        <v>56119944</v>
      </c>
      <c r="I794" s="32">
        <v>611000</v>
      </c>
      <c r="J794" s="32">
        <v>11079957</v>
      </c>
      <c r="K794" s="33">
        <v>44428987</v>
      </c>
      <c r="L794" s="33">
        <v>43000000</v>
      </c>
      <c r="M794" s="34">
        <v>1.0332322558139535</v>
      </c>
      <c r="N794" s="209" t="str">
        <f>IFERROR(VLOOKUP(F794,Back!C:F,4,0),"NO")</f>
        <v>Si</v>
      </c>
      <c r="O794" s="26">
        <v>24</v>
      </c>
      <c r="P794" s="28" t="str">
        <f>IFERROR(VLOOKUP(F794,Back!C:E,3,0),"")</f>
        <v>IPS Pto De Vista Punto Clave</v>
      </c>
      <c r="Q794" s="28" t="str">
        <f>IFERROR(VLOOKUP(P794,Back!M:N,2,0),"")</f>
        <v>Antioquia</v>
      </c>
      <c r="R794" s="27" t="str">
        <f>IF(N794="Si",IFERROR(VLOOKUP(F794,'TD Cumpl'!B:AB,27,0),"No Aplica"),"No Aplica")</f>
        <v>Cumple</v>
      </c>
      <c r="S794" s="38">
        <v>86</v>
      </c>
      <c r="T794" s="36">
        <v>8715998</v>
      </c>
      <c r="U794" s="26">
        <v>226</v>
      </c>
      <c r="V794" s="37">
        <v>26036876</v>
      </c>
      <c r="W794" s="19">
        <v>119</v>
      </c>
      <c r="X794" s="37">
        <v>11079957</v>
      </c>
      <c r="Y794" s="46">
        <f t="shared" si="26"/>
        <v>10287113</v>
      </c>
    </row>
    <row r="795" spans="1:25" x14ac:dyDescent="0.25">
      <c r="A795" s="20">
        <f>+VLOOKUP(D795,Back!Q:R,2,0)</f>
        <v>7</v>
      </c>
      <c r="B795" s="20" t="str">
        <f t="shared" si="25"/>
        <v>2017 JUL</v>
      </c>
      <c r="C795" s="30">
        <v>2017</v>
      </c>
      <c r="D795" s="30" t="s">
        <v>157</v>
      </c>
      <c r="E795" s="30" t="s">
        <v>117</v>
      </c>
      <c r="F795" s="30">
        <v>1020419615</v>
      </c>
      <c r="G795" s="30" t="s">
        <v>118</v>
      </c>
      <c r="H795" s="32">
        <v>55992143</v>
      </c>
      <c r="I795" s="32">
        <v>880000</v>
      </c>
      <c r="J795" s="32">
        <v>10313623</v>
      </c>
      <c r="K795" s="33">
        <v>44798520</v>
      </c>
      <c r="L795" s="33">
        <v>43000000</v>
      </c>
      <c r="M795" s="34">
        <v>1.0418260465116278</v>
      </c>
      <c r="N795" s="209" t="str">
        <f>IFERROR(VLOOKUP(F795,Back!C:F,4,0),"NO")</f>
        <v>Si</v>
      </c>
      <c r="O795" s="26">
        <v>24</v>
      </c>
      <c r="P795" s="28" t="str">
        <f>IFERROR(VLOOKUP(F795,Back!C:E,3,0),"")</f>
        <v>IPS Pto De Vista Punto Clave</v>
      </c>
      <c r="Q795" s="28" t="str">
        <f>IFERROR(VLOOKUP(P795,Back!M:N,2,0),"")</f>
        <v>Antioquia</v>
      </c>
      <c r="R795" s="27" t="str">
        <f>IF(N795="Si",IFERROR(VLOOKUP(F795,'TD Cumpl'!B:AB,27,0),"No Aplica"),"No Aplica")</f>
        <v>Cumple</v>
      </c>
      <c r="S795" s="38">
        <v>102</v>
      </c>
      <c r="T795" s="36">
        <v>9069520</v>
      </c>
      <c r="U795" s="26">
        <v>252</v>
      </c>
      <c r="V795" s="37">
        <v>25797721</v>
      </c>
      <c r="W795" s="19">
        <v>126</v>
      </c>
      <c r="X795" s="37">
        <v>10313623</v>
      </c>
      <c r="Y795" s="46">
        <f t="shared" si="26"/>
        <v>10811279</v>
      </c>
    </row>
    <row r="796" spans="1:25" x14ac:dyDescent="0.25">
      <c r="A796" s="20">
        <f>+VLOOKUP(D796,Back!Q:R,2,0)</f>
        <v>7</v>
      </c>
      <c r="B796" s="20" t="str">
        <f t="shared" si="25"/>
        <v>2017 JUL</v>
      </c>
      <c r="C796" s="30">
        <v>2017</v>
      </c>
      <c r="D796" s="30" t="s">
        <v>157</v>
      </c>
      <c r="E796" s="30" t="s">
        <v>25</v>
      </c>
      <c r="F796" s="30">
        <v>1040030764</v>
      </c>
      <c r="G796" s="30" t="s">
        <v>43</v>
      </c>
      <c r="H796" s="31">
        <v>46635165</v>
      </c>
      <c r="I796" s="32">
        <v>1634600</v>
      </c>
      <c r="J796" s="32">
        <v>9246540</v>
      </c>
      <c r="K796" s="33">
        <v>35754025</v>
      </c>
      <c r="L796" s="33">
        <v>33000000</v>
      </c>
      <c r="M796" s="34">
        <v>1.0834553030303031</v>
      </c>
      <c r="N796" s="209" t="str">
        <f>IFERROR(VLOOKUP(F796,Back!C:F,4,0),"NO")</f>
        <v>Si</v>
      </c>
      <c r="O796" s="26">
        <v>24</v>
      </c>
      <c r="P796" s="28" t="str">
        <f>IFERROR(VLOOKUP(F796,Back!C:E,3,0),"")</f>
        <v>IPS Pto De Vista Rionegro</v>
      </c>
      <c r="Q796" s="28" t="str">
        <f>IFERROR(VLOOKUP(P796,Back!M:N,2,0),"")</f>
        <v>Antioquia</v>
      </c>
      <c r="R796" s="27" t="str">
        <f>IF(N796="Si",IFERROR(VLOOKUP(F796,'TD Cumpl'!B:AB,27,0),"No Aplica"),"No Aplica")</f>
        <v>Cumple</v>
      </c>
      <c r="S796" s="38">
        <v>90</v>
      </c>
      <c r="T796" s="36">
        <v>9991364</v>
      </c>
      <c r="U796" s="26">
        <v>220</v>
      </c>
      <c r="V796" s="37">
        <v>22865091</v>
      </c>
      <c r="W796" s="19">
        <v>110</v>
      </c>
      <c r="X796" s="37">
        <v>9246540</v>
      </c>
      <c r="Y796" s="46">
        <f t="shared" si="26"/>
        <v>4532170</v>
      </c>
    </row>
    <row r="797" spans="1:25" x14ac:dyDescent="0.25">
      <c r="A797" s="20">
        <f>+VLOOKUP(D797,Back!Q:R,2,0)</f>
        <v>7</v>
      </c>
      <c r="B797" s="20" t="str">
        <f t="shared" si="25"/>
        <v>2017 JUL</v>
      </c>
      <c r="C797" s="30">
        <v>2017</v>
      </c>
      <c r="D797" s="30" t="s">
        <v>157</v>
      </c>
      <c r="E797" s="30" t="s">
        <v>37</v>
      </c>
      <c r="F797" s="30">
        <v>1036779770</v>
      </c>
      <c r="G797" s="30" t="s">
        <v>52</v>
      </c>
      <c r="H797" s="32">
        <v>46467443</v>
      </c>
      <c r="I797" s="32">
        <v>2617800</v>
      </c>
      <c r="J797" s="32">
        <v>8695601</v>
      </c>
      <c r="K797" s="33">
        <v>35154042</v>
      </c>
      <c r="L797" s="33">
        <v>33000000</v>
      </c>
      <c r="M797" s="34">
        <v>1.0652740000000001</v>
      </c>
      <c r="N797" s="209" t="str">
        <f>IFERROR(VLOOKUP(F797,Back!C:F,4,0),"NO")</f>
        <v>No</v>
      </c>
      <c r="O797" s="26">
        <v>24</v>
      </c>
      <c r="P797" s="28" t="str">
        <f>IFERROR(VLOOKUP(F797,Back!C:E,3,0),"")</f>
        <v>IPS Pto De Vista Rionegro</v>
      </c>
      <c r="Q797" s="28" t="str">
        <f>IFERROR(VLOOKUP(P797,Back!M:N,2,0),"")</f>
        <v>Antioquia</v>
      </c>
      <c r="R797" s="27" t="str">
        <f>IF(N797="Si",IFERROR(VLOOKUP(F797,'TD Cumpl'!B:AB,27,0),"No Aplica"),"No Aplica")</f>
        <v>No Aplica</v>
      </c>
      <c r="S797" s="38">
        <v>85</v>
      </c>
      <c r="T797" s="36">
        <v>9781332</v>
      </c>
      <c r="U797" s="26">
        <v>226</v>
      </c>
      <c r="V797" s="37">
        <v>20413586</v>
      </c>
      <c r="W797" s="19">
        <v>109</v>
      </c>
      <c r="X797" s="37">
        <v>8695601</v>
      </c>
      <c r="Y797" s="46">
        <f t="shared" si="26"/>
        <v>7576924</v>
      </c>
    </row>
    <row r="798" spans="1:25" x14ac:dyDescent="0.25">
      <c r="A798" s="20">
        <f>+VLOOKUP(D798,Back!Q:R,2,0)</f>
        <v>7</v>
      </c>
      <c r="B798" s="20" t="str">
        <f t="shared" si="25"/>
        <v>2017 JUL</v>
      </c>
      <c r="C798" s="30">
        <v>2017</v>
      </c>
      <c r="D798" s="30" t="s">
        <v>157</v>
      </c>
      <c r="E798" s="30" t="s">
        <v>24</v>
      </c>
      <c r="F798" s="30">
        <v>39448823</v>
      </c>
      <c r="G798" s="30" t="s">
        <v>48</v>
      </c>
      <c r="H798" s="31">
        <v>48487735</v>
      </c>
      <c r="I798" s="32">
        <v>3600400</v>
      </c>
      <c r="J798" s="32">
        <v>8235801</v>
      </c>
      <c r="K798" s="33">
        <v>36651534</v>
      </c>
      <c r="L798" s="33">
        <v>33000000</v>
      </c>
      <c r="M798" s="34">
        <v>1.1106525454545455</v>
      </c>
      <c r="N798" s="209" t="str">
        <f>IFERROR(VLOOKUP(F798,Back!C:F,4,0),"NO")</f>
        <v>Si</v>
      </c>
      <c r="O798" s="26">
        <v>24</v>
      </c>
      <c r="P798" s="28" t="str">
        <f>IFERROR(VLOOKUP(F798,Back!C:E,3,0),"")</f>
        <v>IPS Pto De Vista Rionegro</v>
      </c>
      <c r="Q798" s="28" t="str">
        <f>IFERROR(VLOOKUP(P798,Back!M:N,2,0),"")</f>
        <v>Antioquia</v>
      </c>
      <c r="R798" s="27" t="str">
        <f>IF(N798="Si",IFERROR(VLOOKUP(F798,'TD Cumpl'!B:AB,27,0),"No Aplica"),"No Aplica")</f>
        <v>Siempre Cumple</v>
      </c>
      <c r="S798" s="38">
        <v>79</v>
      </c>
      <c r="T798" s="36">
        <v>8274587</v>
      </c>
      <c r="U798" s="26">
        <v>208</v>
      </c>
      <c r="V798" s="37">
        <v>22405839</v>
      </c>
      <c r="W798" s="19">
        <v>105</v>
      </c>
      <c r="X798" s="37">
        <v>8235801</v>
      </c>
      <c r="Y798" s="46">
        <f t="shared" si="26"/>
        <v>9571508</v>
      </c>
    </row>
    <row r="799" spans="1:25" x14ac:dyDescent="0.25">
      <c r="A799" s="20">
        <f>+VLOOKUP(D799,Back!Q:R,2,0)</f>
        <v>7</v>
      </c>
      <c r="B799" s="20" t="str">
        <f t="shared" si="25"/>
        <v>2017 JUL</v>
      </c>
      <c r="C799" s="30">
        <v>2017</v>
      </c>
      <c r="D799" s="30" t="s">
        <v>157</v>
      </c>
      <c r="E799" s="30" t="s">
        <v>81</v>
      </c>
      <c r="F799" s="30">
        <v>1017200970</v>
      </c>
      <c r="G799" s="30" t="s">
        <v>82</v>
      </c>
      <c r="H799" s="32">
        <v>41669649</v>
      </c>
      <c r="I799" s="32">
        <v>1996000</v>
      </c>
      <c r="J799" s="32">
        <v>9349018</v>
      </c>
      <c r="K799" s="33">
        <v>30324631</v>
      </c>
      <c r="L799" s="33">
        <v>30100000</v>
      </c>
      <c r="M799" s="34">
        <v>1.0074628239202659</v>
      </c>
      <c r="N799" s="209" t="str">
        <f>IFERROR(VLOOKUP(F799,Back!C:F,4,0),"NO")</f>
        <v>Si</v>
      </c>
      <c r="O799" s="26">
        <v>24</v>
      </c>
      <c r="P799" s="28" t="str">
        <f>IFERROR(VLOOKUP(F799,Back!C:E,3,0),"")</f>
        <v>IPS Pto De Vista San Diego</v>
      </c>
      <c r="Q799" s="28" t="str">
        <f>IFERROR(VLOOKUP(P799,Back!M:N,2,0),"")</f>
        <v>Antioquia</v>
      </c>
      <c r="R799" s="27" t="str">
        <f>IF(N799="Si",IFERROR(VLOOKUP(F799,'TD Cumpl'!B:AB,27,0),"No Aplica"),"No Aplica")</f>
        <v>Cumple</v>
      </c>
      <c r="S799" s="38">
        <v>87</v>
      </c>
      <c r="T799" s="36">
        <v>8249468</v>
      </c>
      <c r="U799" s="26">
        <v>182</v>
      </c>
      <c r="V799" s="37">
        <v>16642441</v>
      </c>
      <c r="W799" s="19">
        <v>113</v>
      </c>
      <c r="X799" s="37">
        <v>9349018</v>
      </c>
      <c r="Y799" s="46">
        <f t="shared" si="26"/>
        <v>7428722</v>
      </c>
    </row>
    <row r="800" spans="1:25" x14ac:dyDescent="0.25">
      <c r="A800" s="20">
        <f>+VLOOKUP(D800,Back!Q:R,2,0)</f>
        <v>7</v>
      </c>
      <c r="B800" s="20" t="str">
        <f t="shared" si="25"/>
        <v>2017 JUL</v>
      </c>
      <c r="C800" s="30">
        <v>2017</v>
      </c>
      <c r="D800" s="30" t="s">
        <v>157</v>
      </c>
      <c r="E800" s="30" t="s">
        <v>91</v>
      </c>
      <c r="F800" s="30">
        <v>43114534</v>
      </c>
      <c r="G800" s="30" t="s">
        <v>95</v>
      </c>
      <c r="H800" s="32">
        <v>49381950</v>
      </c>
      <c r="I800" s="32">
        <v>1294000</v>
      </c>
      <c r="J800" s="32">
        <v>12366204</v>
      </c>
      <c r="K800" s="33">
        <v>35721746</v>
      </c>
      <c r="L800" s="33">
        <v>30100000</v>
      </c>
      <c r="M800" s="34">
        <v>1.1867689700996678</v>
      </c>
      <c r="N800" s="209" t="str">
        <f>IFERROR(VLOOKUP(F800,Back!C:F,4,0),"NO")</f>
        <v>No</v>
      </c>
      <c r="O800" s="26">
        <v>24</v>
      </c>
      <c r="P800" s="28" t="str">
        <f>IFERROR(VLOOKUP(F800,Back!C:E,3,0),"")</f>
        <v>IPS Pto De Vista San Diego</v>
      </c>
      <c r="Q800" s="28" t="str">
        <f>IFERROR(VLOOKUP(P800,Back!M:N,2,0),"")</f>
        <v>Antioquia</v>
      </c>
      <c r="R800" s="27" t="str">
        <f>IF(N800="Si",IFERROR(VLOOKUP(F800,'TD Cumpl'!B:AB,27,0),"No Aplica"),"No Aplica")</f>
        <v>No Aplica</v>
      </c>
      <c r="S800" s="38">
        <v>104</v>
      </c>
      <c r="T800" s="36">
        <v>8522215</v>
      </c>
      <c r="U800" s="26">
        <v>256</v>
      </c>
      <c r="V800" s="37">
        <v>23451712</v>
      </c>
      <c r="W800" s="19">
        <v>135</v>
      </c>
      <c r="X800" s="37">
        <v>12366204</v>
      </c>
      <c r="Y800" s="46">
        <f t="shared" si="26"/>
        <v>5041819</v>
      </c>
    </row>
    <row r="801" spans="1:25" x14ac:dyDescent="0.25">
      <c r="A801" s="20">
        <f>+VLOOKUP(D801,Back!Q:R,2,0)</f>
        <v>7</v>
      </c>
      <c r="B801" s="20" t="str">
        <f t="shared" si="25"/>
        <v>2017 JUL</v>
      </c>
      <c r="C801" s="30">
        <v>2017</v>
      </c>
      <c r="D801" s="30" t="s">
        <v>157</v>
      </c>
      <c r="E801" s="30" t="s">
        <v>17</v>
      </c>
      <c r="F801" s="30">
        <v>43113640</v>
      </c>
      <c r="G801" s="30" t="s">
        <v>47</v>
      </c>
      <c r="H801" s="32">
        <v>40278086</v>
      </c>
      <c r="I801" s="32">
        <v>0</v>
      </c>
      <c r="J801" s="32">
        <v>8294533</v>
      </c>
      <c r="K801" s="33">
        <v>31983553</v>
      </c>
      <c r="L801" s="33">
        <v>30100000</v>
      </c>
      <c r="M801" s="34">
        <v>1.0625765116279069</v>
      </c>
      <c r="N801" s="209" t="str">
        <f>IFERROR(VLOOKUP(F801,Back!C:F,4,0),"NO")</f>
        <v>Si</v>
      </c>
      <c r="O801" s="26">
        <v>24</v>
      </c>
      <c r="P801" s="28" t="str">
        <f>IFERROR(VLOOKUP(F801,Back!C:E,3,0),"")</f>
        <v>IPS Pto De Vista San Diego</v>
      </c>
      <c r="Q801" s="28" t="str">
        <f>IFERROR(VLOOKUP(P801,Back!M:N,2,0),"")</f>
        <v>Antioquia</v>
      </c>
      <c r="R801" s="27" t="str">
        <f>IF(N801="Si",IFERROR(VLOOKUP(F801,'TD Cumpl'!B:AB,27,0),"No Aplica"),"No Aplica")</f>
        <v>Cumple</v>
      </c>
      <c r="S801" s="38">
        <v>73</v>
      </c>
      <c r="T801" s="36">
        <v>7817310</v>
      </c>
      <c r="U801" s="26">
        <v>190</v>
      </c>
      <c r="V801" s="37">
        <v>18953671</v>
      </c>
      <c r="W801" s="19">
        <v>89</v>
      </c>
      <c r="X801" s="37">
        <v>8294533</v>
      </c>
      <c r="Y801" s="46">
        <f t="shared" si="26"/>
        <v>5212572</v>
      </c>
    </row>
    <row r="802" spans="1:25" x14ac:dyDescent="0.25">
      <c r="A802" s="20">
        <f>+VLOOKUP(D802,Back!Q:R,2,0)</f>
        <v>7</v>
      </c>
      <c r="B802" s="20" t="str">
        <f t="shared" si="25"/>
        <v>2017 JUL</v>
      </c>
      <c r="C802" s="30">
        <v>2017</v>
      </c>
      <c r="D802" s="30" t="s">
        <v>157</v>
      </c>
      <c r="E802" s="30" t="s">
        <v>84</v>
      </c>
      <c r="F802" s="30">
        <v>1020736461</v>
      </c>
      <c r="G802" s="30" t="s">
        <v>156</v>
      </c>
      <c r="H802" s="32">
        <v>42195965</v>
      </c>
      <c r="I802" s="32">
        <v>1246000</v>
      </c>
      <c r="J802" s="32">
        <v>5285051</v>
      </c>
      <c r="K802" s="33">
        <v>35664914</v>
      </c>
      <c r="L802" s="33">
        <v>22000000</v>
      </c>
      <c r="M802" s="34">
        <v>1.6211324545454546</v>
      </c>
      <c r="N802" s="209" t="str">
        <f>IFERROR(VLOOKUP(F802,Back!C:F,4,0),"NO")</f>
        <v>Si</v>
      </c>
      <c r="O802" s="26">
        <v>24</v>
      </c>
      <c r="P802" s="28" t="str">
        <f>IFERROR(VLOOKUP(F802,Back!C:E,3,0),"")</f>
        <v>IPS Pto De Vista Santa Bárbara</v>
      </c>
      <c r="Q802" s="28" t="str">
        <f>IFERROR(VLOOKUP(P802,Back!M:N,2,0),"")</f>
        <v>Centro</v>
      </c>
      <c r="R802" s="27" t="str">
        <f>IF(N802="Si",IFERROR(VLOOKUP(F802,'TD Cumpl'!B:AB,27,0),"No Aplica"),"No Aplica")</f>
        <v>Siempre Cumple</v>
      </c>
      <c r="S802" s="38">
        <v>81</v>
      </c>
      <c r="T802" s="36">
        <v>8607276</v>
      </c>
      <c r="U802" s="26">
        <v>237</v>
      </c>
      <c r="V802" s="37">
        <v>25876038</v>
      </c>
      <c r="W802" s="19">
        <v>84</v>
      </c>
      <c r="X802" s="37">
        <v>5285051</v>
      </c>
      <c r="Y802" s="46">
        <f t="shared" si="26"/>
        <v>2427600</v>
      </c>
    </row>
    <row r="803" spans="1:25" x14ac:dyDescent="0.25">
      <c r="A803" s="20">
        <f>+VLOOKUP(D803,Back!Q:R,2,0)</f>
        <v>7</v>
      </c>
      <c r="B803" s="20" t="str">
        <f t="shared" si="25"/>
        <v>2017 JUL</v>
      </c>
      <c r="C803" s="30">
        <v>2017</v>
      </c>
      <c r="D803" s="30" t="s">
        <v>157</v>
      </c>
      <c r="E803" s="30" t="s">
        <v>2</v>
      </c>
      <c r="F803" s="30">
        <v>52260671</v>
      </c>
      <c r="G803" s="30" t="s">
        <v>26</v>
      </c>
      <c r="H803" s="32">
        <v>33327832</v>
      </c>
      <c r="I803" s="32">
        <v>812000</v>
      </c>
      <c r="J803" s="32">
        <v>5145416</v>
      </c>
      <c r="K803" s="33">
        <v>27370416</v>
      </c>
      <c r="L803" s="33">
        <v>15583333.333333332</v>
      </c>
      <c r="M803" s="34">
        <v>1.7563903315508023</v>
      </c>
      <c r="N803" s="209" t="str">
        <f>IFERROR(VLOOKUP(F803,Back!C:F,4,0),"NO")</f>
        <v>Si</v>
      </c>
      <c r="O803" s="26">
        <v>24</v>
      </c>
      <c r="P803" s="28" t="str">
        <f>IFERROR(VLOOKUP(F803,Back!C:E,3,0),"")</f>
        <v>IPS Pto De Vista Santa Bárbara</v>
      </c>
      <c r="Q803" s="28" t="str">
        <f>IFERROR(VLOOKUP(P803,Back!M:N,2,0),"")</f>
        <v>Centro</v>
      </c>
      <c r="R803" s="27" t="str">
        <f>IF(N803="Si",IFERROR(VLOOKUP(F803,'TD Cumpl'!B:AB,27,0),"No Aplica"),"No Aplica")</f>
        <v>Siempre Cumple</v>
      </c>
      <c r="S803" s="38">
        <v>55</v>
      </c>
      <c r="T803" s="36">
        <v>5800191</v>
      </c>
      <c r="U803" s="26">
        <v>168</v>
      </c>
      <c r="V803" s="37">
        <v>18099137</v>
      </c>
      <c r="W803" s="19">
        <v>79</v>
      </c>
      <c r="X803" s="37">
        <v>5145416</v>
      </c>
      <c r="Y803" s="46">
        <f t="shared" si="26"/>
        <v>4283088</v>
      </c>
    </row>
    <row r="804" spans="1:25" x14ac:dyDescent="0.25">
      <c r="A804" s="20">
        <f>+VLOOKUP(D804,Back!Q:R,2,0)</f>
        <v>7</v>
      </c>
      <c r="B804" s="20" t="str">
        <f t="shared" si="25"/>
        <v>2017 JUL</v>
      </c>
      <c r="C804" s="30">
        <v>2017</v>
      </c>
      <c r="D804" s="30" t="s">
        <v>157</v>
      </c>
      <c r="E804" s="30" t="s">
        <v>102</v>
      </c>
      <c r="F804" s="30">
        <v>79850984</v>
      </c>
      <c r="G804" s="30" t="s">
        <v>106</v>
      </c>
      <c r="H804" s="32">
        <v>26035110</v>
      </c>
      <c r="I804" s="32">
        <v>1404000</v>
      </c>
      <c r="J804" s="32">
        <v>4885513</v>
      </c>
      <c r="K804" s="33">
        <v>19745597</v>
      </c>
      <c r="L804" s="33">
        <v>22000000</v>
      </c>
      <c r="M804" s="34">
        <v>0.89752713636363635</v>
      </c>
      <c r="N804" s="209" t="str">
        <f>IFERROR(VLOOKUP(F804,Back!C:F,4,0),"NO")</f>
        <v>Si</v>
      </c>
      <c r="O804" s="26">
        <v>24</v>
      </c>
      <c r="P804" s="28" t="str">
        <f>IFERROR(VLOOKUP(F804,Back!C:E,3,0),"")</f>
        <v>IPS Pto De Vista SSura Clle100</v>
      </c>
      <c r="Q804" s="28" t="str">
        <f>IFERROR(VLOOKUP(P804,Back!M:N,2,0),"")</f>
        <v>Centro</v>
      </c>
      <c r="R804" s="27" t="str">
        <f>IF(N804="Si",IFERROR(VLOOKUP(F804,'TD Cumpl'!B:AB,27,0),"No Aplica"),"No Aplica")</f>
        <v>Fluctúa</v>
      </c>
      <c r="S804" s="38">
        <v>43</v>
      </c>
      <c r="T804" s="36">
        <v>4270661</v>
      </c>
      <c r="U804" s="26">
        <v>94</v>
      </c>
      <c r="V804" s="37">
        <v>13113006</v>
      </c>
      <c r="W804" s="19">
        <v>63</v>
      </c>
      <c r="X804" s="37">
        <v>4885513</v>
      </c>
      <c r="Y804" s="46">
        <f t="shared" si="26"/>
        <v>3765930</v>
      </c>
    </row>
    <row r="805" spans="1:25" x14ac:dyDescent="0.25">
      <c r="A805" s="20">
        <f>+VLOOKUP(D805,Back!Q:R,2,0)</f>
        <v>7</v>
      </c>
      <c r="B805" s="20" t="str">
        <f t="shared" si="25"/>
        <v>2017 JUL</v>
      </c>
      <c r="C805" s="30">
        <v>2017</v>
      </c>
      <c r="D805" s="30" t="s">
        <v>157</v>
      </c>
      <c r="E805" s="30" t="s">
        <v>38</v>
      </c>
      <c r="F805" s="30">
        <v>43745192</v>
      </c>
      <c r="G805" s="30" t="s">
        <v>45</v>
      </c>
      <c r="H805" s="32">
        <v>33688961</v>
      </c>
      <c r="I805" s="32">
        <v>581400</v>
      </c>
      <c r="J805" s="32">
        <v>867449</v>
      </c>
      <c r="K805" s="33">
        <v>32240112</v>
      </c>
      <c r="L805" s="33">
        <v>25000000</v>
      </c>
      <c r="M805" s="34">
        <v>1.2896044799999999</v>
      </c>
      <c r="N805" s="209" t="str">
        <f>IFERROR(VLOOKUP(F805,Back!C:F,4,0),"NO")</f>
        <v>Si</v>
      </c>
      <c r="O805" s="26">
        <v>24</v>
      </c>
      <c r="P805" s="28" t="str">
        <f>IFERROR(VLOOKUP(F805,Back!C:E,3,0),"")</f>
        <v>IPS Punto de Vista Mayorca</v>
      </c>
      <c r="Q805" s="28" t="str">
        <f>IFERROR(VLOOKUP(P805,Back!M:N,2,0),"")</f>
        <v>Antioquia</v>
      </c>
      <c r="R805" s="27" t="str">
        <f>IF(N805="Si",IFERROR(VLOOKUP(F805,'TD Cumpl'!B:AB,27,0),"No Aplica"),"No Aplica")</f>
        <v>Cumple</v>
      </c>
      <c r="S805" s="38">
        <v>52</v>
      </c>
      <c r="T805" s="36">
        <v>8405513</v>
      </c>
      <c r="U805" s="26">
        <v>142</v>
      </c>
      <c r="V805" s="37">
        <v>21438316</v>
      </c>
      <c r="W805" s="19">
        <v>13</v>
      </c>
      <c r="X805" s="37">
        <v>867449</v>
      </c>
      <c r="Y805" s="46">
        <f t="shared" si="26"/>
        <v>2977683</v>
      </c>
    </row>
    <row r="806" spans="1:25" x14ac:dyDescent="0.25">
      <c r="A806" s="20">
        <f>+VLOOKUP(D806,Back!Q:R,2,0)</f>
        <v>7</v>
      </c>
      <c r="B806" s="20" t="str">
        <f t="shared" si="25"/>
        <v>2017 JUL</v>
      </c>
      <c r="C806" s="30">
        <v>2017</v>
      </c>
      <c r="D806" s="30" t="s">
        <v>157</v>
      </c>
      <c r="E806" s="30" t="s">
        <v>6</v>
      </c>
      <c r="F806" s="30">
        <v>43821410</v>
      </c>
      <c r="G806" s="30" t="s">
        <v>40</v>
      </c>
      <c r="H806" s="32">
        <v>70340603</v>
      </c>
      <c r="I806" s="32">
        <v>1706000</v>
      </c>
      <c r="J806" s="32">
        <v>11639781</v>
      </c>
      <c r="K806" s="33">
        <v>56994822</v>
      </c>
      <c r="L806" s="33">
        <v>43000000</v>
      </c>
      <c r="M806" s="34">
        <v>1.3254609767441861</v>
      </c>
      <c r="N806" s="209" t="str">
        <f>IFERROR(VLOOKUP(F806,Back!C:F,4,0),"NO")</f>
        <v>Si</v>
      </c>
      <c r="O806" s="26">
        <v>24</v>
      </c>
      <c r="P806" s="28" t="str">
        <f>IFERROR(VLOOKUP(F806,Back!C:E,3,0),"")</f>
        <v>IPS Pto De Vista Unicentro</v>
      </c>
      <c r="Q806" s="28" t="str">
        <f>IFERROR(VLOOKUP(P806,Back!M:N,2,0),"")</f>
        <v>Antioquia</v>
      </c>
      <c r="R806" s="27" t="str">
        <f>IF(N806="Si",IFERROR(VLOOKUP(F806,'TD Cumpl'!B:AB,27,0),"No Aplica"),"No Aplica")</f>
        <v>Siempre Cumple</v>
      </c>
      <c r="S806" s="38">
        <v>135</v>
      </c>
      <c r="T806" s="36">
        <v>17719927</v>
      </c>
      <c r="U806" s="26">
        <v>302</v>
      </c>
      <c r="V806" s="37">
        <v>31732255</v>
      </c>
      <c r="W806" s="19">
        <v>129</v>
      </c>
      <c r="X806" s="37">
        <v>11639781</v>
      </c>
      <c r="Y806" s="46">
        <f t="shared" si="26"/>
        <v>9248640</v>
      </c>
    </row>
    <row r="807" spans="1:25" x14ac:dyDescent="0.25">
      <c r="A807" s="20">
        <f>+VLOOKUP(D807,Back!Q:R,2,0)</f>
        <v>7</v>
      </c>
      <c r="B807" s="20" t="str">
        <f t="shared" si="25"/>
        <v>2017 JUL</v>
      </c>
      <c r="C807" s="30">
        <v>2017</v>
      </c>
      <c r="D807" s="30" t="s">
        <v>157</v>
      </c>
      <c r="E807" s="30" t="s">
        <v>22</v>
      </c>
      <c r="F807" s="30">
        <v>42164020</v>
      </c>
      <c r="G807" s="30" t="s">
        <v>105</v>
      </c>
      <c r="H807" s="32">
        <v>36556530</v>
      </c>
      <c r="I807" s="32">
        <v>1652000</v>
      </c>
      <c r="J807" s="32">
        <v>6212099</v>
      </c>
      <c r="K807" s="33">
        <v>28692431</v>
      </c>
      <c r="L807" s="33">
        <v>28666666.666666668</v>
      </c>
      <c r="M807" s="34">
        <v>1.0008987558139535</v>
      </c>
      <c r="N807" s="209" t="str">
        <f>IFERROR(VLOOKUP(F807,Back!C:F,4,0),"NO")</f>
        <v>Si</v>
      </c>
      <c r="O807" s="26">
        <v>24</v>
      </c>
      <c r="P807" s="28" t="str">
        <f>IFERROR(VLOOKUP(F807,Back!C:E,3,0),"")</f>
        <v>IPS Pto De Vista Molinos</v>
      </c>
      <c r="Q807" s="28" t="str">
        <f>IFERROR(VLOOKUP(P807,Back!M:N,2,0),"")</f>
        <v>Antioquia</v>
      </c>
      <c r="R807" s="27" t="str">
        <f>IF(N807="Si",IFERROR(VLOOKUP(F807,'TD Cumpl'!B:AB,27,0),"No Aplica"),"No Aplica")</f>
        <v>Siempre Cumple</v>
      </c>
      <c r="S807" s="38">
        <v>58</v>
      </c>
      <c r="T807" s="36">
        <v>6353432</v>
      </c>
      <c r="U807" s="26">
        <v>162</v>
      </c>
      <c r="V807" s="37">
        <v>17833535</v>
      </c>
      <c r="W807" s="19">
        <v>73</v>
      </c>
      <c r="X807" s="37">
        <v>6212099</v>
      </c>
      <c r="Y807" s="46">
        <f t="shared" si="26"/>
        <v>6157464</v>
      </c>
    </row>
    <row r="808" spans="1:25" x14ac:dyDescent="0.25">
      <c r="A808" s="20">
        <f>+VLOOKUP(D808,Back!Q:R,2,0)</f>
        <v>7</v>
      </c>
      <c r="B808" s="20" t="str">
        <f t="shared" si="25"/>
        <v>2017 JUL</v>
      </c>
      <c r="C808" s="30">
        <v>2017</v>
      </c>
      <c r="D808" s="30" t="s">
        <v>157</v>
      </c>
      <c r="E808" s="30" t="s">
        <v>20</v>
      </c>
      <c r="F808" s="30">
        <v>1017141451</v>
      </c>
      <c r="G808" s="30" t="s">
        <v>44</v>
      </c>
      <c r="H808" s="32">
        <v>64273872</v>
      </c>
      <c r="I808" s="32">
        <v>2081800</v>
      </c>
      <c r="J808" s="32">
        <v>12711279</v>
      </c>
      <c r="K808" s="33">
        <v>49480793</v>
      </c>
      <c r="L808" s="33">
        <v>43000000</v>
      </c>
      <c r="M808" s="34">
        <v>1.1507161162790698</v>
      </c>
      <c r="N808" s="209" t="str">
        <f>IFERROR(VLOOKUP(F808,Back!C:F,4,0),"NO")</f>
        <v>Si</v>
      </c>
      <c r="O808" s="26">
        <v>24</v>
      </c>
      <c r="P808" s="28" t="str">
        <f>IFERROR(VLOOKUP(F808,Back!C:E,3,0),"")</f>
        <v>IPS Pto De Vista Molinos</v>
      </c>
      <c r="Q808" s="28" t="str">
        <f>IFERROR(VLOOKUP(P808,Back!M:N,2,0),"")</f>
        <v>Antioquia</v>
      </c>
      <c r="R808" s="27" t="str">
        <f>IF(N808="Si",IFERROR(VLOOKUP(F808,'TD Cumpl'!B:AB,27,0),"No Aplica"),"No Aplica")</f>
        <v>Siempre Cumple</v>
      </c>
      <c r="S808" s="38">
        <v>93</v>
      </c>
      <c r="T808" s="36">
        <v>10732248</v>
      </c>
      <c r="U808" s="26">
        <v>282</v>
      </c>
      <c r="V808" s="37">
        <v>31305852</v>
      </c>
      <c r="W808" s="19">
        <v>144</v>
      </c>
      <c r="X808" s="37">
        <v>12711279</v>
      </c>
      <c r="Y808" s="46">
        <f t="shared" si="26"/>
        <v>9524493</v>
      </c>
    </row>
    <row r="809" spans="1:25" x14ac:dyDescent="0.25">
      <c r="A809" s="20">
        <f>+VLOOKUP(D809,Back!Q:R,2,0)</f>
        <v>7</v>
      </c>
      <c r="B809" s="20" t="str">
        <f t="shared" si="25"/>
        <v>2017 JUL</v>
      </c>
      <c r="C809" s="30">
        <v>2017</v>
      </c>
      <c r="D809" s="30" t="s">
        <v>157</v>
      </c>
      <c r="E809" s="30" t="s">
        <v>11</v>
      </c>
      <c r="F809" s="30">
        <v>43253531</v>
      </c>
      <c r="G809" s="30" t="s">
        <v>39</v>
      </c>
      <c r="H809" s="32">
        <v>42436640</v>
      </c>
      <c r="I809" s="32">
        <v>894000</v>
      </c>
      <c r="J809" s="32">
        <v>10702354</v>
      </c>
      <c r="K809" s="33">
        <v>30840286</v>
      </c>
      <c r="L809" s="33">
        <v>29000000</v>
      </c>
      <c r="M809" s="34">
        <v>1.0634581379310344</v>
      </c>
      <c r="N809" s="209" t="str">
        <f>IFERROR(VLOOKUP(F809,Back!C:F,4,0),"NO")</f>
        <v>Si</v>
      </c>
      <c r="O809" s="26">
        <v>24</v>
      </c>
      <c r="P809" s="28" t="str">
        <f>IFERROR(VLOOKUP(F809,Back!C:E,3,0),"")</f>
        <v>IPS Punto de Vista Bello</v>
      </c>
      <c r="Q809" s="28" t="str">
        <f>IFERROR(VLOOKUP(P809,Back!M:N,2,0),"")</f>
        <v>Antioquia</v>
      </c>
      <c r="R809" s="27" t="str">
        <f>IF(N809="Si",IFERROR(VLOOKUP(F809,'TD Cumpl'!B:AB,27,0),"No Aplica"),"No Aplica")</f>
        <v>Cumple</v>
      </c>
      <c r="S809" s="38">
        <v>56</v>
      </c>
      <c r="T809" s="36">
        <v>5228596</v>
      </c>
      <c r="U809" s="26">
        <v>190</v>
      </c>
      <c r="V809" s="37">
        <v>21014098</v>
      </c>
      <c r="W809" s="19">
        <v>118</v>
      </c>
      <c r="X809" s="37">
        <v>10702354</v>
      </c>
      <c r="Y809" s="46">
        <f t="shared" si="26"/>
        <v>5491592</v>
      </c>
    </row>
    <row r="810" spans="1:25" x14ac:dyDescent="0.25">
      <c r="A810" s="20">
        <f>+VLOOKUP(D810,Back!Q:R,2,0)</f>
        <v>7</v>
      </c>
      <c r="B810" s="20" t="str">
        <f t="shared" si="25"/>
        <v>2017 JUL</v>
      </c>
      <c r="C810" s="30">
        <v>2017</v>
      </c>
      <c r="D810" s="30" t="s">
        <v>157</v>
      </c>
      <c r="E810" s="30" t="s">
        <v>108</v>
      </c>
      <c r="F810" s="30">
        <v>1020443426</v>
      </c>
      <c r="G810" s="30" t="s">
        <v>109</v>
      </c>
      <c r="H810" s="32">
        <v>41941530</v>
      </c>
      <c r="I810" s="32">
        <v>1266000</v>
      </c>
      <c r="J810" s="32">
        <v>10283984</v>
      </c>
      <c r="K810" s="33">
        <v>30391546</v>
      </c>
      <c r="L810" s="33">
        <v>29000000</v>
      </c>
      <c r="M810" s="34">
        <v>1.0479843448275863</v>
      </c>
      <c r="N810" s="209" t="str">
        <f>IFERROR(VLOOKUP(F810,Back!C:F,4,0),"NO")</f>
        <v>Si</v>
      </c>
      <c r="O810" s="26">
        <v>24</v>
      </c>
      <c r="P810" s="28" t="str">
        <f>IFERROR(VLOOKUP(F810,Back!C:E,3,0),"")</f>
        <v>IPS Pto De Vista San Diego</v>
      </c>
      <c r="Q810" s="28" t="str">
        <f>IFERROR(VLOOKUP(P810,Back!M:N,2,0),"")</f>
        <v>Antioquia</v>
      </c>
      <c r="R810" s="27" t="str">
        <f>IF(N810="Si",IFERROR(VLOOKUP(F810,'TD Cumpl'!B:AB,27,0),"No Aplica"),"No Aplica")</f>
        <v>Fluctúa</v>
      </c>
      <c r="S810" s="38">
        <v>87</v>
      </c>
      <c r="T810" s="36">
        <v>6867947</v>
      </c>
      <c r="U810" s="26">
        <v>224</v>
      </c>
      <c r="V810" s="37">
        <v>19764240</v>
      </c>
      <c r="W810" s="19">
        <v>129</v>
      </c>
      <c r="X810" s="37">
        <v>10283984</v>
      </c>
      <c r="Y810" s="46">
        <f t="shared" si="26"/>
        <v>5025359</v>
      </c>
    </row>
    <row r="811" spans="1:25" x14ac:dyDescent="0.25">
      <c r="A811" s="20">
        <f>+VLOOKUP(D811,Back!Q:R,2,0)</f>
        <v>7</v>
      </c>
      <c r="B811" s="20" t="str">
        <f t="shared" si="25"/>
        <v>2017 JUL</v>
      </c>
      <c r="C811" s="30">
        <v>2017</v>
      </c>
      <c r="D811" s="30" t="s">
        <v>157</v>
      </c>
      <c r="E811" s="30" t="s">
        <v>147</v>
      </c>
      <c r="F811" s="30">
        <v>31309227</v>
      </c>
      <c r="G811" s="30" t="s">
        <v>148</v>
      </c>
      <c r="H811" s="32">
        <v>16727419</v>
      </c>
      <c r="I811" s="32">
        <v>0</v>
      </c>
      <c r="J811" s="32">
        <v>4754010</v>
      </c>
      <c r="K811" s="33">
        <v>11973409</v>
      </c>
      <c r="L811" s="33">
        <v>30000000</v>
      </c>
      <c r="M811" s="34">
        <v>0.39911363333333333</v>
      </c>
      <c r="N811" s="209" t="str">
        <f>IFERROR(VLOOKUP(F811,Back!C:F,4,0),"NO")</f>
        <v>No</v>
      </c>
      <c r="O811" s="26">
        <v>24</v>
      </c>
      <c r="P811" s="28" t="str">
        <f>IFERROR(VLOOKUP(F811,Back!C:E,3,0),"")</f>
        <v/>
      </c>
      <c r="Q811" s="28" t="str">
        <f>IFERROR(VLOOKUP(P811,Back!M:N,2,0),"")</f>
        <v/>
      </c>
      <c r="R811" s="27" t="str">
        <f>IF(N811="Si",IFERROR(VLOOKUP(F811,'TD Cumpl'!B:AB,27,0),"No Aplica"),"No Aplica")</f>
        <v>No Aplica</v>
      </c>
      <c r="S811" s="38">
        <v>25</v>
      </c>
      <c r="T811" s="36">
        <v>2751671</v>
      </c>
      <c r="U811" s="26">
        <v>110</v>
      </c>
      <c r="V811" s="37">
        <v>6758071</v>
      </c>
      <c r="W811" s="19">
        <v>61</v>
      </c>
      <c r="X811" s="37">
        <v>4754010</v>
      </c>
      <c r="Y811" s="46">
        <f t="shared" si="26"/>
        <v>2463667</v>
      </c>
    </row>
    <row r="812" spans="1:25" x14ac:dyDescent="0.25">
      <c r="A812" s="20">
        <f>+VLOOKUP(D812,Back!Q:R,2,0)</f>
        <v>7</v>
      </c>
      <c r="B812" s="20" t="str">
        <f t="shared" si="25"/>
        <v>2017 JUL</v>
      </c>
      <c r="C812" s="30">
        <v>2017</v>
      </c>
      <c r="D812" s="30" t="s">
        <v>157</v>
      </c>
      <c r="E812" s="30" t="s">
        <v>149</v>
      </c>
      <c r="F812" s="30">
        <v>1130597373</v>
      </c>
      <c r="G812" s="30" t="s">
        <v>150</v>
      </c>
      <c r="H812" s="32">
        <v>17224041</v>
      </c>
      <c r="I812" s="32">
        <v>0</v>
      </c>
      <c r="J812" s="32">
        <v>5396117</v>
      </c>
      <c r="K812" s="33">
        <v>11827924</v>
      </c>
      <c r="L812" s="33">
        <v>30000000</v>
      </c>
      <c r="M812" s="34">
        <v>0.39426413333333332</v>
      </c>
      <c r="N812" s="209" t="str">
        <f>IFERROR(VLOOKUP(F812,Back!C:F,4,0),"NO")</f>
        <v>Si</v>
      </c>
      <c r="O812" s="26">
        <v>24</v>
      </c>
      <c r="P812" s="28" t="str">
        <f>IFERROR(VLOOKUP(F812,Back!C:E,3,0),"")</f>
        <v>Punto de Vista Cali Norte</v>
      </c>
      <c r="Q812" s="28" t="str">
        <f>IFERROR(VLOOKUP(P812,Back!M:N,2,0),"")</f>
        <v>Occidente</v>
      </c>
      <c r="R812" s="27" t="str">
        <f>IF(N812="Si",IFERROR(VLOOKUP(F812,'TD Cumpl'!B:AB,27,0),"No Aplica"),"No Aplica")</f>
        <v>Fluctúa</v>
      </c>
      <c r="S812" s="38">
        <v>26</v>
      </c>
      <c r="T812" s="36">
        <v>2591075</v>
      </c>
      <c r="U812" s="26">
        <v>96</v>
      </c>
      <c r="V812" s="37">
        <v>7804113</v>
      </c>
      <c r="W812" s="19">
        <v>76</v>
      </c>
      <c r="X812" s="37">
        <v>5396117</v>
      </c>
      <c r="Y812" s="46">
        <f t="shared" si="26"/>
        <v>1432736</v>
      </c>
    </row>
    <row r="813" spans="1:25" x14ac:dyDescent="0.25">
      <c r="A813" s="20">
        <f>+VLOOKUP(D813,Back!Q:R,2,0)</f>
        <v>7</v>
      </c>
      <c r="B813" s="20" t="str">
        <f t="shared" si="25"/>
        <v>2017 JUL</v>
      </c>
      <c r="C813" s="30">
        <v>2017</v>
      </c>
      <c r="D813" s="30" t="s">
        <v>157</v>
      </c>
      <c r="E813" s="30" t="s">
        <v>88</v>
      </c>
      <c r="F813" s="30">
        <v>31445278</v>
      </c>
      <c r="G813" s="30" t="s">
        <v>93</v>
      </c>
      <c r="H813" s="32">
        <v>27688360</v>
      </c>
      <c r="I813" s="32">
        <v>0</v>
      </c>
      <c r="J813" s="32">
        <v>8042120</v>
      </c>
      <c r="K813" s="33">
        <v>19646240</v>
      </c>
      <c r="L813" s="33">
        <v>30000000</v>
      </c>
      <c r="M813" s="34">
        <v>0.65487466666666672</v>
      </c>
      <c r="N813" s="209" t="str">
        <f>IFERROR(VLOOKUP(F813,Back!C:F,4,0),"NO")</f>
        <v>Si</v>
      </c>
      <c r="O813" s="26">
        <v>24</v>
      </c>
      <c r="P813" s="28" t="str">
        <f>IFERROR(VLOOKUP(F813,Back!C:E,3,0),"")</f>
        <v>Punto de Vista Tequendama</v>
      </c>
      <c r="Q813" s="28" t="str">
        <f>IFERROR(VLOOKUP(P813,Back!M:N,2,0),"")</f>
        <v>Occidente</v>
      </c>
      <c r="R813" s="27" t="str">
        <f>IF(N813="Si",IFERROR(VLOOKUP(F813,'TD Cumpl'!B:AB,27,0),"No Aplica"),"No Aplica")</f>
        <v>Cumple</v>
      </c>
      <c r="S813" s="38">
        <v>42</v>
      </c>
      <c r="T813" s="36">
        <v>3786076</v>
      </c>
      <c r="U813" s="26">
        <v>156</v>
      </c>
      <c r="V813" s="37">
        <v>13316300</v>
      </c>
      <c r="W813" s="19">
        <v>98</v>
      </c>
      <c r="X813" s="37">
        <v>8042120</v>
      </c>
      <c r="Y813" s="46">
        <f t="shared" si="26"/>
        <v>2543864</v>
      </c>
    </row>
    <row r="814" spans="1:25" x14ac:dyDescent="0.25">
      <c r="A814" s="20">
        <f>+VLOOKUP(D814,Back!Q:R,2,0)</f>
        <v>7</v>
      </c>
      <c r="B814" s="20" t="str">
        <f t="shared" si="25"/>
        <v>2017 JUL</v>
      </c>
      <c r="C814" s="30">
        <v>2017</v>
      </c>
      <c r="D814" s="30" t="s">
        <v>157</v>
      </c>
      <c r="E814" s="30" t="s">
        <v>5</v>
      </c>
      <c r="F814" s="30">
        <v>34542470</v>
      </c>
      <c r="G814" s="30" t="s">
        <v>28</v>
      </c>
      <c r="H814" s="32">
        <v>37606262</v>
      </c>
      <c r="I814" s="32">
        <v>203040</v>
      </c>
      <c r="J814" s="32">
        <v>6494044</v>
      </c>
      <c r="K814" s="33">
        <v>30909178</v>
      </c>
      <c r="L814" s="33">
        <v>25000000</v>
      </c>
      <c r="M814" s="34">
        <v>1.2363671199999999</v>
      </c>
      <c r="N814" s="209" t="str">
        <f>IFERROR(VLOOKUP(F814,Back!C:F,4,0),"NO")</f>
        <v>Si</v>
      </c>
      <c r="O814" s="26">
        <v>24</v>
      </c>
      <c r="P814" s="28" t="str">
        <f>IFERROR(VLOOKUP(F814,Back!C:E,3,0),"")</f>
        <v>Optica Salud Sura Chipichape</v>
      </c>
      <c r="Q814" s="28" t="str">
        <f>IFERROR(VLOOKUP(P814,Back!M:N,2,0),"")</f>
        <v>Occidente</v>
      </c>
      <c r="R814" s="27" t="str">
        <f>IF(N814="Si",IFERROR(VLOOKUP(F814,'TD Cumpl'!B:AB,27,0),"No Aplica"),"No Aplica")</f>
        <v>Siempre Cumple</v>
      </c>
      <c r="S814" s="38">
        <v>61</v>
      </c>
      <c r="T814" s="36">
        <v>10083102</v>
      </c>
      <c r="U814" s="26">
        <v>162</v>
      </c>
      <c r="V814" s="37">
        <v>17147271</v>
      </c>
      <c r="W814" s="19">
        <v>65</v>
      </c>
      <c r="X814" s="37">
        <v>6494044</v>
      </c>
      <c r="Y814" s="46">
        <f t="shared" si="26"/>
        <v>3881845</v>
      </c>
    </row>
    <row r="815" spans="1:25" x14ac:dyDescent="0.25">
      <c r="A815" s="20">
        <f>+VLOOKUP(D815,Back!Q:R,2,0)</f>
        <v>7</v>
      </c>
      <c r="B815" s="20" t="str">
        <f t="shared" si="25"/>
        <v>2017 JUL</v>
      </c>
      <c r="C815" s="30">
        <v>2017</v>
      </c>
      <c r="D815" s="30" t="s">
        <v>157</v>
      </c>
      <c r="E815" s="30" t="s">
        <v>119</v>
      </c>
      <c r="F815" s="30"/>
      <c r="G815" s="30"/>
      <c r="H815" s="32">
        <v>1218800</v>
      </c>
      <c r="I815" s="32">
        <v>0</v>
      </c>
      <c r="J815" s="32">
        <v>219350</v>
      </c>
      <c r="K815" s="33">
        <v>999450</v>
      </c>
      <c r="L815" s="33"/>
      <c r="M815" s="34"/>
      <c r="N815" s="209" t="str">
        <f>IFERROR(VLOOKUP(F815,Back!C:F,4,0),"NO")</f>
        <v>NO</v>
      </c>
      <c r="O815" s="26">
        <v>24</v>
      </c>
      <c r="P815" s="28" t="str">
        <f>IFERROR(VLOOKUP(F815,Back!C:E,3,0),"")</f>
        <v/>
      </c>
      <c r="Q815" s="28" t="str">
        <f>IFERROR(VLOOKUP(P815,Back!M:N,2,0),"")</f>
        <v/>
      </c>
      <c r="R815" s="27" t="str">
        <f>IF(N815="Si",IFERROR(VLOOKUP(F815,'TD Cumpl'!B:AB,27,0),"No Aplica"),"No Aplica")</f>
        <v>No Aplica</v>
      </c>
      <c r="S815" s="38">
        <v>3</v>
      </c>
      <c r="T815" s="36">
        <v>274500</v>
      </c>
      <c r="U815" s="26">
        <v>6</v>
      </c>
      <c r="V815" s="37">
        <v>284950</v>
      </c>
      <c r="W815" s="19">
        <v>5</v>
      </c>
      <c r="X815" s="37">
        <v>219350</v>
      </c>
      <c r="Y815" s="46">
        <f t="shared" si="26"/>
        <v>440000</v>
      </c>
    </row>
    <row r="816" spans="1:25" x14ac:dyDescent="0.25">
      <c r="A816" s="20">
        <f>+VLOOKUP(D816,Back!Q:R,2,0)</f>
        <v>7</v>
      </c>
      <c r="B816" s="20" t="str">
        <f t="shared" si="25"/>
        <v>2017 JUL</v>
      </c>
      <c r="C816" s="30">
        <v>2017</v>
      </c>
      <c r="D816" s="30" t="s">
        <v>157</v>
      </c>
      <c r="E816" s="30" t="s">
        <v>110</v>
      </c>
      <c r="F816" s="30"/>
      <c r="G816" s="30"/>
      <c r="H816" s="32">
        <v>151361</v>
      </c>
      <c r="I816" s="32">
        <v>0</v>
      </c>
      <c r="J816" s="32">
        <v>0</v>
      </c>
      <c r="K816" s="33">
        <v>151361</v>
      </c>
      <c r="L816" s="33"/>
      <c r="M816" s="34"/>
      <c r="N816" s="209" t="str">
        <f>IFERROR(VLOOKUP(F816,Back!C:F,4,0),"NO")</f>
        <v>NO</v>
      </c>
      <c r="O816" s="26">
        <v>24</v>
      </c>
      <c r="P816" s="28" t="str">
        <f>IFERROR(VLOOKUP(F816,Back!C:E,3,0),"")</f>
        <v/>
      </c>
      <c r="Q816" s="28" t="str">
        <f>IFERROR(VLOOKUP(P816,Back!M:N,2,0),"")</f>
        <v/>
      </c>
      <c r="R816" s="27" t="str">
        <f>IF(N816="Si",IFERROR(VLOOKUP(F816,'TD Cumpl'!B:AB,27,0),"No Aplica"),"No Aplica")</f>
        <v>No Aplica</v>
      </c>
      <c r="S816" s="38">
        <v>1</v>
      </c>
      <c r="T816" s="36">
        <v>109786</v>
      </c>
      <c r="U816" s="26">
        <v>2</v>
      </c>
      <c r="V816" s="37">
        <v>41575</v>
      </c>
      <c r="W816" s="19">
        <v>0</v>
      </c>
      <c r="X816" s="37">
        <v>0</v>
      </c>
      <c r="Y816" s="46">
        <f t="shared" si="26"/>
        <v>0</v>
      </c>
    </row>
    <row r="817" spans="1:25" x14ac:dyDescent="0.25">
      <c r="A817" s="20">
        <f>+VLOOKUP(D817,Back!Q:R,2,0)</f>
        <v>7</v>
      </c>
      <c r="B817" s="20" t="str">
        <f t="shared" si="25"/>
        <v>2017 JUL</v>
      </c>
      <c r="C817" s="30">
        <v>2017</v>
      </c>
      <c r="D817" s="30" t="s">
        <v>157</v>
      </c>
      <c r="E817" s="30" t="s">
        <v>12</v>
      </c>
      <c r="F817" s="30"/>
      <c r="G817" s="30"/>
      <c r="H817" s="32">
        <v>43871</v>
      </c>
      <c r="I817" s="32">
        <v>0</v>
      </c>
      <c r="J817" s="32">
        <v>43870</v>
      </c>
      <c r="K817" s="33">
        <v>1</v>
      </c>
      <c r="L817" s="33"/>
      <c r="M817" s="34"/>
      <c r="N817" s="209" t="str">
        <f>IFERROR(VLOOKUP(F817,Back!C:F,4,0),"NO")</f>
        <v>NO</v>
      </c>
      <c r="O817" s="26">
        <v>24</v>
      </c>
      <c r="P817" s="28" t="str">
        <f>IFERROR(VLOOKUP(F817,Back!C:E,3,0),"")</f>
        <v/>
      </c>
      <c r="Q817" s="28" t="str">
        <f>IFERROR(VLOOKUP(P817,Back!M:N,2,0),"")</f>
        <v/>
      </c>
      <c r="R817" s="27" t="str">
        <f>IF(N817="Si",IFERROR(VLOOKUP(F817,'TD Cumpl'!B:AB,27,0),"No Aplica"),"No Aplica")</f>
        <v>No Aplica</v>
      </c>
      <c r="S817" s="38">
        <v>0</v>
      </c>
      <c r="T817" s="36">
        <v>0</v>
      </c>
      <c r="U817" s="26">
        <v>0</v>
      </c>
      <c r="V817" s="37">
        <v>0</v>
      </c>
      <c r="W817" s="19">
        <v>1</v>
      </c>
      <c r="X817" s="37">
        <v>43870</v>
      </c>
      <c r="Y817" s="46">
        <f t="shared" si="26"/>
        <v>1</v>
      </c>
    </row>
    <row r="818" spans="1:25" x14ac:dyDescent="0.25">
      <c r="A818" s="20">
        <f>+VLOOKUP(D818,Back!Q:R,2,0)</f>
        <v>7</v>
      </c>
      <c r="B818" s="20" t="str">
        <f t="shared" si="25"/>
        <v>2017 JUL</v>
      </c>
      <c r="C818" s="30">
        <v>2017</v>
      </c>
      <c r="D818" s="30" t="s">
        <v>157</v>
      </c>
      <c r="E818" s="30" t="s">
        <v>72</v>
      </c>
      <c r="F818" s="30"/>
      <c r="G818" s="30"/>
      <c r="H818" s="32">
        <v>696875</v>
      </c>
      <c r="I818" s="32">
        <v>0</v>
      </c>
      <c r="J818" s="32">
        <v>0</v>
      </c>
      <c r="K818" s="33">
        <v>696875</v>
      </c>
      <c r="L818" s="33"/>
      <c r="M818" s="34"/>
      <c r="N818" s="209" t="str">
        <f>IFERROR(VLOOKUP(F818,Back!C:F,4,0),"NO")</f>
        <v>NO</v>
      </c>
      <c r="O818" s="26">
        <v>24</v>
      </c>
      <c r="P818" s="28" t="str">
        <f>IFERROR(VLOOKUP(F818,Back!C:E,3,0),"")</f>
        <v/>
      </c>
      <c r="Q818" s="28" t="str">
        <f>IFERROR(VLOOKUP(P818,Back!M:N,2,0),"")</f>
        <v/>
      </c>
      <c r="R818" s="27" t="str">
        <f>IF(N818="Si",IFERROR(VLOOKUP(F818,'TD Cumpl'!B:AB,27,0),"No Aplica"),"No Aplica")</f>
        <v>No Aplica</v>
      </c>
      <c r="S818" s="38">
        <v>1</v>
      </c>
      <c r="T818" s="36">
        <v>70345</v>
      </c>
      <c r="U818" s="26">
        <v>2</v>
      </c>
      <c r="V818" s="37">
        <v>186530</v>
      </c>
      <c r="W818" s="19">
        <v>0</v>
      </c>
      <c r="X818" s="37">
        <v>0</v>
      </c>
      <c r="Y818" s="46">
        <f t="shared" si="26"/>
        <v>440000</v>
      </c>
    </row>
    <row r="819" spans="1:25" x14ac:dyDescent="0.25">
      <c r="A819" s="20">
        <f>+VLOOKUP(D819,Back!Q:R,2,0)</f>
        <v>7</v>
      </c>
      <c r="B819" s="20" t="str">
        <f t="shared" si="25"/>
        <v>2017 JUL</v>
      </c>
      <c r="C819" s="30">
        <v>2017</v>
      </c>
      <c r="D819" s="30" t="s">
        <v>157</v>
      </c>
      <c r="E819" s="30" t="s">
        <v>113</v>
      </c>
      <c r="F819" s="30"/>
      <c r="G819" s="30"/>
      <c r="H819" s="32">
        <v>43870</v>
      </c>
      <c r="I819" s="32">
        <v>0</v>
      </c>
      <c r="J819" s="32">
        <v>43870</v>
      </c>
      <c r="K819" s="33">
        <v>0</v>
      </c>
      <c r="L819" s="33"/>
      <c r="M819" s="34"/>
      <c r="N819" s="209" t="str">
        <f>IFERROR(VLOOKUP(F819,Back!C:F,4,0),"NO")</f>
        <v>NO</v>
      </c>
      <c r="O819" s="26">
        <v>24</v>
      </c>
      <c r="P819" s="28" t="str">
        <f>IFERROR(VLOOKUP(F819,Back!C:E,3,0),"")</f>
        <v/>
      </c>
      <c r="Q819" s="28" t="str">
        <f>IFERROR(VLOOKUP(P819,Back!M:N,2,0),"")</f>
        <v/>
      </c>
      <c r="R819" s="27" t="str">
        <f>IF(N819="Si",IFERROR(VLOOKUP(F819,'TD Cumpl'!B:AB,27,0),"No Aplica"),"No Aplica")</f>
        <v>No Aplica</v>
      </c>
      <c r="S819" s="38">
        <v>0</v>
      </c>
      <c r="T819" s="36">
        <v>0</v>
      </c>
      <c r="U819" s="26">
        <v>0</v>
      </c>
      <c r="V819" s="37">
        <v>0</v>
      </c>
      <c r="W819" s="19">
        <v>1</v>
      </c>
      <c r="X819" s="37">
        <v>43870</v>
      </c>
      <c r="Y819" s="46">
        <f t="shared" si="26"/>
        <v>0</v>
      </c>
    </row>
    <row r="820" spans="1:25" x14ac:dyDescent="0.25">
      <c r="A820" s="20">
        <f>+VLOOKUP(D820,Back!Q:R,2,0)</f>
        <v>7</v>
      </c>
      <c r="B820" s="20" t="str">
        <f t="shared" si="25"/>
        <v>2017 JUL</v>
      </c>
      <c r="C820" s="30">
        <v>2017</v>
      </c>
      <c r="D820" s="30" t="s">
        <v>157</v>
      </c>
      <c r="E820" s="30">
        <v>4433311064</v>
      </c>
      <c r="F820" s="30"/>
      <c r="G820" s="30"/>
      <c r="H820" s="32">
        <v>134285</v>
      </c>
      <c r="I820" s="32">
        <v>0</v>
      </c>
      <c r="J820" s="32">
        <v>134285</v>
      </c>
      <c r="K820" s="33">
        <v>0</v>
      </c>
      <c r="L820" s="33"/>
      <c r="M820" s="34"/>
      <c r="N820" s="209" t="str">
        <f>IFERROR(VLOOKUP(F820,Back!C:F,4,0),"NO")</f>
        <v>NO</v>
      </c>
      <c r="O820" s="26">
        <v>24</v>
      </c>
      <c r="P820" s="28" t="str">
        <f>IFERROR(VLOOKUP(F820,Back!C:E,3,0),"")</f>
        <v/>
      </c>
      <c r="Q820" s="28" t="str">
        <f>IFERROR(VLOOKUP(P820,Back!M:N,2,0),"")</f>
        <v/>
      </c>
      <c r="R820" s="27" t="str">
        <f>IF(N820="Si",IFERROR(VLOOKUP(F820,'TD Cumpl'!B:AB,27,0),"No Aplica"),"No Aplica")</f>
        <v>No Aplica</v>
      </c>
      <c r="S820" s="38">
        <v>0</v>
      </c>
      <c r="T820" s="36">
        <v>0</v>
      </c>
      <c r="U820" s="26">
        <v>0</v>
      </c>
      <c r="V820" s="37">
        <v>0</v>
      </c>
      <c r="W820" s="19">
        <v>1</v>
      </c>
      <c r="X820" s="37">
        <v>134285</v>
      </c>
      <c r="Y820" s="46">
        <f t="shared" si="26"/>
        <v>0</v>
      </c>
    </row>
    <row r="821" spans="1:25" x14ac:dyDescent="0.25">
      <c r="A821" s="20">
        <f>+VLOOKUP(D821,Back!Q:R,2,0)</f>
        <v>7</v>
      </c>
      <c r="B821" s="20" t="str">
        <f t="shared" si="25"/>
        <v>2017 JUL</v>
      </c>
      <c r="C821" s="30">
        <v>2017</v>
      </c>
      <c r="D821" s="30" t="s">
        <v>157</v>
      </c>
      <c r="E821" s="30">
        <v>4433285837</v>
      </c>
      <c r="F821" s="30"/>
      <c r="G821" s="30"/>
      <c r="H821" s="32">
        <v>134285</v>
      </c>
      <c r="I821" s="32">
        <v>0</v>
      </c>
      <c r="J821" s="32">
        <v>134285</v>
      </c>
      <c r="K821" s="33">
        <v>0</v>
      </c>
      <c r="L821" s="33"/>
      <c r="M821" s="34"/>
      <c r="N821" s="209" t="str">
        <f>IFERROR(VLOOKUP(F821,Back!C:F,4,0),"NO")</f>
        <v>NO</v>
      </c>
      <c r="O821" s="26">
        <v>24</v>
      </c>
      <c r="P821" s="28" t="str">
        <f>IFERROR(VLOOKUP(F821,Back!C:E,3,0),"")</f>
        <v/>
      </c>
      <c r="Q821" s="28" t="str">
        <f>IFERROR(VLOOKUP(P821,Back!M:N,2,0),"")</f>
        <v/>
      </c>
      <c r="R821" s="27" t="str">
        <f>IF(N821="Si",IFERROR(VLOOKUP(F821,'TD Cumpl'!B:AB,27,0),"No Aplica"),"No Aplica")</f>
        <v>No Aplica</v>
      </c>
      <c r="S821" s="38">
        <v>0</v>
      </c>
      <c r="T821" s="36">
        <v>0</v>
      </c>
      <c r="U821" s="26">
        <v>0</v>
      </c>
      <c r="V821" s="37">
        <v>0</v>
      </c>
      <c r="W821" s="19">
        <v>1</v>
      </c>
      <c r="X821" s="37">
        <v>134285</v>
      </c>
      <c r="Y821" s="46">
        <f t="shared" si="26"/>
        <v>0</v>
      </c>
    </row>
    <row r="822" spans="1:25" x14ac:dyDescent="0.25">
      <c r="A822" s="20">
        <f>+VLOOKUP(D822,Back!Q:R,2,0)</f>
        <v>7</v>
      </c>
      <c r="B822" s="20" t="str">
        <f t="shared" si="25"/>
        <v>2017 JUL</v>
      </c>
      <c r="C822" s="30">
        <v>2017</v>
      </c>
      <c r="D822" s="30" t="s">
        <v>157</v>
      </c>
      <c r="E822" s="30">
        <v>4433628391</v>
      </c>
      <c r="F822" s="30"/>
      <c r="G822" s="30"/>
      <c r="H822" s="32">
        <v>134285</v>
      </c>
      <c r="I822" s="32">
        <v>0</v>
      </c>
      <c r="J822" s="32">
        <v>134285</v>
      </c>
      <c r="K822" s="33">
        <v>0</v>
      </c>
      <c r="L822" s="33"/>
      <c r="M822" s="34"/>
      <c r="N822" s="209" t="str">
        <f>IFERROR(VLOOKUP(F822,Back!C:F,4,0),"NO")</f>
        <v>NO</v>
      </c>
      <c r="O822" s="26">
        <v>24</v>
      </c>
      <c r="P822" s="28" t="str">
        <f>IFERROR(VLOOKUP(F822,Back!C:E,3,0),"")</f>
        <v/>
      </c>
      <c r="Q822" s="28" t="str">
        <f>IFERROR(VLOOKUP(P822,Back!M:N,2,0),"")</f>
        <v/>
      </c>
      <c r="R822" s="27" t="str">
        <f>IF(N822="Si",IFERROR(VLOOKUP(F822,'TD Cumpl'!B:AB,27,0),"No Aplica"),"No Aplica")</f>
        <v>No Aplica</v>
      </c>
      <c r="S822" s="38">
        <v>0</v>
      </c>
      <c r="T822" s="36">
        <v>0</v>
      </c>
      <c r="U822" s="26">
        <v>0</v>
      </c>
      <c r="V822" s="37">
        <v>0</v>
      </c>
      <c r="W822" s="19">
        <v>1</v>
      </c>
      <c r="X822" s="37">
        <v>134285</v>
      </c>
      <c r="Y822" s="46">
        <f t="shared" si="26"/>
        <v>0</v>
      </c>
    </row>
    <row r="823" spans="1:25" x14ac:dyDescent="0.25">
      <c r="A823" s="20">
        <f>+VLOOKUP(D823,Back!Q:R,2,0)</f>
        <v>7</v>
      </c>
      <c r="B823" s="20" t="str">
        <f t="shared" si="25"/>
        <v>2017 JUL</v>
      </c>
      <c r="C823" s="30">
        <v>2017</v>
      </c>
      <c r="D823" s="30" t="s">
        <v>157</v>
      </c>
      <c r="E823" s="30" t="s">
        <v>87</v>
      </c>
      <c r="F823" s="30"/>
      <c r="G823" s="30"/>
      <c r="H823" s="32">
        <v>-328017</v>
      </c>
      <c r="I823" s="32">
        <v>0</v>
      </c>
      <c r="J823" s="32">
        <v>0</v>
      </c>
      <c r="K823" s="33">
        <v>-328017</v>
      </c>
      <c r="L823" s="33"/>
      <c r="M823" s="34"/>
      <c r="N823" s="209" t="str">
        <f>IFERROR(VLOOKUP(F823,Back!C:F,4,0),"NO")</f>
        <v>NO</v>
      </c>
      <c r="O823" s="26">
        <v>24</v>
      </c>
      <c r="P823" s="28" t="str">
        <f>IFERROR(VLOOKUP(F823,Back!C:E,3,0),"")</f>
        <v/>
      </c>
      <c r="Q823" s="28" t="str">
        <f>IFERROR(VLOOKUP(P823,Back!M:N,2,0),"")</f>
        <v/>
      </c>
      <c r="R823" s="27" t="str">
        <f>IF(N823="Si",IFERROR(VLOOKUP(F823,'TD Cumpl'!B:AB,27,0),"No Aplica"),"No Aplica")</f>
        <v>No Aplica</v>
      </c>
      <c r="S823" s="38">
        <v>16</v>
      </c>
      <c r="T823" s="36">
        <v>-67648</v>
      </c>
      <c r="U823" s="26">
        <v>36</v>
      </c>
      <c r="V823" s="37">
        <v>-138667</v>
      </c>
      <c r="W823" s="19">
        <v>0</v>
      </c>
      <c r="X823" s="37">
        <v>0</v>
      </c>
      <c r="Y823" s="46">
        <f t="shared" si="26"/>
        <v>-121702</v>
      </c>
    </row>
    <row r="824" spans="1:25" x14ac:dyDescent="0.25">
      <c r="A824" s="20">
        <f>+VLOOKUP(D824,Back!Q:R,2,0)</f>
        <v>8</v>
      </c>
      <c r="B824" s="20" t="str">
        <f t="shared" si="25"/>
        <v>2017 AGO</v>
      </c>
      <c r="C824" s="30">
        <v>2017</v>
      </c>
      <c r="D824" s="30" t="s">
        <v>158</v>
      </c>
      <c r="E824" s="30" t="s">
        <v>33</v>
      </c>
      <c r="F824" s="30">
        <v>31307503</v>
      </c>
      <c r="G824" s="30" t="s">
        <v>36</v>
      </c>
      <c r="H824" s="32">
        <v>27183606</v>
      </c>
      <c r="I824" s="32">
        <v>273600</v>
      </c>
      <c r="J824" s="32">
        <v>1933704</v>
      </c>
      <c r="K824" s="33">
        <v>24976302</v>
      </c>
      <c r="L824" s="33">
        <v>31721000</v>
      </c>
      <c r="M824" s="34">
        <v>0.78737435768103148</v>
      </c>
      <c r="N824" s="209" t="str">
        <f>IFERROR(VLOOKUP(F824,Back!C:F,4,0),"NO")</f>
        <v>NO</v>
      </c>
      <c r="O824" s="26">
        <v>25</v>
      </c>
      <c r="P824" s="28" t="str">
        <f>IFERROR(VLOOKUP(F824,Back!C:E,3,0),"")</f>
        <v/>
      </c>
      <c r="Q824" s="28" t="str">
        <f>IFERROR(VLOOKUP(P824,Back!M:N,2,0),"")</f>
        <v/>
      </c>
      <c r="R824" s="27" t="str">
        <f>IF(N824="Si",IFERROR(VLOOKUP(F824,'TD Cumpl'!B:AB,27,0),"No Aplica"),"No Aplica")</f>
        <v>No Aplica</v>
      </c>
      <c r="S824" s="38">
        <v>52</v>
      </c>
      <c r="T824" s="36">
        <v>4761564</v>
      </c>
      <c r="U824" s="26">
        <v>114</v>
      </c>
      <c r="V824" s="37">
        <v>11014495</v>
      </c>
      <c r="W824" s="19">
        <v>27</v>
      </c>
      <c r="X824" s="37">
        <v>1933704</v>
      </c>
      <c r="Y824" s="46">
        <f t="shared" si="26"/>
        <v>9473843</v>
      </c>
    </row>
    <row r="825" spans="1:25" x14ac:dyDescent="0.25">
      <c r="A825" s="20">
        <f>+VLOOKUP(D825,Back!Q:R,2,0)</f>
        <v>8</v>
      </c>
      <c r="B825" s="20" t="str">
        <f t="shared" si="25"/>
        <v>2017 AGO</v>
      </c>
      <c r="C825" s="30">
        <v>2017</v>
      </c>
      <c r="D825" s="30" t="s">
        <v>158</v>
      </c>
      <c r="E825" s="30" t="s">
        <v>62</v>
      </c>
      <c r="F825" s="30">
        <v>32256379</v>
      </c>
      <c r="G825" s="30" t="s">
        <v>61</v>
      </c>
      <c r="H825" s="32">
        <v>34517374</v>
      </c>
      <c r="I825" s="32">
        <v>0</v>
      </c>
      <c r="J825" s="32">
        <v>3786944</v>
      </c>
      <c r="K825" s="33">
        <v>30730430</v>
      </c>
      <c r="L825" s="33">
        <v>42000000</v>
      </c>
      <c r="M825" s="34">
        <v>0.73167690476190472</v>
      </c>
      <c r="N825" s="209" t="str">
        <f>IFERROR(VLOOKUP(F825,Back!C:F,4,0),"NO")</f>
        <v>Si</v>
      </c>
      <c r="O825" s="26">
        <v>25</v>
      </c>
      <c r="P825" s="28" t="str">
        <f>IFERROR(VLOOKUP(F825,Back!C:E,3,0),"")</f>
        <v>Ferias Empresariales Antioquia</v>
      </c>
      <c r="Q825" s="28" t="str">
        <f>IFERROR(VLOOKUP(P825,Back!M:N,2,0),"")</f>
        <v>Antioquia</v>
      </c>
      <c r="R825" s="27" t="str">
        <f>IF(N825="Si",IFERROR(VLOOKUP(F825,'TD Cumpl'!B:AB,27,0),"No Aplica"),"No Aplica")</f>
        <v>Fluctúa</v>
      </c>
      <c r="S825" s="38">
        <v>38</v>
      </c>
      <c r="T825" s="36">
        <v>3855032</v>
      </c>
      <c r="U825" s="26">
        <v>96</v>
      </c>
      <c r="V825" s="37">
        <v>10303755</v>
      </c>
      <c r="W825" s="19">
        <v>61</v>
      </c>
      <c r="X825" s="37">
        <v>3786944</v>
      </c>
      <c r="Y825" s="46">
        <f t="shared" si="26"/>
        <v>16571643</v>
      </c>
    </row>
    <row r="826" spans="1:25" x14ac:dyDescent="0.25">
      <c r="A826" s="20">
        <f>+VLOOKUP(D826,Back!Q:R,2,0)</f>
        <v>8</v>
      </c>
      <c r="B826" s="20" t="str">
        <f t="shared" si="25"/>
        <v>2017 AGO</v>
      </c>
      <c r="C826" s="30">
        <v>2017</v>
      </c>
      <c r="D826" s="30" t="s">
        <v>158</v>
      </c>
      <c r="E826" s="30" t="s">
        <v>83</v>
      </c>
      <c r="F826" s="30">
        <v>43800272</v>
      </c>
      <c r="G826" s="30" t="s">
        <v>85</v>
      </c>
      <c r="H826" s="32">
        <v>35923773</v>
      </c>
      <c r="I826" s="32">
        <v>2062000</v>
      </c>
      <c r="J826" s="32">
        <v>9349018</v>
      </c>
      <c r="K826" s="33">
        <v>24512755</v>
      </c>
      <c r="L826" s="33">
        <v>37720000</v>
      </c>
      <c r="M826" s="34">
        <v>0.64986094909862147</v>
      </c>
      <c r="N826" s="209" t="str">
        <f>IFERROR(VLOOKUP(F826,Back!C:F,4,0),"NO")</f>
        <v>NO</v>
      </c>
      <c r="O826" s="26">
        <v>25</v>
      </c>
      <c r="P826" s="28" t="str">
        <f>IFERROR(VLOOKUP(F826,Back!C:E,3,0),"")</f>
        <v/>
      </c>
      <c r="Q826" s="28" t="str">
        <f>IFERROR(VLOOKUP(P826,Back!M:N,2,0),"")</f>
        <v/>
      </c>
      <c r="R826" s="27" t="str">
        <f>IF(N826="Si",IFERROR(VLOOKUP(F826,'TD Cumpl'!B:AB,27,0),"No Aplica"),"No Aplica")</f>
        <v>No Aplica</v>
      </c>
      <c r="S826" s="38">
        <v>55</v>
      </c>
      <c r="T826" s="36">
        <v>5685069</v>
      </c>
      <c r="U826" s="26">
        <v>150</v>
      </c>
      <c r="V826" s="37">
        <v>14676705</v>
      </c>
      <c r="W826" s="19">
        <v>106</v>
      </c>
      <c r="X826" s="37">
        <v>9349018</v>
      </c>
      <c r="Y826" s="46">
        <f t="shared" si="26"/>
        <v>6212981</v>
      </c>
    </row>
    <row r="827" spans="1:25" x14ac:dyDescent="0.25">
      <c r="A827" s="20">
        <f>+VLOOKUP(D827,Back!Q:R,2,0)</f>
        <v>8</v>
      </c>
      <c r="B827" s="20" t="str">
        <f t="shared" si="25"/>
        <v>2017 AGO</v>
      </c>
      <c r="C827" s="30">
        <v>2017</v>
      </c>
      <c r="D827" s="30" t="s">
        <v>158</v>
      </c>
      <c r="E827" s="30" t="s">
        <v>56</v>
      </c>
      <c r="F827" s="30">
        <v>43971430</v>
      </c>
      <c r="G827" s="30" t="s">
        <v>142</v>
      </c>
      <c r="H827" s="32">
        <v>64312735</v>
      </c>
      <c r="I827" s="32">
        <v>1512000</v>
      </c>
      <c r="J827" s="32">
        <v>14043964</v>
      </c>
      <c r="K827" s="33">
        <v>48756771</v>
      </c>
      <c r="L827" s="33">
        <v>41000000</v>
      </c>
      <c r="M827" s="34">
        <v>1.1891895365853657</v>
      </c>
      <c r="N827" s="209" t="str">
        <f>IFERROR(VLOOKUP(F827,Back!C:F,4,0),"NO")</f>
        <v>Si</v>
      </c>
      <c r="O827" s="26">
        <v>25</v>
      </c>
      <c r="P827" s="28" t="str">
        <f>IFERROR(VLOOKUP(F827,Back!C:E,3,0),"")</f>
        <v>IPS Pto De Vista Centro</v>
      </c>
      <c r="Q827" s="28" t="str">
        <f>IFERROR(VLOOKUP(P827,Back!M:N,2,0),"")</f>
        <v>Antioquia</v>
      </c>
      <c r="R827" s="27" t="str">
        <f>IF(N827="Si",IFERROR(VLOOKUP(F827,'TD Cumpl'!B:AB,27,0),"No Aplica"),"No Aplica")</f>
        <v>Siempre Cumple</v>
      </c>
      <c r="S827" s="38">
        <v>112</v>
      </c>
      <c r="T827" s="36">
        <v>11945797</v>
      </c>
      <c r="U827" s="26">
        <v>282</v>
      </c>
      <c r="V827" s="37">
        <v>30559914</v>
      </c>
      <c r="W827" s="19">
        <v>158</v>
      </c>
      <c r="X827" s="37">
        <v>14043964</v>
      </c>
      <c r="Y827" s="46">
        <f t="shared" si="26"/>
        <v>7763060</v>
      </c>
    </row>
    <row r="828" spans="1:25" x14ac:dyDescent="0.25">
      <c r="A828" s="20">
        <f>+VLOOKUP(D828,Back!Q:R,2,0)</f>
        <v>8</v>
      </c>
      <c r="B828" s="20" t="str">
        <f t="shared" si="25"/>
        <v>2017 AGO</v>
      </c>
      <c r="C828" s="30">
        <v>2017</v>
      </c>
      <c r="D828" s="30" t="s">
        <v>158</v>
      </c>
      <c r="E828" s="30" t="s">
        <v>59</v>
      </c>
      <c r="F828" s="30">
        <v>1030634664</v>
      </c>
      <c r="G828" s="30" t="s">
        <v>58</v>
      </c>
      <c r="H828" s="32">
        <v>55141619</v>
      </c>
      <c r="I828" s="32">
        <v>2078000</v>
      </c>
      <c r="J828" s="32">
        <v>11555037</v>
      </c>
      <c r="K828" s="33">
        <v>41508582</v>
      </c>
      <c r="L828" s="33">
        <v>41000000</v>
      </c>
      <c r="M828" s="34">
        <v>1.0124044390243903</v>
      </c>
      <c r="N828" s="209" t="str">
        <f>IFERROR(VLOOKUP(F828,Back!C:F,4,0),"NO")</f>
        <v>NO</v>
      </c>
      <c r="O828" s="26">
        <v>25</v>
      </c>
      <c r="P828" s="28" t="str">
        <f>IFERROR(VLOOKUP(F828,Back!C:E,3,0),"")</f>
        <v/>
      </c>
      <c r="Q828" s="28" t="str">
        <f>IFERROR(VLOOKUP(P828,Back!M:N,2,0),"")</f>
        <v/>
      </c>
      <c r="R828" s="27" t="str">
        <f>IF(N828="Si",IFERROR(VLOOKUP(F828,'TD Cumpl'!B:AB,27,0),"No Aplica"),"No Aplica")</f>
        <v>No Aplica</v>
      </c>
      <c r="S828" s="38">
        <v>107</v>
      </c>
      <c r="T828" s="36">
        <v>10945310</v>
      </c>
      <c r="U828" s="26">
        <v>262</v>
      </c>
      <c r="V828" s="37">
        <v>25096309</v>
      </c>
      <c r="W828" s="19">
        <v>131</v>
      </c>
      <c r="X828" s="37">
        <v>11555037</v>
      </c>
      <c r="Y828" s="46">
        <f t="shared" si="26"/>
        <v>7544963</v>
      </c>
    </row>
    <row r="829" spans="1:25" x14ac:dyDescent="0.25">
      <c r="A829" s="20">
        <f>+VLOOKUP(D829,Back!Q:R,2,0)</f>
        <v>8</v>
      </c>
      <c r="B829" s="20" t="str">
        <f t="shared" si="25"/>
        <v>2017 AGO</v>
      </c>
      <c r="C829" s="30">
        <v>2017</v>
      </c>
      <c r="D829" s="30" t="s">
        <v>158</v>
      </c>
      <c r="E829" s="30" t="s">
        <v>34</v>
      </c>
      <c r="F829" s="30">
        <v>43554403</v>
      </c>
      <c r="G829" s="30" t="s">
        <v>35</v>
      </c>
      <c r="H829" s="32">
        <v>64809010</v>
      </c>
      <c r="I829" s="32">
        <v>744000</v>
      </c>
      <c r="J829" s="32">
        <v>13688189</v>
      </c>
      <c r="K829" s="33">
        <v>50376821</v>
      </c>
      <c r="L829" s="33">
        <v>41000000</v>
      </c>
      <c r="M829" s="34">
        <v>1.2287029512195122</v>
      </c>
      <c r="N829" s="209" t="str">
        <f>IFERROR(VLOOKUP(F829,Back!C:F,4,0),"NO")</f>
        <v>Si</v>
      </c>
      <c r="O829" s="26">
        <v>25</v>
      </c>
      <c r="P829" s="28" t="str">
        <f>IFERROR(VLOOKUP(F829,Back!C:E,3,0),"")</f>
        <v>IPS Pto De Vista Centro</v>
      </c>
      <c r="Q829" s="28" t="str">
        <f>IFERROR(VLOOKUP(P829,Back!M:N,2,0),"")</f>
        <v>Antioquia</v>
      </c>
      <c r="R829" s="27" t="str">
        <f>IF(N829="Si",IFERROR(VLOOKUP(F829,'TD Cumpl'!B:AB,27,0),"No Aplica"),"No Aplica")</f>
        <v>Siempre Cumple</v>
      </c>
      <c r="S829" s="38">
        <v>112</v>
      </c>
      <c r="T829" s="36">
        <v>13373766</v>
      </c>
      <c r="U829" s="26">
        <v>261</v>
      </c>
      <c r="V829" s="37">
        <v>28670350</v>
      </c>
      <c r="W829" s="19">
        <v>149</v>
      </c>
      <c r="X829" s="37">
        <v>13688189</v>
      </c>
      <c r="Y829" s="46">
        <f t="shared" si="26"/>
        <v>9076705</v>
      </c>
    </row>
    <row r="830" spans="1:25" x14ac:dyDescent="0.25">
      <c r="A830" s="20">
        <f>+VLOOKUP(D830,Back!Q:R,2,0)</f>
        <v>8</v>
      </c>
      <c r="B830" s="20" t="str">
        <f t="shared" si="25"/>
        <v>2017 AGO</v>
      </c>
      <c r="C830" s="30">
        <v>2017</v>
      </c>
      <c r="D830" s="30" t="s">
        <v>158</v>
      </c>
      <c r="E830" s="30" t="s">
        <v>101</v>
      </c>
      <c r="F830" s="30">
        <v>21428423</v>
      </c>
      <c r="G830" s="30" t="s">
        <v>154</v>
      </c>
      <c r="H830" s="32">
        <v>54199681</v>
      </c>
      <c r="I830" s="32">
        <v>1130000</v>
      </c>
      <c r="J830" s="32">
        <v>10780678</v>
      </c>
      <c r="K830" s="33">
        <v>42289003</v>
      </c>
      <c r="L830" s="33">
        <v>41000000</v>
      </c>
      <c r="M830" s="34">
        <v>1.0314390975609755</v>
      </c>
      <c r="N830" s="209" t="str">
        <f>IFERROR(VLOOKUP(F830,Back!C:F,4,0),"NO")</f>
        <v>Si</v>
      </c>
      <c r="O830" s="26">
        <v>25</v>
      </c>
      <c r="P830" s="28" t="str">
        <f>IFERROR(VLOOKUP(F830,Back!C:E,3,0),"")</f>
        <v>IPS Pto De Vista Centro</v>
      </c>
      <c r="Q830" s="28" t="str">
        <f>IFERROR(VLOOKUP(P830,Back!M:N,2,0),"")</f>
        <v>Antioquia</v>
      </c>
      <c r="R830" s="27" t="str">
        <f>IF(N830="Si",IFERROR(VLOOKUP(F830,'TD Cumpl'!B:AB,27,0),"No Aplica"),"No Aplica")</f>
        <v>Fluctúa</v>
      </c>
      <c r="S830" s="38">
        <v>107</v>
      </c>
      <c r="T830" s="36">
        <v>10852755</v>
      </c>
      <c r="U830" s="26">
        <v>252</v>
      </c>
      <c r="V830" s="37">
        <v>25378137</v>
      </c>
      <c r="W830" s="19">
        <v>123</v>
      </c>
      <c r="X830" s="37">
        <v>10780678</v>
      </c>
      <c r="Y830" s="46">
        <f t="shared" si="26"/>
        <v>7188111</v>
      </c>
    </row>
    <row r="831" spans="1:25" x14ac:dyDescent="0.25">
      <c r="A831" s="20">
        <f>+VLOOKUP(D831,Back!Q:R,2,0)</f>
        <v>8</v>
      </c>
      <c r="B831" s="20" t="str">
        <f t="shared" ref="B831:B894" si="27">MID(UPPER(C831&amp;" "&amp;D831),1,8)</f>
        <v>2017 AGO</v>
      </c>
      <c r="C831" s="30">
        <v>2017</v>
      </c>
      <c r="D831" s="30" t="s">
        <v>158</v>
      </c>
      <c r="E831" s="30" t="s">
        <v>13</v>
      </c>
      <c r="F831" s="30">
        <v>43866877</v>
      </c>
      <c r="G831" s="30" t="s">
        <v>46</v>
      </c>
      <c r="H831" s="32">
        <v>66742440</v>
      </c>
      <c r="I831" s="32">
        <v>295000</v>
      </c>
      <c r="J831" s="32">
        <v>15719905</v>
      </c>
      <c r="K831" s="33">
        <v>50727535</v>
      </c>
      <c r="L831" s="33">
        <v>41000000</v>
      </c>
      <c r="M831" s="34">
        <v>1.2372569512195122</v>
      </c>
      <c r="N831" s="209" t="str">
        <f>IFERROR(VLOOKUP(F831,Back!C:F,4,0),"NO")</f>
        <v>Si</v>
      </c>
      <c r="O831" s="26">
        <v>25</v>
      </c>
      <c r="P831" s="28" t="str">
        <f>IFERROR(VLOOKUP(F831,Back!C:E,3,0),"")</f>
        <v>IPS Pto De Vista Centro</v>
      </c>
      <c r="Q831" s="28" t="str">
        <f>IFERROR(VLOOKUP(P831,Back!M:N,2,0),"")</f>
        <v>Antioquia</v>
      </c>
      <c r="R831" s="27" t="str">
        <f>IF(N831="Si",IFERROR(VLOOKUP(F831,'TD Cumpl'!B:AB,27,0),"No Aplica"),"No Aplica")</f>
        <v>Siempre Cumple</v>
      </c>
      <c r="S831" s="38">
        <v>119</v>
      </c>
      <c r="T831" s="36">
        <v>14667593</v>
      </c>
      <c r="U831" s="26">
        <v>277</v>
      </c>
      <c r="V831" s="37">
        <v>30667295</v>
      </c>
      <c r="W831" s="19">
        <v>170</v>
      </c>
      <c r="X831" s="37">
        <v>15719905</v>
      </c>
      <c r="Y831" s="46">
        <f t="shared" si="26"/>
        <v>5687647</v>
      </c>
    </row>
    <row r="832" spans="1:25" x14ac:dyDescent="0.25">
      <c r="A832" s="20">
        <f>+VLOOKUP(D832,Back!Q:R,2,0)</f>
        <v>8</v>
      </c>
      <c r="B832" s="20" t="str">
        <f t="shared" si="27"/>
        <v>2017 AGO</v>
      </c>
      <c r="C832" s="30">
        <v>2017</v>
      </c>
      <c r="D832" s="30" t="s">
        <v>158</v>
      </c>
      <c r="E832" s="30" t="s">
        <v>121</v>
      </c>
      <c r="F832" s="30">
        <v>21982241</v>
      </c>
      <c r="G832" s="30" t="s">
        <v>143</v>
      </c>
      <c r="H832" s="32">
        <v>29118923</v>
      </c>
      <c r="I832" s="32">
        <v>426000</v>
      </c>
      <c r="J832" s="32">
        <v>5385845</v>
      </c>
      <c r="K832" s="33">
        <v>23307078</v>
      </c>
      <c r="L832" s="33">
        <v>21320000</v>
      </c>
      <c r="M832" s="34">
        <v>1.0932025328330206</v>
      </c>
      <c r="N832" s="209" t="str">
        <f>IFERROR(VLOOKUP(F832,Back!C:F,4,0),"NO")</f>
        <v>Si</v>
      </c>
      <c r="O832" s="26">
        <v>25</v>
      </c>
      <c r="P832" s="28" t="str">
        <f>IFERROR(VLOOKUP(F832,Back!C:E,3,0),"")</f>
        <v>IPS Punto de Vista Bello</v>
      </c>
      <c r="Q832" s="28" t="str">
        <f>IFERROR(VLOOKUP(P832,Back!M:N,2,0),"")</f>
        <v>Antioquia</v>
      </c>
      <c r="R832" s="27" t="str">
        <f>IF(N832="Si",IFERROR(VLOOKUP(F832,'TD Cumpl'!B:AB,27,0),"No Aplica"),"No Aplica")</f>
        <v>Fluctúa</v>
      </c>
      <c r="S832" s="38">
        <v>56</v>
      </c>
      <c r="T832" s="36">
        <v>5792846</v>
      </c>
      <c r="U832" s="26">
        <v>142</v>
      </c>
      <c r="V832" s="37">
        <v>15022625</v>
      </c>
      <c r="W832" s="19">
        <v>63</v>
      </c>
      <c r="X832" s="37">
        <v>5385845</v>
      </c>
      <c r="Y832" s="46">
        <f t="shared" si="26"/>
        <v>2917607</v>
      </c>
    </row>
    <row r="833" spans="1:25" x14ac:dyDescent="0.25">
      <c r="A833" s="20">
        <f>+VLOOKUP(D833,Back!Q:R,2,0)</f>
        <v>8</v>
      </c>
      <c r="B833" s="20" t="str">
        <f t="shared" si="27"/>
        <v>2017 AGO</v>
      </c>
      <c r="C833" s="30">
        <v>2017</v>
      </c>
      <c r="D833" s="30" t="s">
        <v>158</v>
      </c>
      <c r="E833" s="30" t="s">
        <v>9</v>
      </c>
      <c r="F833" s="30">
        <v>43169964</v>
      </c>
      <c r="G833" s="30" t="s">
        <v>155</v>
      </c>
      <c r="H833" s="32">
        <v>57315194</v>
      </c>
      <c r="I833" s="32">
        <v>2428400</v>
      </c>
      <c r="J833" s="32">
        <v>13161321</v>
      </c>
      <c r="K833" s="33">
        <v>41725473</v>
      </c>
      <c r="L833" s="33">
        <v>37400000</v>
      </c>
      <c r="M833" s="34">
        <v>1.1156543582887701</v>
      </c>
      <c r="N833" s="209" t="str">
        <f>IFERROR(VLOOKUP(F833,Back!C:F,4,0),"NO")</f>
        <v>Si</v>
      </c>
      <c r="O833" s="26">
        <v>25</v>
      </c>
      <c r="P833" s="28" t="str">
        <f>IFERROR(VLOOKUP(F833,Back!C:E,3,0),"")</f>
        <v>IPS Pto De Vista Molinos</v>
      </c>
      <c r="Q833" s="28" t="str">
        <f>IFERROR(VLOOKUP(P833,Back!M:N,2,0),"")</f>
        <v>Antioquia</v>
      </c>
      <c r="R833" s="27" t="str">
        <f>IF(N833="Si",IFERROR(VLOOKUP(F833,'TD Cumpl'!B:AB,27,0),"No Aplica"),"No Aplica")</f>
        <v>Cumple</v>
      </c>
      <c r="S833" s="38">
        <v>111</v>
      </c>
      <c r="T833" s="36">
        <v>10702655</v>
      </c>
      <c r="U833" s="26">
        <v>270</v>
      </c>
      <c r="V833" s="37">
        <v>27196745</v>
      </c>
      <c r="W833" s="19">
        <v>137</v>
      </c>
      <c r="X833" s="37">
        <v>13161321</v>
      </c>
      <c r="Y833" s="46">
        <f t="shared" ref="Y833:Y896" si="28">+H833-X833-V833-T833</f>
        <v>6254473</v>
      </c>
    </row>
    <row r="834" spans="1:25" x14ac:dyDescent="0.25">
      <c r="A834" s="20">
        <f>+VLOOKUP(D834,Back!Q:R,2,0)</f>
        <v>8</v>
      </c>
      <c r="B834" s="20" t="str">
        <f t="shared" si="27"/>
        <v>2017 AGO</v>
      </c>
      <c r="C834" s="30">
        <v>2017</v>
      </c>
      <c r="D834" s="30" t="s">
        <v>158</v>
      </c>
      <c r="E834" s="30" t="s">
        <v>18</v>
      </c>
      <c r="F834" s="30">
        <v>39442617</v>
      </c>
      <c r="G834" s="30" t="s">
        <v>41</v>
      </c>
      <c r="H834" s="32">
        <v>20641788</v>
      </c>
      <c r="I834" s="32">
        <v>0</v>
      </c>
      <c r="J834" s="32">
        <v>2093883</v>
      </c>
      <c r="K834" s="33">
        <v>18547905</v>
      </c>
      <c r="L834" s="33">
        <v>18000000</v>
      </c>
      <c r="M834" s="34">
        <v>1.0304391666666666</v>
      </c>
      <c r="N834" s="209" t="str">
        <f>IFERROR(VLOOKUP(F834,Back!C:F,4,0),"NO")</f>
        <v>Si</v>
      </c>
      <c r="O834" s="26">
        <v>25</v>
      </c>
      <c r="P834" s="28" t="str">
        <f>IFERROR(VLOOKUP(F834,Back!C:E,3,0),"")</f>
        <v>IPS Pto De Vista San Diego</v>
      </c>
      <c r="Q834" s="28" t="str">
        <f>IFERROR(VLOOKUP(P834,Back!M:N,2,0),"")</f>
        <v>Antioquia</v>
      </c>
      <c r="R834" s="27" t="str">
        <f>IF(N834="Si",IFERROR(VLOOKUP(F834,'TD Cumpl'!B:AB,27,0),"No Aplica"),"No Aplica")</f>
        <v>Cumple</v>
      </c>
      <c r="S834" s="38">
        <v>26</v>
      </c>
      <c r="T834" s="36">
        <v>4096935</v>
      </c>
      <c r="U834" s="26">
        <v>60</v>
      </c>
      <c r="V834" s="37">
        <v>12034350</v>
      </c>
      <c r="W834" s="19">
        <v>28</v>
      </c>
      <c r="X834" s="37">
        <v>2093883</v>
      </c>
      <c r="Y834" s="46">
        <f t="shared" si="28"/>
        <v>2416620</v>
      </c>
    </row>
    <row r="835" spans="1:25" x14ac:dyDescent="0.25">
      <c r="A835" s="20">
        <f>+VLOOKUP(D835,Back!Q:R,2,0)</f>
        <v>8</v>
      </c>
      <c r="B835" s="20" t="str">
        <f t="shared" si="27"/>
        <v>2017 AGO</v>
      </c>
      <c r="C835" s="30">
        <v>2017</v>
      </c>
      <c r="D835" s="30" t="s">
        <v>158</v>
      </c>
      <c r="E835" s="30" t="s">
        <v>23</v>
      </c>
      <c r="F835" s="30">
        <v>43907427</v>
      </c>
      <c r="G835" s="30" t="s">
        <v>144</v>
      </c>
      <c r="H835" s="32">
        <v>44153444</v>
      </c>
      <c r="I835" s="32">
        <v>0</v>
      </c>
      <c r="J835" s="32">
        <v>4111154</v>
      </c>
      <c r="K835" s="33">
        <v>40042290</v>
      </c>
      <c r="L835" s="33">
        <v>34560000</v>
      </c>
      <c r="M835" s="34">
        <v>1.158631076388889</v>
      </c>
      <c r="N835" s="209" t="str">
        <f>IFERROR(VLOOKUP(F835,Back!C:F,4,0),"NO")</f>
        <v>Si</v>
      </c>
      <c r="O835" s="26">
        <v>25</v>
      </c>
      <c r="P835" s="28" t="str">
        <f>IFERROR(VLOOKUP(F835,Back!C:E,3,0),"")</f>
        <v>IPS Pto De Vista Industriales</v>
      </c>
      <c r="Q835" s="28" t="str">
        <f>IFERROR(VLOOKUP(P835,Back!M:N,2,0),"")</f>
        <v>Antioquia</v>
      </c>
      <c r="R835" s="27" t="str">
        <f>IF(N835="Si",IFERROR(VLOOKUP(F835,'TD Cumpl'!B:AB,27,0),"No Aplica"),"No Aplica")</f>
        <v>Siempre Cumple</v>
      </c>
      <c r="S835" s="38">
        <v>46</v>
      </c>
      <c r="T835" s="36">
        <v>8977774</v>
      </c>
      <c r="U835" s="26">
        <v>148</v>
      </c>
      <c r="V835" s="37">
        <v>23813836</v>
      </c>
      <c r="W835" s="19">
        <v>54</v>
      </c>
      <c r="X835" s="37">
        <v>4111154</v>
      </c>
      <c r="Y835" s="46">
        <f t="shared" si="28"/>
        <v>7250680</v>
      </c>
    </row>
    <row r="836" spans="1:25" x14ac:dyDescent="0.25">
      <c r="A836" s="20">
        <f>+VLOOKUP(D836,Back!Q:R,2,0)</f>
        <v>8</v>
      </c>
      <c r="B836" s="20" t="str">
        <f t="shared" si="27"/>
        <v>2017 AGO</v>
      </c>
      <c r="C836" s="30">
        <v>2017</v>
      </c>
      <c r="D836" s="30" t="s">
        <v>158</v>
      </c>
      <c r="E836" s="30" t="s">
        <v>21</v>
      </c>
      <c r="F836" s="30">
        <v>1035417626</v>
      </c>
      <c r="G836" s="30" t="s">
        <v>80</v>
      </c>
      <c r="H836" s="32">
        <v>70469907</v>
      </c>
      <c r="I836" s="32">
        <v>751000</v>
      </c>
      <c r="J836" s="32">
        <v>14146577</v>
      </c>
      <c r="K836" s="33">
        <v>55572330</v>
      </c>
      <c r="L836" s="33">
        <v>39560000</v>
      </c>
      <c r="M836" s="34">
        <v>1.4047606167846309</v>
      </c>
      <c r="N836" s="209" t="str">
        <f>IFERROR(VLOOKUP(F836,Back!C:F,4,0),"NO")</f>
        <v>Si</v>
      </c>
      <c r="O836" s="26">
        <v>25</v>
      </c>
      <c r="P836" s="28" t="str">
        <f>IFERROR(VLOOKUP(F836,Back!C:E,3,0),"")</f>
        <v>IPS Pto De Vista Unicentro</v>
      </c>
      <c r="Q836" s="28" t="str">
        <f>IFERROR(VLOOKUP(P836,Back!M:N,2,0),"")</f>
        <v>Antioquia</v>
      </c>
      <c r="R836" s="27" t="str">
        <f>IF(N836="Si",IFERROR(VLOOKUP(F836,'TD Cumpl'!B:AB,27,0),"No Aplica"),"No Aplica")</f>
        <v>Cumple</v>
      </c>
      <c r="S836" s="38">
        <v>129</v>
      </c>
      <c r="T836" s="36">
        <v>13898625</v>
      </c>
      <c r="U836" s="26">
        <v>296</v>
      </c>
      <c r="V836" s="37">
        <v>34847503</v>
      </c>
      <c r="W836" s="19">
        <v>156</v>
      </c>
      <c r="X836" s="37">
        <v>14146577</v>
      </c>
      <c r="Y836" s="46">
        <f t="shared" si="28"/>
        <v>7577202</v>
      </c>
    </row>
    <row r="837" spans="1:25" x14ac:dyDescent="0.25">
      <c r="A837" s="20">
        <f>+VLOOKUP(D837,Back!Q:R,2,0)</f>
        <v>8</v>
      </c>
      <c r="B837" s="20" t="str">
        <f t="shared" si="27"/>
        <v>2017 AGO</v>
      </c>
      <c r="C837" s="30">
        <v>2017</v>
      </c>
      <c r="D837" s="30" t="s">
        <v>158</v>
      </c>
      <c r="E837" s="30" t="s">
        <v>103</v>
      </c>
      <c r="F837" s="30">
        <v>1020409789</v>
      </c>
      <c r="G837" s="30" t="s">
        <v>145</v>
      </c>
      <c r="H837" s="32">
        <v>74011946</v>
      </c>
      <c r="I837" s="32">
        <v>440000</v>
      </c>
      <c r="J837" s="32">
        <v>14617805</v>
      </c>
      <c r="K837" s="33">
        <v>58954141</v>
      </c>
      <c r="L837" s="33">
        <v>43000000</v>
      </c>
      <c r="M837" s="34">
        <v>1.3710265348837209</v>
      </c>
      <c r="N837" s="209" t="str">
        <f>IFERROR(VLOOKUP(F837,Back!C:F,4,0),"NO")</f>
        <v>Si</v>
      </c>
      <c r="O837" s="26">
        <v>25</v>
      </c>
      <c r="P837" s="28" t="str">
        <f>IFERROR(VLOOKUP(F837,Back!C:E,3,0),"")</f>
        <v>IPS Pto De Vista Molinos</v>
      </c>
      <c r="Q837" s="28" t="str">
        <f>IFERROR(VLOOKUP(P837,Back!M:N,2,0),"")</f>
        <v>Antioquia</v>
      </c>
      <c r="R837" s="27" t="str">
        <f>IF(N837="Si",IFERROR(VLOOKUP(F837,'TD Cumpl'!B:AB,27,0),"No Aplica"),"No Aplica")</f>
        <v>Cumple</v>
      </c>
      <c r="S837" s="38">
        <v>132</v>
      </c>
      <c r="T837" s="36">
        <v>15283951</v>
      </c>
      <c r="U837" s="26">
        <v>294</v>
      </c>
      <c r="V837" s="37">
        <v>35306238</v>
      </c>
      <c r="W837" s="19">
        <v>176</v>
      </c>
      <c r="X837" s="37">
        <v>14617805</v>
      </c>
      <c r="Y837" s="46">
        <f t="shared" si="28"/>
        <v>8803952</v>
      </c>
    </row>
    <row r="838" spans="1:25" x14ac:dyDescent="0.25">
      <c r="A838" s="20">
        <f>+VLOOKUP(D838,Back!Q:R,2,0)</f>
        <v>8</v>
      </c>
      <c r="B838" s="20" t="str">
        <f t="shared" si="27"/>
        <v>2017 AGO</v>
      </c>
      <c r="C838" s="30">
        <v>2017</v>
      </c>
      <c r="D838" s="30" t="s">
        <v>158</v>
      </c>
      <c r="E838" s="30" t="s">
        <v>8</v>
      </c>
      <c r="F838" s="30">
        <v>43259130</v>
      </c>
      <c r="G838" s="30" t="s">
        <v>51</v>
      </c>
      <c r="H838" s="32">
        <v>76183484</v>
      </c>
      <c r="I838" s="32">
        <v>2186000</v>
      </c>
      <c r="J838" s="32">
        <v>17359894</v>
      </c>
      <c r="K838" s="33">
        <v>56637590</v>
      </c>
      <c r="L838" s="33">
        <v>43000000</v>
      </c>
      <c r="M838" s="34">
        <v>1.3171532558139536</v>
      </c>
      <c r="N838" s="209" t="str">
        <f>IFERROR(VLOOKUP(F838,Back!C:F,4,0),"NO")</f>
        <v>Si</v>
      </c>
      <c r="O838" s="26">
        <v>25</v>
      </c>
      <c r="P838" s="28" t="str">
        <f>IFERROR(VLOOKUP(F838,Back!C:E,3,0),"")</f>
        <v>IPS Pto De Vista Molinos</v>
      </c>
      <c r="Q838" s="28" t="str">
        <f>IFERROR(VLOOKUP(P838,Back!M:N,2,0),"")</f>
        <v>Antioquia</v>
      </c>
      <c r="R838" s="27" t="str">
        <f>IF(N838="Si",IFERROR(VLOOKUP(F838,'TD Cumpl'!B:AB,27,0),"No Aplica"),"No Aplica")</f>
        <v>Fluctúa</v>
      </c>
      <c r="S838" s="38">
        <v>131</v>
      </c>
      <c r="T838" s="36">
        <v>11876681</v>
      </c>
      <c r="U838" s="26">
        <v>322</v>
      </c>
      <c r="V838" s="37">
        <v>35323033</v>
      </c>
      <c r="W838" s="19">
        <v>179</v>
      </c>
      <c r="X838" s="37">
        <v>17359894</v>
      </c>
      <c r="Y838" s="46">
        <f t="shared" si="28"/>
        <v>11623876</v>
      </c>
    </row>
    <row r="839" spans="1:25" x14ac:dyDescent="0.25">
      <c r="A839" s="20">
        <f>+VLOOKUP(D839,Back!Q:R,2,0)</f>
        <v>8</v>
      </c>
      <c r="B839" s="20" t="str">
        <f t="shared" si="27"/>
        <v>2017 AGO</v>
      </c>
      <c r="C839" s="30">
        <v>2017</v>
      </c>
      <c r="D839" s="30" t="s">
        <v>158</v>
      </c>
      <c r="E839" s="30" t="s">
        <v>7</v>
      </c>
      <c r="F839" s="30">
        <v>43745952</v>
      </c>
      <c r="G839" s="30" t="s">
        <v>50</v>
      </c>
      <c r="H839" s="32">
        <v>101286717</v>
      </c>
      <c r="I839" s="32">
        <v>2641600</v>
      </c>
      <c r="J839" s="32">
        <v>16300273</v>
      </c>
      <c r="K839" s="33">
        <v>82344844</v>
      </c>
      <c r="L839" s="33">
        <v>43000000</v>
      </c>
      <c r="M839" s="34">
        <v>1.9149963720930232</v>
      </c>
      <c r="N839" s="209" t="str">
        <f>IFERROR(VLOOKUP(F839,Back!C:F,4,0),"NO")</f>
        <v>Si</v>
      </c>
      <c r="O839" s="26">
        <v>25</v>
      </c>
      <c r="P839" s="28" t="str">
        <f>IFERROR(VLOOKUP(F839,Back!C:E,3,0),"")</f>
        <v>IPS Pto De Vista Unicentro</v>
      </c>
      <c r="Q839" s="28" t="str">
        <f>IFERROR(VLOOKUP(P839,Back!M:N,2,0),"")</f>
        <v>Antioquia</v>
      </c>
      <c r="R839" s="27" t="str">
        <f>IF(N839="Si",IFERROR(VLOOKUP(F839,'TD Cumpl'!B:AB,27,0),"No Aplica"),"No Aplica")</f>
        <v>Siempre Cumple</v>
      </c>
      <c r="S839" s="38">
        <v>159</v>
      </c>
      <c r="T839" s="36">
        <v>18820540</v>
      </c>
      <c r="U839" s="26">
        <v>423</v>
      </c>
      <c r="V839" s="37">
        <v>54244230</v>
      </c>
      <c r="W839" s="19">
        <v>184</v>
      </c>
      <c r="X839" s="37">
        <v>16300273</v>
      </c>
      <c r="Y839" s="46">
        <f t="shared" si="28"/>
        <v>11921674</v>
      </c>
    </row>
    <row r="840" spans="1:25" x14ac:dyDescent="0.25">
      <c r="A840" s="20">
        <f>+VLOOKUP(D840,Back!Q:R,2,0)</f>
        <v>8</v>
      </c>
      <c r="B840" s="20" t="str">
        <f t="shared" si="27"/>
        <v>2017 AGO</v>
      </c>
      <c r="C840" s="30">
        <v>2017</v>
      </c>
      <c r="D840" s="30" t="s">
        <v>158</v>
      </c>
      <c r="E840" s="30" t="s">
        <v>3</v>
      </c>
      <c r="F840" s="30">
        <v>52725011</v>
      </c>
      <c r="G840" s="30" t="s">
        <v>42</v>
      </c>
      <c r="H840" s="32">
        <v>36279668</v>
      </c>
      <c r="I840" s="32">
        <v>0</v>
      </c>
      <c r="J840" s="32">
        <v>7082948</v>
      </c>
      <c r="K840" s="33">
        <v>29196720</v>
      </c>
      <c r="L840" s="33">
        <v>20000000</v>
      </c>
      <c r="M840" s="34">
        <v>1.4598359999999999</v>
      </c>
      <c r="N840" s="209" t="str">
        <f>IFERROR(VLOOKUP(F840,Back!C:F,4,0),"NO")</f>
        <v>Si</v>
      </c>
      <c r="O840" s="26">
        <v>25</v>
      </c>
      <c r="P840" s="28" t="str">
        <f>IFERROR(VLOOKUP(F840,Back!C:E,3,0),"")</f>
        <v>IPS Pto De Vista Olaya</v>
      </c>
      <c r="Q840" s="28" t="str">
        <f>IFERROR(VLOOKUP(P840,Back!M:N,2,0),"")</f>
        <v>Centro</v>
      </c>
      <c r="R840" s="27" t="str">
        <f>IF(N840="Si",IFERROR(VLOOKUP(F840,'TD Cumpl'!B:AB,27,0),"No Aplica"),"No Aplica")</f>
        <v>Fluctúa</v>
      </c>
      <c r="S840" s="38">
        <v>79</v>
      </c>
      <c r="T840" s="36">
        <v>5711054</v>
      </c>
      <c r="U840" s="26">
        <v>194</v>
      </c>
      <c r="V840" s="37">
        <v>20536983</v>
      </c>
      <c r="W840" s="19">
        <v>105</v>
      </c>
      <c r="X840" s="37">
        <v>7082948</v>
      </c>
      <c r="Y840" s="46">
        <f t="shared" si="28"/>
        <v>2948683</v>
      </c>
    </row>
    <row r="841" spans="1:25" x14ac:dyDescent="0.25">
      <c r="A841" s="20">
        <f>+VLOOKUP(D841,Back!Q:R,2,0)</f>
        <v>8</v>
      </c>
      <c r="B841" s="20" t="str">
        <f t="shared" si="27"/>
        <v>2017 AGO</v>
      </c>
      <c r="C841" s="30">
        <v>2017</v>
      </c>
      <c r="D841" s="30" t="s">
        <v>158</v>
      </c>
      <c r="E841" s="30" t="s">
        <v>4</v>
      </c>
      <c r="F841" s="30">
        <v>79701425</v>
      </c>
      <c r="G841" s="30" t="s">
        <v>27</v>
      </c>
      <c r="H841" s="32">
        <v>32086370</v>
      </c>
      <c r="I841" s="32">
        <v>2200000</v>
      </c>
      <c r="J841" s="32">
        <v>6295773</v>
      </c>
      <c r="K841" s="33">
        <v>23590597</v>
      </c>
      <c r="L841" s="33">
        <v>20000000</v>
      </c>
      <c r="M841" s="34">
        <v>1.17952985</v>
      </c>
      <c r="N841" s="209" t="str">
        <f>IFERROR(VLOOKUP(F841,Back!C:F,4,0),"NO")</f>
        <v>No</v>
      </c>
      <c r="O841" s="26">
        <v>25</v>
      </c>
      <c r="P841" s="28" t="str">
        <f>IFERROR(VLOOKUP(F841,Back!C:E,3,0),"")</f>
        <v>IPS Pto De Vista Olaya</v>
      </c>
      <c r="Q841" s="28" t="str">
        <f>IFERROR(VLOOKUP(P841,Back!M:N,2,0),"")</f>
        <v>Centro</v>
      </c>
      <c r="R841" s="27" t="str">
        <f>IF(N841="Si",IFERROR(VLOOKUP(F841,'TD Cumpl'!B:AB,27,0),"No Aplica"),"No Aplica")</f>
        <v>No Aplica</v>
      </c>
      <c r="S841" s="38">
        <v>68</v>
      </c>
      <c r="T841" s="36">
        <v>4724499</v>
      </c>
      <c r="U841" s="26">
        <v>172</v>
      </c>
      <c r="V841" s="37">
        <v>15940969</v>
      </c>
      <c r="W841" s="19">
        <v>90</v>
      </c>
      <c r="X841" s="37">
        <v>6295773</v>
      </c>
      <c r="Y841" s="46">
        <f t="shared" si="28"/>
        <v>5125129</v>
      </c>
    </row>
    <row r="842" spans="1:25" x14ac:dyDescent="0.25">
      <c r="A842" s="20">
        <f>+VLOOKUP(D842,Back!Q:R,2,0)</f>
        <v>8</v>
      </c>
      <c r="B842" s="20" t="str">
        <f t="shared" si="27"/>
        <v>2017 AGO</v>
      </c>
      <c r="C842" s="30">
        <v>2017</v>
      </c>
      <c r="D842" s="30" t="s">
        <v>158</v>
      </c>
      <c r="E842" s="30" t="s">
        <v>66</v>
      </c>
      <c r="F842" s="30">
        <v>3438422</v>
      </c>
      <c r="G842" s="30" t="s">
        <v>71</v>
      </c>
      <c r="H842" s="32">
        <v>53855064</v>
      </c>
      <c r="I842" s="32">
        <v>1390000</v>
      </c>
      <c r="J842" s="32">
        <v>11220020</v>
      </c>
      <c r="K842" s="33">
        <v>41245044</v>
      </c>
      <c r="L842" s="33">
        <v>37840000</v>
      </c>
      <c r="M842" s="34">
        <v>1.0899853065539111</v>
      </c>
      <c r="N842" s="209" t="str">
        <f>IFERROR(VLOOKUP(F842,Back!C:F,4,0),"NO")</f>
        <v>Si</v>
      </c>
      <c r="O842" s="26">
        <v>25</v>
      </c>
      <c r="P842" s="28" t="str">
        <f>IFERROR(VLOOKUP(F842,Back!C:E,3,0),"")</f>
        <v>IPS Pto De Vista Punto Clave</v>
      </c>
      <c r="Q842" s="28" t="str">
        <f>IFERROR(VLOOKUP(P842,Back!M:N,2,0),"")</f>
        <v>Antioquia</v>
      </c>
      <c r="R842" s="27" t="str">
        <f>IF(N842="Si",IFERROR(VLOOKUP(F842,'TD Cumpl'!B:AB,27,0),"No Aplica"),"No Aplica")</f>
        <v>Fluctúa</v>
      </c>
      <c r="S842" s="38">
        <v>75</v>
      </c>
      <c r="T842" s="36">
        <v>8764809</v>
      </c>
      <c r="U842" s="26">
        <v>176</v>
      </c>
      <c r="V842" s="37">
        <v>26094808</v>
      </c>
      <c r="W842" s="19">
        <v>124</v>
      </c>
      <c r="X842" s="37">
        <v>11220020</v>
      </c>
      <c r="Y842" s="46">
        <f t="shared" si="28"/>
        <v>7775427</v>
      </c>
    </row>
    <row r="843" spans="1:25" x14ac:dyDescent="0.25">
      <c r="A843" s="20">
        <f>+VLOOKUP(D843,Back!Q:R,2,0)</f>
        <v>8</v>
      </c>
      <c r="B843" s="20" t="str">
        <f t="shared" si="27"/>
        <v>2017 AGO</v>
      </c>
      <c r="C843" s="30">
        <v>2017</v>
      </c>
      <c r="D843" s="30" t="s">
        <v>158</v>
      </c>
      <c r="E843" s="30" t="s">
        <v>92</v>
      </c>
      <c r="F843" s="30">
        <v>1017167720</v>
      </c>
      <c r="G843" s="30" t="s">
        <v>96</v>
      </c>
      <c r="H843" s="32">
        <v>52619314</v>
      </c>
      <c r="I843" s="32">
        <v>426000</v>
      </c>
      <c r="J843" s="32">
        <v>10088709</v>
      </c>
      <c r="K843" s="33">
        <v>42104605</v>
      </c>
      <c r="L843" s="33">
        <v>41280000</v>
      </c>
      <c r="M843" s="34">
        <v>1.0199758963178294</v>
      </c>
      <c r="N843" s="209" t="str">
        <f>IFERROR(VLOOKUP(F843,Back!C:F,4,0),"NO")</f>
        <v>Si</v>
      </c>
      <c r="O843" s="26">
        <v>25</v>
      </c>
      <c r="P843" s="28" t="str">
        <f>IFERROR(VLOOKUP(F843,Back!C:E,3,0),"")</f>
        <v>IPS Pto De Vista Punto Clave</v>
      </c>
      <c r="Q843" s="28" t="str">
        <f>IFERROR(VLOOKUP(P843,Back!M:N,2,0),"")</f>
        <v>Antioquia</v>
      </c>
      <c r="R843" s="27" t="str">
        <f>IF(N843="Si",IFERROR(VLOOKUP(F843,'TD Cumpl'!B:AB,27,0),"No Aplica"),"No Aplica")</f>
        <v>Cumple</v>
      </c>
      <c r="S843" s="38">
        <v>87</v>
      </c>
      <c r="T843" s="36">
        <v>10225326</v>
      </c>
      <c r="U843" s="26">
        <v>229</v>
      </c>
      <c r="V843" s="37">
        <v>25716159</v>
      </c>
      <c r="W843" s="19">
        <v>114</v>
      </c>
      <c r="X843" s="37">
        <v>10088709</v>
      </c>
      <c r="Y843" s="46">
        <f t="shared" si="28"/>
        <v>6589120</v>
      </c>
    </row>
    <row r="844" spans="1:25" x14ac:dyDescent="0.25">
      <c r="A844" s="20">
        <f>+VLOOKUP(D844,Back!Q:R,2,0)</f>
        <v>8</v>
      </c>
      <c r="B844" s="20" t="str">
        <f t="shared" si="27"/>
        <v>2017 AGO</v>
      </c>
      <c r="C844" s="30">
        <v>2017</v>
      </c>
      <c r="D844" s="30" t="s">
        <v>158</v>
      </c>
      <c r="E844" s="30" t="s">
        <v>57</v>
      </c>
      <c r="F844" s="30">
        <v>43874518</v>
      </c>
      <c r="G844" s="30" t="s">
        <v>60</v>
      </c>
      <c r="H844" s="32">
        <v>54672702</v>
      </c>
      <c r="I844" s="32">
        <v>880000</v>
      </c>
      <c r="J844" s="32">
        <v>10906403</v>
      </c>
      <c r="K844" s="33">
        <v>42886299</v>
      </c>
      <c r="L844" s="33">
        <v>43000000</v>
      </c>
      <c r="M844" s="34">
        <v>0.99735579069767444</v>
      </c>
      <c r="N844" s="209" t="str">
        <f>IFERROR(VLOOKUP(F844,Back!C:F,4,0),"NO")</f>
        <v>Si</v>
      </c>
      <c r="O844" s="26">
        <v>25</v>
      </c>
      <c r="P844" s="28" t="str">
        <f>IFERROR(VLOOKUP(F844,Back!C:E,3,0),"")</f>
        <v>IPS Pto De Vista Punto Clave</v>
      </c>
      <c r="Q844" s="28" t="str">
        <f>IFERROR(VLOOKUP(P844,Back!M:N,2,0),"")</f>
        <v>Antioquia</v>
      </c>
      <c r="R844" s="27" t="str">
        <f>IF(N844="Si",IFERROR(VLOOKUP(F844,'TD Cumpl'!B:AB,27,0),"No Aplica"),"No Aplica")</f>
        <v>Fluctúa</v>
      </c>
      <c r="S844" s="38">
        <v>101</v>
      </c>
      <c r="T844" s="36">
        <v>9571402</v>
      </c>
      <c r="U844" s="26">
        <v>252</v>
      </c>
      <c r="V844" s="37">
        <v>26169343</v>
      </c>
      <c r="W844" s="19">
        <v>127</v>
      </c>
      <c r="X844" s="37">
        <v>10906403</v>
      </c>
      <c r="Y844" s="46">
        <f t="shared" si="28"/>
        <v>8025554</v>
      </c>
    </row>
    <row r="845" spans="1:25" x14ac:dyDescent="0.25">
      <c r="A845" s="20">
        <f>+VLOOKUP(D845,Back!Q:R,2,0)</f>
        <v>8</v>
      </c>
      <c r="B845" s="20" t="str">
        <f t="shared" si="27"/>
        <v>2017 AGO</v>
      </c>
      <c r="C845" s="30">
        <v>2017</v>
      </c>
      <c r="D845" s="30" t="s">
        <v>158</v>
      </c>
      <c r="E845" s="30" t="s">
        <v>64</v>
      </c>
      <c r="F845" s="30">
        <v>1036598360</v>
      </c>
      <c r="G845" s="30" t="s">
        <v>146</v>
      </c>
      <c r="H845" s="32">
        <v>28164960</v>
      </c>
      <c r="I845" s="32">
        <v>426000</v>
      </c>
      <c r="J845" s="32">
        <v>3633934</v>
      </c>
      <c r="K845" s="33">
        <v>24105026</v>
      </c>
      <c r="L845" s="33">
        <v>24080000</v>
      </c>
      <c r="M845" s="34">
        <v>1.0010392857142858</v>
      </c>
      <c r="N845" s="209" t="str">
        <f>IFERROR(VLOOKUP(F845,Back!C:F,4,0),"NO")</f>
        <v>Si</v>
      </c>
      <c r="O845" s="26">
        <v>25</v>
      </c>
      <c r="P845" s="28" t="str">
        <f>IFERROR(VLOOKUP(F845,Back!C:E,3,0),"")</f>
        <v>IPS Pto De Vista Punto Clave</v>
      </c>
      <c r="Q845" s="28" t="str">
        <f>IFERROR(VLOOKUP(P845,Back!M:N,2,0),"")</f>
        <v>Antioquia</v>
      </c>
      <c r="R845" s="27" t="str">
        <f>IF(N845="Si",IFERROR(VLOOKUP(F845,'TD Cumpl'!B:AB,27,0),"No Aplica"),"No Aplica")</f>
        <v>Fluctúa</v>
      </c>
      <c r="S845" s="38">
        <v>36</v>
      </c>
      <c r="T845" s="36">
        <v>4729303</v>
      </c>
      <c r="U845" s="26">
        <v>116</v>
      </c>
      <c r="V845" s="37">
        <v>16437056</v>
      </c>
      <c r="W845" s="19">
        <v>40</v>
      </c>
      <c r="X845" s="37">
        <v>3633934</v>
      </c>
      <c r="Y845" s="46">
        <f t="shared" si="28"/>
        <v>3364667</v>
      </c>
    </row>
    <row r="846" spans="1:25" x14ac:dyDescent="0.25">
      <c r="A846" s="20">
        <f>+VLOOKUP(D846,Back!Q:R,2,0)</f>
        <v>8</v>
      </c>
      <c r="B846" s="20" t="str">
        <f t="shared" si="27"/>
        <v>2017 AGO</v>
      </c>
      <c r="C846" s="30">
        <v>2017</v>
      </c>
      <c r="D846" s="30" t="s">
        <v>158</v>
      </c>
      <c r="E846" s="30" t="s">
        <v>90</v>
      </c>
      <c r="F846" s="30">
        <v>1020419011</v>
      </c>
      <c r="G846" s="30" t="s">
        <v>97</v>
      </c>
      <c r="H846" s="32">
        <v>56121130</v>
      </c>
      <c r="I846" s="32">
        <v>980000</v>
      </c>
      <c r="J846" s="32">
        <v>11698952</v>
      </c>
      <c r="K846" s="33">
        <v>43442178</v>
      </c>
      <c r="L846" s="33">
        <v>43000000</v>
      </c>
      <c r="M846" s="34">
        <v>1.0102832093023255</v>
      </c>
      <c r="N846" s="209" t="str">
        <f>IFERROR(VLOOKUP(F846,Back!C:F,4,0),"NO")</f>
        <v>Si</v>
      </c>
      <c r="O846" s="26">
        <v>25</v>
      </c>
      <c r="P846" s="28" t="str">
        <f>IFERROR(VLOOKUP(F846,Back!C:E,3,0),"")</f>
        <v>IPS Pto De Vista Punto Clave</v>
      </c>
      <c r="Q846" s="28" t="str">
        <f>IFERROR(VLOOKUP(P846,Back!M:N,2,0),"")</f>
        <v>Antioquia</v>
      </c>
      <c r="R846" s="27" t="str">
        <f>IF(N846="Si",IFERROR(VLOOKUP(F846,'TD Cumpl'!B:AB,27,0),"No Aplica"),"No Aplica")</f>
        <v>Cumple</v>
      </c>
      <c r="S846" s="38">
        <v>100</v>
      </c>
      <c r="T846" s="36">
        <v>9450961</v>
      </c>
      <c r="U846" s="26">
        <v>232</v>
      </c>
      <c r="V846" s="37">
        <v>24277703</v>
      </c>
      <c r="W846" s="19">
        <v>127</v>
      </c>
      <c r="X846" s="37">
        <v>11698952</v>
      </c>
      <c r="Y846" s="46">
        <f t="shared" si="28"/>
        <v>10693514</v>
      </c>
    </row>
    <row r="847" spans="1:25" x14ac:dyDescent="0.25">
      <c r="A847" s="20">
        <f>+VLOOKUP(D847,Back!Q:R,2,0)</f>
        <v>8</v>
      </c>
      <c r="B847" s="20" t="str">
        <f t="shared" si="27"/>
        <v>2017 AGO</v>
      </c>
      <c r="C847" s="30">
        <v>2017</v>
      </c>
      <c r="D847" s="30" t="s">
        <v>158</v>
      </c>
      <c r="E847" s="30" t="s">
        <v>117</v>
      </c>
      <c r="F847" s="30">
        <v>1020419615</v>
      </c>
      <c r="G847" s="30" t="s">
        <v>118</v>
      </c>
      <c r="H847" s="32">
        <v>56260542</v>
      </c>
      <c r="I847" s="32">
        <v>0</v>
      </c>
      <c r="J847" s="32">
        <v>12320194</v>
      </c>
      <c r="K847" s="33">
        <v>43940348</v>
      </c>
      <c r="L847" s="33">
        <v>43000000</v>
      </c>
      <c r="M847" s="34">
        <v>1.0218685581395348</v>
      </c>
      <c r="N847" s="209" t="str">
        <f>IFERROR(VLOOKUP(F847,Back!C:F,4,0),"NO")</f>
        <v>Si</v>
      </c>
      <c r="O847" s="26">
        <v>25</v>
      </c>
      <c r="P847" s="28" t="str">
        <f>IFERROR(VLOOKUP(F847,Back!C:E,3,0),"")</f>
        <v>IPS Pto De Vista Punto Clave</v>
      </c>
      <c r="Q847" s="28" t="str">
        <f>IFERROR(VLOOKUP(P847,Back!M:N,2,0),"")</f>
        <v>Antioquia</v>
      </c>
      <c r="R847" s="27" t="str">
        <f>IF(N847="Si",IFERROR(VLOOKUP(F847,'TD Cumpl'!B:AB,27,0),"No Aplica"),"No Aplica")</f>
        <v>Cumple</v>
      </c>
      <c r="S847" s="38">
        <v>87</v>
      </c>
      <c r="T847" s="36">
        <v>8940664</v>
      </c>
      <c r="U847" s="26">
        <v>188</v>
      </c>
      <c r="V847" s="37">
        <v>25347673</v>
      </c>
      <c r="W847" s="19">
        <v>132</v>
      </c>
      <c r="X847" s="37">
        <v>12320194</v>
      </c>
      <c r="Y847" s="46">
        <f t="shared" si="28"/>
        <v>9652011</v>
      </c>
    </row>
    <row r="848" spans="1:25" x14ac:dyDescent="0.25">
      <c r="A848" s="20">
        <f>+VLOOKUP(D848,Back!Q:R,2,0)</f>
        <v>8</v>
      </c>
      <c r="B848" s="20" t="str">
        <f t="shared" si="27"/>
        <v>2017 AGO</v>
      </c>
      <c r="C848" s="30">
        <v>2017</v>
      </c>
      <c r="D848" s="30" t="s">
        <v>158</v>
      </c>
      <c r="E848" s="30" t="s">
        <v>25</v>
      </c>
      <c r="F848" s="30">
        <v>1040030764</v>
      </c>
      <c r="G848" s="30" t="s">
        <v>43</v>
      </c>
      <c r="H848" s="32">
        <v>57028629</v>
      </c>
      <c r="I848" s="32">
        <v>2064000</v>
      </c>
      <c r="J848" s="32">
        <v>12323432</v>
      </c>
      <c r="K848" s="33">
        <v>42641197</v>
      </c>
      <c r="L848" s="33">
        <v>30360000</v>
      </c>
      <c r="M848" s="34">
        <v>1.4045190052700922</v>
      </c>
      <c r="N848" s="209" t="str">
        <f>IFERROR(VLOOKUP(F848,Back!C:F,4,0),"NO")</f>
        <v>Si</v>
      </c>
      <c r="O848" s="26">
        <v>25</v>
      </c>
      <c r="P848" s="28" t="str">
        <f>IFERROR(VLOOKUP(F848,Back!C:E,3,0),"")</f>
        <v>IPS Pto De Vista Rionegro</v>
      </c>
      <c r="Q848" s="28" t="str">
        <f>IFERROR(VLOOKUP(P848,Back!M:N,2,0),"")</f>
        <v>Antioquia</v>
      </c>
      <c r="R848" s="27" t="str">
        <f>IF(N848="Si",IFERROR(VLOOKUP(F848,'TD Cumpl'!B:AB,27,0),"No Aplica"),"No Aplica")</f>
        <v>Cumple</v>
      </c>
      <c r="S848" s="38">
        <v>101</v>
      </c>
      <c r="T848" s="36">
        <v>12035299</v>
      </c>
      <c r="U848" s="26">
        <v>237</v>
      </c>
      <c r="V848" s="37">
        <v>25771784</v>
      </c>
      <c r="W848" s="19">
        <v>138</v>
      </c>
      <c r="X848" s="37">
        <v>12323432</v>
      </c>
      <c r="Y848" s="46">
        <f t="shared" si="28"/>
        <v>6898114</v>
      </c>
    </row>
    <row r="849" spans="1:25" x14ac:dyDescent="0.25">
      <c r="A849" s="20">
        <f>+VLOOKUP(D849,Back!Q:R,2,0)</f>
        <v>8</v>
      </c>
      <c r="B849" s="20" t="str">
        <f t="shared" si="27"/>
        <v>2017 AGO</v>
      </c>
      <c r="C849" s="30">
        <v>2017</v>
      </c>
      <c r="D849" s="30" t="s">
        <v>158</v>
      </c>
      <c r="E849" s="30" t="s">
        <v>37</v>
      </c>
      <c r="F849" s="30">
        <v>1036779770</v>
      </c>
      <c r="G849" s="30" t="s">
        <v>52</v>
      </c>
      <c r="H849" s="32">
        <v>33881621</v>
      </c>
      <c r="I849" s="32">
        <v>1102000</v>
      </c>
      <c r="J849" s="32">
        <v>5530061</v>
      </c>
      <c r="K849" s="33">
        <v>27249560</v>
      </c>
      <c r="L849" s="33">
        <v>14520000</v>
      </c>
      <c r="M849" s="34">
        <v>1.8766914600550963</v>
      </c>
      <c r="N849" s="209" t="str">
        <f>IFERROR(VLOOKUP(F849,Back!C:F,4,0),"NO")</f>
        <v>No</v>
      </c>
      <c r="O849" s="26">
        <v>25</v>
      </c>
      <c r="P849" s="28" t="str">
        <f>IFERROR(VLOOKUP(F849,Back!C:E,3,0),"")</f>
        <v>IPS Pto De Vista Rionegro</v>
      </c>
      <c r="Q849" s="28" t="str">
        <f>IFERROR(VLOOKUP(P849,Back!M:N,2,0),"")</f>
        <v>Antioquia</v>
      </c>
      <c r="R849" s="27" t="str">
        <f>IF(N849="Si",IFERROR(VLOOKUP(F849,'TD Cumpl'!B:AB,27,0),"No Aplica"),"No Aplica")</f>
        <v>No Aplica</v>
      </c>
      <c r="S849" s="38">
        <v>69</v>
      </c>
      <c r="T849" s="36">
        <v>7060411</v>
      </c>
      <c r="U849" s="26">
        <v>178</v>
      </c>
      <c r="V849" s="37">
        <v>17494330</v>
      </c>
      <c r="W849" s="19">
        <v>72</v>
      </c>
      <c r="X849" s="37">
        <v>5530061</v>
      </c>
      <c r="Y849" s="46">
        <f t="shared" si="28"/>
        <v>3796819</v>
      </c>
    </row>
    <row r="850" spans="1:25" x14ac:dyDescent="0.25">
      <c r="A850" s="20">
        <f>+VLOOKUP(D850,Back!Q:R,2,0)</f>
        <v>8</v>
      </c>
      <c r="B850" s="20" t="str">
        <f t="shared" si="27"/>
        <v>2017 AGO</v>
      </c>
      <c r="C850" s="30">
        <v>2017</v>
      </c>
      <c r="D850" s="30" t="s">
        <v>158</v>
      </c>
      <c r="E850" s="30" t="s">
        <v>24</v>
      </c>
      <c r="F850" s="30">
        <v>39448823</v>
      </c>
      <c r="G850" s="30" t="s">
        <v>48</v>
      </c>
      <c r="H850" s="32">
        <v>49505696</v>
      </c>
      <c r="I850" s="32">
        <v>1908800</v>
      </c>
      <c r="J850" s="32">
        <v>8155399</v>
      </c>
      <c r="K850" s="33">
        <v>39441497</v>
      </c>
      <c r="L850" s="33">
        <v>33000000</v>
      </c>
      <c r="M850" s="34">
        <v>1.1951968787878788</v>
      </c>
      <c r="N850" s="209" t="str">
        <f>IFERROR(VLOOKUP(F850,Back!C:F,4,0),"NO")</f>
        <v>Si</v>
      </c>
      <c r="O850" s="26">
        <v>25</v>
      </c>
      <c r="P850" s="28" t="str">
        <f>IFERROR(VLOOKUP(F850,Back!C:E,3,0),"")</f>
        <v>IPS Pto De Vista Rionegro</v>
      </c>
      <c r="Q850" s="28" t="str">
        <f>IFERROR(VLOOKUP(P850,Back!M:N,2,0),"")</f>
        <v>Antioquia</v>
      </c>
      <c r="R850" s="27" t="str">
        <f>IF(N850="Si",IFERROR(VLOOKUP(F850,'TD Cumpl'!B:AB,27,0),"No Aplica"),"No Aplica")</f>
        <v>Siempre Cumple</v>
      </c>
      <c r="S850" s="38">
        <v>104</v>
      </c>
      <c r="T850" s="36">
        <v>10599067</v>
      </c>
      <c r="U850" s="26">
        <v>274</v>
      </c>
      <c r="V850" s="37">
        <v>25738406</v>
      </c>
      <c r="W850" s="19">
        <v>106</v>
      </c>
      <c r="X850" s="37">
        <v>8155399</v>
      </c>
      <c r="Y850" s="46">
        <f t="shared" si="28"/>
        <v>5012824</v>
      </c>
    </row>
    <row r="851" spans="1:25" x14ac:dyDescent="0.25">
      <c r="A851" s="20">
        <f>+VLOOKUP(D851,Back!Q:R,2,0)</f>
        <v>8</v>
      </c>
      <c r="B851" s="20" t="str">
        <f t="shared" si="27"/>
        <v>2017 AGO</v>
      </c>
      <c r="C851" s="30">
        <v>2017</v>
      </c>
      <c r="D851" s="30" t="s">
        <v>158</v>
      </c>
      <c r="E851" s="30" t="s">
        <v>81</v>
      </c>
      <c r="F851" s="30">
        <v>1017200970</v>
      </c>
      <c r="G851" s="30" t="s">
        <v>82</v>
      </c>
      <c r="H851" s="32">
        <v>42851536</v>
      </c>
      <c r="I851" s="32">
        <v>304000</v>
      </c>
      <c r="J851" s="32">
        <v>7867603</v>
      </c>
      <c r="K851" s="33">
        <v>34679933</v>
      </c>
      <c r="L851" s="33">
        <v>30100000</v>
      </c>
      <c r="M851" s="34">
        <v>1.1521572425249169</v>
      </c>
      <c r="N851" s="209" t="str">
        <f>IFERROR(VLOOKUP(F851,Back!C:F,4,0),"NO")</f>
        <v>Si</v>
      </c>
      <c r="O851" s="26">
        <v>25</v>
      </c>
      <c r="P851" s="28" t="str">
        <f>IFERROR(VLOOKUP(F851,Back!C:E,3,0),"")</f>
        <v>IPS Pto De Vista San Diego</v>
      </c>
      <c r="Q851" s="28" t="str">
        <f>IFERROR(VLOOKUP(P851,Back!M:N,2,0),"")</f>
        <v>Antioquia</v>
      </c>
      <c r="R851" s="27" t="str">
        <f>IF(N851="Si",IFERROR(VLOOKUP(F851,'TD Cumpl'!B:AB,27,0),"No Aplica"),"No Aplica")</f>
        <v>Cumple</v>
      </c>
      <c r="S851" s="38">
        <v>76</v>
      </c>
      <c r="T851" s="36">
        <v>8928541</v>
      </c>
      <c r="U851" s="26">
        <v>188</v>
      </c>
      <c r="V851" s="37">
        <v>18969782</v>
      </c>
      <c r="W851" s="19">
        <v>104</v>
      </c>
      <c r="X851" s="37">
        <v>7867603</v>
      </c>
      <c r="Y851" s="46">
        <f t="shared" si="28"/>
        <v>7085610</v>
      </c>
    </row>
    <row r="852" spans="1:25" x14ac:dyDescent="0.25">
      <c r="A852" s="20">
        <f>+VLOOKUP(D852,Back!Q:R,2,0)</f>
        <v>8</v>
      </c>
      <c r="B852" s="20" t="str">
        <f t="shared" si="27"/>
        <v>2017 AGO</v>
      </c>
      <c r="C852" s="30">
        <v>2017</v>
      </c>
      <c r="D852" s="30" t="s">
        <v>158</v>
      </c>
      <c r="E852" s="30" t="s">
        <v>91</v>
      </c>
      <c r="F852" s="30">
        <v>43114534</v>
      </c>
      <c r="G852" s="30" t="s">
        <v>95</v>
      </c>
      <c r="H852" s="32">
        <v>50398930</v>
      </c>
      <c r="I852" s="32">
        <v>1568000</v>
      </c>
      <c r="J852" s="32">
        <v>12157340</v>
      </c>
      <c r="K852" s="33">
        <v>36673590</v>
      </c>
      <c r="L852" s="33">
        <v>28896000</v>
      </c>
      <c r="M852" s="34">
        <v>1.269158014950166</v>
      </c>
      <c r="N852" s="209" t="str">
        <f>IFERROR(VLOOKUP(F852,Back!C:F,4,0),"NO")</f>
        <v>No</v>
      </c>
      <c r="O852" s="26">
        <v>25</v>
      </c>
      <c r="P852" s="28" t="str">
        <f>IFERROR(VLOOKUP(F852,Back!C:E,3,0),"")</f>
        <v>IPS Pto De Vista San Diego</v>
      </c>
      <c r="Q852" s="28" t="str">
        <f>IFERROR(VLOOKUP(P852,Back!M:N,2,0),"")</f>
        <v>Antioquia</v>
      </c>
      <c r="R852" s="27" t="str">
        <f>IF(N852="Si",IFERROR(VLOOKUP(F852,'TD Cumpl'!B:AB,27,0),"No Aplica"),"No Aplica")</f>
        <v>No Aplica</v>
      </c>
      <c r="S852" s="38">
        <v>89</v>
      </c>
      <c r="T852" s="36">
        <v>7443888</v>
      </c>
      <c r="U852" s="26">
        <v>272</v>
      </c>
      <c r="V852" s="37">
        <v>23786013</v>
      </c>
      <c r="W852" s="19">
        <v>132</v>
      </c>
      <c r="X852" s="37">
        <v>12157340</v>
      </c>
      <c r="Y852" s="46">
        <f t="shared" si="28"/>
        <v>7011689</v>
      </c>
    </row>
    <row r="853" spans="1:25" x14ac:dyDescent="0.25">
      <c r="A853" s="20">
        <f>+VLOOKUP(D853,Back!Q:R,2,0)</f>
        <v>8</v>
      </c>
      <c r="B853" s="20" t="str">
        <f t="shared" si="27"/>
        <v>2017 AGO</v>
      </c>
      <c r="C853" s="30">
        <v>2017</v>
      </c>
      <c r="D853" s="30" t="s">
        <v>158</v>
      </c>
      <c r="E853" s="30" t="s">
        <v>17</v>
      </c>
      <c r="F853" s="30">
        <v>43113640</v>
      </c>
      <c r="G853" s="30" t="s">
        <v>47</v>
      </c>
      <c r="H853" s="32">
        <v>45645860</v>
      </c>
      <c r="I853" s="32">
        <v>744000</v>
      </c>
      <c r="J853" s="32">
        <v>9743955</v>
      </c>
      <c r="K853" s="33">
        <v>35157905</v>
      </c>
      <c r="L853" s="33">
        <v>30100000</v>
      </c>
      <c r="M853" s="34">
        <v>1.1680367109634551</v>
      </c>
      <c r="N853" s="209" t="str">
        <f>IFERROR(VLOOKUP(F853,Back!C:F,4,0),"NO")</f>
        <v>Si</v>
      </c>
      <c r="O853" s="26">
        <v>25</v>
      </c>
      <c r="P853" s="28" t="str">
        <f>IFERROR(VLOOKUP(F853,Back!C:E,3,0),"")</f>
        <v>IPS Pto De Vista San Diego</v>
      </c>
      <c r="Q853" s="28" t="str">
        <f>IFERROR(VLOOKUP(P853,Back!M:N,2,0),"")</f>
        <v>Antioquia</v>
      </c>
      <c r="R853" s="27" t="str">
        <f>IF(N853="Si",IFERROR(VLOOKUP(F853,'TD Cumpl'!B:AB,27,0),"No Aplica"),"No Aplica")</f>
        <v>Cumple</v>
      </c>
      <c r="S853" s="38">
        <v>84</v>
      </c>
      <c r="T853" s="36">
        <v>9599248</v>
      </c>
      <c r="U853" s="26">
        <v>197</v>
      </c>
      <c r="V853" s="37">
        <v>20861014</v>
      </c>
      <c r="W853" s="19">
        <v>112</v>
      </c>
      <c r="X853" s="37">
        <v>9743955</v>
      </c>
      <c r="Y853" s="46">
        <f t="shared" si="28"/>
        <v>5441643</v>
      </c>
    </row>
    <row r="854" spans="1:25" x14ac:dyDescent="0.25">
      <c r="A854" s="20">
        <f>+VLOOKUP(D854,Back!Q:R,2,0)</f>
        <v>8</v>
      </c>
      <c r="B854" s="20" t="str">
        <f t="shared" si="27"/>
        <v>2017 AGO</v>
      </c>
      <c r="C854" s="30">
        <v>2017</v>
      </c>
      <c r="D854" s="30" t="s">
        <v>158</v>
      </c>
      <c r="E854" s="30" t="s">
        <v>84</v>
      </c>
      <c r="F854" s="30">
        <v>1020736461</v>
      </c>
      <c r="G854" s="30" t="s">
        <v>156</v>
      </c>
      <c r="H854" s="32">
        <v>51831668</v>
      </c>
      <c r="I854" s="32">
        <v>2989000</v>
      </c>
      <c r="J854" s="32">
        <v>7422376</v>
      </c>
      <c r="K854" s="33">
        <v>41420292</v>
      </c>
      <c r="L854" s="33">
        <v>22000000</v>
      </c>
      <c r="M854" s="34">
        <v>1.8827405454545454</v>
      </c>
      <c r="N854" s="209" t="str">
        <f>IFERROR(VLOOKUP(F854,Back!C:F,4,0),"NO")</f>
        <v>Si</v>
      </c>
      <c r="O854" s="26">
        <v>25</v>
      </c>
      <c r="P854" s="28" t="str">
        <f>IFERROR(VLOOKUP(F854,Back!C:E,3,0),"")</f>
        <v>IPS Pto De Vista Santa Bárbara</v>
      </c>
      <c r="Q854" s="28" t="str">
        <f>IFERROR(VLOOKUP(P854,Back!M:N,2,0),"")</f>
        <v>Centro</v>
      </c>
      <c r="R854" s="27" t="str">
        <f>IF(N854="Si",IFERROR(VLOOKUP(F854,'TD Cumpl'!B:AB,27,0),"No Aplica"),"No Aplica")</f>
        <v>Siempre Cumple</v>
      </c>
      <c r="S854" s="38">
        <v>71</v>
      </c>
      <c r="T854" s="36">
        <v>8318127</v>
      </c>
      <c r="U854" s="26">
        <v>234</v>
      </c>
      <c r="V854" s="37">
        <v>31441613</v>
      </c>
      <c r="W854" s="19">
        <v>105</v>
      </c>
      <c r="X854" s="37">
        <v>7422376</v>
      </c>
      <c r="Y854" s="46">
        <f t="shared" si="28"/>
        <v>4649552</v>
      </c>
    </row>
    <row r="855" spans="1:25" x14ac:dyDescent="0.25">
      <c r="A855" s="20">
        <f>+VLOOKUP(D855,Back!Q:R,2,0)</f>
        <v>8</v>
      </c>
      <c r="B855" s="20" t="str">
        <f t="shared" si="27"/>
        <v>2017 AGO</v>
      </c>
      <c r="C855" s="30">
        <v>2017</v>
      </c>
      <c r="D855" s="30" t="s">
        <v>158</v>
      </c>
      <c r="E855" s="30" t="s">
        <v>2</v>
      </c>
      <c r="F855" s="30">
        <v>52260671</v>
      </c>
      <c r="G855" s="30" t="s">
        <v>26</v>
      </c>
      <c r="H855" s="32">
        <v>19993691</v>
      </c>
      <c r="I855" s="32">
        <v>612000</v>
      </c>
      <c r="J855" s="32">
        <v>2517175</v>
      </c>
      <c r="K855" s="33">
        <v>16864516</v>
      </c>
      <c r="L855" s="33">
        <v>13200000</v>
      </c>
      <c r="M855" s="34">
        <v>1.2776148484848484</v>
      </c>
      <c r="N855" s="209" t="str">
        <f>IFERROR(VLOOKUP(F855,Back!C:F,4,0),"NO")</f>
        <v>Si</v>
      </c>
      <c r="O855" s="26">
        <v>25</v>
      </c>
      <c r="P855" s="28" t="str">
        <f>IFERROR(VLOOKUP(F855,Back!C:E,3,0),"")</f>
        <v>IPS Pto De Vista Santa Bárbara</v>
      </c>
      <c r="Q855" s="28" t="str">
        <f>IFERROR(VLOOKUP(P855,Back!M:N,2,0),"")</f>
        <v>Centro</v>
      </c>
      <c r="R855" s="27" t="str">
        <f>IF(N855="Si",IFERROR(VLOOKUP(F855,'TD Cumpl'!B:AB,27,0),"No Aplica"),"No Aplica")</f>
        <v>Siempre Cumple</v>
      </c>
      <c r="S855" s="38">
        <v>37</v>
      </c>
      <c r="T855" s="36">
        <v>3657586</v>
      </c>
      <c r="U855" s="26">
        <v>96</v>
      </c>
      <c r="V855" s="37">
        <v>10497178</v>
      </c>
      <c r="W855" s="19">
        <v>40</v>
      </c>
      <c r="X855" s="37">
        <v>2517175</v>
      </c>
      <c r="Y855" s="46">
        <f t="shared" si="28"/>
        <v>3321752</v>
      </c>
    </row>
    <row r="856" spans="1:25" x14ac:dyDescent="0.25">
      <c r="A856" s="20">
        <f>+VLOOKUP(D856,Back!Q:R,2,0)</f>
        <v>8</v>
      </c>
      <c r="B856" s="20" t="str">
        <f t="shared" si="27"/>
        <v>2017 AGO</v>
      </c>
      <c r="C856" s="30">
        <v>2017</v>
      </c>
      <c r="D856" s="30" t="s">
        <v>158</v>
      </c>
      <c r="E856" s="30" t="s">
        <v>102</v>
      </c>
      <c r="F856" s="30">
        <v>79850984</v>
      </c>
      <c r="G856" s="30" t="s">
        <v>106</v>
      </c>
      <c r="H856" s="32">
        <v>37676411</v>
      </c>
      <c r="I856" s="32">
        <v>1684000</v>
      </c>
      <c r="J856" s="32">
        <v>5915709</v>
      </c>
      <c r="K856" s="33">
        <v>30076702</v>
      </c>
      <c r="L856" s="33">
        <v>22000000</v>
      </c>
      <c r="M856" s="34">
        <v>1.3671228181818182</v>
      </c>
      <c r="N856" s="209" t="str">
        <f>IFERROR(VLOOKUP(F856,Back!C:F,4,0),"NO")</f>
        <v>Si</v>
      </c>
      <c r="O856" s="26">
        <v>25</v>
      </c>
      <c r="P856" s="28" t="str">
        <f>IFERROR(VLOOKUP(F856,Back!C:E,3,0),"")</f>
        <v>IPS Pto De Vista SSura Clle100</v>
      </c>
      <c r="Q856" s="28" t="str">
        <f>IFERROR(VLOOKUP(P856,Back!M:N,2,0),"")</f>
        <v>Centro</v>
      </c>
      <c r="R856" s="27" t="str">
        <f>IF(N856="Si",IFERROR(VLOOKUP(F856,'TD Cumpl'!B:AB,27,0),"No Aplica"),"No Aplica")</f>
        <v>Fluctúa</v>
      </c>
      <c r="S856" s="38">
        <v>67</v>
      </c>
      <c r="T856" s="36">
        <v>6287840</v>
      </c>
      <c r="U856" s="26">
        <v>192</v>
      </c>
      <c r="V856" s="37">
        <v>21777824</v>
      </c>
      <c r="W856" s="19">
        <v>87</v>
      </c>
      <c r="X856" s="37">
        <v>5915709</v>
      </c>
      <c r="Y856" s="46">
        <f t="shared" si="28"/>
        <v>3695038</v>
      </c>
    </row>
    <row r="857" spans="1:25" x14ac:dyDescent="0.25">
      <c r="A857" s="20">
        <f>+VLOOKUP(D857,Back!Q:R,2,0)</f>
        <v>8</v>
      </c>
      <c r="B857" s="20" t="str">
        <f t="shared" si="27"/>
        <v>2017 AGO</v>
      </c>
      <c r="C857" s="30">
        <v>2017</v>
      </c>
      <c r="D857" s="30" t="s">
        <v>158</v>
      </c>
      <c r="E857" s="30" t="s">
        <v>38</v>
      </c>
      <c r="F857" s="30">
        <v>43745192</v>
      </c>
      <c r="G857" s="30" t="s">
        <v>45</v>
      </c>
      <c r="H857" s="32">
        <v>32621064</v>
      </c>
      <c r="I857" s="32">
        <v>779400</v>
      </c>
      <c r="J857" s="32">
        <v>2729249</v>
      </c>
      <c r="K857" s="33">
        <v>29112415</v>
      </c>
      <c r="L857" s="33">
        <v>25000000</v>
      </c>
      <c r="M857" s="34">
        <v>1.1644966000000001</v>
      </c>
      <c r="N857" s="209" t="str">
        <f>IFERROR(VLOOKUP(F857,Back!C:F,4,0),"NO")</f>
        <v>Si</v>
      </c>
      <c r="O857" s="26">
        <v>25</v>
      </c>
      <c r="P857" s="28" t="str">
        <f>IFERROR(VLOOKUP(F857,Back!C:E,3,0),"")</f>
        <v>IPS Punto de Vista Mayorca</v>
      </c>
      <c r="Q857" s="28" t="str">
        <f>IFERROR(VLOOKUP(P857,Back!M:N,2,0),"")</f>
        <v>Antioquia</v>
      </c>
      <c r="R857" s="27" t="str">
        <f>IF(N857="Si",IFERROR(VLOOKUP(F857,'TD Cumpl'!B:AB,27,0),"No Aplica"),"No Aplica")</f>
        <v>Cumple</v>
      </c>
      <c r="S857" s="38">
        <v>58</v>
      </c>
      <c r="T857" s="36">
        <v>6653807</v>
      </c>
      <c r="U857" s="26">
        <v>166</v>
      </c>
      <c r="V857" s="37">
        <v>19759005</v>
      </c>
      <c r="W857" s="19">
        <v>36</v>
      </c>
      <c r="X857" s="37">
        <v>2729249</v>
      </c>
      <c r="Y857" s="46">
        <f t="shared" si="28"/>
        <v>3479003</v>
      </c>
    </row>
    <row r="858" spans="1:25" x14ac:dyDescent="0.25">
      <c r="A858" s="20">
        <f>+VLOOKUP(D858,Back!Q:R,2,0)</f>
        <v>8</v>
      </c>
      <c r="B858" s="20" t="str">
        <f t="shared" si="27"/>
        <v>2017 AGO</v>
      </c>
      <c r="C858" s="30">
        <v>2017</v>
      </c>
      <c r="D858" s="30" t="s">
        <v>158</v>
      </c>
      <c r="E858" s="30" t="s">
        <v>6</v>
      </c>
      <c r="F858" s="30">
        <v>43821410</v>
      </c>
      <c r="G858" s="30" t="s">
        <v>40</v>
      </c>
      <c r="H858" s="32">
        <v>88861905</v>
      </c>
      <c r="I858" s="32">
        <v>440000</v>
      </c>
      <c r="J858" s="32">
        <v>18967248</v>
      </c>
      <c r="K858" s="33">
        <v>69454657</v>
      </c>
      <c r="L858" s="33">
        <v>43000000</v>
      </c>
      <c r="M858" s="34">
        <v>1.6152245813953487</v>
      </c>
      <c r="N858" s="209" t="str">
        <f>IFERROR(VLOOKUP(F858,Back!C:F,4,0),"NO")</f>
        <v>Si</v>
      </c>
      <c r="O858" s="26">
        <v>25</v>
      </c>
      <c r="P858" s="28" t="str">
        <f>IFERROR(VLOOKUP(F858,Back!C:E,3,0),"")</f>
        <v>IPS Pto De Vista Unicentro</v>
      </c>
      <c r="Q858" s="28" t="str">
        <f>IFERROR(VLOOKUP(P858,Back!M:N,2,0),"")</f>
        <v>Antioquia</v>
      </c>
      <c r="R858" s="27" t="str">
        <f>IF(N858="Si",IFERROR(VLOOKUP(F858,'TD Cumpl'!B:AB,27,0),"No Aplica"),"No Aplica")</f>
        <v>Siempre Cumple</v>
      </c>
      <c r="S858" s="38">
        <v>159</v>
      </c>
      <c r="T858" s="36">
        <v>19187271</v>
      </c>
      <c r="U858" s="26">
        <v>355</v>
      </c>
      <c r="V858" s="37">
        <v>40017124</v>
      </c>
      <c r="W858" s="19">
        <v>212</v>
      </c>
      <c r="X858" s="37">
        <v>18967248</v>
      </c>
      <c r="Y858" s="46">
        <f t="shared" si="28"/>
        <v>10690262</v>
      </c>
    </row>
    <row r="859" spans="1:25" x14ac:dyDescent="0.25">
      <c r="A859" s="20">
        <f>+VLOOKUP(D859,Back!Q:R,2,0)</f>
        <v>8</v>
      </c>
      <c r="B859" s="20" t="str">
        <f t="shared" si="27"/>
        <v>2017 AGO</v>
      </c>
      <c r="C859" s="30">
        <v>2017</v>
      </c>
      <c r="D859" s="30" t="s">
        <v>158</v>
      </c>
      <c r="E859" s="30" t="s">
        <v>22</v>
      </c>
      <c r="F859" s="30">
        <v>42164020</v>
      </c>
      <c r="G859" s="30" t="s">
        <v>105</v>
      </c>
      <c r="H859" s="32">
        <v>56498367</v>
      </c>
      <c r="I859" s="32">
        <v>1491600</v>
      </c>
      <c r="J859" s="32">
        <v>10431216</v>
      </c>
      <c r="K859" s="33">
        <v>44575551</v>
      </c>
      <c r="L859" s="33">
        <v>43000000</v>
      </c>
      <c r="M859" s="34">
        <v>1.0366407209302326</v>
      </c>
      <c r="N859" s="209" t="str">
        <f>IFERROR(VLOOKUP(F859,Back!C:F,4,0),"NO")</f>
        <v>Si</v>
      </c>
      <c r="O859" s="26">
        <v>25</v>
      </c>
      <c r="P859" s="28" t="str">
        <f>IFERROR(VLOOKUP(F859,Back!C:E,3,0),"")</f>
        <v>IPS Pto De Vista Molinos</v>
      </c>
      <c r="Q859" s="28" t="str">
        <f>IFERROR(VLOOKUP(P859,Back!M:N,2,0),"")</f>
        <v>Antioquia</v>
      </c>
      <c r="R859" s="27" t="str">
        <f>IF(N859="Si",IFERROR(VLOOKUP(F859,'TD Cumpl'!B:AB,27,0),"No Aplica"),"No Aplica")</f>
        <v>Siempre Cumple</v>
      </c>
      <c r="S859" s="38">
        <v>91</v>
      </c>
      <c r="T859" s="36">
        <v>9905509</v>
      </c>
      <c r="U859" s="26">
        <v>234</v>
      </c>
      <c r="V859" s="37">
        <v>29848492</v>
      </c>
      <c r="W859" s="19">
        <v>120</v>
      </c>
      <c r="X859" s="37">
        <v>10431216</v>
      </c>
      <c r="Y859" s="46">
        <f t="shared" si="28"/>
        <v>6313150</v>
      </c>
    </row>
    <row r="860" spans="1:25" x14ac:dyDescent="0.25">
      <c r="A860" s="20">
        <f>+VLOOKUP(D860,Back!Q:R,2,0)</f>
        <v>8</v>
      </c>
      <c r="B860" s="20" t="str">
        <f t="shared" si="27"/>
        <v>2017 AGO</v>
      </c>
      <c r="C860" s="30">
        <v>2017</v>
      </c>
      <c r="D860" s="30" t="s">
        <v>158</v>
      </c>
      <c r="E860" s="30" t="s">
        <v>20</v>
      </c>
      <c r="F860" s="30">
        <v>1017141451</v>
      </c>
      <c r="G860" s="30" t="s">
        <v>44</v>
      </c>
      <c r="H860" s="32">
        <v>60589040</v>
      </c>
      <c r="I860" s="32">
        <v>680000</v>
      </c>
      <c r="J860" s="32">
        <v>11118370</v>
      </c>
      <c r="K860" s="33">
        <v>48790670</v>
      </c>
      <c r="L860" s="33">
        <v>39560000</v>
      </c>
      <c r="M860" s="34">
        <v>1.2333334175935289</v>
      </c>
      <c r="N860" s="209" t="str">
        <f>IFERROR(VLOOKUP(F860,Back!C:F,4,0),"NO")</f>
        <v>Si</v>
      </c>
      <c r="O860" s="26">
        <v>25</v>
      </c>
      <c r="P860" s="28" t="str">
        <f>IFERROR(VLOOKUP(F860,Back!C:E,3,0),"")</f>
        <v>IPS Pto De Vista Molinos</v>
      </c>
      <c r="Q860" s="28" t="str">
        <f>IFERROR(VLOOKUP(P860,Back!M:N,2,0),"")</f>
        <v>Antioquia</v>
      </c>
      <c r="R860" s="27" t="str">
        <f>IF(N860="Si",IFERROR(VLOOKUP(F860,'TD Cumpl'!B:AB,27,0),"No Aplica"),"No Aplica")</f>
        <v>Siempre Cumple</v>
      </c>
      <c r="S860" s="38">
        <v>110</v>
      </c>
      <c r="T860" s="36">
        <v>12712988</v>
      </c>
      <c r="U860" s="26">
        <v>274</v>
      </c>
      <c r="V860" s="37">
        <v>30659237</v>
      </c>
      <c r="W860" s="19">
        <v>128</v>
      </c>
      <c r="X860" s="37">
        <v>11118370</v>
      </c>
      <c r="Y860" s="46">
        <f t="shared" si="28"/>
        <v>6098445</v>
      </c>
    </row>
    <row r="861" spans="1:25" x14ac:dyDescent="0.25">
      <c r="A861" s="20">
        <f>+VLOOKUP(D861,Back!Q:R,2,0)</f>
        <v>8</v>
      </c>
      <c r="B861" s="20" t="str">
        <f t="shared" si="27"/>
        <v>2017 AGO</v>
      </c>
      <c r="C861" s="30">
        <v>2017</v>
      </c>
      <c r="D861" s="30" t="s">
        <v>158</v>
      </c>
      <c r="E861" s="30" t="s">
        <v>11</v>
      </c>
      <c r="F861" s="30">
        <v>43253531</v>
      </c>
      <c r="G861" s="30" t="s">
        <v>39</v>
      </c>
      <c r="H861" s="32">
        <v>45652879</v>
      </c>
      <c r="I861" s="32">
        <v>412000</v>
      </c>
      <c r="J861" s="32">
        <v>11318567</v>
      </c>
      <c r="K861" s="33">
        <v>33922312</v>
      </c>
      <c r="L861" s="33">
        <v>26680000</v>
      </c>
      <c r="M861" s="34">
        <v>1.2714509745127436</v>
      </c>
      <c r="N861" s="209" t="str">
        <f>IFERROR(VLOOKUP(F861,Back!C:F,4,0),"NO")</f>
        <v>Si</v>
      </c>
      <c r="O861" s="26">
        <v>25</v>
      </c>
      <c r="P861" s="28" t="str">
        <f>IFERROR(VLOOKUP(F861,Back!C:E,3,0),"")</f>
        <v>IPS Punto de Vista Bello</v>
      </c>
      <c r="Q861" s="28" t="str">
        <f>IFERROR(VLOOKUP(P861,Back!M:N,2,0),"")</f>
        <v>Antioquia</v>
      </c>
      <c r="R861" s="27" t="str">
        <f>IF(N861="Si",IFERROR(VLOOKUP(F861,'TD Cumpl'!B:AB,27,0),"No Aplica"),"No Aplica")</f>
        <v>Cumple</v>
      </c>
      <c r="S861" s="38">
        <v>87</v>
      </c>
      <c r="T861" s="36">
        <v>7346884</v>
      </c>
      <c r="U861" s="26">
        <v>218</v>
      </c>
      <c r="V861" s="37">
        <v>21254415</v>
      </c>
      <c r="W861" s="19">
        <v>140</v>
      </c>
      <c r="X861" s="37">
        <v>11318567</v>
      </c>
      <c r="Y861" s="46">
        <f t="shared" si="28"/>
        <v>5733013</v>
      </c>
    </row>
    <row r="862" spans="1:25" x14ac:dyDescent="0.25">
      <c r="A862" s="20">
        <f>+VLOOKUP(D862,Back!Q:R,2,0)</f>
        <v>8</v>
      </c>
      <c r="B862" s="20" t="str">
        <f t="shared" si="27"/>
        <v>2017 AGO</v>
      </c>
      <c r="C862" s="30">
        <v>2017</v>
      </c>
      <c r="D862" s="30" t="s">
        <v>158</v>
      </c>
      <c r="E862" s="30" t="s">
        <v>108</v>
      </c>
      <c r="F862" s="30">
        <v>1020443426</v>
      </c>
      <c r="G862" s="30" t="s">
        <v>109</v>
      </c>
      <c r="H862" s="32">
        <v>41615616</v>
      </c>
      <c r="I862" s="32">
        <v>1244400</v>
      </c>
      <c r="J862" s="32">
        <v>11265923</v>
      </c>
      <c r="K862" s="33">
        <v>29105293</v>
      </c>
      <c r="L862" s="33">
        <v>29000000</v>
      </c>
      <c r="M862" s="34">
        <v>1.0036307931034483</v>
      </c>
      <c r="N862" s="209" t="str">
        <f>IFERROR(VLOOKUP(F862,Back!C:F,4,0),"NO")</f>
        <v>Si</v>
      </c>
      <c r="O862" s="26">
        <v>25</v>
      </c>
      <c r="P862" s="28" t="str">
        <f>IFERROR(VLOOKUP(F862,Back!C:E,3,0),"")</f>
        <v>IPS Pto De Vista San Diego</v>
      </c>
      <c r="Q862" s="28" t="str">
        <f>IFERROR(VLOOKUP(P862,Back!M:N,2,0),"")</f>
        <v>Antioquia</v>
      </c>
      <c r="R862" s="27" t="str">
        <f>IF(N862="Si",IFERROR(VLOOKUP(F862,'TD Cumpl'!B:AB,27,0),"No Aplica"),"No Aplica")</f>
        <v>Fluctúa</v>
      </c>
      <c r="S862" s="38">
        <v>75</v>
      </c>
      <c r="T862" s="36">
        <v>7104775</v>
      </c>
      <c r="U862" s="26">
        <v>206</v>
      </c>
      <c r="V862" s="37">
        <v>18782721</v>
      </c>
      <c r="W862" s="19">
        <v>125</v>
      </c>
      <c r="X862" s="37">
        <v>11265923</v>
      </c>
      <c r="Y862" s="46">
        <f t="shared" si="28"/>
        <v>4462197</v>
      </c>
    </row>
    <row r="863" spans="1:25" x14ac:dyDescent="0.25">
      <c r="A863" s="20">
        <f>+VLOOKUP(D863,Back!Q:R,2,0)</f>
        <v>8</v>
      </c>
      <c r="B863" s="20" t="str">
        <f t="shared" si="27"/>
        <v>2017 AGO</v>
      </c>
      <c r="C863" s="30">
        <v>2017</v>
      </c>
      <c r="D863" s="30" t="s">
        <v>158</v>
      </c>
      <c r="E863" s="30" t="s">
        <v>147</v>
      </c>
      <c r="F863" s="30">
        <v>31309227</v>
      </c>
      <c r="G863" s="30" t="s">
        <v>148</v>
      </c>
      <c r="H863" s="32">
        <v>18810560</v>
      </c>
      <c r="I863" s="32">
        <v>0</v>
      </c>
      <c r="J863" s="32">
        <v>4023414</v>
      </c>
      <c r="K863" s="33">
        <v>14787146</v>
      </c>
      <c r="L863" s="33">
        <v>30000000</v>
      </c>
      <c r="M863" s="34">
        <v>0.49290486666666666</v>
      </c>
      <c r="N863" s="209" t="str">
        <f>IFERROR(VLOOKUP(F863,Back!C:F,4,0),"NO")</f>
        <v>No</v>
      </c>
      <c r="O863" s="26">
        <v>25</v>
      </c>
      <c r="P863" s="28" t="str">
        <f>IFERROR(VLOOKUP(F863,Back!C:E,3,0),"")</f>
        <v/>
      </c>
      <c r="Q863" s="28" t="str">
        <f>IFERROR(VLOOKUP(P863,Back!M:N,2,0),"")</f>
        <v/>
      </c>
      <c r="R863" s="27" t="str">
        <f>IF(N863="Si",IFERROR(VLOOKUP(F863,'TD Cumpl'!B:AB,27,0),"No Aplica"),"No Aplica")</f>
        <v>No Aplica</v>
      </c>
      <c r="S863" s="38">
        <v>37</v>
      </c>
      <c r="T863" s="36">
        <v>3080938</v>
      </c>
      <c r="U863" s="26">
        <v>140</v>
      </c>
      <c r="V863" s="37">
        <v>8809441</v>
      </c>
      <c r="W863" s="19">
        <v>52</v>
      </c>
      <c r="X863" s="37">
        <v>4023414</v>
      </c>
      <c r="Y863" s="46">
        <f t="shared" si="28"/>
        <v>2896767</v>
      </c>
    </row>
    <row r="864" spans="1:25" x14ac:dyDescent="0.25">
      <c r="A864" s="20">
        <f>+VLOOKUP(D864,Back!Q:R,2,0)</f>
        <v>8</v>
      </c>
      <c r="B864" s="20" t="str">
        <f t="shared" si="27"/>
        <v>2017 AGO</v>
      </c>
      <c r="C864" s="30">
        <v>2017</v>
      </c>
      <c r="D864" s="30" t="s">
        <v>158</v>
      </c>
      <c r="E864" s="30" t="s">
        <v>149</v>
      </c>
      <c r="F864" s="30">
        <v>1130597373</v>
      </c>
      <c r="G864" s="30" t="s">
        <v>150</v>
      </c>
      <c r="H864" s="32">
        <v>30199796</v>
      </c>
      <c r="I864" s="32">
        <v>0</v>
      </c>
      <c r="J864" s="32">
        <v>7718124</v>
      </c>
      <c r="K864" s="33">
        <v>22481672</v>
      </c>
      <c r="L864" s="33">
        <v>30000000</v>
      </c>
      <c r="M864" s="34">
        <v>0.74938906666666671</v>
      </c>
      <c r="N864" s="209" t="str">
        <f>IFERROR(VLOOKUP(F864,Back!C:F,4,0),"NO")</f>
        <v>Si</v>
      </c>
      <c r="O864" s="26">
        <v>25</v>
      </c>
      <c r="P864" s="28" t="str">
        <f>IFERROR(VLOOKUP(F864,Back!C:E,3,0),"")</f>
        <v>Punto de Vista Cali Norte</v>
      </c>
      <c r="Q864" s="28" t="str">
        <f>IFERROR(VLOOKUP(P864,Back!M:N,2,0),"")</f>
        <v>Occidente</v>
      </c>
      <c r="R864" s="27" t="str">
        <f>IF(N864="Si",IFERROR(VLOOKUP(F864,'TD Cumpl'!B:AB,27,0),"No Aplica"),"No Aplica")</f>
        <v>Fluctúa</v>
      </c>
      <c r="S864" s="38">
        <v>53</v>
      </c>
      <c r="T864" s="36">
        <v>4119449</v>
      </c>
      <c r="U864" s="26">
        <v>190</v>
      </c>
      <c r="V864" s="37">
        <v>16461548</v>
      </c>
      <c r="W864" s="19">
        <v>95</v>
      </c>
      <c r="X864" s="37">
        <v>7718124</v>
      </c>
      <c r="Y864" s="46">
        <f t="shared" si="28"/>
        <v>1900675</v>
      </c>
    </row>
    <row r="865" spans="1:25" x14ac:dyDescent="0.25">
      <c r="A865" s="20">
        <f>+VLOOKUP(D865,Back!Q:R,2,0)</f>
        <v>8</v>
      </c>
      <c r="B865" s="20" t="str">
        <f t="shared" si="27"/>
        <v>2017 AGO</v>
      </c>
      <c r="C865" s="30">
        <v>2017</v>
      </c>
      <c r="D865" s="30" t="s">
        <v>158</v>
      </c>
      <c r="E865" s="30" t="s">
        <v>88</v>
      </c>
      <c r="F865" s="30">
        <v>31445278</v>
      </c>
      <c r="G865" s="30" t="s">
        <v>93</v>
      </c>
      <c r="H865" s="32">
        <v>42470232</v>
      </c>
      <c r="I865" s="32">
        <v>0</v>
      </c>
      <c r="J865" s="32">
        <v>10423191</v>
      </c>
      <c r="K865" s="33">
        <v>32047041</v>
      </c>
      <c r="L865" s="33">
        <v>30000000</v>
      </c>
      <c r="M865" s="34">
        <v>1.0682347000000001</v>
      </c>
      <c r="N865" s="209" t="str">
        <f>IFERROR(VLOOKUP(F865,Back!C:F,4,0),"NO")</f>
        <v>Si</v>
      </c>
      <c r="O865" s="26">
        <v>25</v>
      </c>
      <c r="P865" s="28" t="str">
        <f>IFERROR(VLOOKUP(F865,Back!C:E,3,0),"")</f>
        <v>Punto de Vista Tequendama</v>
      </c>
      <c r="Q865" s="28" t="str">
        <f>IFERROR(VLOOKUP(P865,Back!M:N,2,0),"")</f>
        <v>Occidente</v>
      </c>
      <c r="R865" s="27" t="str">
        <f>IF(N865="Si",IFERROR(VLOOKUP(F865,'TD Cumpl'!B:AB,27,0),"No Aplica"),"No Aplica")</f>
        <v>Cumple</v>
      </c>
      <c r="S865" s="38">
        <v>87</v>
      </c>
      <c r="T865" s="36">
        <v>6950521</v>
      </c>
      <c r="U865" s="26">
        <v>276</v>
      </c>
      <c r="V865" s="37">
        <v>20141824</v>
      </c>
      <c r="W865" s="19">
        <v>128</v>
      </c>
      <c r="X865" s="37">
        <v>10423191</v>
      </c>
      <c r="Y865" s="46">
        <f t="shared" si="28"/>
        <v>4954696</v>
      </c>
    </row>
    <row r="866" spans="1:25" x14ac:dyDescent="0.25">
      <c r="A866" s="20">
        <f>+VLOOKUP(D866,Back!Q:R,2,0)</f>
        <v>8</v>
      </c>
      <c r="B866" s="20" t="str">
        <f t="shared" si="27"/>
        <v>2017 AGO</v>
      </c>
      <c r="C866" s="30">
        <v>2017</v>
      </c>
      <c r="D866" s="30" t="s">
        <v>158</v>
      </c>
      <c r="E866" s="30" t="s">
        <v>5</v>
      </c>
      <c r="F866" s="30">
        <v>34542470</v>
      </c>
      <c r="G866" s="30" t="s">
        <v>28</v>
      </c>
      <c r="H866" s="32">
        <v>44522211</v>
      </c>
      <c r="I866" s="32">
        <v>1464600</v>
      </c>
      <c r="J866" s="32">
        <v>7393165</v>
      </c>
      <c r="K866" s="33">
        <v>35664446</v>
      </c>
      <c r="L866" s="33">
        <v>25000000</v>
      </c>
      <c r="M866" s="34">
        <v>1.42657784</v>
      </c>
      <c r="N866" s="209" t="str">
        <f>IFERROR(VLOOKUP(F866,Back!C:F,4,0),"NO")</f>
        <v>Si</v>
      </c>
      <c r="O866" s="26">
        <v>25</v>
      </c>
      <c r="P866" s="28" t="str">
        <f>IFERROR(VLOOKUP(F866,Back!C:E,3,0),"")</f>
        <v>Optica Salud Sura Chipichape</v>
      </c>
      <c r="Q866" s="28" t="str">
        <f>IFERROR(VLOOKUP(P866,Back!M:N,2,0),"")</f>
        <v>Occidente</v>
      </c>
      <c r="R866" s="27" t="str">
        <f>IF(N866="Si",IFERROR(VLOOKUP(F866,'TD Cumpl'!B:AB,27,0),"No Aplica"),"No Aplica")</f>
        <v>Siempre Cumple</v>
      </c>
      <c r="S866" s="38">
        <v>82</v>
      </c>
      <c r="T866" s="36">
        <v>11062312</v>
      </c>
      <c r="U866" s="26">
        <v>228</v>
      </c>
      <c r="V866" s="37">
        <v>20198838</v>
      </c>
      <c r="W866" s="19">
        <v>82</v>
      </c>
      <c r="X866" s="37">
        <v>7393165</v>
      </c>
      <c r="Y866" s="46">
        <f t="shared" si="28"/>
        <v>5867896</v>
      </c>
    </row>
    <row r="867" spans="1:25" x14ac:dyDescent="0.25">
      <c r="A867" s="20">
        <f>+VLOOKUP(D867,Back!Q:R,2,0)</f>
        <v>8</v>
      </c>
      <c r="B867" s="20" t="str">
        <f t="shared" si="27"/>
        <v>2017 AGO</v>
      </c>
      <c r="C867" s="30">
        <v>2017</v>
      </c>
      <c r="D867" s="30" t="s">
        <v>158</v>
      </c>
      <c r="E867" s="30" t="s">
        <v>159</v>
      </c>
      <c r="F867" s="30"/>
      <c r="G867" s="30"/>
      <c r="H867" s="32">
        <v>94800</v>
      </c>
      <c r="I867" s="32">
        <v>0</v>
      </c>
      <c r="J867" s="32">
        <v>0</v>
      </c>
      <c r="K867" s="33">
        <v>94800</v>
      </c>
      <c r="L867" s="33"/>
      <c r="M867" s="34"/>
      <c r="N867" s="209" t="str">
        <f>IFERROR(VLOOKUP(F867,Back!C:F,4,0),"NO")</f>
        <v>NO</v>
      </c>
      <c r="O867" s="26">
        <v>25</v>
      </c>
      <c r="P867" s="28" t="str">
        <f>IFERROR(VLOOKUP(F867,Back!C:E,3,0),"")</f>
        <v/>
      </c>
      <c r="Q867" s="28" t="str">
        <f>IFERROR(VLOOKUP(P867,Back!M:N,2,0),"")</f>
        <v/>
      </c>
      <c r="R867" s="27" t="str">
        <f>IF(N867="Si",IFERROR(VLOOKUP(F867,'TD Cumpl'!B:AB,27,0),"No Aplica"),"No Aplica")</f>
        <v>No Aplica</v>
      </c>
      <c r="S867" s="38">
        <v>0</v>
      </c>
      <c r="T867" s="36">
        <v>0</v>
      </c>
      <c r="U867" s="26">
        <v>0</v>
      </c>
      <c r="V867" s="37">
        <v>0</v>
      </c>
      <c r="W867" s="19">
        <v>0</v>
      </c>
      <c r="X867" s="37">
        <v>0</v>
      </c>
      <c r="Y867" s="46">
        <f t="shared" si="28"/>
        <v>94800</v>
      </c>
    </row>
    <row r="868" spans="1:25" x14ac:dyDescent="0.25">
      <c r="A868" s="20">
        <f>+VLOOKUP(D868,Back!Q:R,2,0)</f>
        <v>8</v>
      </c>
      <c r="B868" s="20" t="str">
        <f t="shared" si="27"/>
        <v>2017 AGO</v>
      </c>
      <c r="C868" s="30">
        <v>2017</v>
      </c>
      <c r="D868" s="30" t="s">
        <v>158</v>
      </c>
      <c r="E868" s="30" t="s">
        <v>119</v>
      </c>
      <c r="F868" s="30"/>
      <c r="G868" s="30"/>
      <c r="H868" s="32">
        <v>4946494</v>
      </c>
      <c r="I868" s="32">
        <v>0</v>
      </c>
      <c r="J868" s="32">
        <v>1667809</v>
      </c>
      <c r="K868" s="33">
        <v>3278685</v>
      </c>
      <c r="L868" s="33"/>
      <c r="M868" s="34"/>
      <c r="N868" s="209" t="str">
        <f>IFERROR(VLOOKUP(F868,Back!C:F,4,0),"NO")</f>
        <v>NO</v>
      </c>
      <c r="O868" s="26">
        <v>25</v>
      </c>
      <c r="P868" s="28" t="str">
        <f>IFERROR(VLOOKUP(F868,Back!C:E,3,0),"")</f>
        <v/>
      </c>
      <c r="Q868" s="28" t="str">
        <f>IFERROR(VLOOKUP(P868,Back!M:N,2,0),"")</f>
        <v/>
      </c>
      <c r="R868" s="27" t="str">
        <f>IF(N868="Si",IFERROR(VLOOKUP(F868,'TD Cumpl'!B:AB,27,0),"No Aplica"),"No Aplica")</f>
        <v>No Aplica</v>
      </c>
      <c r="S868" s="38">
        <v>7</v>
      </c>
      <c r="T868" s="36">
        <v>792405</v>
      </c>
      <c r="U868" s="26">
        <v>18</v>
      </c>
      <c r="V868" s="37">
        <v>2224280</v>
      </c>
      <c r="W868" s="19">
        <v>23</v>
      </c>
      <c r="X868" s="37">
        <v>1667809</v>
      </c>
      <c r="Y868" s="46">
        <f t="shared" si="28"/>
        <v>262000</v>
      </c>
    </row>
    <row r="869" spans="1:25" x14ac:dyDescent="0.25">
      <c r="A869" s="20">
        <f>+VLOOKUP(D869,Back!Q:R,2,0)</f>
        <v>8</v>
      </c>
      <c r="B869" s="20" t="str">
        <f t="shared" si="27"/>
        <v>2017 AGO</v>
      </c>
      <c r="C869" s="30">
        <v>2017</v>
      </c>
      <c r="D869" s="30" t="s">
        <v>158</v>
      </c>
      <c r="E869" s="30" t="s">
        <v>160</v>
      </c>
      <c r="F869" s="30"/>
      <c r="G869" s="30"/>
      <c r="H869" s="32">
        <v>134285</v>
      </c>
      <c r="I869" s="32">
        <v>0</v>
      </c>
      <c r="J869" s="32">
        <v>134285</v>
      </c>
      <c r="K869" s="33">
        <v>0</v>
      </c>
      <c r="L869" s="33"/>
      <c r="M869" s="34"/>
      <c r="N869" s="209" t="str">
        <f>IFERROR(VLOOKUP(F869,Back!C:F,4,0),"NO")</f>
        <v>NO</v>
      </c>
      <c r="O869" s="26">
        <v>25</v>
      </c>
      <c r="P869" s="28" t="str">
        <f>IFERROR(VLOOKUP(F869,Back!C:E,3,0),"")</f>
        <v/>
      </c>
      <c r="Q869" s="28" t="str">
        <f>IFERROR(VLOOKUP(P869,Back!M:N,2,0),"")</f>
        <v/>
      </c>
      <c r="R869" s="27" t="str">
        <f>IF(N869="Si",IFERROR(VLOOKUP(F869,'TD Cumpl'!B:AB,27,0),"No Aplica"),"No Aplica")</f>
        <v>No Aplica</v>
      </c>
      <c r="S869" s="38">
        <v>0</v>
      </c>
      <c r="T869" s="36">
        <v>0</v>
      </c>
      <c r="U869" s="26">
        <v>0</v>
      </c>
      <c r="V869" s="37">
        <v>0</v>
      </c>
      <c r="W869" s="19">
        <v>1</v>
      </c>
      <c r="X869" s="37">
        <v>134285</v>
      </c>
      <c r="Y869" s="46">
        <f t="shared" si="28"/>
        <v>0</v>
      </c>
    </row>
    <row r="870" spans="1:25" x14ac:dyDescent="0.25">
      <c r="A870" s="20">
        <f>+VLOOKUP(D870,Back!Q:R,2,0)</f>
        <v>8</v>
      </c>
      <c r="B870" s="20" t="str">
        <f t="shared" si="27"/>
        <v>2017 AGO</v>
      </c>
      <c r="C870" s="30">
        <v>2017</v>
      </c>
      <c r="D870" s="30" t="s">
        <v>158</v>
      </c>
      <c r="E870" s="30" t="s">
        <v>110</v>
      </c>
      <c r="F870" s="30"/>
      <c r="G870" s="30"/>
      <c r="H870" s="32">
        <v>154088</v>
      </c>
      <c r="I870" s="32">
        <v>0</v>
      </c>
      <c r="J870" s="32">
        <v>0</v>
      </c>
      <c r="K870" s="33">
        <v>154088</v>
      </c>
      <c r="L870" s="33"/>
      <c r="M870" s="34"/>
      <c r="N870" s="209" t="str">
        <f>IFERROR(VLOOKUP(F870,Back!C:F,4,0),"NO")</f>
        <v>NO</v>
      </c>
      <c r="O870" s="26">
        <v>25</v>
      </c>
      <c r="P870" s="28" t="str">
        <f>IFERROR(VLOOKUP(F870,Back!C:E,3,0),"")</f>
        <v/>
      </c>
      <c r="Q870" s="28" t="str">
        <f>IFERROR(VLOOKUP(P870,Back!M:N,2,0),"")</f>
        <v/>
      </c>
      <c r="R870" s="27" t="str">
        <f>IF(N870="Si",IFERROR(VLOOKUP(F870,'TD Cumpl'!B:AB,27,0),"No Aplica"),"No Aplica")</f>
        <v>No Aplica</v>
      </c>
      <c r="S870" s="38">
        <v>1</v>
      </c>
      <c r="T870" s="36">
        <v>53418</v>
      </c>
      <c r="U870" s="26">
        <v>2</v>
      </c>
      <c r="V870" s="37">
        <v>100670</v>
      </c>
      <c r="W870" s="19">
        <v>0</v>
      </c>
      <c r="X870" s="37">
        <v>0</v>
      </c>
      <c r="Y870" s="46">
        <f t="shared" si="28"/>
        <v>0</v>
      </c>
    </row>
    <row r="871" spans="1:25" x14ac:dyDescent="0.25">
      <c r="A871" s="20">
        <f>+VLOOKUP(D871,Back!Q:R,2,0)</f>
        <v>8</v>
      </c>
      <c r="B871" s="20" t="str">
        <f t="shared" si="27"/>
        <v>2017 AGO</v>
      </c>
      <c r="C871" s="30">
        <v>2017</v>
      </c>
      <c r="D871" s="30" t="s">
        <v>158</v>
      </c>
      <c r="E871" s="30" t="s">
        <v>100</v>
      </c>
      <c r="F871" s="30"/>
      <c r="G871" s="30"/>
      <c r="H871" s="32">
        <v>94800</v>
      </c>
      <c r="I871" s="32">
        <v>0</v>
      </c>
      <c r="J871" s="32">
        <v>0</v>
      </c>
      <c r="K871" s="33">
        <v>94800</v>
      </c>
      <c r="L871" s="33"/>
      <c r="M871" s="34"/>
      <c r="N871" s="209" t="str">
        <f>IFERROR(VLOOKUP(F871,Back!C:F,4,0),"NO")</f>
        <v>NO</v>
      </c>
      <c r="O871" s="26">
        <v>25</v>
      </c>
      <c r="P871" s="28" t="str">
        <f>IFERROR(VLOOKUP(F871,Back!C:E,3,0),"")</f>
        <v/>
      </c>
      <c r="Q871" s="28" t="str">
        <f>IFERROR(VLOOKUP(P871,Back!M:N,2,0),"")</f>
        <v/>
      </c>
      <c r="R871" s="27" t="str">
        <f>IF(N871="Si",IFERROR(VLOOKUP(F871,'TD Cumpl'!B:AB,27,0),"No Aplica"),"No Aplica")</f>
        <v>No Aplica</v>
      </c>
      <c r="S871" s="38">
        <v>0</v>
      </c>
      <c r="T871" s="36">
        <v>0</v>
      </c>
      <c r="U871" s="26">
        <v>0</v>
      </c>
      <c r="V871" s="37">
        <v>0</v>
      </c>
      <c r="W871" s="19">
        <v>0</v>
      </c>
      <c r="X871" s="37">
        <v>0</v>
      </c>
      <c r="Y871" s="46">
        <f t="shared" si="28"/>
        <v>94800</v>
      </c>
    </row>
    <row r="872" spans="1:25" x14ac:dyDescent="0.25">
      <c r="A872" s="20">
        <f>+VLOOKUP(D872,Back!Q:R,2,0)</f>
        <v>8</v>
      </c>
      <c r="B872" s="20" t="str">
        <f t="shared" si="27"/>
        <v>2017 AGO</v>
      </c>
      <c r="C872" s="30">
        <v>2017</v>
      </c>
      <c r="D872" s="30" t="s">
        <v>158</v>
      </c>
      <c r="E872" s="30" t="s">
        <v>19</v>
      </c>
      <c r="F872" s="30"/>
      <c r="G872" s="30"/>
      <c r="H872" s="32">
        <v>396000</v>
      </c>
      <c r="I872" s="32">
        <v>0</v>
      </c>
      <c r="J872" s="32">
        <v>0</v>
      </c>
      <c r="K872" s="33">
        <v>396000</v>
      </c>
      <c r="L872" s="33"/>
      <c r="M872" s="34"/>
      <c r="N872" s="209" t="str">
        <f>IFERROR(VLOOKUP(F872,Back!C:F,4,0),"NO")</f>
        <v>NO</v>
      </c>
      <c r="O872" s="26">
        <v>25</v>
      </c>
      <c r="P872" s="28" t="str">
        <f>IFERROR(VLOOKUP(F872,Back!C:E,3,0),"")</f>
        <v/>
      </c>
      <c r="Q872" s="28" t="str">
        <f>IFERROR(VLOOKUP(P872,Back!M:N,2,0),"")</f>
        <v/>
      </c>
      <c r="R872" s="27" t="str">
        <f>IF(N872="Si",IFERROR(VLOOKUP(F872,'TD Cumpl'!B:AB,27,0),"No Aplica"),"No Aplica")</f>
        <v>No Aplica</v>
      </c>
      <c r="S872" s="38">
        <v>0</v>
      </c>
      <c r="T872" s="36">
        <v>0</v>
      </c>
      <c r="U872" s="26">
        <v>0</v>
      </c>
      <c r="V872" s="37">
        <v>0</v>
      </c>
      <c r="W872" s="19">
        <v>0</v>
      </c>
      <c r="X872" s="37">
        <v>0</v>
      </c>
      <c r="Y872" s="46">
        <f t="shared" si="28"/>
        <v>396000</v>
      </c>
    </row>
    <row r="873" spans="1:25" x14ac:dyDescent="0.25">
      <c r="A873" s="20">
        <f>+VLOOKUP(D873,Back!Q:R,2,0)</f>
        <v>8</v>
      </c>
      <c r="B873" s="20" t="str">
        <f t="shared" si="27"/>
        <v>2017 AGO</v>
      </c>
      <c r="C873" s="30">
        <v>2017</v>
      </c>
      <c r="D873" s="30" t="s">
        <v>158</v>
      </c>
      <c r="E873" s="30" t="s">
        <v>12</v>
      </c>
      <c r="F873" s="30"/>
      <c r="G873" s="30"/>
      <c r="H873" s="32">
        <v>131610</v>
      </c>
      <c r="I873" s="32">
        <v>0</v>
      </c>
      <c r="J873" s="32">
        <v>131610</v>
      </c>
      <c r="K873" s="33">
        <v>0</v>
      </c>
      <c r="L873" s="33"/>
      <c r="M873" s="34"/>
      <c r="N873" s="209" t="str">
        <f>IFERROR(VLOOKUP(F873,Back!C:F,4,0),"NO")</f>
        <v>NO</v>
      </c>
      <c r="O873" s="26">
        <v>25</v>
      </c>
      <c r="P873" s="28" t="str">
        <f>IFERROR(VLOOKUP(F873,Back!C:E,3,0),"")</f>
        <v/>
      </c>
      <c r="Q873" s="28" t="str">
        <f>IFERROR(VLOOKUP(P873,Back!M:N,2,0),"")</f>
        <v/>
      </c>
      <c r="R873" s="27" t="str">
        <f>IF(N873="Si",IFERROR(VLOOKUP(F873,'TD Cumpl'!B:AB,27,0),"No Aplica"),"No Aplica")</f>
        <v>No Aplica</v>
      </c>
      <c r="S873" s="38">
        <v>0</v>
      </c>
      <c r="T873" s="36">
        <v>0</v>
      </c>
      <c r="U873" s="26">
        <v>0</v>
      </c>
      <c r="V873" s="37">
        <v>0</v>
      </c>
      <c r="W873" s="19">
        <v>3</v>
      </c>
      <c r="X873" s="37">
        <v>131610</v>
      </c>
      <c r="Y873" s="46">
        <f t="shared" si="28"/>
        <v>0</v>
      </c>
    </row>
    <row r="874" spans="1:25" x14ac:dyDescent="0.25">
      <c r="A874" s="20">
        <f>+VLOOKUP(D874,Back!Q:R,2,0)</f>
        <v>8</v>
      </c>
      <c r="B874" s="20" t="str">
        <f t="shared" si="27"/>
        <v>2017 AGO</v>
      </c>
      <c r="C874" s="30">
        <v>2017</v>
      </c>
      <c r="D874" s="30" t="s">
        <v>158</v>
      </c>
      <c r="E874" s="30" t="s">
        <v>161</v>
      </c>
      <c r="F874" s="30"/>
      <c r="G874" s="30"/>
      <c r="H874" s="32">
        <v>94800</v>
      </c>
      <c r="I874" s="32">
        <v>0</v>
      </c>
      <c r="J874" s="32">
        <v>0</v>
      </c>
      <c r="K874" s="33">
        <v>94800</v>
      </c>
      <c r="L874" s="33"/>
      <c r="M874" s="34"/>
      <c r="N874" s="209" t="str">
        <f>IFERROR(VLOOKUP(F874,Back!C:F,4,0),"NO")</f>
        <v>NO</v>
      </c>
      <c r="O874" s="26">
        <v>25</v>
      </c>
      <c r="P874" s="28" t="str">
        <f>IFERROR(VLOOKUP(F874,Back!C:E,3,0),"")</f>
        <v/>
      </c>
      <c r="Q874" s="28" t="str">
        <f>IFERROR(VLOOKUP(P874,Back!M:N,2,0),"")</f>
        <v/>
      </c>
      <c r="R874" s="27" t="str">
        <f>IF(N874="Si",IFERROR(VLOOKUP(F874,'TD Cumpl'!B:AB,27,0),"No Aplica"),"No Aplica")</f>
        <v>No Aplica</v>
      </c>
      <c r="S874" s="38">
        <v>0</v>
      </c>
      <c r="T874" s="36">
        <v>0</v>
      </c>
      <c r="U874" s="26">
        <v>0</v>
      </c>
      <c r="V874" s="37">
        <v>0</v>
      </c>
      <c r="W874" s="19">
        <v>0</v>
      </c>
      <c r="X874" s="37">
        <v>0</v>
      </c>
      <c r="Y874" s="46">
        <f t="shared" si="28"/>
        <v>94800</v>
      </c>
    </row>
    <row r="875" spans="1:25" x14ac:dyDescent="0.25">
      <c r="A875" s="20">
        <f>+VLOOKUP(D875,Back!Q:R,2,0)</f>
        <v>8</v>
      </c>
      <c r="B875" s="20" t="str">
        <f t="shared" si="27"/>
        <v>2017 AGO</v>
      </c>
      <c r="C875" s="30">
        <v>2017</v>
      </c>
      <c r="D875" s="30" t="s">
        <v>158</v>
      </c>
      <c r="E875" s="30" t="s">
        <v>162</v>
      </c>
      <c r="F875" s="30"/>
      <c r="G875" s="30"/>
      <c r="H875" s="32">
        <v>134285</v>
      </c>
      <c r="I875" s="32">
        <v>0</v>
      </c>
      <c r="J875" s="32">
        <v>134285</v>
      </c>
      <c r="K875" s="33">
        <v>0</v>
      </c>
      <c r="L875" s="33"/>
      <c r="M875" s="34"/>
      <c r="N875" s="209" t="str">
        <f>IFERROR(VLOOKUP(F875,Back!C:F,4,0),"NO")</f>
        <v>NO</v>
      </c>
      <c r="O875" s="26">
        <v>25</v>
      </c>
      <c r="P875" s="28" t="str">
        <f>IFERROR(VLOOKUP(F875,Back!C:E,3,0),"")</f>
        <v/>
      </c>
      <c r="Q875" s="28" t="str">
        <f>IFERROR(VLOOKUP(P875,Back!M:N,2,0),"")</f>
        <v/>
      </c>
      <c r="R875" s="27" t="str">
        <f>IF(N875="Si",IFERROR(VLOOKUP(F875,'TD Cumpl'!B:AB,27,0),"No Aplica"),"No Aplica")</f>
        <v>No Aplica</v>
      </c>
      <c r="S875" s="38">
        <v>0</v>
      </c>
      <c r="T875" s="36">
        <v>0</v>
      </c>
      <c r="U875" s="26">
        <v>0</v>
      </c>
      <c r="V875" s="37">
        <v>0</v>
      </c>
      <c r="W875" s="19">
        <v>1</v>
      </c>
      <c r="X875" s="37">
        <v>134285</v>
      </c>
      <c r="Y875" s="46">
        <f t="shared" si="28"/>
        <v>0</v>
      </c>
    </row>
    <row r="876" spans="1:25" x14ac:dyDescent="0.25">
      <c r="A876" s="20">
        <f>+VLOOKUP(D876,Back!Q:R,2,0)</f>
        <v>8</v>
      </c>
      <c r="B876" s="20" t="str">
        <f t="shared" si="27"/>
        <v>2017 AGO</v>
      </c>
      <c r="C876" s="30">
        <v>2017</v>
      </c>
      <c r="D876" s="30" t="s">
        <v>158</v>
      </c>
      <c r="E876" s="30" t="s">
        <v>163</v>
      </c>
      <c r="F876" s="30"/>
      <c r="G876" s="30"/>
      <c r="H876" s="32">
        <v>134285</v>
      </c>
      <c r="I876" s="32">
        <v>0</v>
      </c>
      <c r="J876" s="32">
        <v>134285</v>
      </c>
      <c r="K876" s="33">
        <v>0</v>
      </c>
      <c r="L876" s="33"/>
      <c r="M876" s="34"/>
      <c r="N876" s="209" t="str">
        <f>IFERROR(VLOOKUP(F876,Back!C:F,4,0),"NO")</f>
        <v>NO</v>
      </c>
      <c r="O876" s="26">
        <v>25</v>
      </c>
      <c r="P876" s="28" t="str">
        <f>IFERROR(VLOOKUP(F876,Back!C:E,3,0),"")</f>
        <v/>
      </c>
      <c r="Q876" s="28" t="str">
        <f>IFERROR(VLOOKUP(P876,Back!M:N,2,0),"")</f>
        <v/>
      </c>
      <c r="R876" s="27" t="str">
        <f>IF(N876="Si",IFERROR(VLOOKUP(F876,'TD Cumpl'!B:AB,27,0),"No Aplica"),"No Aplica")</f>
        <v>No Aplica</v>
      </c>
      <c r="S876" s="38">
        <v>0</v>
      </c>
      <c r="T876" s="36">
        <v>0</v>
      </c>
      <c r="U876" s="26">
        <v>0</v>
      </c>
      <c r="V876" s="37">
        <v>0</v>
      </c>
      <c r="W876" s="19">
        <v>1</v>
      </c>
      <c r="X876" s="37">
        <v>134285</v>
      </c>
      <c r="Y876" s="46">
        <f t="shared" si="28"/>
        <v>0</v>
      </c>
    </row>
    <row r="877" spans="1:25" x14ac:dyDescent="0.25">
      <c r="A877" s="20">
        <f>+VLOOKUP(D877,Back!Q:R,2,0)</f>
        <v>8</v>
      </c>
      <c r="B877" s="20" t="str">
        <f t="shared" si="27"/>
        <v>2017 AGO</v>
      </c>
      <c r="C877" s="30">
        <v>2017</v>
      </c>
      <c r="D877" s="30" t="s">
        <v>158</v>
      </c>
      <c r="E877" s="30" t="s">
        <v>164</v>
      </c>
      <c r="F877" s="30"/>
      <c r="G877" s="30"/>
      <c r="H877" s="32">
        <v>43870</v>
      </c>
      <c r="I877" s="32">
        <v>0</v>
      </c>
      <c r="J877" s="32">
        <v>43870</v>
      </c>
      <c r="K877" s="33">
        <v>0</v>
      </c>
      <c r="L877" s="33"/>
      <c r="M877" s="34"/>
      <c r="N877" s="209" t="str">
        <f>IFERROR(VLOOKUP(F877,Back!C:F,4,0),"NO")</f>
        <v>NO</v>
      </c>
      <c r="O877" s="26">
        <v>25</v>
      </c>
      <c r="P877" s="28" t="str">
        <f>IFERROR(VLOOKUP(F877,Back!C:E,3,0),"")</f>
        <v/>
      </c>
      <c r="Q877" s="28" t="str">
        <f>IFERROR(VLOOKUP(P877,Back!M:N,2,0),"")</f>
        <v/>
      </c>
      <c r="R877" s="27" t="str">
        <f>IF(N877="Si",IFERROR(VLOOKUP(F877,'TD Cumpl'!B:AB,27,0),"No Aplica"),"No Aplica")</f>
        <v>No Aplica</v>
      </c>
      <c r="S877" s="38">
        <v>0</v>
      </c>
      <c r="T877" s="36">
        <v>0</v>
      </c>
      <c r="U877" s="26">
        <v>0</v>
      </c>
      <c r="V877" s="37">
        <v>0</v>
      </c>
      <c r="W877" s="19">
        <v>1</v>
      </c>
      <c r="X877" s="37">
        <v>43870</v>
      </c>
      <c r="Y877" s="46">
        <f t="shared" si="28"/>
        <v>0</v>
      </c>
    </row>
    <row r="878" spans="1:25" x14ac:dyDescent="0.25">
      <c r="A878" s="20">
        <f>+VLOOKUP(D878,Back!Q:R,2,0)</f>
        <v>8</v>
      </c>
      <c r="B878" s="20" t="str">
        <f t="shared" si="27"/>
        <v>2017 AGO</v>
      </c>
      <c r="C878" s="30">
        <v>2017</v>
      </c>
      <c r="D878" s="30" t="s">
        <v>158</v>
      </c>
      <c r="E878" s="30" t="s">
        <v>113</v>
      </c>
      <c r="F878" s="30"/>
      <c r="G878" s="30"/>
      <c r="H878" s="32">
        <v>312440</v>
      </c>
      <c r="I878" s="32">
        <v>0</v>
      </c>
      <c r="J878" s="32">
        <v>312440</v>
      </c>
      <c r="K878" s="33">
        <v>0</v>
      </c>
      <c r="L878" s="33"/>
      <c r="M878" s="34"/>
      <c r="N878" s="209" t="str">
        <f>IFERROR(VLOOKUP(F878,Back!C:F,4,0),"NO")</f>
        <v>NO</v>
      </c>
      <c r="O878" s="26">
        <v>25</v>
      </c>
      <c r="P878" s="28" t="str">
        <f>IFERROR(VLOOKUP(F878,Back!C:E,3,0),"")</f>
        <v/>
      </c>
      <c r="Q878" s="28" t="str">
        <f>IFERROR(VLOOKUP(P878,Back!M:N,2,0),"")</f>
        <v/>
      </c>
      <c r="R878" s="27" t="str">
        <f>IF(N878="Si",IFERROR(VLOOKUP(F878,'TD Cumpl'!B:AB,27,0),"No Aplica"),"No Aplica")</f>
        <v>No Aplica</v>
      </c>
      <c r="S878" s="38">
        <v>0</v>
      </c>
      <c r="T878" s="36">
        <v>0</v>
      </c>
      <c r="U878" s="26">
        <v>0</v>
      </c>
      <c r="V878" s="37">
        <v>0</v>
      </c>
      <c r="W878" s="19">
        <v>3</v>
      </c>
      <c r="X878" s="37">
        <v>312440</v>
      </c>
      <c r="Y878" s="46">
        <f t="shared" si="28"/>
        <v>0</v>
      </c>
    </row>
    <row r="879" spans="1:25" x14ac:dyDescent="0.25">
      <c r="A879" s="20">
        <f>+VLOOKUP(D879,Back!Q:R,2,0)</f>
        <v>8</v>
      </c>
      <c r="B879" s="20" t="str">
        <f t="shared" si="27"/>
        <v>2017 AGO</v>
      </c>
      <c r="C879" s="30">
        <v>2017</v>
      </c>
      <c r="D879" s="30" t="s">
        <v>158</v>
      </c>
      <c r="E879" s="30" t="s">
        <v>87</v>
      </c>
      <c r="F879" s="30"/>
      <c r="G879" s="30"/>
      <c r="H879" s="32">
        <v>-43870</v>
      </c>
      <c r="I879" s="32">
        <v>0</v>
      </c>
      <c r="J879" s="32">
        <v>0</v>
      </c>
      <c r="K879" s="33">
        <v>-43870</v>
      </c>
      <c r="L879" s="33"/>
      <c r="M879" s="34"/>
      <c r="N879" s="209" t="str">
        <f>IFERROR(VLOOKUP(F879,Back!C:F,4,0),"NO")</f>
        <v>NO</v>
      </c>
      <c r="O879" s="26">
        <v>25</v>
      </c>
      <c r="P879" s="28" t="str">
        <f>IFERROR(VLOOKUP(F879,Back!C:E,3,0),"")</f>
        <v/>
      </c>
      <c r="Q879" s="28" t="str">
        <f>IFERROR(VLOOKUP(P879,Back!M:N,2,0),"")</f>
        <v/>
      </c>
      <c r="R879" s="27" t="str">
        <f>IF(N879="Si",IFERROR(VLOOKUP(F879,'TD Cumpl'!B:AB,27,0),"No Aplica"),"No Aplica")</f>
        <v>No Aplica</v>
      </c>
      <c r="S879" s="38">
        <v>0</v>
      </c>
      <c r="T879" s="36">
        <v>0</v>
      </c>
      <c r="U879" s="26">
        <v>0</v>
      </c>
      <c r="V879" s="37">
        <v>0</v>
      </c>
      <c r="W879" s="19">
        <v>0</v>
      </c>
      <c r="X879" s="37">
        <v>0</v>
      </c>
      <c r="Y879" s="46">
        <f t="shared" si="28"/>
        <v>-43870</v>
      </c>
    </row>
    <row r="880" spans="1:25" x14ac:dyDescent="0.25">
      <c r="A880" s="20">
        <f>+VLOOKUP(D880,Back!Q:R,2,0)</f>
        <v>9</v>
      </c>
      <c r="B880" s="20" t="str">
        <f t="shared" si="27"/>
        <v>2017 SEP</v>
      </c>
      <c r="C880" s="30">
        <v>2017</v>
      </c>
      <c r="D880" s="30" t="s">
        <v>165</v>
      </c>
      <c r="E880" s="30" t="s">
        <v>33</v>
      </c>
      <c r="F880" s="30">
        <v>31307503</v>
      </c>
      <c r="G880" s="30" t="s">
        <v>36</v>
      </c>
      <c r="H880" s="32">
        <v>37407020</v>
      </c>
      <c r="I880" s="32">
        <v>0</v>
      </c>
      <c r="J880" s="32">
        <v>1533417</v>
      </c>
      <c r="K880" s="33">
        <v>35873603</v>
      </c>
      <c r="L880" s="33">
        <v>31721000</v>
      </c>
      <c r="M880" s="34">
        <v>1.1309102172062671</v>
      </c>
      <c r="N880" s="209" t="str">
        <f>IFERROR(VLOOKUP(F880,Back!C:F,4,0),"NO")</f>
        <v>NO</v>
      </c>
      <c r="O880" s="26">
        <v>26</v>
      </c>
      <c r="P880" s="28" t="str">
        <f>IFERROR(VLOOKUP(F880,Back!C:E,3,0),"")</f>
        <v/>
      </c>
      <c r="Q880" s="28" t="str">
        <f>IFERROR(VLOOKUP(P880,Back!M:N,2,0),"")</f>
        <v/>
      </c>
      <c r="R880" s="27" t="str">
        <f>IF(N880="Si",IFERROR(VLOOKUP(F880,'TD Cumpl'!B:AB,27,0),"No Aplica"),"No Aplica")</f>
        <v>No Aplica</v>
      </c>
      <c r="S880" s="38">
        <v>87</v>
      </c>
      <c r="T880" s="36">
        <v>7748855</v>
      </c>
      <c r="U880" s="26">
        <v>188</v>
      </c>
      <c r="V880" s="37">
        <v>15421366</v>
      </c>
      <c r="W880" s="19">
        <v>27</v>
      </c>
      <c r="X880" s="37">
        <v>1533417</v>
      </c>
      <c r="Y880" s="46">
        <f t="shared" si="28"/>
        <v>12703382</v>
      </c>
    </row>
    <row r="881" spans="1:25" x14ac:dyDescent="0.25">
      <c r="A881" s="20">
        <f>+VLOOKUP(D881,Back!Q:R,2,0)</f>
        <v>9</v>
      </c>
      <c r="B881" s="20" t="str">
        <f t="shared" si="27"/>
        <v>2017 SEP</v>
      </c>
      <c r="C881" s="30">
        <v>2017</v>
      </c>
      <c r="D881" s="30" t="s">
        <v>165</v>
      </c>
      <c r="E881" s="30" t="s">
        <v>62</v>
      </c>
      <c r="F881" s="30">
        <v>32256379</v>
      </c>
      <c r="G881" s="30" t="s">
        <v>61</v>
      </c>
      <c r="H881" s="32">
        <v>33041811</v>
      </c>
      <c r="I881" s="32">
        <v>0</v>
      </c>
      <c r="J881" s="32">
        <v>8065981</v>
      </c>
      <c r="K881" s="33">
        <v>24975830</v>
      </c>
      <c r="L881" s="33">
        <v>42000000</v>
      </c>
      <c r="M881" s="34">
        <v>0.59466261904761908</v>
      </c>
      <c r="N881" s="209" t="str">
        <f>IFERROR(VLOOKUP(F881,Back!C:F,4,0),"NO")</f>
        <v>Si</v>
      </c>
      <c r="O881" s="26">
        <v>26</v>
      </c>
      <c r="P881" s="28" t="str">
        <f>IFERROR(VLOOKUP(F881,Back!C:E,3,0),"")</f>
        <v>Ferias Empresariales Antioquia</v>
      </c>
      <c r="Q881" s="28" t="str">
        <f>IFERROR(VLOOKUP(P881,Back!M:N,2,0),"")</f>
        <v>Antioquia</v>
      </c>
      <c r="R881" s="27" t="str">
        <f>IF(N881="Si",IFERROR(VLOOKUP(F881,'TD Cumpl'!B:AB,27,0),"No Aplica"),"No Aplica")</f>
        <v>Fluctúa</v>
      </c>
      <c r="S881" s="38">
        <v>2</v>
      </c>
      <c r="T881" s="36">
        <v>346876</v>
      </c>
      <c r="U881" s="26">
        <v>4</v>
      </c>
      <c r="V881" s="37">
        <v>1569390</v>
      </c>
      <c r="W881" s="19">
        <v>97</v>
      </c>
      <c r="X881" s="37">
        <v>8065981</v>
      </c>
      <c r="Y881" s="46">
        <f t="shared" si="28"/>
        <v>23059564</v>
      </c>
    </row>
    <row r="882" spans="1:25" x14ac:dyDescent="0.25">
      <c r="A882" s="20">
        <f>+VLOOKUP(D882,Back!Q:R,2,0)</f>
        <v>9</v>
      </c>
      <c r="B882" s="20" t="str">
        <f t="shared" si="27"/>
        <v>2017 SEP</v>
      </c>
      <c r="C882" s="30">
        <v>2017</v>
      </c>
      <c r="D882" s="30" t="s">
        <v>165</v>
      </c>
      <c r="E882" s="30" t="s">
        <v>83</v>
      </c>
      <c r="F882" s="30">
        <v>43800272</v>
      </c>
      <c r="G882" s="30" t="s">
        <v>85</v>
      </c>
      <c r="H882" s="32">
        <v>34835410</v>
      </c>
      <c r="I882" s="32">
        <v>838000</v>
      </c>
      <c r="J882" s="32">
        <v>8820973</v>
      </c>
      <c r="K882" s="33">
        <v>25176437</v>
      </c>
      <c r="L882" s="33">
        <v>41000000</v>
      </c>
      <c r="M882" s="34">
        <v>0.6140594390243902</v>
      </c>
      <c r="N882" s="209" t="str">
        <f>IFERROR(VLOOKUP(F882,Back!C:F,4,0),"NO")</f>
        <v>NO</v>
      </c>
      <c r="O882" s="26">
        <v>26</v>
      </c>
      <c r="P882" s="28" t="str">
        <f>IFERROR(VLOOKUP(F882,Back!C:E,3,0),"")</f>
        <v/>
      </c>
      <c r="Q882" s="28" t="str">
        <f>IFERROR(VLOOKUP(P882,Back!M:N,2,0),"")</f>
        <v/>
      </c>
      <c r="R882" s="27" t="str">
        <f>IF(N882="Si",IFERROR(VLOOKUP(F882,'TD Cumpl'!B:AB,27,0),"No Aplica"),"No Aplica")</f>
        <v>No Aplica</v>
      </c>
      <c r="S882" s="38">
        <v>64</v>
      </c>
      <c r="T882" s="36">
        <v>5883930</v>
      </c>
      <c r="U882" s="26">
        <v>178</v>
      </c>
      <c r="V882" s="37">
        <v>15331809</v>
      </c>
      <c r="W882" s="19">
        <v>101</v>
      </c>
      <c r="X882" s="37">
        <v>8820973</v>
      </c>
      <c r="Y882" s="46">
        <f t="shared" si="28"/>
        <v>4798698</v>
      </c>
    </row>
    <row r="883" spans="1:25" x14ac:dyDescent="0.25">
      <c r="A883" s="20">
        <f>+VLOOKUP(D883,Back!Q:R,2,0)</f>
        <v>9</v>
      </c>
      <c r="B883" s="20" t="str">
        <f t="shared" si="27"/>
        <v>2017 SEP</v>
      </c>
      <c r="C883" s="30">
        <v>2017</v>
      </c>
      <c r="D883" s="30" t="s">
        <v>165</v>
      </c>
      <c r="E883" s="30" t="s">
        <v>56</v>
      </c>
      <c r="F883" s="30">
        <v>43971430</v>
      </c>
      <c r="G883" s="30" t="s">
        <v>142</v>
      </c>
      <c r="H883" s="32">
        <v>56176589</v>
      </c>
      <c r="I883" s="32">
        <v>1236000</v>
      </c>
      <c r="J883" s="32">
        <v>11855065</v>
      </c>
      <c r="K883" s="33">
        <v>43085524</v>
      </c>
      <c r="L883" s="33">
        <v>41000000</v>
      </c>
      <c r="M883" s="34">
        <v>1.0508664390243903</v>
      </c>
      <c r="N883" s="209" t="str">
        <f>IFERROR(VLOOKUP(F883,Back!C:F,4,0),"NO")</f>
        <v>Si</v>
      </c>
      <c r="O883" s="26">
        <v>26</v>
      </c>
      <c r="P883" s="28" t="str">
        <f>IFERROR(VLOOKUP(F883,Back!C:E,3,0),"")</f>
        <v>IPS Pto De Vista Centro</v>
      </c>
      <c r="Q883" s="28" t="str">
        <f>IFERROR(VLOOKUP(P883,Back!M:N,2,0),"")</f>
        <v>Antioquia</v>
      </c>
      <c r="R883" s="27" t="str">
        <f>IF(N883="Si",IFERROR(VLOOKUP(F883,'TD Cumpl'!B:AB,27,0),"No Aplica"),"No Aplica")</f>
        <v>Siempre Cumple</v>
      </c>
      <c r="S883" s="38">
        <v>100</v>
      </c>
      <c r="T883" s="36">
        <v>8632075</v>
      </c>
      <c r="U883" s="26">
        <v>298</v>
      </c>
      <c r="V883" s="37">
        <v>27393093</v>
      </c>
      <c r="W883" s="19">
        <v>120</v>
      </c>
      <c r="X883" s="37">
        <v>11855065</v>
      </c>
      <c r="Y883" s="46">
        <f t="shared" si="28"/>
        <v>8296356</v>
      </c>
    </row>
    <row r="884" spans="1:25" x14ac:dyDescent="0.25">
      <c r="A884" s="20">
        <f>+VLOOKUP(D884,Back!Q:R,2,0)</f>
        <v>9</v>
      </c>
      <c r="B884" s="20" t="str">
        <f t="shared" si="27"/>
        <v>2017 SEP</v>
      </c>
      <c r="C884" s="30">
        <v>2017</v>
      </c>
      <c r="D884" s="30" t="s">
        <v>165</v>
      </c>
      <c r="E884" s="30" t="s">
        <v>59</v>
      </c>
      <c r="F884" s="30">
        <v>1030634664</v>
      </c>
      <c r="G884" s="30" t="s">
        <v>58</v>
      </c>
      <c r="H884" s="32">
        <v>44509583</v>
      </c>
      <c r="I884" s="32">
        <v>426000</v>
      </c>
      <c r="J884" s="32">
        <v>10138250</v>
      </c>
      <c r="K884" s="33">
        <v>33945333</v>
      </c>
      <c r="L884" s="33">
        <v>41000000</v>
      </c>
      <c r="M884" s="34">
        <v>0.82793495121951222</v>
      </c>
      <c r="N884" s="209" t="str">
        <f>IFERROR(VLOOKUP(F884,Back!C:F,4,0),"NO")</f>
        <v>NO</v>
      </c>
      <c r="O884" s="26">
        <v>26</v>
      </c>
      <c r="P884" s="28" t="str">
        <f>IFERROR(VLOOKUP(F884,Back!C:E,3,0),"")</f>
        <v/>
      </c>
      <c r="Q884" s="28" t="str">
        <f>IFERROR(VLOOKUP(P884,Back!M:N,2,0),"")</f>
        <v/>
      </c>
      <c r="R884" s="27" t="str">
        <f>IF(N884="Si",IFERROR(VLOOKUP(F884,'TD Cumpl'!B:AB,27,0),"No Aplica"),"No Aplica")</f>
        <v>No Aplica</v>
      </c>
      <c r="S884" s="38">
        <v>91</v>
      </c>
      <c r="T884" s="36">
        <v>8615495</v>
      </c>
      <c r="U884" s="26">
        <v>214</v>
      </c>
      <c r="V884" s="37">
        <v>19703600</v>
      </c>
      <c r="W884" s="19">
        <v>117</v>
      </c>
      <c r="X884" s="37">
        <v>10138250</v>
      </c>
      <c r="Y884" s="46">
        <f t="shared" si="28"/>
        <v>6052238</v>
      </c>
    </row>
    <row r="885" spans="1:25" x14ac:dyDescent="0.25">
      <c r="A885" s="20">
        <f>+VLOOKUP(D885,Back!Q:R,2,0)</f>
        <v>9</v>
      </c>
      <c r="B885" s="20" t="str">
        <f t="shared" si="27"/>
        <v>2017 SEP</v>
      </c>
      <c r="C885" s="30">
        <v>2017</v>
      </c>
      <c r="D885" s="30" t="s">
        <v>165</v>
      </c>
      <c r="E885" s="30" t="s">
        <v>34</v>
      </c>
      <c r="F885" s="30">
        <v>43554403</v>
      </c>
      <c r="G885" s="30" t="s">
        <v>35</v>
      </c>
      <c r="H885" s="32">
        <v>56886729</v>
      </c>
      <c r="I885" s="32">
        <v>1156600</v>
      </c>
      <c r="J885" s="32">
        <v>12478340</v>
      </c>
      <c r="K885" s="33">
        <v>43251789</v>
      </c>
      <c r="L885" s="33">
        <v>41000000</v>
      </c>
      <c r="M885" s="34">
        <v>1.0549216829268293</v>
      </c>
      <c r="N885" s="209" t="str">
        <f>IFERROR(VLOOKUP(F885,Back!C:F,4,0),"NO")</f>
        <v>Si</v>
      </c>
      <c r="O885" s="26">
        <v>26</v>
      </c>
      <c r="P885" s="28" t="str">
        <f>IFERROR(VLOOKUP(F885,Back!C:E,3,0),"")</f>
        <v>IPS Pto De Vista Centro</v>
      </c>
      <c r="Q885" s="28" t="str">
        <f>IFERROR(VLOOKUP(P885,Back!M:N,2,0),"")</f>
        <v>Antioquia</v>
      </c>
      <c r="R885" s="27" t="str">
        <f>IF(N885="Si",IFERROR(VLOOKUP(F885,'TD Cumpl'!B:AB,27,0),"No Aplica"),"No Aplica")</f>
        <v>Siempre Cumple</v>
      </c>
      <c r="S885" s="38">
        <v>85</v>
      </c>
      <c r="T885" s="36">
        <v>9258118</v>
      </c>
      <c r="U885" s="26">
        <v>231</v>
      </c>
      <c r="V885" s="37">
        <v>27202012</v>
      </c>
      <c r="W885" s="19">
        <v>132</v>
      </c>
      <c r="X885" s="37">
        <v>12478340</v>
      </c>
      <c r="Y885" s="46">
        <f t="shared" si="28"/>
        <v>7948259</v>
      </c>
    </row>
    <row r="886" spans="1:25" x14ac:dyDescent="0.25">
      <c r="A886" s="20">
        <f>+VLOOKUP(D886,Back!Q:R,2,0)</f>
        <v>9</v>
      </c>
      <c r="B886" s="20" t="str">
        <f t="shared" si="27"/>
        <v>2017 SEP</v>
      </c>
      <c r="C886" s="30">
        <v>2017</v>
      </c>
      <c r="D886" s="30" t="s">
        <v>165</v>
      </c>
      <c r="E886" s="30" t="s">
        <v>101</v>
      </c>
      <c r="F886" s="30">
        <v>21428423</v>
      </c>
      <c r="G886" s="30" t="s">
        <v>154</v>
      </c>
      <c r="H886" s="32">
        <v>47427043</v>
      </c>
      <c r="I886" s="32">
        <v>1030000</v>
      </c>
      <c r="J886" s="32">
        <v>9533058</v>
      </c>
      <c r="K886" s="33">
        <v>36863985</v>
      </c>
      <c r="L886" s="33">
        <v>41000000</v>
      </c>
      <c r="M886" s="34">
        <v>0.89912158536585363</v>
      </c>
      <c r="N886" s="209" t="str">
        <f>IFERROR(VLOOKUP(F886,Back!C:F,4,0),"NO")</f>
        <v>Si</v>
      </c>
      <c r="O886" s="26">
        <v>26</v>
      </c>
      <c r="P886" s="28" t="str">
        <f>IFERROR(VLOOKUP(F886,Back!C:E,3,0),"")</f>
        <v>IPS Pto De Vista Centro</v>
      </c>
      <c r="Q886" s="28" t="str">
        <f>IFERROR(VLOOKUP(P886,Back!M:N,2,0),"")</f>
        <v>Antioquia</v>
      </c>
      <c r="R886" s="27" t="str">
        <f>IF(N886="Si",IFERROR(VLOOKUP(F886,'TD Cumpl'!B:AB,27,0),"No Aplica"),"No Aplica")</f>
        <v>Fluctúa</v>
      </c>
      <c r="S886" s="38">
        <v>98</v>
      </c>
      <c r="T886" s="36">
        <v>9356741</v>
      </c>
      <c r="U886" s="26">
        <v>206</v>
      </c>
      <c r="V886" s="37">
        <v>20561613</v>
      </c>
      <c r="W886" s="19">
        <v>106</v>
      </c>
      <c r="X886" s="37">
        <v>9533058</v>
      </c>
      <c r="Y886" s="46">
        <f t="shared" si="28"/>
        <v>7975631</v>
      </c>
    </row>
    <row r="887" spans="1:25" x14ac:dyDescent="0.25">
      <c r="A887" s="20">
        <f>+VLOOKUP(D887,Back!Q:R,2,0)</f>
        <v>9</v>
      </c>
      <c r="B887" s="20" t="str">
        <f t="shared" si="27"/>
        <v>2017 SEP</v>
      </c>
      <c r="C887" s="30">
        <v>2017</v>
      </c>
      <c r="D887" s="30" t="s">
        <v>165</v>
      </c>
      <c r="E887" s="30" t="s">
        <v>13</v>
      </c>
      <c r="F887" s="30">
        <v>43866877</v>
      </c>
      <c r="G887" s="30" t="s">
        <v>46</v>
      </c>
      <c r="H887" s="32">
        <v>58148032</v>
      </c>
      <c r="I887" s="32">
        <v>426000</v>
      </c>
      <c r="J887" s="32">
        <v>11625978</v>
      </c>
      <c r="K887" s="33">
        <v>46096054</v>
      </c>
      <c r="L887" s="33">
        <v>41000000</v>
      </c>
      <c r="M887" s="34">
        <v>1.1242939999999999</v>
      </c>
      <c r="N887" s="209" t="str">
        <f>IFERROR(VLOOKUP(F887,Back!C:F,4,0),"NO")</f>
        <v>Si</v>
      </c>
      <c r="O887" s="26">
        <v>26</v>
      </c>
      <c r="P887" s="28" t="str">
        <f>IFERROR(VLOOKUP(F887,Back!C:E,3,0),"")</f>
        <v>IPS Pto De Vista Centro</v>
      </c>
      <c r="Q887" s="28" t="str">
        <f>IFERROR(VLOOKUP(P887,Back!M:N,2,0),"")</f>
        <v>Antioquia</v>
      </c>
      <c r="R887" s="27" t="str">
        <f>IF(N887="Si",IFERROR(VLOOKUP(F887,'TD Cumpl'!B:AB,27,0),"No Aplica"),"No Aplica")</f>
        <v>Siempre Cumple</v>
      </c>
      <c r="S887" s="38">
        <v>108</v>
      </c>
      <c r="T887" s="36">
        <v>12518841</v>
      </c>
      <c r="U887" s="26">
        <v>255</v>
      </c>
      <c r="V887" s="37">
        <v>27965188</v>
      </c>
      <c r="W887" s="19">
        <v>133</v>
      </c>
      <c r="X887" s="37">
        <v>11625978</v>
      </c>
      <c r="Y887" s="46">
        <f t="shared" si="28"/>
        <v>6038025</v>
      </c>
    </row>
    <row r="888" spans="1:25" x14ac:dyDescent="0.25">
      <c r="A888" s="20">
        <f>+VLOOKUP(D888,Back!Q:R,2,0)</f>
        <v>9</v>
      </c>
      <c r="B888" s="20" t="str">
        <f t="shared" si="27"/>
        <v>2017 SEP</v>
      </c>
      <c r="C888" s="30">
        <v>2017</v>
      </c>
      <c r="D888" s="30" t="s">
        <v>165</v>
      </c>
      <c r="E888" s="30" t="s">
        <v>121</v>
      </c>
      <c r="F888" s="30">
        <v>21982241</v>
      </c>
      <c r="G888" s="30" t="s">
        <v>143</v>
      </c>
      <c r="H888" s="32">
        <v>22947874</v>
      </c>
      <c r="I888" s="32">
        <v>852000</v>
      </c>
      <c r="J888" s="32">
        <v>6894117</v>
      </c>
      <c r="K888" s="33">
        <v>15201757</v>
      </c>
      <c r="L888" s="33">
        <v>41000000</v>
      </c>
      <c r="M888" s="34">
        <v>0.37077456097560973</v>
      </c>
      <c r="N888" s="209" t="str">
        <f>IFERROR(VLOOKUP(F888,Back!C:F,4,0),"NO")</f>
        <v>Si</v>
      </c>
      <c r="O888" s="26">
        <v>26</v>
      </c>
      <c r="P888" s="28" t="str">
        <f>IFERROR(VLOOKUP(F888,Back!C:E,3,0),"")</f>
        <v>IPS Punto de Vista Bello</v>
      </c>
      <c r="Q888" s="28" t="str">
        <f>IFERROR(VLOOKUP(P888,Back!M:N,2,0),"")</f>
        <v>Antioquia</v>
      </c>
      <c r="R888" s="27" t="str">
        <f>IF(N888="Si",IFERROR(VLOOKUP(F888,'TD Cumpl'!B:AB,27,0),"No Aplica"),"No Aplica")</f>
        <v>Fluctúa</v>
      </c>
      <c r="S888" s="38">
        <v>32</v>
      </c>
      <c r="T888" s="36">
        <v>3434839</v>
      </c>
      <c r="U888" s="26">
        <v>98</v>
      </c>
      <c r="V888" s="37">
        <v>7786286</v>
      </c>
      <c r="W888" s="19">
        <v>75</v>
      </c>
      <c r="X888" s="37">
        <v>6894117</v>
      </c>
      <c r="Y888" s="46">
        <f t="shared" si="28"/>
        <v>4832632</v>
      </c>
    </row>
    <row r="889" spans="1:25" x14ac:dyDescent="0.25">
      <c r="A889" s="20">
        <f>+VLOOKUP(D889,Back!Q:R,2,0)</f>
        <v>9</v>
      </c>
      <c r="B889" s="20" t="str">
        <f t="shared" si="27"/>
        <v>2017 SEP</v>
      </c>
      <c r="C889" s="30">
        <v>2017</v>
      </c>
      <c r="D889" s="30" t="s">
        <v>165</v>
      </c>
      <c r="E889" s="30" t="s">
        <v>18</v>
      </c>
      <c r="F889" s="30">
        <v>39442617</v>
      </c>
      <c r="G889" s="30" t="s">
        <v>41</v>
      </c>
      <c r="H889" s="32">
        <v>22929379</v>
      </c>
      <c r="I889" s="32">
        <v>370800</v>
      </c>
      <c r="J889" s="32">
        <v>2525307</v>
      </c>
      <c r="K889" s="33">
        <v>20033272</v>
      </c>
      <c r="L889" s="33">
        <v>18000000</v>
      </c>
      <c r="M889" s="34">
        <v>1.1129595555555556</v>
      </c>
      <c r="N889" s="209" t="str">
        <f>IFERROR(VLOOKUP(F889,Back!C:F,4,0),"NO")</f>
        <v>Si</v>
      </c>
      <c r="O889" s="26">
        <v>26</v>
      </c>
      <c r="P889" s="28" t="str">
        <f>IFERROR(VLOOKUP(F889,Back!C:E,3,0),"")</f>
        <v>IPS Pto De Vista San Diego</v>
      </c>
      <c r="Q889" s="28" t="str">
        <f>IFERROR(VLOOKUP(P889,Back!M:N,2,0),"")</f>
        <v>Antioquia</v>
      </c>
      <c r="R889" s="27" t="str">
        <f>IF(N889="Si",IFERROR(VLOOKUP(F889,'TD Cumpl'!B:AB,27,0),"No Aplica"),"No Aplica")</f>
        <v>Cumple</v>
      </c>
      <c r="S889" s="38">
        <v>21</v>
      </c>
      <c r="T889" s="36">
        <v>4040454</v>
      </c>
      <c r="U889" s="26">
        <v>68</v>
      </c>
      <c r="V889" s="37">
        <v>14674026</v>
      </c>
      <c r="W889" s="19">
        <v>29</v>
      </c>
      <c r="X889" s="37">
        <v>2525307</v>
      </c>
      <c r="Y889" s="46">
        <f t="shared" si="28"/>
        <v>1689592</v>
      </c>
    </row>
    <row r="890" spans="1:25" x14ac:dyDescent="0.25">
      <c r="A890" s="20">
        <f>+VLOOKUP(D890,Back!Q:R,2,0)</f>
        <v>9</v>
      </c>
      <c r="B890" s="20" t="str">
        <f t="shared" si="27"/>
        <v>2017 SEP</v>
      </c>
      <c r="C890" s="30">
        <v>2017</v>
      </c>
      <c r="D890" s="30" t="s">
        <v>165</v>
      </c>
      <c r="E890" s="30" t="s">
        <v>23</v>
      </c>
      <c r="F890" s="30">
        <v>43907427</v>
      </c>
      <c r="G890" s="30" t="s">
        <v>144</v>
      </c>
      <c r="H890" s="32">
        <v>54437237</v>
      </c>
      <c r="I890" s="32">
        <v>829800</v>
      </c>
      <c r="J890" s="32">
        <v>5118345</v>
      </c>
      <c r="K890" s="33">
        <v>48489092</v>
      </c>
      <c r="L890" s="33">
        <v>36000000</v>
      </c>
      <c r="M890" s="34">
        <v>1.3469192222222222</v>
      </c>
      <c r="N890" s="209" t="str">
        <f>IFERROR(VLOOKUP(F890,Back!C:F,4,0),"NO")</f>
        <v>Si</v>
      </c>
      <c r="O890" s="26">
        <v>26</v>
      </c>
      <c r="P890" s="28" t="str">
        <f>IFERROR(VLOOKUP(F890,Back!C:E,3,0),"")</f>
        <v>IPS Pto De Vista Industriales</v>
      </c>
      <c r="Q890" s="28" t="str">
        <f>IFERROR(VLOOKUP(P890,Back!M:N,2,0),"")</f>
        <v>Antioquia</v>
      </c>
      <c r="R890" s="27" t="str">
        <f>IF(N890="Si",IFERROR(VLOOKUP(F890,'TD Cumpl'!B:AB,27,0),"No Aplica"),"No Aplica")</f>
        <v>Siempre Cumple</v>
      </c>
      <c r="S890" s="38">
        <v>49</v>
      </c>
      <c r="T890" s="36">
        <v>11071584</v>
      </c>
      <c r="U890" s="26">
        <v>133</v>
      </c>
      <c r="V890" s="37">
        <v>29469425</v>
      </c>
      <c r="W890" s="19">
        <v>59</v>
      </c>
      <c r="X890" s="37">
        <v>5118345</v>
      </c>
      <c r="Y890" s="46">
        <f t="shared" si="28"/>
        <v>8777883</v>
      </c>
    </row>
    <row r="891" spans="1:25" x14ac:dyDescent="0.25">
      <c r="A891" s="20">
        <f>+VLOOKUP(D891,Back!Q:R,2,0)</f>
        <v>9</v>
      </c>
      <c r="B891" s="20" t="str">
        <f t="shared" si="27"/>
        <v>2017 SEP</v>
      </c>
      <c r="C891" s="30">
        <v>2017</v>
      </c>
      <c r="D891" s="30" t="s">
        <v>165</v>
      </c>
      <c r="E891" s="30" t="s">
        <v>21</v>
      </c>
      <c r="F891" s="30">
        <v>1035417626</v>
      </c>
      <c r="G891" s="30" t="s">
        <v>80</v>
      </c>
      <c r="H891" s="32">
        <v>62567485</v>
      </c>
      <c r="I891" s="32">
        <v>1210000</v>
      </c>
      <c r="J891" s="32">
        <v>11962814</v>
      </c>
      <c r="K891" s="33">
        <v>49394671</v>
      </c>
      <c r="L891" s="33">
        <v>43000000</v>
      </c>
      <c r="M891" s="34">
        <v>1.1487132790697674</v>
      </c>
      <c r="N891" s="209" t="str">
        <f>IFERROR(VLOOKUP(F891,Back!C:F,4,0),"NO")</f>
        <v>Si</v>
      </c>
      <c r="O891" s="26">
        <v>26</v>
      </c>
      <c r="P891" s="28" t="str">
        <f>IFERROR(VLOOKUP(F891,Back!C:E,3,0),"")</f>
        <v>IPS Pto De Vista Unicentro</v>
      </c>
      <c r="Q891" s="28" t="str">
        <f>IFERROR(VLOOKUP(P891,Back!M:N,2,0),"")</f>
        <v>Antioquia</v>
      </c>
      <c r="R891" s="27" t="str">
        <f>IF(N891="Si",IFERROR(VLOOKUP(F891,'TD Cumpl'!B:AB,27,0),"No Aplica"),"No Aplica")</f>
        <v>Cumple</v>
      </c>
      <c r="S891" s="38">
        <v>106</v>
      </c>
      <c r="T891" s="36">
        <v>13483235</v>
      </c>
      <c r="U891" s="26">
        <v>244</v>
      </c>
      <c r="V891" s="37">
        <v>28740874</v>
      </c>
      <c r="W891" s="19">
        <v>129</v>
      </c>
      <c r="X891" s="37">
        <v>11962814</v>
      </c>
      <c r="Y891" s="46">
        <f t="shared" si="28"/>
        <v>8380562</v>
      </c>
    </row>
    <row r="892" spans="1:25" x14ac:dyDescent="0.25">
      <c r="A892" s="20">
        <f>+VLOOKUP(D892,Back!Q:R,2,0)</f>
        <v>9</v>
      </c>
      <c r="B892" s="20" t="str">
        <f t="shared" si="27"/>
        <v>2017 SEP</v>
      </c>
      <c r="C892" s="30">
        <v>2017</v>
      </c>
      <c r="D892" s="30" t="s">
        <v>165</v>
      </c>
      <c r="E892" s="30" t="s">
        <v>103</v>
      </c>
      <c r="F892" s="30">
        <v>1020409789</v>
      </c>
      <c r="G892" s="30" t="s">
        <v>145</v>
      </c>
      <c r="H892" s="32">
        <v>68585081</v>
      </c>
      <c r="I892" s="32">
        <v>2929400</v>
      </c>
      <c r="J892" s="32">
        <v>15875162</v>
      </c>
      <c r="K892" s="33">
        <v>49780519</v>
      </c>
      <c r="L892" s="33">
        <v>43000000</v>
      </c>
      <c r="M892" s="34">
        <v>1.157686488372093</v>
      </c>
      <c r="N892" s="209" t="str">
        <f>IFERROR(VLOOKUP(F892,Back!C:F,4,0),"NO")</f>
        <v>Si</v>
      </c>
      <c r="O892" s="26">
        <v>26</v>
      </c>
      <c r="P892" s="28" t="str">
        <f>IFERROR(VLOOKUP(F892,Back!C:E,3,0),"")</f>
        <v>IPS Pto De Vista Molinos</v>
      </c>
      <c r="Q892" s="28" t="str">
        <f>IFERROR(VLOOKUP(P892,Back!M:N,2,0),"")</f>
        <v>Antioquia</v>
      </c>
      <c r="R892" s="27" t="str">
        <f>IF(N892="Si",IFERROR(VLOOKUP(F892,'TD Cumpl'!B:AB,27,0),"No Aplica"),"No Aplica")</f>
        <v>Cumple</v>
      </c>
      <c r="S892" s="38">
        <v>111</v>
      </c>
      <c r="T892" s="36">
        <v>14121396</v>
      </c>
      <c r="U892" s="26">
        <v>272</v>
      </c>
      <c r="V892" s="37">
        <v>29057060</v>
      </c>
      <c r="W892" s="19">
        <v>182</v>
      </c>
      <c r="X892" s="37">
        <v>15875162</v>
      </c>
      <c r="Y892" s="46">
        <f t="shared" si="28"/>
        <v>9531463</v>
      </c>
    </row>
    <row r="893" spans="1:25" x14ac:dyDescent="0.25">
      <c r="A893" s="20">
        <f>+VLOOKUP(D893,Back!Q:R,2,0)</f>
        <v>9</v>
      </c>
      <c r="B893" s="20" t="str">
        <f t="shared" si="27"/>
        <v>2017 SEP</v>
      </c>
      <c r="C893" s="30">
        <v>2017</v>
      </c>
      <c r="D893" s="30" t="s">
        <v>165</v>
      </c>
      <c r="E893" s="30" t="s">
        <v>8</v>
      </c>
      <c r="F893" s="30">
        <v>43259130</v>
      </c>
      <c r="G893" s="30" t="s">
        <v>51</v>
      </c>
      <c r="H893" s="32">
        <v>76726342</v>
      </c>
      <c r="I893" s="32">
        <v>1886000</v>
      </c>
      <c r="J893" s="32">
        <v>15987298</v>
      </c>
      <c r="K893" s="33">
        <v>58853044</v>
      </c>
      <c r="L893" s="33">
        <v>43000000</v>
      </c>
      <c r="M893" s="34">
        <v>1.3686754418604652</v>
      </c>
      <c r="N893" s="209" t="str">
        <f>IFERROR(VLOOKUP(F893,Back!C:F,4,0),"NO")</f>
        <v>Si</v>
      </c>
      <c r="O893" s="26">
        <v>26</v>
      </c>
      <c r="P893" s="28" t="str">
        <f>IFERROR(VLOOKUP(F893,Back!C:E,3,0),"")</f>
        <v>IPS Pto De Vista Molinos</v>
      </c>
      <c r="Q893" s="28" t="str">
        <f>IFERROR(VLOOKUP(P893,Back!M:N,2,0),"")</f>
        <v>Antioquia</v>
      </c>
      <c r="R893" s="27" t="str">
        <f>IF(N893="Si",IFERROR(VLOOKUP(F893,'TD Cumpl'!B:AB,27,0),"No Aplica"),"No Aplica")</f>
        <v>Fluctúa</v>
      </c>
      <c r="S893" s="38">
        <v>126</v>
      </c>
      <c r="T893" s="36">
        <v>15396336</v>
      </c>
      <c r="U893" s="26">
        <v>281</v>
      </c>
      <c r="V893" s="37">
        <v>33916689</v>
      </c>
      <c r="W893" s="19">
        <v>171</v>
      </c>
      <c r="X893" s="37">
        <v>15987298</v>
      </c>
      <c r="Y893" s="46">
        <f t="shared" si="28"/>
        <v>11426019</v>
      </c>
    </row>
    <row r="894" spans="1:25" x14ac:dyDescent="0.25">
      <c r="A894" s="20">
        <f>+VLOOKUP(D894,Back!Q:R,2,0)</f>
        <v>9</v>
      </c>
      <c r="B894" s="20" t="str">
        <f t="shared" si="27"/>
        <v>2017 SEP</v>
      </c>
      <c r="C894" s="30">
        <v>2017</v>
      </c>
      <c r="D894" s="30" t="s">
        <v>165</v>
      </c>
      <c r="E894" s="30" t="s">
        <v>22</v>
      </c>
      <c r="F894" s="30">
        <v>42164020</v>
      </c>
      <c r="G894" s="30" t="s">
        <v>105</v>
      </c>
      <c r="H894" s="32">
        <v>67345706</v>
      </c>
      <c r="I894" s="32">
        <v>4758800</v>
      </c>
      <c r="J894" s="32">
        <v>14479668</v>
      </c>
      <c r="K894" s="33">
        <v>48107238</v>
      </c>
      <c r="L894" s="33">
        <v>43000000</v>
      </c>
      <c r="M894" s="34">
        <v>1.1187729767441861</v>
      </c>
      <c r="N894" s="209" t="str">
        <f>IFERROR(VLOOKUP(F894,Back!C:F,4,0),"NO")</f>
        <v>Si</v>
      </c>
      <c r="O894" s="26">
        <v>26</v>
      </c>
      <c r="P894" s="28" t="str">
        <f>IFERROR(VLOOKUP(F894,Back!C:E,3,0),"")</f>
        <v>IPS Pto De Vista Molinos</v>
      </c>
      <c r="Q894" s="28" t="str">
        <f>IFERROR(VLOOKUP(P894,Back!M:N,2,0),"")</f>
        <v>Antioquia</v>
      </c>
      <c r="R894" s="27" t="str">
        <f>IF(N894="Si",IFERROR(VLOOKUP(F894,'TD Cumpl'!B:AB,27,0),"No Aplica"),"No Aplica")</f>
        <v>Siempre Cumple</v>
      </c>
      <c r="S894" s="38">
        <v>119</v>
      </c>
      <c r="T894" s="36">
        <v>12167525</v>
      </c>
      <c r="U894" s="26">
        <v>272</v>
      </c>
      <c r="V894" s="37">
        <v>28308013</v>
      </c>
      <c r="W894" s="19">
        <v>157</v>
      </c>
      <c r="X894" s="37">
        <v>14479668</v>
      </c>
      <c r="Y894" s="46">
        <f t="shared" si="28"/>
        <v>12390500</v>
      </c>
    </row>
    <row r="895" spans="1:25" x14ac:dyDescent="0.25">
      <c r="A895" s="20">
        <f>+VLOOKUP(D895,Back!Q:R,2,0)</f>
        <v>9</v>
      </c>
      <c r="B895" s="20" t="str">
        <f t="shared" ref="B895:B958" si="29">MID(UPPER(C895&amp;" "&amp;D895),1,8)</f>
        <v>2017 SEP</v>
      </c>
      <c r="C895" s="30">
        <v>2017</v>
      </c>
      <c r="D895" s="30" t="s">
        <v>165</v>
      </c>
      <c r="E895" s="30" t="s">
        <v>3</v>
      </c>
      <c r="F895" s="30">
        <v>52725011</v>
      </c>
      <c r="G895" s="30" t="s">
        <v>42</v>
      </c>
      <c r="H895" s="32">
        <v>32411292</v>
      </c>
      <c r="I895" s="32">
        <v>440000</v>
      </c>
      <c r="J895" s="32">
        <v>6580607</v>
      </c>
      <c r="K895" s="33">
        <v>25390685</v>
      </c>
      <c r="L895" s="33">
        <v>20000000</v>
      </c>
      <c r="M895" s="34">
        <v>1.26953425</v>
      </c>
      <c r="N895" s="209" t="str">
        <f>IFERROR(VLOOKUP(F895,Back!C:F,4,0),"NO")</f>
        <v>Si</v>
      </c>
      <c r="O895" s="26">
        <v>26</v>
      </c>
      <c r="P895" s="28" t="str">
        <f>IFERROR(VLOOKUP(F895,Back!C:E,3,0),"")</f>
        <v>IPS Pto De Vista Olaya</v>
      </c>
      <c r="Q895" s="28" t="str">
        <f>IFERROR(VLOOKUP(P895,Back!M:N,2,0),"")</f>
        <v>Centro</v>
      </c>
      <c r="R895" s="27" t="str">
        <f>IF(N895="Si",IFERROR(VLOOKUP(F895,'TD Cumpl'!B:AB,27,0),"No Aplica"),"No Aplica")</f>
        <v>Fluctúa</v>
      </c>
      <c r="S895" s="38">
        <v>91</v>
      </c>
      <c r="T895" s="36">
        <v>5539263</v>
      </c>
      <c r="U895" s="26">
        <v>214</v>
      </c>
      <c r="V895" s="37">
        <v>17243595</v>
      </c>
      <c r="W895" s="19">
        <v>95</v>
      </c>
      <c r="X895" s="37">
        <v>6580607</v>
      </c>
      <c r="Y895" s="46">
        <f t="shared" si="28"/>
        <v>3047827</v>
      </c>
    </row>
    <row r="896" spans="1:25" x14ac:dyDescent="0.25">
      <c r="A896" s="20">
        <f>+VLOOKUP(D896,Back!Q:R,2,0)</f>
        <v>9</v>
      </c>
      <c r="B896" s="20" t="str">
        <f t="shared" si="29"/>
        <v>2017 SEP</v>
      </c>
      <c r="C896" s="30">
        <v>2017</v>
      </c>
      <c r="D896" s="30" t="s">
        <v>165</v>
      </c>
      <c r="E896" s="30" t="s">
        <v>4</v>
      </c>
      <c r="F896" s="30">
        <v>79701425</v>
      </c>
      <c r="G896" s="30" t="s">
        <v>27</v>
      </c>
      <c r="H896" s="32">
        <v>34609982</v>
      </c>
      <c r="I896" s="32">
        <v>524000</v>
      </c>
      <c r="J896" s="32">
        <v>7331319</v>
      </c>
      <c r="K896" s="33">
        <v>26754663</v>
      </c>
      <c r="L896" s="33">
        <v>20000000</v>
      </c>
      <c r="M896" s="34">
        <v>1.33773315</v>
      </c>
      <c r="N896" s="209" t="str">
        <f>IFERROR(VLOOKUP(F896,Back!C:F,4,0),"NO")</f>
        <v>No</v>
      </c>
      <c r="O896" s="26">
        <v>26</v>
      </c>
      <c r="P896" s="28" t="str">
        <f>IFERROR(VLOOKUP(F896,Back!C:E,3,0),"")</f>
        <v>IPS Pto De Vista Olaya</v>
      </c>
      <c r="Q896" s="28" t="str">
        <f>IFERROR(VLOOKUP(P896,Back!M:N,2,0),"")</f>
        <v>Centro</v>
      </c>
      <c r="R896" s="27" t="str">
        <f>IF(N896="Si",IFERROR(VLOOKUP(F896,'TD Cumpl'!B:AB,27,0),"No Aplica"),"No Aplica")</f>
        <v>No Aplica</v>
      </c>
      <c r="S896" s="38">
        <v>80</v>
      </c>
      <c r="T896" s="36">
        <v>5495349</v>
      </c>
      <c r="U896" s="26">
        <v>203</v>
      </c>
      <c r="V896" s="37">
        <v>17163688</v>
      </c>
      <c r="W896" s="19">
        <v>103</v>
      </c>
      <c r="X896" s="37">
        <v>7331319</v>
      </c>
      <c r="Y896" s="46">
        <f t="shared" si="28"/>
        <v>4619626</v>
      </c>
    </row>
    <row r="897" spans="1:25" x14ac:dyDescent="0.25">
      <c r="A897" s="20">
        <f>+VLOOKUP(D897,Back!Q:R,2,0)</f>
        <v>9</v>
      </c>
      <c r="B897" s="20" t="str">
        <f t="shared" si="29"/>
        <v>2017 SEP</v>
      </c>
      <c r="C897" s="30">
        <v>2017</v>
      </c>
      <c r="D897" s="30" t="s">
        <v>165</v>
      </c>
      <c r="E897" s="30" t="s">
        <v>66</v>
      </c>
      <c r="F897" s="30">
        <v>3438422</v>
      </c>
      <c r="G897" s="30" t="s">
        <v>71</v>
      </c>
      <c r="H897" s="32">
        <v>53311193</v>
      </c>
      <c r="I897" s="32">
        <v>852000</v>
      </c>
      <c r="J897" s="32">
        <v>7294190</v>
      </c>
      <c r="K897" s="33">
        <v>45165003</v>
      </c>
      <c r="L897" s="33">
        <v>43000000</v>
      </c>
      <c r="M897" s="34">
        <v>1.0503489069767442</v>
      </c>
      <c r="N897" s="209" t="str">
        <f>IFERROR(VLOOKUP(F897,Back!C:F,4,0),"NO")</f>
        <v>Si</v>
      </c>
      <c r="O897" s="26">
        <v>26</v>
      </c>
      <c r="P897" s="28" t="str">
        <f>IFERROR(VLOOKUP(F897,Back!C:E,3,0),"")</f>
        <v>IPS Pto De Vista Punto Clave</v>
      </c>
      <c r="Q897" s="28" t="str">
        <f>IFERROR(VLOOKUP(P897,Back!M:N,2,0),"")</f>
        <v>Antioquia</v>
      </c>
      <c r="R897" s="27" t="str">
        <f>IF(N897="Si",IFERROR(VLOOKUP(F897,'TD Cumpl'!B:AB,27,0),"No Aplica"),"No Aplica")</f>
        <v>Fluctúa</v>
      </c>
      <c r="S897" s="38">
        <v>79</v>
      </c>
      <c r="T897" s="36">
        <v>8323748</v>
      </c>
      <c r="U897" s="26">
        <v>176</v>
      </c>
      <c r="V897" s="37">
        <v>29083702</v>
      </c>
      <c r="W897" s="19">
        <v>86</v>
      </c>
      <c r="X897" s="37">
        <v>7294190</v>
      </c>
      <c r="Y897" s="46">
        <f t="shared" ref="Y897:Y960" si="30">+H897-X897-V897-T897</f>
        <v>8609553</v>
      </c>
    </row>
    <row r="898" spans="1:25" x14ac:dyDescent="0.25">
      <c r="A898" s="20">
        <f>+VLOOKUP(D898,Back!Q:R,2,0)</f>
        <v>9</v>
      </c>
      <c r="B898" s="20" t="str">
        <f t="shared" si="29"/>
        <v>2017 SEP</v>
      </c>
      <c r="C898" s="30">
        <v>2017</v>
      </c>
      <c r="D898" s="30" t="s">
        <v>165</v>
      </c>
      <c r="E898" s="30" t="s">
        <v>92</v>
      </c>
      <c r="F898" s="30">
        <v>1017167720</v>
      </c>
      <c r="G898" s="30" t="s">
        <v>96</v>
      </c>
      <c r="H898" s="32">
        <v>57142964</v>
      </c>
      <c r="I898" s="32">
        <v>812000</v>
      </c>
      <c r="J898" s="32">
        <v>9906381</v>
      </c>
      <c r="K898" s="33">
        <v>46424583</v>
      </c>
      <c r="L898" s="33">
        <v>43000000</v>
      </c>
      <c r="M898" s="34">
        <v>1.0796414651162791</v>
      </c>
      <c r="N898" s="209" t="str">
        <f>IFERROR(VLOOKUP(F898,Back!C:F,4,0),"NO")</f>
        <v>Si</v>
      </c>
      <c r="O898" s="26">
        <v>26</v>
      </c>
      <c r="P898" s="28" t="str">
        <f>IFERROR(VLOOKUP(F898,Back!C:E,3,0),"")</f>
        <v>IPS Pto De Vista Punto Clave</v>
      </c>
      <c r="Q898" s="28" t="str">
        <f>IFERROR(VLOOKUP(P898,Back!M:N,2,0),"")</f>
        <v>Antioquia</v>
      </c>
      <c r="R898" s="27" t="str">
        <f>IF(N898="Si",IFERROR(VLOOKUP(F898,'TD Cumpl'!B:AB,27,0),"No Aplica"),"No Aplica")</f>
        <v>Cumple</v>
      </c>
      <c r="S898" s="38">
        <v>104</v>
      </c>
      <c r="T898" s="36">
        <v>10993635</v>
      </c>
      <c r="U898" s="26">
        <v>216</v>
      </c>
      <c r="V898" s="37">
        <v>25596538</v>
      </c>
      <c r="W898" s="19">
        <v>109</v>
      </c>
      <c r="X898" s="37">
        <v>9906381</v>
      </c>
      <c r="Y898" s="46">
        <f t="shared" si="30"/>
        <v>10646410</v>
      </c>
    </row>
    <row r="899" spans="1:25" x14ac:dyDescent="0.25">
      <c r="A899" s="20">
        <f>+VLOOKUP(D899,Back!Q:R,2,0)</f>
        <v>9</v>
      </c>
      <c r="B899" s="20" t="str">
        <f t="shared" si="29"/>
        <v>2017 SEP</v>
      </c>
      <c r="C899" s="30">
        <v>2017</v>
      </c>
      <c r="D899" s="30" t="s">
        <v>165</v>
      </c>
      <c r="E899" s="30" t="s">
        <v>57</v>
      </c>
      <c r="F899" s="30">
        <v>43874518</v>
      </c>
      <c r="G899" s="30" t="s">
        <v>60</v>
      </c>
      <c r="H899" s="32">
        <v>55893206</v>
      </c>
      <c r="I899" s="32">
        <v>1656400</v>
      </c>
      <c r="J899" s="32">
        <v>9971865</v>
      </c>
      <c r="K899" s="33">
        <v>44264941</v>
      </c>
      <c r="L899" s="33">
        <v>43000000</v>
      </c>
      <c r="M899" s="34">
        <v>1.0294172325581394</v>
      </c>
      <c r="N899" s="209" t="str">
        <f>IFERROR(VLOOKUP(F899,Back!C:F,4,0),"NO")</f>
        <v>Si</v>
      </c>
      <c r="O899" s="26">
        <v>26</v>
      </c>
      <c r="P899" s="28" t="str">
        <f>IFERROR(VLOOKUP(F899,Back!C:E,3,0),"")</f>
        <v>IPS Pto De Vista Punto Clave</v>
      </c>
      <c r="Q899" s="28" t="str">
        <f>IFERROR(VLOOKUP(P899,Back!M:N,2,0),"")</f>
        <v>Antioquia</v>
      </c>
      <c r="R899" s="27" t="str">
        <f>IF(N899="Si",IFERROR(VLOOKUP(F899,'TD Cumpl'!B:AB,27,0),"No Aplica"),"No Aplica")</f>
        <v>Fluctúa</v>
      </c>
      <c r="S899" s="38">
        <v>103</v>
      </c>
      <c r="T899" s="36">
        <v>9804701</v>
      </c>
      <c r="U899" s="26">
        <v>260</v>
      </c>
      <c r="V899" s="37">
        <v>26410338</v>
      </c>
      <c r="W899" s="19">
        <v>111</v>
      </c>
      <c r="X899" s="37">
        <v>9971865</v>
      </c>
      <c r="Y899" s="46">
        <f t="shared" si="30"/>
        <v>9706302</v>
      </c>
    </row>
    <row r="900" spans="1:25" x14ac:dyDescent="0.25">
      <c r="A900" s="20">
        <f>+VLOOKUP(D900,Back!Q:R,2,0)</f>
        <v>9</v>
      </c>
      <c r="B900" s="20" t="str">
        <f t="shared" si="29"/>
        <v>2017 SEP</v>
      </c>
      <c r="C900" s="30">
        <v>2017</v>
      </c>
      <c r="D900" s="30" t="s">
        <v>165</v>
      </c>
      <c r="E900" s="30" t="s">
        <v>64</v>
      </c>
      <c r="F900" s="30">
        <v>1036598360</v>
      </c>
      <c r="G900" s="30" t="s">
        <v>146</v>
      </c>
      <c r="H900" s="32">
        <v>52026066</v>
      </c>
      <c r="I900" s="32">
        <v>1645400</v>
      </c>
      <c r="J900" s="32">
        <v>10145847</v>
      </c>
      <c r="K900" s="33">
        <v>40234819</v>
      </c>
      <c r="L900" s="33">
        <v>43000000</v>
      </c>
      <c r="M900" s="34">
        <v>0.93569346511627904</v>
      </c>
      <c r="N900" s="209" t="str">
        <f>IFERROR(VLOOKUP(F900,Back!C:F,4,0),"NO")</f>
        <v>Si</v>
      </c>
      <c r="O900" s="26">
        <v>26</v>
      </c>
      <c r="P900" s="28" t="str">
        <f>IFERROR(VLOOKUP(F900,Back!C:E,3,0),"")</f>
        <v>IPS Pto De Vista Punto Clave</v>
      </c>
      <c r="Q900" s="28" t="str">
        <f>IFERROR(VLOOKUP(P900,Back!M:N,2,0),"")</f>
        <v>Antioquia</v>
      </c>
      <c r="R900" s="27" t="str">
        <f>IF(N900="Si",IFERROR(VLOOKUP(F900,'TD Cumpl'!B:AB,27,0),"No Aplica"),"No Aplica")</f>
        <v>Fluctúa</v>
      </c>
      <c r="S900" s="38">
        <v>80</v>
      </c>
      <c r="T900" s="36">
        <v>8931808</v>
      </c>
      <c r="U900" s="26">
        <v>206</v>
      </c>
      <c r="V900" s="37">
        <v>24479902</v>
      </c>
      <c r="W900" s="19">
        <v>112</v>
      </c>
      <c r="X900" s="37">
        <v>10145847</v>
      </c>
      <c r="Y900" s="46">
        <f t="shared" si="30"/>
        <v>8468509</v>
      </c>
    </row>
    <row r="901" spans="1:25" x14ac:dyDescent="0.25">
      <c r="A901" s="20">
        <f>+VLOOKUP(D901,Back!Q:R,2,0)</f>
        <v>9</v>
      </c>
      <c r="B901" s="20" t="str">
        <f t="shared" si="29"/>
        <v>2017 SEP</v>
      </c>
      <c r="C901" s="30">
        <v>2017</v>
      </c>
      <c r="D901" s="30" t="s">
        <v>165</v>
      </c>
      <c r="E901" s="30" t="s">
        <v>90</v>
      </c>
      <c r="F901" s="30">
        <v>1020419011</v>
      </c>
      <c r="G901" s="30" t="s">
        <v>97</v>
      </c>
      <c r="H901" s="32">
        <v>48657536</v>
      </c>
      <c r="I901" s="32">
        <v>426000</v>
      </c>
      <c r="J901" s="32">
        <v>9703402</v>
      </c>
      <c r="K901" s="33">
        <v>38528134</v>
      </c>
      <c r="L901" s="33">
        <v>43000000</v>
      </c>
      <c r="M901" s="34">
        <v>0.89600311627906981</v>
      </c>
      <c r="N901" s="209" t="str">
        <f>IFERROR(VLOOKUP(F901,Back!C:F,4,0),"NO")</f>
        <v>Si</v>
      </c>
      <c r="O901" s="26">
        <v>26</v>
      </c>
      <c r="P901" s="28" t="str">
        <f>IFERROR(VLOOKUP(F901,Back!C:E,3,0),"")</f>
        <v>IPS Pto De Vista Punto Clave</v>
      </c>
      <c r="Q901" s="28" t="str">
        <f>IFERROR(VLOOKUP(P901,Back!M:N,2,0),"")</f>
        <v>Antioquia</v>
      </c>
      <c r="R901" s="27" t="str">
        <f>IF(N901="Si",IFERROR(VLOOKUP(F901,'TD Cumpl'!B:AB,27,0),"No Aplica"),"No Aplica")</f>
        <v>Cumple</v>
      </c>
      <c r="S901" s="38">
        <v>98</v>
      </c>
      <c r="T901" s="36">
        <v>9644037</v>
      </c>
      <c r="U901" s="26">
        <v>229</v>
      </c>
      <c r="V901" s="37">
        <v>22302665</v>
      </c>
      <c r="W901" s="19">
        <v>105</v>
      </c>
      <c r="X901" s="37">
        <v>9703402</v>
      </c>
      <c r="Y901" s="46">
        <f t="shared" si="30"/>
        <v>7007432</v>
      </c>
    </row>
    <row r="902" spans="1:25" x14ac:dyDescent="0.25">
      <c r="A902" s="20">
        <f>+VLOOKUP(D902,Back!Q:R,2,0)</f>
        <v>9</v>
      </c>
      <c r="B902" s="20" t="str">
        <f t="shared" si="29"/>
        <v>2017 SEP</v>
      </c>
      <c r="C902" s="30">
        <v>2017</v>
      </c>
      <c r="D902" s="30" t="s">
        <v>165</v>
      </c>
      <c r="E902" s="30" t="s">
        <v>117</v>
      </c>
      <c r="F902" s="30">
        <v>1020419615</v>
      </c>
      <c r="G902" s="30" t="s">
        <v>118</v>
      </c>
      <c r="H902" s="32">
        <v>43172678</v>
      </c>
      <c r="I902" s="32">
        <v>713600</v>
      </c>
      <c r="J902" s="32">
        <v>8285010</v>
      </c>
      <c r="K902" s="33">
        <v>34174068</v>
      </c>
      <c r="L902" s="33">
        <v>43000000</v>
      </c>
      <c r="M902" s="34">
        <v>0.79474576744186043</v>
      </c>
      <c r="N902" s="209" t="str">
        <f>IFERROR(VLOOKUP(F902,Back!C:F,4,0),"NO")</f>
        <v>Si</v>
      </c>
      <c r="O902" s="26">
        <v>26</v>
      </c>
      <c r="P902" s="28" t="str">
        <f>IFERROR(VLOOKUP(F902,Back!C:E,3,0),"")</f>
        <v>IPS Pto De Vista Punto Clave</v>
      </c>
      <c r="Q902" s="28" t="str">
        <f>IFERROR(VLOOKUP(P902,Back!M:N,2,0),"")</f>
        <v>Antioquia</v>
      </c>
      <c r="R902" s="27" t="str">
        <f>IF(N902="Si",IFERROR(VLOOKUP(F902,'TD Cumpl'!B:AB,27,0),"No Aplica"),"No Aplica")</f>
        <v>Cumple</v>
      </c>
      <c r="S902" s="38">
        <v>73</v>
      </c>
      <c r="T902" s="36">
        <v>6960347</v>
      </c>
      <c r="U902" s="26">
        <v>196</v>
      </c>
      <c r="V902" s="37">
        <v>20670281</v>
      </c>
      <c r="W902" s="19">
        <v>90</v>
      </c>
      <c r="X902" s="37">
        <v>8285010</v>
      </c>
      <c r="Y902" s="46">
        <f t="shared" si="30"/>
        <v>7257040</v>
      </c>
    </row>
    <row r="903" spans="1:25" x14ac:dyDescent="0.25">
      <c r="A903" s="20">
        <f>+VLOOKUP(D903,Back!Q:R,2,0)</f>
        <v>9</v>
      </c>
      <c r="B903" s="20" t="str">
        <f t="shared" si="29"/>
        <v>2017 SEP</v>
      </c>
      <c r="C903" s="30">
        <v>2017</v>
      </c>
      <c r="D903" s="30" t="s">
        <v>165</v>
      </c>
      <c r="E903" s="30" t="s">
        <v>166</v>
      </c>
      <c r="F903" s="30">
        <v>1020451288</v>
      </c>
      <c r="G903" s="30" t="s">
        <v>167</v>
      </c>
      <c r="H903" s="32">
        <v>25557271</v>
      </c>
      <c r="I903" s="32">
        <v>824000</v>
      </c>
      <c r="J903" s="32">
        <v>5186611</v>
      </c>
      <c r="K903" s="33">
        <v>19546660</v>
      </c>
      <c r="L903" s="33">
        <v>43000000</v>
      </c>
      <c r="M903" s="34">
        <v>0.45457348837209305</v>
      </c>
      <c r="N903" s="209" t="str">
        <f>IFERROR(VLOOKUP(F903,Back!C:F,4,0),"NO")</f>
        <v>Si</v>
      </c>
      <c r="O903" s="26">
        <v>26</v>
      </c>
      <c r="P903" s="28" t="str">
        <f>IFERROR(VLOOKUP(F903,Back!C:E,3,0),"")</f>
        <v>IPS Pto De Vista Punto Clave</v>
      </c>
      <c r="Q903" s="28" t="str">
        <f>IFERROR(VLOOKUP(P903,Back!M:N,2,0),"")</f>
        <v>Antioquia</v>
      </c>
      <c r="R903" s="27" t="str">
        <f>IF(N903="Si",IFERROR(VLOOKUP(F903,'TD Cumpl'!B:AB,27,0),"No Aplica"),"No Aplica")</f>
        <v>Cumple</v>
      </c>
      <c r="S903" s="38">
        <v>43</v>
      </c>
      <c r="T903" s="36">
        <v>4643197</v>
      </c>
      <c r="U903" s="26">
        <v>97</v>
      </c>
      <c r="V903" s="37">
        <v>13128445</v>
      </c>
      <c r="W903" s="19">
        <v>55</v>
      </c>
      <c r="X903" s="37">
        <v>5186611</v>
      </c>
      <c r="Y903" s="46">
        <f t="shared" si="30"/>
        <v>2599018</v>
      </c>
    </row>
    <row r="904" spans="1:25" x14ac:dyDescent="0.25">
      <c r="A904" s="20">
        <f>+VLOOKUP(D904,Back!Q:R,2,0)</f>
        <v>9</v>
      </c>
      <c r="B904" s="20" t="str">
        <f t="shared" si="29"/>
        <v>2017 SEP</v>
      </c>
      <c r="C904" s="30">
        <v>2017</v>
      </c>
      <c r="D904" s="30" t="s">
        <v>165</v>
      </c>
      <c r="E904" s="30" t="s">
        <v>25</v>
      </c>
      <c r="F904" s="30">
        <v>1040030764</v>
      </c>
      <c r="G904" s="30" t="s">
        <v>43</v>
      </c>
      <c r="H904" s="32">
        <v>53556606</v>
      </c>
      <c r="I904" s="32">
        <v>1994200</v>
      </c>
      <c r="J904" s="32">
        <v>10268362</v>
      </c>
      <c r="K904" s="33">
        <v>41294044</v>
      </c>
      <c r="L904" s="33">
        <v>33000000</v>
      </c>
      <c r="M904" s="34">
        <v>1.2513346666666667</v>
      </c>
      <c r="N904" s="209" t="str">
        <f>IFERROR(VLOOKUP(F904,Back!C:F,4,0),"NO")</f>
        <v>Si</v>
      </c>
      <c r="O904" s="26">
        <v>26</v>
      </c>
      <c r="P904" s="28" t="str">
        <f>IFERROR(VLOOKUP(F904,Back!C:E,3,0),"")</f>
        <v>IPS Pto De Vista Rionegro</v>
      </c>
      <c r="Q904" s="28" t="str">
        <f>IFERROR(VLOOKUP(P904,Back!M:N,2,0),"")</f>
        <v>Antioquia</v>
      </c>
      <c r="R904" s="27" t="str">
        <f>IF(N904="Si",IFERROR(VLOOKUP(F904,'TD Cumpl'!B:AB,27,0),"No Aplica"),"No Aplica")</f>
        <v>Cumple</v>
      </c>
      <c r="S904" s="38">
        <v>93</v>
      </c>
      <c r="T904" s="36">
        <v>10581093</v>
      </c>
      <c r="U904" s="26">
        <v>244</v>
      </c>
      <c r="V904" s="37">
        <v>27068065</v>
      </c>
      <c r="W904" s="19">
        <v>115</v>
      </c>
      <c r="X904" s="37">
        <v>10268362</v>
      </c>
      <c r="Y904" s="46">
        <f t="shared" si="30"/>
        <v>5639086</v>
      </c>
    </row>
    <row r="905" spans="1:25" x14ac:dyDescent="0.25">
      <c r="A905" s="20">
        <f>+VLOOKUP(D905,Back!Q:R,2,0)</f>
        <v>9</v>
      </c>
      <c r="B905" s="20" t="str">
        <f t="shared" si="29"/>
        <v>2017 SEP</v>
      </c>
      <c r="C905" s="30">
        <v>2017</v>
      </c>
      <c r="D905" s="30" t="s">
        <v>165</v>
      </c>
      <c r="E905" s="30" t="s">
        <v>37</v>
      </c>
      <c r="F905" s="30">
        <v>1036779770</v>
      </c>
      <c r="G905" s="30" t="s">
        <v>52</v>
      </c>
      <c r="H905" s="32">
        <v>21697024</v>
      </c>
      <c r="I905" s="32">
        <v>598400</v>
      </c>
      <c r="J905" s="32">
        <v>5315443</v>
      </c>
      <c r="K905" s="33">
        <v>15783181</v>
      </c>
      <c r="L905" s="33">
        <v>27923076.923076924</v>
      </c>
      <c r="M905" s="34">
        <v>0.56523788705234157</v>
      </c>
      <c r="N905" s="209" t="str">
        <f>IFERROR(VLOOKUP(F905,Back!C:F,4,0),"NO")</f>
        <v>No</v>
      </c>
      <c r="O905" s="26">
        <v>26</v>
      </c>
      <c r="P905" s="28" t="str">
        <f>IFERROR(VLOOKUP(F905,Back!C:E,3,0),"")</f>
        <v>IPS Pto De Vista Rionegro</v>
      </c>
      <c r="Q905" s="28" t="str">
        <f>IFERROR(VLOOKUP(P905,Back!M:N,2,0),"")</f>
        <v>Antioquia</v>
      </c>
      <c r="R905" s="27" t="str">
        <f>IF(N905="Si",IFERROR(VLOOKUP(F905,'TD Cumpl'!B:AB,27,0),"No Aplica"),"No Aplica")</f>
        <v>No Aplica</v>
      </c>
      <c r="S905" s="38">
        <v>38</v>
      </c>
      <c r="T905" s="36">
        <v>3875038</v>
      </c>
      <c r="U905" s="26">
        <v>92</v>
      </c>
      <c r="V905" s="37">
        <v>9818332</v>
      </c>
      <c r="W905" s="19">
        <v>58</v>
      </c>
      <c r="X905" s="37">
        <v>5315443</v>
      </c>
      <c r="Y905" s="46">
        <f t="shared" si="30"/>
        <v>2688211</v>
      </c>
    </row>
    <row r="906" spans="1:25" x14ac:dyDescent="0.25">
      <c r="A906" s="20">
        <f>+VLOOKUP(D906,Back!Q:R,2,0)</f>
        <v>9</v>
      </c>
      <c r="B906" s="20" t="str">
        <f t="shared" si="29"/>
        <v>2017 SEP</v>
      </c>
      <c r="C906" s="30">
        <v>2017</v>
      </c>
      <c r="D906" s="30" t="s">
        <v>165</v>
      </c>
      <c r="E906" s="30" t="s">
        <v>24</v>
      </c>
      <c r="F906" s="30">
        <v>39448823</v>
      </c>
      <c r="G906" s="30" t="s">
        <v>48</v>
      </c>
      <c r="H906" s="32">
        <v>53581261</v>
      </c>
      <c r="I906" s="32">
        <v>2172400</v>
      </c>
      <c r="J906" s="32">
        <v>9094232</v>
      </c>
      <c r="K906" s="33">
        <v>42314629</v>
      </c>
      <c r="L906" s="33">
        <v>33000000</v>
      </c>
      <c r="M906" s="34">
        <v>1.2822614848484848</v>
      </c>
      <c r="N906" s="209" t="str">
        <f>IFERROR(VLOOKUP(F906,Back!C:F,4,0),"NO")</f>
        <v>Si</v>
      </c>
      <c r="O906" s="26">
        <v>26</v>
      </c>
      <c r="P906" s="28" t="str">
        <f>IFERROR(VLOOKUP(F906,Back!C:E,3,0),"")</f>
        <v>IPS Pto De Vista Rionegro</v>
      </c>
      <c r="Q906" s="28" t="str">
        <f>IFERROR(VLOOKUP(P906,Back!M:N,2,0),"")</f>
        <v>Antioquia</v>
      </c>
      <c r="R906" s="27" t="str">
        <f>IF(N906="Si",IFERROR(VLOOKUP(F906,'TD Cumpl'!B:AB,27,0),"No Aplica"),"No Aplica")</f>
        <v>Siempre Cumple</v>
      </c>
      <c r="S906" s="38">
        <v>90</v>
      </c>
      <c r="T906" s="36">
        <v>10834826</v>
      </c>
      <c r="U906" s="26">
        <v>223</v>
      </c>
      <c r="V906" s="37">
        <v>26909882</v>
      </c>
      <c r="W906" s="19">
        <v>111</v>
      </c>
      <c r="X906" s="37">
        <v>9094232</v>
      </c>
      <c r="Y906" s="46">
        <f t="shared" si="30"/>
        <v>6742321</v>
      </c>
    </row>
    <row r="907" spans="1:25" x14ac:dyDescent="0.25">
      <c r="A907" s="20">
        <f>+VLOOKUP(D907,Back!Q:R,2,0)</f>
        <v>9</v>
      </c>
      <c r="B907" s="20" t="str">
        <f t="shared" si="29"/>
        <v>2017 SEP</v>
      </c>
      <c r="C907" s="30">
        <v>2017</v>
      </c>
      <c r="D907" s="30" t="s">
        <v>165</v>
      </c>
      <c r="E907" s="30" t="s">
        <v>9</v>
      </c>
      <c r="F907" s="30">
        <v>43169964</v>
      </c>
      <c r="G907" s="30" t="s">
        <v>155</v>
      </c>
      <c r="H907" s="32">
        <v>56854408</v>
      </c>
      <c r="I907" s="32">
        <v>2988000</v>
      </c>
      <c r="J907" s="32">
        <v>10278527</v>
      </c>
      <c r="K907" s="33">
        <v>43587881</v>
      </c>
      <c r="L907" s="33">
        <v>41461538.461538464</v>
      </c>
      <c r="M907" s="34">
        <v>1.0512846994434137</v>
      </c>
      <c r="N907" s="209" t="str">
        <f>IFERROR(VLOOKUP(F907,Back!C:F,4,0),"NO")</f>
        <v>Si</v>
      </c>
      <c r="O907" s="26">
        <v>26</v>
      </c>
      <c r="P907" s="28" t="str">
        <f>IFERROR(VLOOKUP(F907,Back!C:E,3,0),"")</f>
        <v>IPS Pto De Vista Molinos</v>
      </c>
      <c r="Q907" s="28" t="str">
        <f>IFERROR(VLOOKUP(P907,Back!M:N,2,0),"")</f>
        <v>Antioquia</v>
      </c>
      <c r="R907" s="27" t="str">
        <f>IF(N907="Si",IFERROR(VLOOKUP(F907,'TD Cumpl'!B:AB,27,0),"No Aplica"),"No Aplica")</f>
        <v>Cumple</v>
      </c>
      <c r="S907" s="38">
        <v>96</v>
      </c>
      <c r="T907" s="36">
        <v>9999391</v>
      </c>
      <c r="U907" s="26">
        <v>249</v>
      </c>
      <c r="V907" s="37">
        <v>28425995</v>
      </c>
      <c r="W907" s="19">
        <v>111</v>
      </c>
      <c r="X907" s="37">
        <v>10278527</v>
      </c>
      <c r="Y907" s="46">
        <f t="shared" si="30"/>
        <v>8150495</v>
      </c>
    </row>
    <row r="908" spans="1:25" x14ac:dyDescent="0.25">
      <c r="A908" s="20">
        <f>+VLOOKUP(D908,Back!Q:R,2,0)</f>
        <v>9</v>
      </c>
      <c r="B908" s="20" t="str">
        <f t="shared" si="29"/>
        <v>2017 SEP</v>
      </c>
      <c r="C908" s="30">
        <v>2017</v>
      </c>
      <c r="D908" s="30" t="s">
        <v>165</v>
      </c>
      <c r="E908" s="30" t="s">
        <v>81</v>
      </c>
      <c r="F908" s="30">
        <v>1017200970</v>
      </c>
      <c r="G908" s="30" t="s">
        <v>82</v>
      </c>
      <c r="H908" s="32">
        <v>46822213</v>
      </c>
      <c r="I908" s="32">
        <v>1429600</v>
      </c>
      <c r="J908" s="32">
        <v>10220747</v>
      </c>
      <c r="K908" s="33">
        <v>35171866</v>
      </c>
      <c r="L908" s="33">
        <v>30100000</v>
      </c>
      <c r="M908" s="34">
        <v>1.1685005315614618</v>
      </c>
      <c r="N908" s="209" t="str">
        <f>IFERROR(VLOOKUP(F908,Back!C:F,4,0),"NO")</f>
        <v>Si</v>
      </c>
      <c r="O908" s="26">
        <v>26</v>
      </c>
      <c r="P908" s="28" t="str">
        <f>IFERROR(VLOOKUP(F908,Back!C:E,3,0),"")</f>
        <v>IPS Pto De Vista San Diego</v>
      </c>
      <c r="Q908" s="28" t="str">
        <f>IFERROR(VLOOKUP(P908,Back!M:N,2,0),"")</f>
        <v>Antioquia</v>
      </c>
      <c r="R908" s="27" t="str">
        <f>IF(N908="Si",IFERROR(VLOOKUP(F908,'TD Cumpl'!B:AB,27,0),"No Aplica"),"No Aplica")</f>
        <v>Cumple</v>
      </c>
      <c r="S908" s="38">
        <v>71</v>
      </c>
      <c r="T908" s="36">
        <v>8381286</v>
      </c>
      <c r="U908" s="26">
        <v>168</v>
      </c>
      <c r="V908" s="37">
        <v>19558892</v>
      </c>
      <c r="W908" s="19">
        <v>117</v>
      </c>
      <c r="X908" s="37">
        <v>10220747</v>
      </c>
      <c r="Y908" s="46">
        <f t="shared" si="30"/>
        <v>8661288</v>
      </c>
    </row>
    <row r="909" spans="1:25" x14ac:dyDescent="0.25">
      <c r="A909" s="20">
        <f>+VLOOKUP(D909,Back!Q:R,2,0)</f>
        <v>9</v>
      </c>
      <c r="B909" s="20" t="str">
        <f t="shared" si="29"/>
        <v>2017 SEP</v>
      </c>
      <c r="C909" s="30">
        <v>2017</v>
      </c>
      <c r="D909" s="30" t="s">
        <v>165</v>
      </c>
      <c r="E909" s="30" t="s">
        <v>91</v>
      </c>
      <c r="F909" s="30">
        <v>43114534</v>
      </c>
      <c r="G909" s="30" t="s">
        <v>95</v>
      </c>
      <c r="H909" s="32">
        <v>46390157</v>
      </c>
      <c r="I909" s="32">
        <v>1720000</v>
      </c>
      <c r="J909" s="32">
        <v>10023653</v>
      </c>
      <c r="K909" s="33">
        <v>34646504</v>
      </c>
      <c r="L909" s="33">
        <v>30100000</v>
      </c>
      <c r="M909" s="34">
        <v>1.1510466445182723</v>
      </c>
      <c r="N909" s="209" t="str">
        <f>IFERROR(VLOOKUP(F909,Back!C:F,4,0),"NO")</f>
        <v>No</v>
      </c>
      <c r="O909" s="26">
        <v>26</v>
      </c>
      <c r="P909" s="28" t="str">
        <f>IFERROR(VLOOKUP(F909,Back!C:E,3,0),"")</f>
        <v>IPS Pto De Vista San Diego</v>
      </c>
      <c r="Q909" s="28" t="str">
        <f>IFERROR(VLOOKUP(P909,Back!M:N,2,0),"")</f>
        <v>Antioquia</v>
      </c>
      <c r="R909" s="27" t="str">
        <f>IF(N909="Si",IFERROR(VLOOKUP(F909,'TD Cumpl'!B:AB,27,0),"No Aplica"),"No Aplica")</f>
        <v>No Aplica</v>
      </c>
      <c r="S909" s="38">
        <v>86</v>
      </c>
      <c r="T909" s="36">
        <v>8037824</v>
      </c>
      <c r="U909" s="26">
        <v>260</v>
      </c>
      <c r="V909" s="37">
        <v>22761688</v>
      </c>
      <c r="W909" s="19">
        <v>111</v>
      </c>
      <c r="X909" s="37">
        <v>10023653</v>
      </c>
      <c r="Y909" s="46">
        <f t="shared" si="30"/>
        <v>5566992</v>
      </c>
    </row>
    <row r="910" spans="1:25" x14ac:dyDescent="0.25">
      <c r="A910" s="20">
        <f>+VLOOKUP(D910,Back!Q:R,2,0)</f>
        <v>9</v>
      </c>
      <c r="B910" s="20" t="str">
        <f t="shared" si="29"/>
        <v>2017 SEP</v>
      </c>
      <c r="C910" s="30">
        <v>2017</v>
      </c>
      <c r="D910" s="30" t="s">
        <v>165</v>
      </c>
      <c r="E910" s="30" t="s">
        <v>17</v>
      </c>
      <c r="F910" s="30">
        <v>43113640</v>
      </c>
      <c r="G910" s="30" t="s">
        <v>47</v>
      </c>
      <c r="H910" s="32">
        <v>44428487</v>
      </c>
      <c r="I910" s="32">
        <v>1404000</v>
      </c>
      <c r="J910" s="32">
        <v>8198768</v>
      </c>
      <c r="K910" s="33">
        <v>34825719</v>
      </c>
      <c r="L910" s="33">
        <v>30100000</v>
      </c>
      <c r="M910" s="34">
        <v>1.1570006312292358</v>
      </c>
      <c r="N910" s="209" t="str">
        <f>IFERROR(VLOOKUP(F910,Back!C:F,4,0),"NO")</f>
        <v>Si</v>
      </c>
      <c r="O910" s="26">
        <v>26</v>
      </c>
      <c r="P910" s="28" t="str">
        <f>IFERROR(VLOOKUP(F910,Back!C:E,3,0),"")</f>
        <v>IPS Pto De Vista San Diego</v>
      </c>
      <c r="Q910" s="28" t="str">
        <f>IFERROR(VLOOKUP(P910,Back!M:N,2,0),"")</f>
        <v>Antioquia</v>
      </c>
      <c r="R910" s="27" t="str">
        <f>IF(N910="Si",IFERROR(VLOOKUP(F910,'TD Cumpl'!B:AB,27,0),"No Aplica"),"No Aplica")</f>
        <v>Cumple</v>
      </c>
      <c r="S910" s="38">
        <v>81</v>
      </c>
      <c r="T910" s="36">
        <v>9539533</v>
      </c>
      <c r="U910" s="26">
        <v>173</v>
      </c>
      <c r="V910" s="37">
        <v>20041948</v>
      </c>
      <c r="W910" s="19">
        <v>94</v>
      </c>
      <c r="X910" s="37">
        <v>8198768</v>
      </c>
      <c r="Y910" s="46">
        <f t="shared" si="30"/>
        <v>6648238</v>
      </c>
    </row>
    <row r="911" spans="1:25" x14ac:dyDescent="0.25">
      <c r="A911" s="20">
        <f>+VLOOKUP(D911,Back!Q:R,2,0)</f>
        <v>9</v>
      </c>
      <c r="B911" s="20" t="str">
        <f t="shared" si="29"/>
        <v>2017 SEP</v>
      </c>
      <c r="C911" s="30">
        <v>2017</v>
      </c>
      <c r="D911" s="30" t="s">
        <v>165</v>
      </c>
      <c r="E911" s="30" t="s">
        <v>84</v>
      </c>
      <c r="F911" s="30">
        <v>1020736461</v>
      </c>
      <c r="G911" s="30" t="s">
        <v>156</v>
      </c>
      <c r="H911" s="32">
        <v>42520559</v>
      </c>
      <c r="I911" s="32">
        <v>0</v>
      </c>
      <c r="J911" s="32">
        <v>6340285</v>
      </c>
      <c r="K911" s="33">
        <v>36180274</v>
      </c>
      <c r="L911" s="33">
        <v>22000000</v>
      </c>
      <c r="M911" s="34">
        <v>1.644557909090909</v>
      </c>
      <c r="N911" s="209" t="str">
        <f>IFERROR(VLOOKUP(F911,Back!C:F,4,0),"NO")</f>
        <v>Si</v>
      </c>
      <c r="O911" s="26">
        <v>26</v>
      </c>
      <c r="P911" s="28" t="str">
        <f>IFERROR(VLOOKUP(F911,Back!C:E,3,0),"")</f>
        <v>IPS Pto De Vista Santa Bárbara</v>
      </c>
      <c r="Q911" s="28" t="str">
        <f>IFERROR(VLOOKUP(P911,Back!M:N,2,0),"")</f>
        <v>Centro</v>
      </c>
      <c r="R911" s="27" t="str">
        <f>IF(N911="Si",IFERROR(VLOOKUP(F911,'TD Cumpl'!B:AB,27,0),"No Aplica"),"No Aplica")</f>
        <v>Siempre Cumple</v>
      </c>
      <c r="S911" s="38">
        <v>73</v>
      </c>
      <c r="T911" s="36">
        <v>7976423</v>
      </c>
      <c r="U911" s="26">
        <v>194</v>
      </c>
      <c r="V911" s="37">
        <v>25993759</v>
      </c>
      <c r="W911" s="19">
        <v>93</v>
      </c>
      <c r="X911" s="37">
        <v>6340285</v>
      </c>
      <c r="Y911" s="46">
        <f t="shared" si="30"/>
        <v>2210092</v>
      </c>
    </row>
    <row r="912" spans="1:25" x14ac:dyDescent="0.25">
      <c r="A912" s="20">
        <f>+VLOOKUP(D912,Back!Q:R,2,0)</f>
        <v>9</v>
      </c>
      <c r="B912" s="20" t="str">
        <f t="shared" si="29"/>
        <v>2017 SEP</v>
      </c>
      <c r="C912" s="30">
        <v>2017</v>
      </c>
      <c r="D912" s="30" t="s">
        <v>165</v>
      </c>
      <c r="E912" s="30" t="s">
        <v>2</v>
      </c>
      <c r="F912" s="30">
        <v>52260671</v>
      </c>
      <c r="G912" s="30" t="s">
        <v>26</v>
      </c>
      <c r="H912" s="32">
        <v>34475982</v>
      </c>
      <c r="I912" s="32">
        <v>1577160</v>
      </c>
      <c r="J912" s="32">
        <v>3980828</v>
      </c>
      <c r="K912" s="33">
        <v>28917994</v>
      </c>
      <c r="L912" s="33">
        <v>22000000</v>
      </c>
      <c r="M912" s="34">
        <v>1.3144542727272728</v>
      </c>
      <c r="N912" s="209" t="str">
        <f>IFERROR(VLOOKUP(F912,Back!C:F,4,0),"NO")</f>
        <v>Si</v>
      </c>
      <c r="O912" s="26">
        <v>26</v>
      </c>
      <c r="P912" s="28" t="str">
        <f>IFERROR(VLOOKUP(F912,Back!C:E,3,0),"")</f>
        <v>IPS Pto De Vista Santa Bárbara</v>
      </c>
      <c r="Q912" s="28" t="str">
        <f>IFERROR(VLOOKUP(P912,Back!M:N,2,0),"")</f>
        <v>Centro</v>
      </c>
      <c r="R912" s="27" t="str">
        <f>IF(N912="Si",IFERROR(VLOOKUP(F912,'TD Cumpl'!B:AB,27,0),"No Aplica"),"No Aplica")</f>
        <v>Siempre Cumple</v>
      </c>
      <c r="S912" s="38">
        <v>61</v>
      </c>
      <c r="T912" s="36">
        <v>7507856</v>
      </c>
      <c r="U912" s="26">
        <v>160</v>
      </c>
      <c r="V912" s="37">
        <v>18273740</v>
      </c>
      <c r="W912" s="19">
        <v>67</v>
      </c>
      <c r="X912" s="37">
        <v>3980828</v>
      </c>
      <c r="Y912" s="46">
        <f t="shared" si="30"/>
        <v>4713558</v>
      </c>
    </row>
    <row r="913" spans="1:25" x14ac:dyDescent="0.25">
      <c r="A913" s="20">
        <f>+VLOOKUP(D913,Back!Q:R,2,0)</f>
        <v>9</v>
      </c>
      <c r="B913" s="20" t="str">
        <f t="shared" si="29"/>
        <v>2017 SEP</v>
      </c>
      <c r="C913" s="30">
        <v>2017</v>
      </c>
      <c r="D913" s="30" t="s">
        <v>165</v>
      </c>
      <c r="E913" s="30" t="s">
        <v>102</v>
      </c>
      <c r="F913" s="30">
        <v>79850984</v>
      </c>
      <c r="G913" s="30" t="s">
        <v>106</v>
      </c>
      <c r="H913" s="32">
        <v>29780654</v>
      </c>
      <c r="I913" s="32">
        <v>1156000</v>
      </c>
      <c r="J913" s="32">
        <v>4967368</v>
      </c>
      <c r="K913" s="33">
        <v>23657286</v>
      </c>
      <c r="L913" s="33">
        <v>22000000</v>
      </c>
      <c r="M913" s="34">
        <v>1.0753311818181819</v>
      </c>
      <c r="N913" s="209" t="str">
        <f>IFERROR(VLOOKUP(F913,Back!C:F,4,0),"NO")</f>
        <v>Si</v>
      </c>
      <c r="O913" s="26">
        <v>26</v>
      </c>
      <c r="P913" s="28" t="str">
        <f>IFERROR(VLOOKUP(F913,Back!C:E,3,0),"")</f>
        <v>IPS Pto De Vista SSura Clle100</v>
      </c>
      <c r="Q913" s="28" t="str">
        <f>IFERROR(VLOOKUP(P913,Back!M:N,2,0),"")</f>
        <v>Centro</v>
      </c>
      <c r="R913" s="27" t="str">
        <f>IF(N913="Si",IFERROR(VLOOKUP(F913,'TD Cumpl'!B:AB,27,0),"No Aplica"),"No Aplica")</f>
        <v>Fluctúa</v>
      </c>
      <c r="S913" s="38">
        <v>53</v>
      </c>
      <c r="T913" s="36">
        <v>4698201</v>
      </c>
      <c r="U913" s="26">
        <v>175</v>
      </c>
      <c r="V913" s="37">
        <v>16247255</v>
      </c>
      <c r="W913" s="19">
        <v>74</v>
      </c>
      <c r="X913" s="37">
        <v>4967368</v>
      </c>
      <c r="Y913" s="46">
        <f t="shared" si="30"/>
        <v>3867830</v>
      </c>
    </row>
    <row r="914" spans="1:25" x14ac:dyDescent="0.25">
      <c r="A914" s="20">
        <f>+VLOOKUP(D914,Back!Q:R,2,0)</f>
        <v>9</v>
      </c>
      <c r="B914" s="20" t="str">
        <f t="shared" si="29"/>
        <v>2017 SEP</v>
      </c>
      <c r="C914" s="30">
        <v>2017</v>
      </c>
      <c r="D914" s="30" t="s">
        <v>165</v>
      </c>
      <c r="E914" s="30" t="s">
        <v>38</v>
      </c>
      <c r="F914" s="30">
        <v>43745192</v>
      </c>
      <c r="G914" s="30" t="s">
        <v>45</v>
      </c>
      <c r="H914" s="32">
        <v>31456835</v>
      </c>
      <c r="I914" s="32">
        <v>0</v>
      </c>
      <c r="J914" s="32">
        <v>2297825</v>
      </c>
      <c r="K914" s="33">
        <v>29159010</v>
      </c>
      <c r="L914" s="33">
        <v>25000000</v>
      </c>
      <c r="M914" s="34">
        <v>1.1663604000000001</v>
      </c>
      <c r="N914" s="209" t="str">
        <f>IFERROR(VLOOKUP(F914,Back!C:F,4,0),"NO")</f>
        <v>Si</v>
      </c>
      <c r="O914" s="26">
        <v>26</v>
      </c>
      <c r="P914" s="28" t="str">
        <f>IFERROR(VLOOKUP(F914,Back!C:E,3,0),"")</f>
        <v>IPS Punto de Vista Mayorca</v>
      </c>
      <c r="Q914" s="28" t="str">
        <f>IFERROR(VLOOKUP(P914,Back!M:N,2,0),"")</f>
        <v>Antioquia</v>
      </c>
      <c r="R914" s="27" t="str">
        <f>IF(N914="Si",IFERROR(VLOOKUP(F914,'TD Cumpl'!B:AB,27,0),"No Aplica"),"No Aplica")</f>
        <v>Cumple</v>
      </c>
      <c r="S914" s="38">
        <v>47</v>
      </c>
      <c r="T914" s="36">
        <v>7268745</v>
      </c>
      <c r="U914" s="26">
        <v>149</v>
      </c>
      <c r="V914" s="37">
        <v>20742625</v>
      </c>
      <c r="W914" s="19">
        <v>35</v>
      </c>
      <c r="X914" s="37">
        <v>2297825</v>
      </c>
      <c r="Y914" s="46">
        <f t="shared" si="30"/>
        <v>1147640</v>
      </c>
    </row>
    <row r="915" spans="1:25" x14ac:dyDescent="0.25">
      <c r="A915" s="20">
        <f>+VLOOKUP(D915,Back!Q:R,2,0)</f>
        <v>9</v>
      </c>
      <c r="B915" s="20" t="str">
        <f t="shared" si="29"/>
        <v>2017 SEP</v>
      </c>
      <c r="C915" s="30">
        <v>2017</v>
      </c>
      <c r="D915" s="30" t="s">
        <v>165</v>
      </c>
      <c r="E915" s="30" t="s">
        <v>7</v>
      </c>
      <c r="F915" s="30">
        <v>43745952</v>
      </c>
      <c r="G915" s="30" t="s">
        <v>50</v>
      </c>
      <c r="H915" s="32">
        <v>79553715</v>
      </c>
      <c r="I915" s="32">
        <v>1622000</v>
      </c>
      <c r="J915" s="32">
        <v>14051347</v>
      </c>
      <c r="K915" s="33">
        <v>63880368</v>
      </c>
      <c r="L915" s="33">
        <v>34730769.230769232</v>
      </c>
      <c r="M915" s="34">
        <v>1.8393018471760796</v>
      </c>
      <c r="N915" s="209" t="str">
        <f>IFERROR(VLOOKUP(F915,Back!C:F,4,0),"NO")</f>
        <v>Si</v>
      </c>
      <c r="O915" s="26">
        <v>26</v>
      </c>
      <c r="P915" s="28" t="str">
        <f>IFERROR(VLOOKUP(F915,Back!C:E,3,0),"")</f>
        <v>IPS Pto De Vista Unicentro</v>
      </c>
      <c r="Q915" s="28" t="str">
        <f>IFERROR(VLOOKUP(P915,Back!M:N,2,0),"")</f>
        <v>Antioquia</v>
      </c>
      <c r="R915" s="27" t="str">
        <f>IF(N915="Si",IFERROR(VLOOKUP(F915,'TD Cumpl'!B:AB,27,0),"No Aplica"),"No Aplica")</f>
        <v>Siempre Cumple</v>
      </c>
      <c r="S915" s="38">
        <v>128</v>
      </c>
      <c r="T915" s="36">
        <v>13934960</v>
      </c>
      <c r="U915" s="26">
        <v>329</v>
      </c>
      <c r="V915" s="37">
        <v>37611029</v>
      </c>
      <c r="W915" s="19">
        <v>161</v>
      </c>
      <c r="X915" s="37">
        <v>14051347</v>
      </c>
      <c r="Y915" s="46">
        <f t="shared" si="30"/>
        <v>13956379</v>
      </c>
    </row>
    <row r="916" spans="1:25" x14ac:dyDescent="0.25">
      <c r="A916" s="20">
        <f>+VLOOKUP(D916,Back!Q:R,2,0)</f>
        <v>9</v>
      </c>
      <c r="B916" s="20" t="str">
        <f t="shared" si="29"/>
        <v>2017 SEP</v>
      </c>
      <c r="C916" s="30">
        <v>2017</v>
      </c>
      <c r="D916" s="30" t="s">
        <v>165</v>
      </c>
      <c r="E916" s="30" t="s">
        <v>6</v>
      </c>
      <c r="F916" s="30">
        <v>43821410</v>
      </c>
      <c r="G916" s="30" t="s">
        <v>40</v>
      </c>
      <c r="H916" s="32">
        <v>40625328</v>
      </c>
      <c r="I916" s="32">
        <v>1157600</v>
      </c>
      <c r="J916" s="32">
        <v>6733403</v>
      </c>
      <c r="K916" s="33">
        <v>32734325</v>
      </c>
      <c r="L916" s="33">
        <v>14884615.384615384</v>
      </c>
      <c r="M916" s="34">
        <v>2.199205297157623</v>
      </c>
      <c r="N916" s="209" t="str">
        <f>IFERROR(VLOOKUP(F916,Back!C:F,4,0),"NO")</f>
        <v>Si</v>
      </c>
      <c r="O916" s="26">
        <v>26</v>
      </c>
      <c r="P916" s="28" t="str">
        <f>IFERROR(VLOOKUP(F916,Back!C:E,3,0),"")</f>
        <v>IPS Pto De Vista Unicentro</v>
      </c>
      <c r="Q916" s="28" t="str">
        <f>IFERROR(VLOOKUP(P916,Back!M:N,2,0),"")</f>
        <v>Antioquia</v>
      </c>
      <c r="R916" s="27" t="str">
        <f>IF(N916="Si",IFERROR(VLOOKUP(F916,'TD Cumpl'!B:AB,27,0),"No Aplica"),"No Aplica")</f>
        <v>Siempre Cumple</v>
      </c>
      <c r="S916" s="38">
        <v>71</v>
      </c>
      <c r="T916" s="36">
        <v>7495671</v>
      </c>
      <c r="U916" s="26">
        <v>169</v>
      </c>
      <c r="V916" s="37">
        <v>20346152</v>
      </c>
      <c r="W916" s="19">
        <v>72</v>
      </c>
      <c r="X916" s="37">
        <v>6733403</v>
      </c>
      <c r="Y916" s="46">
        <f t="shared" si="30"/>
        <v>6050102</v>
      </c>
    </row>
    <row r="917" spans="1:25" x14ac:dyDescent="0.25">
      <c r="A917" s="20">
        <f>+VLOOKUP(D917,Back!Q:R,2,0)</f>
        <v>9</v>
      </c>
      <c r="B917" s="20" t="str">
        <f t="shared" si="29"/>
        <v>2017 SEP</v>
      </c>
      <c r="C917" s="30">
        <v>2017</v>
      </c>
      <c r="D917" s="30" t="s">
        <v>165</v>
      </c>
      <c r="E917" s="30" t="s">
        <v>20</v>
      </c>
      <c r="F917" s="30">
        <v>1017141451</v>
      </c>
      <c r="G917" s="30" t="s">
        <v>44</v>
      </c>
      <c r="H917" s="32">
        <v>61676787</v>
      </c>
      <c r="I917" s="32">
        <v>2490000</v>
      </c>
      <c r="J917" s="32">
        <v>12275185</v>
      </c>
      <c r="K917" s="33">
        <v>46911602</v>
      </c>
      <c r="L917" s="33">
        <v>43000000</v>
      </c>
      <c r="M917" s="34">
        <v>1.090967488372093</v>
      </c>
      <c r="N917" s="209" t="str">
        <f>IFERROR(VLOOKUP(F917,Back!C:F,4,0),"NO")</f>
        <v>Si</v>
      </c>
      <c r="O917" s="26">
        <v>26</v>
      </c>
      <c r="P917" s="28" t="str">
        <f>IFERROR(VLOOKUP(F917,Back!C:E,3,0),"")</f>
        <v>IPS Pto De Vista Molinos</v>
      </c>
      <c r="Q917" s="28" t="str">
        <f>IFERROR(VLOOKUP(P917,Back!M:N,2,0),"")</f>
        <v>Antioquia</v>
      </c>
      <c r="R917" s="27" t="str">
        <f>IF(N917="Si",IFERROR(VLOOKUP(F917,'TD Cumpl'!B:AB,27,0),"No Aplica"),"No Aplica")</f>
        <v>Siempre Cumple</v>
      </c>
      <c r="S917" s="38">
        <v>109</v>
      </c>
      <c r="T917" s="36">
        <v>11897038</v>
      </c>
      <c r="U917" s="26">
        <v>268</v>
      </c>
      <c r="V917" s="37">
        <v>27518582</v>
      </c>
      <c r="W917" s="19">
        <v>141</v>
      </c>
      <c r="X917" s="37">
        <v>12275185</v>
      </c>
      <c r="Y917" s="46">
        <f t="shared" si="30"/>
        <v>9985982</v>
      </c>
    </row>
    <row r="918" spans="1:25" x14ac:dyDescent="0.25">
      <c r="A918" s="20">
        <f>+VLOOKUP(D918,Back!Q:R,2,0)</f>
        <v>9</v>
      </c>
      <c r="B918" s="20" t="str">
        <f t="shared" si="29"/>
        <v>2017 SEP</v>
      </c>
      <c r="C918" s="30">
        <v>2017</v>
      </c>
      <c r="D918" s="30" t="s">
        <v>165</v>
      </c>
      <c r="E918" s="30" t="s">
        <v>11</v>
      </c>
      <c r="F918" s="30">
        <v>43253531</v>
      </c>
      <c r="G918" s="30" t="s">
        <v>39</v>
      </c>
      <c r="H918" s="32">
        <v>49989292</v>
      </c>
      <c r="I918" s="32">
        <v>685600</v>
      </c>
      <c r="J918" s="32">
        <v>10476584</v>
      </c>
      <c r="K918" s="33">
        <v>38827108</v>
      </c>
      <c r="L918" s="33">
        <v>29000000.000000004</v>
      </c>
      <c r="M918" s="34">
        <v>1.338865793103448</v>
      </c>
      <c r="N918" s="209" t="str">
        <f>IFERROR(VLOOKUP(F918,Back!C:F,4,0),"NO")</f>
        <v>Si</v>
      </c>
      <c r="O918" s="26">
        <v>26</v>
      </c>
      <c r="P918" s="28" t="str">
        <f>IFERROR(VLOOKUP(F918,Back!C:E,3,0),"")</f>
        <v>IPS Punto de Vista Bello</v>
      </c>
      <c r="Q918" s="28" t="str">
        <f>IFERROR(VLOOKUP(P918,Back!M:N,2,0),"")</f>
        <v>Antioquia</v>
      </c>
      <c r="R918" s="27" t="str">
        <f>IF(N918="Si",IFERROR(VLOOKUP(F918,'TD Cumpl'!B:AB,27,0),"No Aplica"),"No Aplica")</f>
        <v>Cumple</v>
      </c>
      <c r="S918" s="38">
        <v>76</v>
      </c>
      <c r="T918" s="36">
        <v>7591222</v>
      </c>
      <c r="U918" s="26">
        <v>194</v>
      </c>
      <c r="V918" s="37">
        <v>22881850</v>
      </c>
      <c r="W918" s="19">
        <v>119</v>
      </c>
      <c r="X918" s="37">
        <v>10476584</v>
      </c>
      <c r="Y918" s="46">
        <f t="shared" si="30"/>
        <v>9039636</v>
      </c>
    </row>
    <row r="919" spans="1:25" x14ac:dyDescent="0.25">
      <c r="A919" s="20">
        <f>+VLOOKUP(D919,Back!Q:R,2,0)</f>
        <v>9</v>
      </c>
      <c r="B919" s="20" t="str">
        <f t="shared" si="29"/>
        <v>2017 SEP</v>
      </c>
      <c r="C919" s="30">
        <v>2017</v>
      </c>
      <c r="D919" s="30" t="s">
        <v>165</v>
      </c>
      <c r="E919" s="30" t="s">
        <v>108</v>
      </c>
      <c r="F919" s="30">
        <v>1020443426</v>
      </c>
      <c r="G919" s="30" t="s">
        <v>109</v>
      </c>
      <c r="H919" s="32">
        <v>39829814</v>
      </c>
      <c r="I919" s="32">
        <v>304000</v>
      </c>
      <c r="J919" s="32">
        <v>10058321</v>
      </c>
      <c r="K919" s="33">
        <v>29467493</v>
      </c>
      <c r="L919" s="33">
        <v>29000000.000000004</v>
      </c>
      <c r="M919" s="34">
        <v>1.0161204482758619</v>
      </c>
      <c r="N919" s="209" t="str">
        <f>IFERROR(VLOOKUP(F919,Back!C:F,4,0),"NO")</f>
        <v>Si</v>
      </c>
      <c r="O919" s="26">
        <v>26</v>
      </c>
      <c r="P919" s="28" t="str">
        <f>IFERROR(VLOOKUP(F919,Back!C:E,3,0),"")</f>
        <v>IPS Pto De Vista San Diego</v>
      </c>
      <c r="Q919" s="28" t="str">
        <f>IFERROR(VLOOKUP(P919,Back!M:N,2,0),"")</f>
        <v>Antioquia</v>
      </c>
      <c r="R919" s="27" t="str">
        <f>IF(N919="Si",IFERROR(VLOOKUP(F919,'TD Cumpl'!B:AB,27,0),"No Aplica"),"No Aplica")</f>
        <v>Fluctúa</v>
      </c>
      <c r="S919" s="38">
        <v>70</v>
      </c>
      <c r="T919" s="36">
        <v>6558930</v>
      </c>
      <c r="U919" s="26">
        <v>187</v>
      </c>
      <c r="V919" s="37">
        <v>18888478</v>
      </c>
      <c r="W919" s="19">
        <v>118</v>
      </c>
      <c r="X919" s="37">
        <v>10058321</v>
      </c>
      <c r="Y919" s="46">
        <f t="shared" si="30"/>
        <v>4324085</v>
      </c>
    </row>
    <row r="920" spans="1:25" x14ac:dyDescent="0.25">
      <c r="A920" s="20">
        <f>+VLOOKUP(D920,Back!Q:R,2,0)</f>
        <v>9</v>
      </c>
      <c r="B920" s="20" t="str">
        <f t="shared" si="29"/>
        <v>2017 SEP</v>
      </c>
      <c r="C920" s="30">
        <v>2017</v>
      </c>
      <c r="D920" s="30" t="s">
        <v>165</v>
      </c>
      <c r="E920" s="30" t="s">
        <v>147</v>
      </c>
      <c r="F920" s="30">
        <v>31309227</v>
      </c>
      <c r="G920" s="30" t="s">
        <v>148</v>
      </c>
      <c r="H920" s="32">
        <v>18736439</v>
      </c>
      <c r="I920" s="32">
        <v>0</v>
      </c>
      <c r="J920" s="32">
        <v>5995745</v>
      </c>
      <c r="K920" s="33">
        <v>12740694</v>
      </c>
      <c r="L920" s="33">
        <v>29999999.999999996</v>
      </c>
      <c r="M920" s="34">
        <v>0.42468980000000006</v>
      </c>
      <c r="N920" s="209" t="str">
        <f>IFERROR(VLOOKUP(F920,Back!C:F,4,0),"NO")</f>
        <v>No</v>
      </c>
      <c r="O920" s="26">
        <v>26</v>
      </c>
      <c r="P920" s="28" t="str">
        <f>IFERROR(VLOOKUP(F920,Back!C:E,3,0),"")</f>
        <v/>
      </c>
      <c r="Q920" s="28" t="str">
        <f>IFERROR(VLOOKUP(P920,Back!M:N,2,0),"")</f>
        <v/>
      </c>
      <c r="R920" s="27" t="str">
        <f>IF(N920="Si",IFERROR(VLOOKUP(F920,'TD Cumpl'!B:AB,27,0),"No Aplica"),"No Aplica")</f>
        <v>No Aplica</v>
      </c>
      <c r="S920" s="38">
        <v>28</v>
      </c>
      <c r="T920" s="36">
        <v>2337645</v>
      </c>
      <c r="U920" s="26">
        <v>94</v>
      </c>
      <c r="V920" s="37">
        <v>6966934</v>
      </c>
      <c r="W920" s="19">
        <v>79</v>
      </c>
      <c r="X920" s="37">
        <v>5995745</v>
      </c>
      <c r="Y920" s="46">
        <f t="shared" si="30"/>
        <v>3436115</v>
      </c>
    </row>
    <row r="921" spans="1:25" x14ac:dyDescent="0.25">
      <c r="A921" s="20">
        <f>+VLOOKUP(D921,Back!Q:R,2,0)</f>
        <v>9</v>
      </c>
      <c r="B921" s="20" t="str">
        <f t="shared" si="29"/>
        <v>2017 SEP</v>
      </c>
      <c r="C921" s="30">
        <v>2017</v>
      </c>
      <c r="D921" s="30" t="s">
        <v>165</v>
      </c>
      <c r="E921" s="30" t="s">
        <v>149</v>
      </c>
      <c r="F921" s="30">
        <v>1130597373</v>
      </c>
      <c r="G921" s="30" t="s">
        <v>150</v>
      </c>
      <c r="H921" s="32">
        <v>23380249</v>
      </c>
      <c r="I921" s="32">
        <v>0</v>
      </c>
      <c r="J921" s="32">
        <v>6101461</v>
      </c>
      <c r="K921" s="33">
        <v>17278788</v>
      </c>
      <c r="L921" s="33">
        <v>29999999.999999996</v>
      </c>
      <c r="M921" s="34">
        <v>0.57595960000000013</v>
      </c>
      <c r="N921" s="209" t="str">
        <f>IFERROR(VLOOKUP(F921,Back!C:F,4,0),"NO")</f>
        <v>Si</v>
      </c>
      <c r="O921" s="26">
        <v>26</v>
      </c>
      <c r="P921" s="28" t="str">
        <f>IFERROR(VLOOKUP(F921,Back!C:E,3,0),"")</f>
        <v>Punto de Vista Cali Norte</v>
      </c>
      <c r="Q921" s="28" t="str">
        <f>IFERROR(VLOOKUP(P921,Back!M:N,2,0),"")</f>
        <v>Occidente</v>
      </c>
      <c r="R921" s="27" t="str">
        <f>IF(N921="Si",IFERROR(VLOOKUP(F921,'TD Cumpl'!B:AB,27,0),"No Aplica"),"No Aplica")</f>
        <v>Fluctúa</v>
      </c>
      <c r="S921" s="38">
        <v>35</v>
      </c>
      <c r="T921" s="36">
        <v>3570717</v>
      </c>
      <c r="U921" s="26">
        <v>106</v>
      </c>
      <c r="V921" s="37">
        <v>11588114</v>
      </c>
      <c r="W921" s="19">
        <v>82</v>
      </c>
      <c r="X921" s="37">
        <v>6101461</v>
      </c>
      <c r="Y921" s="46">
        <f t="shared" si="30"/>
        <v>2119957</v>
      </c>
    </row>
    <row r="922" spans="1:25" x14ac:dyDescent="0.25">
      <c r="A922" s="20">
        <f>+VLOOKUP(D922,Back!Q:R,2,0)</f>
        <v>9</v>
      </c>
      <c r="B922" s="20" t="str">
        <f t="shared" si="29"/>
        <v>2017 SEP</v>
      </c>
      <c r="C922" s="30">
        <v>2017</v>
      </c>
      <c r="D922" s="30" t="s">
        <v>165</v>
      </c>
      <c r="E922" s="30" t="s">
        <v>88</v>
      </c>
      <c r="F922" s="30">
        <v>31445278</v>
      </c>
      <c r="G922" s="30" t="s">
        <v>93</v>
      </c>
      <c r="H922" s="32">
        <v>40775871</v>
      </c>
      <c r="I922" s="32">
        <v>0</v>
      </c>
      <c r="J922" s="32">
        <v>10737557</v>
      </c>
      <c r="K922" s="33">
        <v>30038314</v>
      </c>
      <c r="L922" s="33">
        <v>29999999.999999996</v>
      </c>
      <c r="M922" s="34">
        <v>1.0012771333333335</v>
      </c>
      <c r="N922" s="209" t="str">
        <f>IFERROR(VLOOKUP(F922,Back!C:F,4,0),"NO")</f>
        <v>Si</v>
      </c>
      <c r="O922" s="26">
        <v>26</v>
      </c>
      <c r="P922" s="28" t="str">
        <f>IFERROR(VLOOKUP(F922,Back!C:E,3,0),"")</f>
        <v>Punto de Vista Tequendama</v>
      </c>
      <c r="Q922" s="28" t="str">
        <f>IFERROR(VLOOKUP(P922,Back!M:N,2,0),"")</f>
        <v>Occidente</v>
      </c>
      <c r="R922" s="27" t="str">
        <f>IF(N922="Si",IFERROR(VLOOKUP(F922,'TD Cumpl'!B:AB,27,0),"No Aplica"),"No Aplica")</f>
        <v>Cumple</v>
      </c>
      <c r="S922" s="38">
        <v>57</v>
      </c>
      <c r="T922" s="36">
        <v>4761246</v>
      </c>
      <c r="U922" s="26">
        <v>200</v>
      </c>
      <c r="V922" s="37">
        <v>22309374</v>
      </c>
      <c r="W922" s="19">
        <v>109</v>
      </c>
      <c r="X922" s="37">
        <v>10737557</v>
      </c>
      <c r="Y922" s="46">
        <f t="shared" si="30"/>
        <v>2967694</v>
      </c>
    </row>
    <row r="923" spans="1:25" x14ac:dyDescent="0.25">
      <c r="A923" s="20">
        <f>+VLOOKUP(D923,Back!Q:R,2,0)</f>
        <v>9</v>
      </c>
      <c r="B923" s="20" t="str">
        <f t="shared" si="29"/>
        <v>2017 SEP</v>
      </c>
      <c r="C923" s="30">
        <v>2017</v>
      </c>
      <c r="D923" s="30" t="s">
        <v>165</v>
      </c>
      <c r="E923" s="30" t="s">
        <v>5</v>
      </c>
      <c r="F923" s="30">
        <v>34542470</v>
      </c>
      <c r="G923" s="30" t="s">
        <v>28</v>
      </c>
      <c r="H923" s="32">
        <v>43993370</v>
      </c>
      <c r="I923" s="32">
        <v>563760</v>
      </c>
      <c r="J923" s="32">
        <v>6909418</v>
      </c>
      <c r="K923" s="33">
        <v>36520192</v>
      </c>
      <c r="L923" s="33">
        <v>25000000</v>
      </c>
      <c r="M923" s="34">
        <v>1.4608076800000001</v>
      </c>
      <c r="N923" s="209" t="str">
        <f>IFERROR(VLOOKUP(F923,Back!C:F,4,0),"NO")</f>
        <v>Si</v>
      </c>
      <c r="O923" s="26">
        <v>26</v>
      </c>
      <c r="P923" s="28" t="str">
        <f>IFERROR(VLOOKUP(F923,Back!C:E,3,0),"")</f>
        <v>Optica Salud Sura Chipichape</v>
      </c>
      <c r="Q923" s="28" t="str">
        <f>IFERROR(VLOOKUP(P923,Back!M:N,2,0),"")</f>
        <v>Occidente</v>
      </c>
      <c r="R923" s="27" t="str">
        <f>IF(N923="Si",IFERROR(VLOOKUP(F923,'TD Cumpl'!B:AB,27,0),"No Aplica"),"No Aplica")</f>
        <v>Siempre Cumple</v>
      </c>
      <c r="S923" s="38">
        <v>56</v>
      </c>
      <c r="T923" s="36">
        <v>7909592</v>
      </c>
      <c r="U923" s="26">
        <v>211</v>
      </c>
      <c r="V923" s="37">
        <v>25711751</v>
      </c>
      <c r="W923" s="19">
        <v>78</v>
      </c>
      <c r="X923" s="37">
        <v>6909418</v>
      </c>
      <c r="Y923" s="46">
        <f t="shared" si="30"/>
        <v>3462609</v>
      </c>
    </row>
    <row r="924" spans="1:25" x14ac:dyDescent="0.25">
      <c r="A924" s="20">
        <f>+VLOOKUP(D924,Back!Q:R,2,0)</f>
        <v>9</v>
      </c>
      <c r="B924" s="20" t="str">
        <f t="shared" si="29"/>
        <v>2017 SEP</v>
      </c>
      <c r="C924" s="30">
        <v>2017</v>
      </c>
      <c r="D924" s="30" t="s">
        <v>165</v>
      </c>
      <c r="E924" s="30" t="s">
        <v>159</v>
      </c>
      <c r="F924" s="30"/>
      <c r="G924" s="30"/>
      <c r="H924" s="32">
        <v>253200</v>
      </c>
      <c r="I924" s="32">
        <v>0</v>
      </c>
      <c r="J924" s="32">
        <v>0</v>
      </c>
      <c r="K924" s="33">
        <v>253200</v>
      </c>
      <c r="L924" s="33"/>
      <c r="M924" s="34"/>
      <c r="N924" s="209" t="str">
        <f>IFERROR(VLOOKUP(F924,Back!C:F,4,0),"NO")</f>
        <v>NO</v>
      </c>
      <c r="O924" s="26">
        <v>26</v>
      </c>
      <c r="P924" s="28" t="str">
        <f>IFERROR(VLOOKUP(F924,Back!C:E,3,0),"")</f>
        <v/>
      </c>
      <c r="Q924" s="28" t="str">
        <f>IFERROR(VLOOKUP(P924,Back!M:N,2,0),"")</f>
        <v/>
      </c>
      <c r="R924" s="27" t="str">
        <f>IF(N924="Si",IFERROR(VLOOKUP(F924,'TD Cumpl'!B:AB,27,0),"No Aplica"),"No Aplica")</f>
        <v>No Aplica</v>
      </c>
      <c r="S924" s="38">
        <v>0</v>
      </c>
      <c r="T924" s="36">
        <v>0</v>
      </c>
      <c r="U924" s="26">
        <v>0</v>
      </c>
      <c r="V924" s="37">
        <v>0</v>
      </c>
      <c r="W924" s="19">
        <v>0</v>
      </c>
      <c r="X924" s="37">
        <v>0</v>
      </c>
      <c r="Y924" s="46">
        <f t="shared" si="30"/>
        <v>253200</v>
      </c>
    </row>
    <row r="925" spans="1:25" x14ac:dyDescent="0.25">
      <c r="A925" s="20">
        <f>+VLOOKUP(D925,Back!Q:R,2,0)</f>
        <v>9</v>
      </c>
      <c r="B925" s="20" t="str">
        <f t="shared" si="29"/>
        <v>2017 SEP</v>
      </c>
      <c r="C925" s="30">
        <v>2017</v>
      </c>
      <c r="D925" s="30" t="s">
        <v>165</v>
      </c>
      <c r="E925" s="30" t="s">
        <v>119</v>
      </c>
      <c r="F925" s="30"/>
      <c r="G925" s="30"/>
      <c r="H925" s="32">
        <v>533295</v>
      </c>
      <c r="I925" s="32">
        <v>0</v>
      </c>
      <c r="J925" s="32">
        <v>312440</v>
      </c>
      <c r="K925" s="33">
        <v>220855</v>
      </c>
      <c r="L925" s="33"/>
      <c r="M925" s="34"/>
      <c r="N925" s="209" t="str">
        <f>IFERROR(VLOOKUP(F925,Back!C:F,4,0),"NO")</f>
        <v>NO</v>
      </c>
      <c r="O925" s="26">
        <v>26</v>
      </c>
      <c r="P925" s="28" t="str">
        <f>IFERROR(VLOOKUP(F925,Back!C:E,3,0),"")</f>
        <v/>
      </c>
      <c r="Q925" s="28" t="str">
        <f>IFERROR(VLOOKUP(P925,Back!M:N,2,0),"")</f>
        <v/>
      </c>
      <c r="R925" s="27" t="str">
        <f>IF(N925="Si",IFERROR(VLOOKUP(F925,'TD Cumpl'!B:AB,27,0),"No Aplica"),"No Aplica")</f>
        <v>No Aplica</v>
      </c>
      <c r="S925" s="38">
        <v>0</v>
      </c>
      <c r="T925" s="36">
        <v>0</v>
      </c>
      <c r="U925" s="26">
        <v>2</v>
      </c>
      <c r="V925" s="37">
        <v>220855</v>
      </c>
      <c r="W925" s="19">
        <v>3</v>
      </c>
      <c r="X925" s="37">
        <v>312440</v>
      </c>
      <c r="Y925" s="46">
        <f t="shared" si="30"/>
        <v>0</v>
      </c>
    </row>
    <row r="926" spans="1:25" x14ac:dyDescent="0.25">
      <c r="A926" s="20">
        <f>+VLOOKUP(D926,Back!Q:R,2,0)</f>
        <v>9</v>
      </c>
      <c r="B926" s="20" t="str">
        <f t="shared" si="29"/>
        <v>2017 SEP</v>
      </c>
      <c r="C926" s="30">
        <v>2017</v>
      </c>
      <c r="D926" s="30" t="s">
        <v>165</v>
      </c>
      <c r="E926" s="30" t="s">
        <v>111</v>
      </c>
      <c r="F926" s="30"/>
      <c r="G926" s="30"/>
      <c r="H926" s="32">
        <v>91200</v>
      </c>
      <c r="I926" s="32">
        <v>0</v>
      </c>
      <c r="J926" s="32">
        <v>0</v>
      </c>
      <c r="K926" s="33">
        <v>91200</v>
      </c>
      <c r="L926" s="33"/>
      <c r="M926" s="34"/>
      <c r="N926" s="209" t="str">
        <f>IFERROR(VLOOKUP(F926,Back!C:F,4,0),"NO")</f>
        <v>NO</v>
      </c>
      <c r="O926" s="26">
        <v>26</v>
      </c>
      <c r="P926" s="28" t="str">
        <f>IFERROR(VLOOKUP(F926,Back!C:E,3,0),"")</f>
        <v/>
      </c>
      <c r="Q926" s="28" t="str">
        <f>IFERROR(VLOOKUP(P926,Back!M:N,2,0),"")</f>
        <v/>
      </c>
      <c r="R926" s="27" t="str">
        <f>IF(N926="Si",IFERROR(VLOOKUP(F926,'TD Cumpl'!B:AB,27,0),"No Aplica"),"No Aplica")</f>
        <v>No Aplica</v>
      </c>
      <c r="S926" s="38">
        <v>0</v>
      </c>
      <c r="T926" s="36">
        <v>0</v>
      </c>
      <c r="U926" s="26">
        <v>0</v>
      </c>
      <c r="V926" s="37">
        <v>0</v>
      </c>
      <c r="W926" s="19">
        <v>0</v>
      </c>
      <c r="X926" s="37">
        <v>0</v>
      </c>
      <c r="Y926" s="46">
        <f t="shared" si="30"/>
        <v>91200</v>
      </c>
    </row>
    <row r="927" spans="1:25" x14ac:dyDescent="0.25">
      <c r="A927" s="20">
        <f>+VLOOKUP(D927,Back!Q:R,2,0)</f>
        <v>9</v>
      </c>
      <c r="B927" s="20" t="str">
        <f t="shared" si="29"/>
        <v>2017 SEP</v>
      </c>
      <c r="C927" s="30">
        <v>2017</v>
      </c>
      <c r="D927" s="30" t="s">
        <v>165</v>
      </c>
      <c r="E927" s="30" t="s">
        <v>110</v>
      </c>
      <c r="F927" s="30"/>
      <c r="G927" s="30"/>
      <c r="H927" s="32">
        <v>576248</v>
      </c>
      <c r="I927" s="32">
        <v>0</v>
      </c>
      <c r="J927" s="32">
        <v>0</v>
      </c>
      <c r="K927" s="33">
        <v>576248</v>
      </c>
      <c r="L927" s="33"/>
      <c r="M927" s="34"/>
      <c r="N927" s="209" t="str">
        <f>IFERROR(VLOOKUP(F927,Back!C:F,4,0),"NO")</f>
        <v>NO</v>
      </c>
      <c r="O927" s="26">
        <v>26</v>
      </c>
      <c r="P927" s="28" t="str">
        <f>IFERROR(VLOOKUP(F927,Back!C:E,3,0),"")</f>
        <v/>
      </c>
      <c r="Q927" s="28" t="str">
        <f>IFERROR(VLOOKUP(P927,Back!M:N,2,0),"")</f>
        <v/>
      </c>
      <c r="R927" s="27" t="str">
        <f>IF(N927="Si",IFERROR(VLOOKUP(F927,'TD Cumpl'!B:AB,27,0),"No Aplica"),"No Aplica")</f>
        <v>No Aplica</v>
      </c>
      <c r="S927" s="38">
        <v>1</v>
      </c>
      <c r="T927" s="36">
        <v>85733</v>
      </c>
      <c r="U927" s="26">
        <v>2</v>
      </c>
      <c r="V927" s="37">
        <v>184315</v>
      </c>
      <c r="W927" s="19">
        <v>0</v>
      </c>
      <c r="X927" s="37">
        <v>0</v>
      </c>
      <c r="Y927" s="46">
        <f t="shared" si="30"/>
        <v>306200</v>
      </c>
    </row>
    <row r="928" spans="1:25" x14ac:dyDescent="0.25">
      <c r="A928" s="20">
        <f>+VLOOKUP(D928,Back!Q:R,2,0)</f>
        <v>9</v>
      </c>
      <c r="B928" s="20" t="str">
        <f t="shared" si="29"/>
        <v>2017 SEP</v>
      </c>
      <c r="C928" s="30">
        <v>2017</v>
      </c>
      <c r="D928" s="30" t="s">
        <v>165</v>
      </c>
      <c r="E928" s="30" t="s">
        <v>99</v>
      </c>
      <c r="F928" s="30"/>
      <c r="G928" s="30"/>
      <c r="H928" s="32">
        <v>189600</v>
      </c>
      <c r="I928" s="32">
        <v>0</v>
      </c>
      <c r="J928" s="32">
        <v>0</v>
      </c>
      <c r="K928" s="33">
        <v>189600</v>
      </c>
      <c r="L928" s="33"/>
      <c r="M928" s="34"/>
      <c r="N928" s="209" t="str">
        <f>IFERROR(VLOOKUP(F928,Back!C:F,4,0),"NO")</f>
        <v>NO</v>
      </c>
      <c r="O928" s="26">
        <v>26</v>
      </c>
      <c r="P928" s="28" t="str">
        <f>IFERROR(VLOOKUP(F928,Back!C:E,3,0),"")</f>
        <v/>
      </c>
      <c r="Q928" s="28" t="str">
        <f>IFERROR(VLOOKUP(P928,Back!M:N,2,0),"")</f>
        <v/>
      </c>
      <c r="R928" s="27" t="str">
        <f>IF(N928="Si",IFERROR(VLOOKUP(F928,'TD Cumpl'!B:AB,27,0),"No Aplica"),"No Aplica")</f>
        <v>No Aplica</v>
      </c>
      <c r="S928" s="38">
        <v>0</v>
      </c>
      <c r="T928" s="36">
        <v>0</v>
      </c>
      <c r="U928" s="26">
        <v>0</v>
      </c>
      <c r="V928" s="37">
        <v>0</v>
      </c>
      <c r="W928" s="19">
        <v>0</v>
      </c>
      <c r="X928" s="37">
        <v>0</v>
      </c>
      <c r="Y928" s="46">
        <f t="shared" si="30"/>
        <v>189600</v>
      </c>
    </row>
    <row r="929" spans="1:25" x14ac:dyDescent="0.25">
      <c r="A929" s="20">
        <f>+VLOOKUP(D929,Back!Q:R,2,0)</f>
        <v>9</v>
      </c>
      <c r="B929" s="20" t="str">
        <f t="shared" si="29"/>
        <v>2017 SEP</v>
      </c>
      <c r="C929" s="30">
        <v>2017</v>
      </c>
      <c r="D929" s="30" t="s">
        <v>165</v>
      </c>
      <c r="E929" s="30" t="s">
        <v>10</v>
      </c>
      <c r="F929" s="30"/>
      <c r="G929" s="30"/>
      <c r="H929" s="32">
        <v>325490</v>
      </c>
      <c r="I929" s="32">
        <v>0</v>
      </c>
      <c r="J929" s="32">
        <v>0</v>
      </c>
      <c r="K929" s="33">
        <v>325490</v>
      </c>
      <c r="L929" s="33"/>
      <c r="M929" s="34"/>
      <c r="N929" s="209" t="str">
        <f>IFERROR(VLOOKUP(F929,Back!C:F,4,0),"NO")</f>
        <v>NO</v>
      </c>
      <c r="O929" s="26">
        <v>26</v>
      </c>
      <c r="P929" s="28" t="str">
        <f>IFERROR(VLOOKUP(F929,Back!C:E,3,0),"")</f>
        <v/>
      </c>
      <c r="Q929" s="28" t="str">
        <f>IFERROR(VLOOKUP(P929,Back!M:N,2,0),"")</f>
        <v/>
      </c>
      <c r="R929" s="27" t="str">
        <f>IF(N929="Si",IFERROR(VLOOKUP(F929,'TD Cumpl'!B:AB,27,0),"No Aplica"),"No Aplica")</f>
        <v>No Aplica</v>
      </c>
      <c r="S929" s="38">
        <v>0</v>
      </c>
      <c r="T929" s="36">
        <v>0</v>
      </c>
      <c r="U929" s="26">
        <v>2</v>
      </c>
      <c r="V929" s="37">
        <v>325490</v>
      </c>
      <c r="W929" s="19">
        <v>0</v>
      </c>
      <c r="X929" s="37">
        <v>0</v>
      </c>
      <c r="Y929" s="46">
        <f t="shared" si="30"/>
        <v>0</v>
      </c>
    </row>
    <row r="930" spans="1:25" x14ac:dyDescent="0.25">
      <c r="A930" s="20">
        <f>+VLOOKUP(D930,Back!Q:R,2,0)</f>
        <v>9</v>
      </c>
      <c r="B930" s="20" t="str">
        <f t="shared" si="29"/>
        <v>2017 SEP</v>
      </c>
      <c r="C930" s="30">
        <v>2017</v>
      </c>
      <c r="D930" s="30" t="s">
        <v>165</v>
      </c>
      <c r="E930" s="30" t="s">
        <v>12</v>
      </c>
      <c r="F930" s="30"/>
      <c r="G930" s="30"/>
      <c r="H930" s="32">
        <v>411456</v>
      </c>
      <c r="I930" s="32">
        <v>0</v>
      </c>
      <c r="J930" s="32">
        <v>131610</v>
      </c>
      <c r="K930" s="33">
        <v>279846</v>
      </c>
      <c r="L930" s="33"/>
      <c r="M930" s="34"/>
      <c r="N930" s="209" t="str">
        <f>IFERROR(VLOOKUP(F930,Back!C:F,4,0),"NO")</f>
        <v>NO</v>
      </c>
      <c r="O930" s="26">
        <v>26</v>
      </c>
      <c r="P930" s="28" t="str">
        <f>IFERROR(VLOOKUP(F930,Back!C:E,3,0),"")</f>
        <v/>
      </c>
      <c r="Q930" s="28" t="str">
        <f>IFERROR(VLOOKUP(P930,Back!M:N,2,0),"")</f>
        <v/>
      </c>
      <c r="R930" s="27" t="str">
        <f>IF(N930="Si",IFERROR(VLOOKUP(F930,'TD Cumpl'!B:AB,27,0),"No Aplica"),"No Aplica")</f>
        <v>No Aplica</v>
      </c>
      <c r="S930" s="38">
        <v>1</v>
      </c>
      <c r="T930" s="36">
        <v>107715</v>
      </c>
      <c r="U930" s="26">
        <v>2</v>
      </c>
      <c r="V930" s="37">
        <v>172130</v>
      </c>
      <c r="W930" s="19">
        <v>3</v>
      </c>
      <c r="X930" s="37">
        <v>131610</v>
      </c>
      <c r="Y930" s="46">
        <f t="shared" si="30"/>
        <v>1</v>
      </c>
    </row>
    <row r="931" spans="1:25" x14ac:dyDescent="0.25">
      <c r="A931" s="20">
        <f>+VLOOKUP(D931,Back!Q:R,2,0)</f>
        <v>9</v>
      </c>
      <c r="B931" s="20" t="str">
        <f t="shared" si="29"/>
        <v>2017 SEP</v>
      </c>
      <c r="C931" s="30">
        <v>2017</v>
      </c>
      <c r="D931" s="30" t="s">
        <v>165</v>
      </c>
      <c r="E931" s="30" t="s">
        <v>168</v>
      </c>
      <c r="F931" s="30"/>
      <c r="G931" s="30"/>
      <c r="H931" s="32">
        <v>43870</v>
      </c>
      <c r="I931" s="32">
        <v>0</v>
      </c>
      <c r="J931" s="32">
        <v>43870</v>
      </c>
      <c r="K931" s="33">
        <v>0</v>
      </c>
      <c r="L931" s="33"/>
      <c r="M931" s="34"/>
      <c r="N931" s="209" t="str">
        <f>IFERROR(VLOOKUP(F931,Back!C:F,4,0),"NO")</f>
        <v>NO</v>
      </c>
      <c r="O931" s="26">
        <v>26</v>
      </c>
      <c r="P931" s="28" t="str">
        <f>IFERROR(VLOOKUP(F931,Back!C:E,3,0),"")</f>
        <v/>
      </c>
      <c r="Q931" s="28" t="str">
        <f>IFERROR(VLOOKUP(P931,Back!M:N,2,0),"")</f>
        <v/>
      </c>
      <c r="R931" s="27" t="str">
        <f>IF(N931="Si",IFERROR(VLOOKUP(F931,'TD Cumpl'!B:AB,27,0),"No Aplica"),"No Aplica")</f>
        <v>No Aplica</v>
      </c>
      <c r="S931" s="38">
        <v>0</v>
      </c>
      <c r="T931" s="36">
        <v>0</v>
      </c>
      <c r="U931" s="26">
        <v>0</v>
      </c>
      <c r="V931" s="37">
        <v>0</v>
      </c>
      <c r="W931" s="19">
        <v>1</v>
      </c>
      <c r="X931" s="37">
        <v>43870</v>
      </c>
      <c r="Y931" s="46">
        <f t="shared" si="30"/>
        <v>0</v>
      </c>
    </row>
    <row r="932" spans="1:25" x14ac:dyDescent="0.25">
      <c r="A932" s="20">
        <f>+VLOOKUP(D932,Back!Q:R,2,0)</f>
        <v>9</v>
      </c>
      <c r="B932" s="20" t="str">
        <f t="shared" si="29"/>
        <v>2017 SEP</v>
      </c>
      <c r="C932" s="30">
        <v>2017</v>
      </c>
      <c r="D932" s="30" t="s">
        <v>165</v>
      </c>
      <c r="E932" s="30" t="s">
        <v>72</v>
      </c>
      <c r="F932" s="30"/>
      <c r="G932" s="30"/>
      <c r="H932" s="32">
        <v>106600</v>
      </c>
      <c r="I932" s="32">
        <v>0</v>
      </c>
      <c r="J932" s="32">
        <v>0</v>
      </c>
      <c r="K932" s="33">
        <v>106600</v>
      </c>
      <c r="L932" s="33"/>
      <c r="M932" s="34"/>
      <c r="N932" s="209" t="str">
        <f>IFERROR(VLOOKUP(F932,Back!C:F,4,0),"NO")</f>
        <v>NO</v>
      </c>
      <c r="O932" s="26">
        <v>26</v>
      </c>
      <c r="P932" s="28" t="str">
        <f>IFERROR(VLOOKUP(F932,Back!C:E,3,0),"")</f>
        <v/>
      </c>
      <c r="Q932" s="28" t="str">
        <f>IFERROR(VLOOKUP(P932,Back!M:N,2,0),"")</f>
        <v/>
      </c>
      <c r="R932" s="27" t="str">
        <f>IF(N932="Si",IFERROR(VLOOKUP(F932,'TD Cumpl'!B:AB,27,0),"No Aplica"),"No Aplica")</f>
        <v>No Aplica</v>
      </c>
      <c r="S932" s="38">
        <v>0</v>
      </c>
      <c r="T932" s="36">
        <v>0</v>
      </c>
      <c r="U932" s="26">
        <v>2</v>
      </c>
      <c r="V932" s="37">
        <v>106600</v>
      </c>
      <c r="W932" s="19">
        <v>0</v>
      </c>
      <c r="X932" s="37">
        <v>0</v>
      </c>
      <c r="Y932" s="46">
        <f t="shared" si="30"/>
        <v>0</v>
      </c>
    </row>
    <row r="933" spans="1:25" x14ac:dyDescent="0.25">
      <c r="A933" s="20">
        <f>+VLOOKUP(D933,Back!Q:R,2,0)</f>
        <v>9</v>
      </c>
      <c r="B933" s="20" t="str">
        <f t="shared" si="29"/>
        <v>2017 SEP</v>
      </c>
      <c r="C933" s="30">
        <v>2017</v>
      </c>
      <c r="D933" s="30" t="s">
        <v>165</v>
      </c>
      <c r="E933" s="30" t="s">
        <v>113</v>
      </c>
      <c r="F933" s="30"/>
      <c r="G933" s="30"/>
      <c r="H933" s="32">
        <v>402855</v>
      </c>
      <c r="I933" s="32">
        <v>0</v>
      </c>
      <c r="J933" s="32">
        <v>402855</v>
      </c>
      <c r="K933" s="33">
        <v>0</v>
      </c>
      <c r="L933" s="33"/>
      <c r="M933" s="34"/>
      <c r="N933" s="209" t="str">
        <f>IFERROR(VLOOKUP(F933,Back!C:F,4,0),"NO")</f>
        <v>NO</v>
      </c>
      <c r="O933" s="26">
        <v>26</v>
      </c>
      <c r="P933" s="28" t="str">
        <f>IFERROR(VLOOKUP(F933,Back!C:E,3,0),"")</f>
        <v/>
      </c>
      <c r="Q933" s="28" t="str">
        <f>IFERROR(VLOOKUP(P933,Back!M:N,2,0),"")</f>
        <v/>
      </c>
      <c r="R933" s="27" t="str">
        <f>IF(N933="Si",IFERROR(VLOOKUP(F933,'TD Cumpl'!B:AB,27,0),"No Aplica"),"No Aplica")</f>
        <v>No Aplica</v>
      </c>
      <c r="S933" s="38">
        <v>0</v>
      </c>
      <c r="T933" s="36">
        <v>0</v>
      </c>
      <c r="U933" s="26">
        <v>0</v>
      </c>
      <c r="V933" s="37">
        <v>0</v>
      </c>
      <c r="W933" s="19">
        <v>3</v>
      </c>
      <c r="X933" s="37">
        <v>402855</v>
      </c>
      <c r="Y933" s="46">
        <f t="shared" si="30"/>
        <v>0</v>
      </c>
    </row>
    <row r="934" spans="1:25" x14ac:dyDescent="0.25">
      <c r="A934" s="20">
        <f>+VLOOKUP(D934,Back!Q:R,2,0)</f>
        <v>9</v>
      </c>
      <c r="B934" s="20" t="str">
        <f t="shared" si="29"/>
        <v>2017 SEP</v>
      </c>
      <c r="C934" s="30">
        <v>2017</v>
      </c>
      <c r="D934" s="30" t="s">
        <v>165</v>
      </c>
      <c r="E934" s="30" t="s">
        <v>87</v>
      </c>
      <c r="F934" s="30"/>
      <c r="G934" s="30"/>
      <c r="H934" s="32">
        <v>-772370</v>
      </c>
      <c r="I934" s="32">
        <v>0</v>
      </c>
      <c r="J934" s="32">
        <v>0</v>
      </c>
      <c r="K934" s="33">
        <v>-772370</v>
      </c>
      <c r="L934" s="33"/>
      <c r="M934" s="34"/>
      <c r="N934" s="209" t="str">
        <f>IFERROR(VLOOKUP(F934,Back!C:F,4,0),"NO")</f>
        <v>NO</v>
      </c>
      <c r="O934" s="26">
        <v>26</v>
      </c>
      <c r="P934" s="28" t="str">
        <f>IFERROR(VLOOKUP(F934,Back!C:E,3,0),"")</f>
        <v/>
      </c>
      <c r="Q934" s="28" t="str">
        <f>IFERROR(VLOOKUP(P934,Back!M:N,2,0),"")</f>
        <v/>
      </c>
      <c r="R934" s="27" t="str">
        <f>IF(N934="Si",IFERROR(VLOOKUP(F934,'TD Cumpl'!B:AB,27,0),"No Aplica"),"No Aplica")</f>
        <v>No Aplica</v>
      </c>
      <c r="S934" s="38">
        <v>11</v>
      </c>
      <c r="T934" s="36">
        <v>-120491</v>
      </c>
      <c r="U934" s="26">
        <v>30</v>
      </c>
      <c r="V934" s="37">
        <v>-303523</v>
      </c>
      <c r="W934" s="19">
        <v>0</v>
      </c>
      <c r="X934" s="37">
        <v>0</v>
      </c>
      <c r="Y934" s="46">
        <f t="shared" si="30"/>
        <v>-348356</v>
      </c>
    </row>
    <row r="935" spans="1:25" x14ac:dyDescent="0.25">
      <c r="A935" s="20">
        <f>+VLOOKUP(D935,Back!Q:R,2,0)</f>
        <v>10</v>
      </c>
      <c r="B935" s="20" t="str">
        <f t="shared" si="29"/>
        <v>2017 OCT</v>
      </c>
      <c r="C935" s="30">
        <v>2017</v>
      </c>
      <c r="D935" s="30" t="s">
        <v>173</v>
      </c>
      <c r="E935" s="30" t="s">
        <v>33</v>
      </c>
      <c r="F935" s="30">
        <v>31307503</v>
      </c>
      <c r="G935" s="30" t="s">
        <v>36</v>
      </c>
      <c r="H935" s="32">
        <v>55731249</v>
      </c>
      <c r="I935" s="32">
        <v>556200</v>
      </c>
      <c r="J935" s="32">
        <v>5104863</v>
      </c>
      <c r="K935" s="33">
        <v>50070186</v>
      </c>
      <c r="L935" s="33">
        <v>31721000</v>
      </c>
      <c r="M935" s="34">
        <v>1.5784554711389931</v>
      </c>
      <c r="N935" s="209" t="str">
        <f>IFERROR(VLOOKUP(F935,Back!C:F,4,0),"NO")</f>
        <v>NO</v>
      </c>
      <c r="O935" s="26">
        <v>25</v>
      </c>
      <c r="P935" s="28" t="str">
        <f>IFERROR(VLOOKUP(F935,Back!C:E,3,0),"")</f>
        <v/>
      </c>
      <c r="Q935" s="28" t="str">
        <f>IFERROR(VLOOKUP(P935,Back!M:N,2,0),"")</f>
        <v/>
      </c>
      <c r="R935" s="27" t="str">
        <f>IF(N935="Si",IFERROR(VLOOKUP(F935,'TD Cumpl'!B:AB,27,0),"No Aplica"),"No Aplica")</f>
        <v>No Aplica</v>
      </c>
      <c r="S935" s="38">
        <v>115</v>
      </c>
      <c r="T935" s="36">
        <v>17065705</v>
      </c>
      <c r="U935" s="26">
        <v>288</v>
      </c>
      <c r="V935" s="37">
        <v>29155546</v>
      </c>
      <c r="W935" s="19">
        <v>74</v>
      </c>
      <c r="X935" s="37">
        <v>5104863</v>
      </c>
      <c r="Y935" s="46">
        <f t="shared" si="30"/>
        <v>4405135</v>
      </c>
    </row>
    <row r="936" spans="1:25" x14ac:dyDescent="0.25">
      <c r="A936" s="20">
        <f>+VLOOKUP(D936,Back!Q:R,2,0)</f>
        <v>10</v>
      </c>
      <c r="B936" s="20" t="str">
        <f t="shared" si="29"/>
        <v>2017 OCT</v>
      </c>
      <c r="C936" s="30">
        <v>2017</v>
      </c>
      <c r="D936" s="30" t="s">
        <v>173</v>
      </c>
      <c r="E936" s="30" t="s">
        <v>62</v>
      </c>
      <c r="F936" s="30">
        <v>32256379</v>
      </c>
      <c r="G936" s="30" t="s">
        <v>61</v>
      </c>
      <c r="H936" s="32">
        <v>53752320</v>
      </c>
      <c r="I936" s="32">
        <v>0</v>
      </c>
      <c r="J936" s="32">
        <v>4904987</v>
      </c>
      <c r="K936" s="33">
        <v>48847333</v>
      </c>
      <c r="L936" s="33">
        <v>42000000</v>
      </c>
      <c r="M936" s="34">
        <v>1.1630317380952382</v>
      </c>
      <c r="N936" s="209" t="str">
        <f>IFERROR(VLOOKUP(F936,Back!C:F,4,0),"NO")</f>
        <v>Si</v>
      </c>
      <c r="O936" s="26">
        <v>25</v>
      </c>
      <c r="P936" s="28" t="str">
        <f>IFERROR(VLOOKUP(F936,Back!C:E,3,0),"")</f>
        <v>Ferias Empresariales Antioquia</v>
      </c>
      <c r="Q936" s="28" t="str">
        <f>IFERROR(VLOOKUP(P936,Back!M:N,2,0),"")</f>
        <v>Antioquia</v>
      </c>
      <c r="R936" s="27" t="str">
        <f>IF(N936="Si",IFERROR(VLOOKUP(F936,'TD Cumpl'!B:AB,27,0),"No Aplica"),"No Aplica")</f>
        <v>Fluctúa</v>
      </c>
      <c r="S936" s="38">
        <v>1</v>
      </c>
      <c r="T936" s="36">
        <v>43991</v>
      </c>
      <c r="U936" s="26">
        <v>2</v>
      </c>
      <c r="V936" s="37">
        <v>76770</v>
      </c>
      <c r="W936" s="19">
        <v>75</v>
      </c>
      <c r="X936" s="37">
        <v>4904987</v>
      </c>
      <c r="Y936" s="46">
        <f t="shared" si="30"/>
        <v>48726572</v>
      </c>
    </row>
    <row r="937" spans="1:25" x14ac:dyDescent="0.25">
      <c r="A937" s="20">
        <f>+VLOOKUP(D937,Back!Q:R,2,0)</f>
        <v>10</v>
      </c>
      <c r="B937" s="20" t="str">
        <f t="shared" si="29"/>
        <v>2017 OCT</v>
      </c>
      <c r="C937" s="30">
        <v>2017</v>
      </c>
      <c r="D937" s="30" t="s">
        <v>173</v>
      </c>
      <c r="E937" s="30" t="s">
        <v>83</v>
      </c>
      <c r="F937" s="30">
        <v>43800272</v>
      </c>
      <c r="G937" s="30" t="s">
        <v>85</v>
      </c>
      <c r="H937" s="32">
        <v>27489571</v>
      </c>
      <c r="I937" s="32">
        <v>662000</v>
      </c>
      <c r="J937" s="32">
        <v>6613349</v>
      </c>
      <c r="K937" s="33">
        <v>20214222</v>
      </c>
      <c r="L937" s="33">
        <v>41000000</v>
      </c>
      <c r="M937" s="34">
        <v>0.49302980487804876</v>
      </c>
      <c r="N937" s="209" t="str">
        <f>IFERROR(VLOOKUP(F937,Back!C:F,4,0),"NO")</f>
        <v>NO</v>
      </c>
      <c r="O937" s="26">
        <v>25</v>
      </c>
      <c r="P937" s="28" t="str">
        <f>IFERROR(VLOOKUP(F937,Back!C:E,3,0),"")</f>
        <v/>
      </c>
      <c r="Q937" s="28" t="str">
        <f>IFERROR(VLOOKUP(P937,Back!M:N,2,0),"")</f>
        <v/>
      </c>
      <c r="R937" s="27" t="str">
        <f>IF(N937="Si",IFERROR(VLOOKUP(F937,'TD Cumpl'!B:AB,27,0),"No Aplica"),"No Aplica")</f>
        <v>No Aplica</v>
      </c>
      <c r="S937" s="38">
        <v>52</v>
      </c>
      <c r="T937" s="36">
        <v>5433336</v>
      </c>
      <c r="U937" s="26">
        <v>144</v>
      </c>
      <c r="V937" s="37">
        <v>12457007</v>
      </c>
      <c r="W937" s="19">
        <v>76</v>
      </c>
      <c r="X937" s="37">
        <v>6613349</v>
      </c>
      <c r="Y937" s="46">
        <f t="shared" si="30"/>
        <v>2985879</v>
      </c>
    </row>
    <row r="938" spans="1:25" x14ac:dyDescent="0.25">
      <c r="A938" s="20">
        <f>+VLOOKUP(D938,Back!Q:R,2,0)</f>
        <v>10</v>
      </c>
      <c r="B938" s="20" t="str">
        <f t="shared" si="29"/>
        <v>2017 OCT</v>
      </c>
      <c r="C938" s="30">
        <v>2017</v>
      </c>
      <c r="D938" s="30" t="s">
        <v>173</v>
      </c>
      <c r="E938" s="30" t="s">
        <v>56</v>
      </c>
      <c r="F938" s="30">
        <v>43971430</v>
      </c>
      <c r="G938" s="30" t="s">
        <v>142</v>
      </c>
      <c r="H938" s="32">
        <v>57357908</v>
      </c>
      <c r="I938" s="32">
        <v>412000</v>
      </c>
      <c r="J938" s="32">
        <v>15408535</v>
      </c>
      <c r="K938" s="33">
        <v>41537373</v>
      </c>
      <c r="L938" s="33">
        <v>41000000</v>
      </c>
      <c r="M938" s="34">
        <v>1.0131066585365853</v>
      </c>
      <c r="N938" s="209" t="str">
        <f>IFERROR(VLOOKUP(F938,Back!C:F,4,0),"NO")</f>
        <v>Si</v>
      </c>
      <c r="O938" s="26">
        <v>25</v>
      </c>
      <c r="P938" s="28" t="str">
        <f>IFERROR(VLOOKUP(F938,Back!C:E,3,0),"")</f>
        <v>IPS Pto De Vista Centro</v>
      </c>
      <c r="Q938" s="28" t="str">
        <f>IFERROR(VLOOKUP(P938,Back!M:N,2,0),"")</f>
        <v>Antioquia</v>
      </c>
      <c r="R938" s="27" t="str">
        <f>IF(N938="Si",IFERROR(VLOOKUP(F938,'TD Cumpl'!B:AB,27,0),"No Aplica"),"No Aplica")</f>
        <v>Siempre Cumple</v>
      </c>
      <c r="S938" s="38">
        <v>101</v>
      </c>
      <c r="T938" s="36">
        <v>9573118</v>
      </c>
      <c r="U938" s="26">
        <v>272</v>
      </c>
      <c r="V938" s="37">
        <v>27169085</v>
      </c>
      <c r="W938" s="19">
        <v>165</v>
      </c>
      <c r="X938" s="37">
        <v>15408535</v>
      </c>
      <c r="Y938" s="46">
        <f t="shared" si="30"/>
        <v>5207170</v>
      </c>
    </row>
    <row r="939" spans="1:25" x14ac:dyDescent="0.25">
      <c r="A939" s="20">
        <f>+VLOOKUP(D939,Back!Q:R,2,0)</f>
        <v>10</v>
      </c>
      <c r="B939" s="20" t="str">
        <f t="shared" si="29"/>
        <v>2017 OCT</v>
      </c>
      <c r="C939" s="30">
        <v>2017</v>
      </c>
      <c r="D939" s="30" t="s">
        <v>173</v>
      </c>
      <c r="E939" s="30" t="s">
        <v>59</v>
      </c>
      <c r="F939" s="30">
        <v>1030634664</v>
      </c>
      <c r="G939" s="30" t="s">
        <v>58</v>
      </c>
      <c r="H939" s="32">
        <v>40242649</v>
      </c>
      <c r="I939" s="32">
        <v>1404000</v>
      </c>
      <c r="J939" s="32">
        <v>8569309</v>
      </c>
      <c r="K939" s="33">
        <v>30269340</v>
      </c>
      <c r="L939" s="33">
        <v>36080000</v>
      </c>
      <c r="M939" s="34">
        <v>0.83895066518847006</v>
      </c>
      <c r="N939" s="209" t="str">
        <f>IFERROR(VLOOKUP(F939,Back!C:F,4,0),"NO")</f>
        <v>NO</v>
      </c>
      <c r="O939" s="26">
        <v>25</v>
      </c>
      <c r="P939" s="28" t="str">
        <f>IFERROR(VLOOKUP(F939,Back!C:E,3,0),"")</f>
        <v/>
      </c>
      <c r="Q939" s="28" t="str">
        <f>IFERROR(VLOOKUP(P939,Back!M:N,2,0),"")</f>
        <v/>
      </c>
      <c r="R939" s="27" t="str">
        <f>IF(N939="Si",IFERROR(VLOOKUP(F939,'TD Cumpl'!B:AB,27,0),"No Aplica"),"No Aplica")</f>
        <v>No Aplica</v>
      </c>
      <c r="S939" s="38">
        <v>75</v>
      </c>
      <c r="T939" s="36">
        <v>7109381</v>
      </c>
      <c r="U939" s="26">
        <v>181</v>
      </c>
      <c r="V939" s="37">
        <v>18251894</v>
      </c>
      <c r="W939" s="19">
        <v>95</v>
      </c>
      <c r="X939" s="37">
        <v>8569309</v>
      </c>
      <c r="Y939" s="46">
        <f t="shared" si="30"/>
        <v>6312065</v>
      </c>
    </row>
    <row r="940" spans="1:25" x14ac:dyDescent="0.25">
      <c r="A940" s="20">
        <f>+VLOOKUP(D940,Back!Q:R,2,0)</f>
        <v>10</v>
      </c>
      <c r="B940" s="20" t="str">
        <f t="shared" si="29"/>
        <v>2017 OCT</v>
      </c>
      <c r="C940" s="30">
        <v>2017</v>
      </c>
      <c r="D940" s="30" t="s">
        <v>173</v>
      </c>
      <c r="E940" s="30" t="s">
        <v>34</v>
      </c>
      <c r="F940" s="30">
        <v>43554403</v>
      </c>
      <c r="G940" s="30" t="s">
        <v>35</v>
      </c>
      <c r="H940" s="31">
        <v>46180809</v>
      </c>
      <c r="I940" s="32">
        <v>812000</v>
      </c>
      <c r="J940" s="32">
        <v>9798311</v>
      </c>
      <c r="K940" s="33">
        <v>35570498</v>
      </c>
      <c r="L940" s="33">
        <v>24600000</v>
      </c>
      <c r="M940" s="34">
        <v>1.4459552032520324</v>
      </c>
      <c r="N940" s="209" t="str">
        <f>IFERROR(VLOOKUP(F940,Back!C:F,4,0),"NO")</f>
        <v>Si</v>
      </c>
      <c r="O940" s="26">
        <v>25</v>
      </c>
      <c r="P940" s="28" t="str">
        <f>IFERROR(VLOOKUP(F940,Back!C:E,3,0),"")</f>
        <v>IPS Pto De Vista Centro</v>
      </c>
      <c r="Q940" s="28" t="str">
        <f>IFERROR(VLOOKUP(P940,Back!M:N,2,0),"")</f>
        <v>Antioquia</v>
      </c>
      <c r="R940" s="27" t="str">
        <f>IF(N940="Si",IFERROR(VLOOKUP(F940,'TD Cumpl'!B:AB,27,0),"No Aplica"),"No Aplica")</f>
        <v>Siempre Cumple</v>
      </c>
      <c r="S940" s="38">
        <v>76</v>
      </c>
      <c r="T940" s="36">
        <v>8898791</v>
      </c>
      <c r="U940" s="26">
        <v>188</v>
      </c>
      <c r="V940" s="37">
        <v>21398426</v>
      </c>
      <c r="W940" s="19">
        <v>113</v>
      </c>
      <c r="X940" s="37">
        <v>9798311</v>
      </c>
      <c r="Y940" s="46">
        <f t="shared" si="30"/>
        <v>6085281</v>
      </c>
    </row>
    <row r="941" spans="1:25" x14ac:dyDescent="0.25">
      <c r="A941" s="20">
        <f>+VLOOKUP(D941,Back!Q:R,2,0)</f>
        <v>10</v>
      </c>
      <c r="B941" s="20" t="str">
        <f t="shared" si="29"/>
        <v>2017 OCT</v>
      </c>
      <c r="C941" s="30">
        <v>2017</v>
      </c>
      <c r="D941" s="30" t="s">
        <v>173</v>
      </c>
      <c r="E941" s="30" t="s">
        <v>101</v>
      </c>
      <c r="F941" s="30">
        <v>21428423</v>
      </c>
      <c r="G941" s="30" t="s">
        <v>154</v>
      </c>
      <c r="H941" s="31">
        <v>53302614</v>
      </c>
      <c r="I941" s="32">
        <v>304000</v>
      </c>
      <c r="J941" s="32">
        <v>11885025</v>
      </c>
      <c r="K941" s="33">
        <v>41113589</v>
      </c>
      <c r="L941" s="33">
        <v>41000000</v>
      </c>
      <c r="M941" s="34">
        <v>1.0027704634146342</v>
      </c>
      <c r="N941" s="209" t="str">
        <f>IFERROR(VLOOKUP(F941,Back!C:F,4,0),"NO")</f>
        <v>Si</v>
      </c>
      <c r="O941" s="26">
        <v>25</v>
      </c>
      <c r="P941" s="28" t="str">
        <f>IFERROR(VLOOKUP(F941,Back!C:E,3,0),"")</f>
        <v>IPS Pto De Vista Centro</v>
      </c>
      <c r="Q941" s="28" t="str">
        <f>IFERROR(VLOOKUP(P941,Back!M:N,2,0),"")</f>
        <v>Antioquia</v>
      </c>
      <c r="R941" s="27" t="str">
        <f>IF(N941="Si",IFERROR(VLOOKUP(F941,'TD Cumpl'!B:AB,27,0),"No Aplica"),"No Aplica")</f>
        <v>Fluctúa</v>
      </c>
      <c r="S941" s="38">
        <v>107</v>
      </c>
      <c r="T941" s="36">
        <v>10365272</v>
      </c>
      <c r="U941" s="26">
        <v>266</v>
      </c>
      <c r="V941" s="37">
        <v>26252516</v>
      </c>
      <c r="W941" s="19">
        <v>134</v>
      </c>
      <c r="X941" s="37">
        <v>11885025</v>
      </c>
      <c r="Y941" s="46">
        <f t="shared" si="30"/>
        <v>4799801</v>
      </c>
    </row>
    <row r="942" spans="1:25" x14ac:dyDescent="0.25">
      <c r="A942" s="20">
        <f>+VLOOKUP(D942,Back!Q:R,2,0)</f>
        <v>10</v>
      </c>
      <c r="B942" s="20" t="str">
        <f t="shared" si="29"/>
        <v>2017 OCT</v>
      </c>
      <c r="C942" s="30">
        <v>2017</v>
      </c>
      <c r="D942" s="30" t="s">
        <v>173</v>
      </c>
      <c r="E942" s="30" t="s">
        <v>13</v>
      </c>
      <c r="F942" s="30">
        <v>43866877</v>
      </c>
      <c r="G942" s="30" t="s">
        <v>46</v>
      </c>
      <c r="H942" s="32">
        <v>46695625</v>
      </c>
      <c r="I942" s="32">
        <v>716000</v>
      </c>
      <c r="J942" s="32">
        <v>13158967</v>
      </c>
      <c r="K942" s="33">
        <v>32820658</v>
      </c>
      <c r="L942" s="33">
        <v>41000000</v>
      </c>
      <c r="M942" s="34">
        <v>0.8005038536585366</v>
      </c>
      <c r="N942" s="209" t="str">
        <f>IFERROR(VLOOKUP(F942,Back!C:F,4,0),"NO")</f>
        <v>Si</v>
      </c>
      <c r="O942" s="26">
        <v>25</v>
      </c>
      <c r="P942" s="28" t="str">
        <f>IFERROR(VLOOKUP(F942,Back!C:E,3,0),"")</f>
        <v>IPS Pto De Vista Centro</v>
      </c>
      <c r="Q942" s="28" t="str">
        <f>IFERROR(VLOOKUP(P942,Back!M:N,2,0),"")</f>
        <v>Antioquia</v>
      </c>
      <c r="R942" s="27" t="str">
        <f>IF(N942="Si",IFERROR(VLOOKUP(F942,'TD Cumpl'!B:AB,27,0),"No Aplica"),"No Aplica")</f>
        <v>Siempre Cumple</v>
      </c>
      <c r="S942" s="38">
        <v>90</v>
      </c>
      <c r="T942" s="36">
        <v>8985065</v>
      </c>
      <c r="U942" s="26">
        <v>186</v>
      </c>
      <c r="V942" s="37">
        <v>17911354</v>
      </c>
      <c r="W942" s="19">
        <v>144</v>
      </c>
      <c r="X942" s="37">
        <v>13158967</v>
      </c>
      <c r="Y942" s="46">
        <f t="shared" si="30"/>
        <v>6640239</v>
      </c>
    </row>
    <row r="943" spans="1:25" x14ac:dyDescent="0.25">
      <c r="A943" s="20">
        <f>+VLOOKUP(D943,Back!Q:R,2,0)</f>
        <v>10</v>
      </c>
      <c r="B943" s="20" t="str">
        <f t="shared" si="29"/>
        <v>2017 OCT</v>
      </c>
      <c r="C943" s="30">
        <v>2017</v>
      </c>
      <c r="D943" s="30" t="s">
        <v>173</v>
      </c>
      <c r="E943" s="30" t="s">
        <v>121</v>
      </c>
      <c r="F943" s="30">
        <v>21982241</v>
      </c>
      <c r="G943" s="30" t="s">
        <v>143</v>
      </c>
      <c r="H943" s="32">
        <v>37937416</v>
      </c>
      <c r="I943" s="32">
        <v>1306000</v>
      </c>
      <c r="J943" s="32">
        <v>5656876</v>
      </c>
      <c r="K943" s="33">
        <v>30974540</v>
      </c>
      <c r="L943" s="33">
        <v>29000000</v>
      </c>
      <c r="M943" s="34">
        <v>1.0680875862068966</v>
      </c>
      <c r="N943" s="209" t="str">
        <f>IFERROR(VLOOKUP(F943,Back!C:F,4,0),"NO")</f>
        <v>Si</v>
      </c>
      <c r="O943" s="26">
        <v>25</v>
      </c>
      <c r="P943" s="28" t="str">
        <f>IFERROR(VLOOKUP(F943,Back!C:E,3,0),"")</f>
        <v>IPS Punto de Vista Bello</v>
      </c>
      <c r="Q943" s="28" t="str">
        <f>IFERROR(VLOOKUP(P943,Back!M:N,2,0),"")</f>
        <v>Antioquia</v>
      </c>
      <c r="R943" s="27" t="str">
        <f>IF(N943="Si",IFERROR(VLOOKUP(F943,'TD Cumpl'!B:AB,27,0),"No Aplica"),"No Aplica")</f>
        <v>Fluctúa</v>
      </c>
      <c r="S943" s="38">
        <v>84</v>
      </c>
      <c r="T943" s="36">
        <v>7621530</v>
      </c>
      <c r="U943" s="26">
        <v>214</v>
      </c>
      <c r="V943" s="37">
        <v>19808362</v>
      </c>
      <c r="W943" s="19">
        <v>73</v>
      </c>
      <c r="X943" s="37">
        <v>5656876</v>
      </c>
      <c r="Y943" s="46">
        <f t="shared" si="30"/>
        <v>4850648</v>
      </c>
    </row>
    <row r="944" spans="1:25" x14ac:dyDescent="0.25">
      <c r="A944" s="20">
        <f>+VLOOKUP(D944,Back!Q:R,2,0)</f>
        <v>10</v>
      </c>
      <c r="B944" s="20" t="str">
        <f t="shared" si="29"/>
        <v>2017 OCT</v>
      </c>
      <c r="C944" s="30">
        <v>2017</v>
      </c>
      <c r="D944" s="30" t="s">
        <v>173</v>
      </c>
      <c r="E944" s="30" t="s">
        <v>18</v>
      </c>
      <c r="F944" s="30">
        <v>39442617</v>
      </c>
      <c r="G944" s="30" t="s">
        <v>41</v>
      </c>
      <c r="H944" s="32">
        <v>34357724</v>
      </c>
      <c r="I944" s="32">
        <v>333360</v>
      </c>
      <c r="J944" s="32">
        <v>3636609</v>
      </c>
      <c r="K944" s="33">
        <v>30387755</v>
      </c>
      <c r="L944" s="33">
        <v>21560000</v>
      </c>
      <c r="M944" s="34">
        <v>1.4094506029684601</v>
      </c>
      <c r="N944" s="209" t="str">
        <f>IFERROR(VLOOKUP(F944,Back!C:F,4,0),"NO")</f>
        <v>Si</v>
      </c>
      <c r="O944" s="26">
        <v>25</v>
      </c>
      <c r="P944" s="28" t="str">
        <f>IFERROR(VLOOKUP(F944,Back!C:E,3,0),"")</f>
        <v>IPS Pto De Vista San Diego</v>
      </c>
      <c r="Q944" s="28" t="str">
        <f>IFERROR(VLOOKUP(P944,Back!M:N,2,0),"")</f>
        <v>Antioquia</v>
      </c>
      <c r="R944" s="27" t="str">
        <f>IF(N944="Si",IFERROR(VLOOKUP(F944,'TD Cumpl'!B:AB,27,0),"No Aplica"),"No Aplica")</f>
        <v>Cumple</v>
      </c>
      <c r="S944" s="38">
        <v>38</v>
      </c>
      <c r="T944" s="36">
        <v>6350433</v>
      </c>
      <c r="U944" s="26">
        <v>90</v>
      </c>
      <c r="V944" s="37">
        <v>20393201</v>
      </c>
      <c r="W944" s="19">
        <v>37</v>
      </c>
      <c r="X944" s="37">
        <v>3636609</v>
      </c>
      <c r="Y944" s="46">
        <f t="shared" si="30"/>
        <v>3977481</v>
      </c>
    </row>
    <row r="945" spans="1:25" x14ac:dyDescent="0.25">
      <c r="A945" s="20">
        <f>+VLOOKUP(D945,Back!Q:R,2,0)</f>
        <v>10</v>
      </c>
      <c r="B945" s="20" t="str">
        <f t="shared" si="29"/>
        <v>2017 OCT</v>
      </c>
      <c r="C945" s="30">
        <v>2017</v>
      </c>
      <c r="D945" s="30" t="s">
        <v>173</v>
      </c>
      <c r="E945" s="30" t="s">
        <v>23</v>
      </c>
      <c r="F945" s="30">
        <v>43907427</v>
      </c>
      <c r="G945" s="30" t="s">
        <v>144</v>
      </c>
      <c r="H945" s="32">
        <v>56444455</v>
      </c>
      <c r="I945" s="32">
        <v>519840</v>
      </c>
      <c r="J945" s="32">
        <v>5184364</v>
      </c>
      <c r="K945" s="33">
        <v>50740251</v>
      </c>
      <c r="L945" s="33">
        <v>36000000</v>
      </c>
      <c r="M945" s="34">
        <v>1.4094514166666667</v>
      </c>
      <c r="N945" s="209" t="str">
        <f>IFERROR(VLOOKUP(F945,Back!C:F,4,0),"NO")</f>
        <v>Si</v>
      </c>
      <c r="O945" s="26">
        <v>25</v>
      </c>
      <c r="P945" s="28" t="str">
        <f>IFERROR(VLOOKUP(F945,Back!C:E,3,0),"")</f>
        <v>IPS Pto De Vista Industriales</v>
      </c>
      <c r="Q945" s="28" t="str">
        <f>IFERROR(VLOOKUP(P945,Back!M:N,2,0),"")</f>
        <v>Antioquia</v>
      </c>
      <c r="R945" s="27" t="str">
        <f>IF(N945="Si",IFERROR(VLOOKUP(F945,'TD Cumpl'!B:AB,27,0),"No Aplica"),"No Aplica")</f>
        <v>Siempre Cumple</v>
      </c>
      <c r="S945" s="38">
        <v>56</v>
      </c>
      <c r="T945" s="36">
        <v>11419570</v>
      </c>
      <c r="U945" s="26">
        <v>164</v>
      </c>
      <c r="V945" s="37">
        <v>33182634</v>
      </c>
      <c r="W945" s="19">
        <v>64</v>
      </c>
      <c r="X945" s="37">
        <v>5184364</v>
      </c>
      <c r="Y945" s="46">
        <f t="shared" si="30"/>
        <v>6657887</v>
      </c>
    </row>
    <row r="946" spans="1:25" x14ac:dyDescent="0.25">
      <c r="A946" s="20">
        <f>+VLOOKUP(D946,Back!Q:R,2,0)</f>
        <v>10</v>
      </c>
      <c r="B946" s="20" t="str">
        <f t="shared" si="29"/>
        <v>2017 OCT</v>
      </c>
      <c r="C946" s="30">
        <v>2017</v>
      </c>
      <c r="D946" s="30" t="s">
        <v>173</v>
      </c>
      <c r="E946" s="30" t="s">
        <v>21</v>
      </c>
      <c r="F946" s="30">
        <v>1035417626</v>
      </c>
      <c r="G946" s="30" t="s">
        <v>80</v>
      </c>
      <c r="H946" s="32">
        <v>70661856</v>
      </c>
      <c r="I946" s="32">
        <v>868000</v>
      </c>
      <c r="J946" s="32">
        <v>15286020</v>
      </c>
      <c r="K946" s="33">
        <v>54507836</v>
      </c>
      <c r="L946" s="33">
        <v>43000000</v>
      </c>
      <c r="M946" s="34">
        <v>1.2676240930232558</v>
      </c>
      <c r="N946" s="209" t="str">
        <f>IFERROR(VLOOKUP(F946,Back!C:F,4,0),"NO")</f>
        <v>Si</v>
      </c>
      <c r="O946" s="26">
        <v>25</v>
      </c>
      <c r="P946" s="28" t="str">
        <f>IFERROR(VLOOKUP(F946,Back!C:E,3,0),"")</f>
        <v>IPS Pto De Vista Unicentro</v>
      </c>
      <c r="Q946" s="28" t="str">
        <f>IFERROR(VLOOKUP(P946,Back!M:N,2,0),"")</f>
        <v>Antioquia</v>
      </c>
      <c r="R946" s="27" t="str">
        <f>IF(N946="Si",IFERROR(VLOOKUP(F946,'TD Cumpl'!B:AB,27,0),"No Aplica"),"No Aplica")</f>
        <v>Cumple</v>
      </c>
      <c r="S946" s="38">
        <v>97</v>
      </c>
      <c r="T946" s="36">
        <v>13247695</v>
      </c>
      <c r="U946" s="26">
        <v>274</v>
      </c>
      <c r="V946" s="37">
        <v>34686249</v>
      </c>
      <c r="W946" s="19">
        <v>160</v>
      </c>
      <c r="X946" s="37">
        <v>15286020</v>
      </c>
      <c r="Y946" s="46">
        <f t="shared" si="30"/>
        <v>7441892</v>
      </c>
    </row>
    <row r="947" spans="1:25" x14ac:dyDescent="0.25">
      <c r="A947" s="20">
        <f>+VLOOKUP(D947,Back!Q:R,2,0)</f>
        <v>10</v>
      </c>
      <c r="B947" s="20" t="str">
        <f t="shared" si="29"/>
        <v>2017 OCT</v>
      </c>
      <c r="C947" s="30">
        <v>2017</v>
      </c>
      <c r="D947" s="30" t="s">
        <v>173</v>
      </c>
      <c r="E947" s="30" t="s">
        <v>103</v>
      </c>
      <c r="F947" s="30">
        <v>1020409789</v>
      </c>
      <c r="G947" s="30" t="s">
        <v>145</v>
      </c>
      <c r="H947" s="32">
        <v>76570018</v>
      </c>
      <c r="I947" s="32">
        <v>1205400</v>
      </c>
      <c r="J947" s="32">
        <v>16090874</v>
      </c>
      <c r="K947" s="33">
        <v>59273744</v>
      </c>
      <c r="L947" s="33">
        <v>43000000</v>
      </c>
      <c r="M947" s="34">
        <v>1.3784591627906977</v>
      </c>
      <c r="N947" s="209" t="str">
        <f>IFERROR(VLOOKUP(F947,Back!C:F,4,0),"NO")</f>
        <v>Si</v>
      </c>
      <c r="O947" s="26">
        <v>25</v>
      </c>
      <c r="P947" s="28" t="str">
        <f>IFERROR(VLOOKUP(F947,Back!C:E,3,0),"")</f>
        <v>IPS Pto De Vista Molinos</v>
      </c>
      <c r="Q947" s="28" t="str">
        <f>IFERROR(VLOOKUP(P947,Back!M:N,2,0),"")</f>
        <v>Antioquia</v>
      </c>
      <c r="R947" s="27" t="str">
        <f>IF(N947="Si",IFERROR(VLOOKUP(F947,'TD Cumpl'!B:AB,27,0),"No Aplica"),"No Aplica")</f>
        <v>Cumple</v>
      </c>
      <c r="S947" s="38">
        <v>131</v>
      </c>
      <c r="T947" s="36">
        <v>17028462</v>
      </c>
      <c r="U947" s="26">
        <v>322</v>
      </c>
      <c r="V947" s="37">
        <v>36787599</v>
      </c>
      <c r="W947" s="19">
        <v>179</v>
      </c>
      <c r="X947" s="37">
        <v>16090874</v>
      </c>
      <c r="Y947" s="46">
        <f t="shared" si="30"/>
        <v>6663083</v>
      </c>
    </row>
    <row r="948" spans="1:25" x14ac:dyDescent="0.25">
      <c r="A948" s="20">
        <f>+VLOOKUP(D948,Back!Q:R,2,0)</f>
        <v>10</v>
      </c>
      <c r="B948" s="20" t="str">
        <f t="shared" si="29"/>
        <v>2017 OCT</v>
      </c>
      <c r="C948" s="30">
        <v>2017</v>
      </c>
      <c r="D948" s="30" t="s">
        <v>173</v>
      </c>
      <c r="E948" s="30" t="s">
        <v>8</v>
      </c>
      <c r="F948" s="30">
        <v>43259130</v>
      </c>
      <c r="G948" s="30" t="s">
        <v>51</v>
      </c>
      <c r="H948" s="32">
        <v>87251215</v>
      </c>
      <c r="I948" s="32">
        <v>2616000</v>
      </c>
      <c r="J948" s="32">
        <v>22320628</v>
      </c>
      <c r="K948" s="33">
        <v>62314587</v>
      </c>
      <c r="L948" s="33">
        <v>43000000</v>
      </c>
      <c r="M948" s="34">
        <v>1.4491764418604651</v>
      </c>
      <c r="N948" s="209" t="str">
        <f>IFERROR(VLOOKUP(F948,Back!C:F,4,0),"NO")</f>
        <v>Si</v>
      </c>
      <c r="O948" s="26">
        <v>25</v>
      </c>
      <c r="P948" s="28" t="str">
        <f>IFERROR(VLOOKUP(F948,Back!C:E,3,0),"")</f>
        <v>IPS Pto De Vista Molinos</v>
      </c>
      <c r="Q948" s="28" t="str">
        <f>IFERROR(VLOOKUP(P948,Back!M:N,2,0),"")</f>
        <v>Antioquia</v>
      </c>
      <c r="R948" s="27" t="str">
        <f>IF(N948="Si",IFERROR(VLOOKUP(F948,'TD Cumpl'!B:AB,27,0),"No Aplica"),"No Aplica")</f>
        <v>Fluctúa</v>
      </c>
      <c r="S948" s="38">
        <v>137</v>
      </c>
      <c r="T948" s="36">
        <v>15558641</v>
      </c>
      <c r="U948" s="26">
        <v>352</v>
      </c>
      <c r="V948" s="37">
        <v>39205284</v>
      </c>
      <c r="W948" s="19">
        <v>232</v>
      </c>
      <c r="X948" s="37">
        <v>22320628</v>
      </c>
      <c r="Y948" s="46">
        <f t="shared" si="30"/>
        <v>10166662</v>
      </c>
    </row>
    <row r="949" spans="1:25" x14ac:dyDescent="0.25">
      <c r="A949" s="20">
        <f>+VLOOKUP(D949,Back!Q:R,2,0)</f>
        <v>10</v>
      </c>
      <c r="B949" s="20" t="str">
        <f t="shared" si="29"/>
        <v>2017 OCT</v>
      </c>
      <c r="C949" s="30">
        <v>2017</v>
      </c>
      <c r="D949" s="30" t="s">
        <v>173</v>
      </c>
      <c r="E949" s="30" t="s">
        <v>22</v>
      </c>
      <c r="F949" s="30">
        <v>42164020</v>
      </c>
      <c r="G949" s="30" t="s">
        <v>105</v>
      </c>
      <c r="H949" s="32">
        <v>61703628</v>
      </c>
      <c r="I949" s="32">
        <v>919400</v>
      </c>
      <c r="J949" s="32">
        <v>13956331</v>
      </c>
      <c r="K949" s="33">
        <v>46827897</v>
      </c>
      <c r="L949" s="33">
        <v>43000000</v>
      </c>
      <c r="M949" s="34">
        <v>1.0890208604651164</v>
      </c>
      <c r="N949" s="209" t="str">
        <f>IFERROR(VLOOKUP(F949,Back!C:F,4,0),"NO")</f>
        <v>Si</v>
      </c>
      <c r="O949" s="26">
        <v>25</v>
      </c>
      <c r="P949" s="28" t="str">
        <f>IFERROR(VLOOKUP(F949,Back!C:E,3,0),"")</f>
        <v>IPS Pto De Vista Molinos</v>
      </c>
      <c r="Q949" s="28" t="str">
        <f>IFERROR(VLOOKUP(P949,Back!M:N,2,0),"")</f>
        <v>Antioquia</v>
      </c>
      <c r="R949" s="27" t="str">
        <f>IF(N949="Si",IFERROR(VLOOKUP(F949,'TD Cumpl'!B:AB,27,0),"No Aplica"),"No Aplica")</f>
        <v>Siempre Cumple</v>
      </c>
      <c r="S949" s="38">
        <v>113</v>
      </c>
      <c r="T949" s="36">
        <v>12188932</v>
      </c>
      <c r="U949" s="26">
        <v>289</v>
      </c>
      <c r="V949" s="37">
        <v>28849794</v>
      </c>
      <c r="W949" s="19">
        <v>150</v>
      </c>
      <c r="X949" s="37">
        <v>13956331</v>
      </c>
      <c r="Y949" s="46">
        <f t="shared" si="30"/>
        <v>6708571</v>
      </c>
    </row>
    <row r="950" spans="1:25" x14ac:dyDescent="0.25">
      <c r="A950" s="20">
        <f>+VLOOKUP(D950,Back!Q:R,2,0)</f>
        <v>10</v>
      </c>
      <c r="B950" s="20" t="str">
        <f t="shared" si="29"/>
        <v>2017 OCT</v>
      </c>
      <c r="C950" s="30">
        <v>2017</v>
      </c>
      <c r="D950" s="30" t="s">
        <v>173</v>
      </c>
      <c r="E950" s="30" t="s">
        <v>3</v>
      </c>
      <c r="F950" s="30">
        <v>52725011</v>
      </c>
      <c r="G950" s="30" t="s">
        <v>42</v>
      </c>
      <c r="H950" s="32">
        <v>31297041</v>
      </c>
      <c r="I950" s="32">
        <v>660000</v>
      </c>
      <c r="J950" s="32">
        <v>6682043</v>
      </c>
      <c r="K950" s="33">
        <v>23954998</v>
      </c>
      <c r="L950" s="33">
        <v>20000000</v>
      </c>
      <c r="M950" s="34">
        <v>1.1977499</v>
      </c>
      <c r="N950" s="209" t="str">
        <f>IFERROR(VLOOKUP(F950,Back!C:F,4,0),"NO")</f>
        <v>Si</v>
      </c>
      <c r="O950" s="26">
        <v>25</v>
      </c>
      <c r="P950" s="28" t="str">
        <f>IFERROR(VLOOKUP(F950,Back!C:E,3,0),"")</f>
        <v>IPS Pto De Vista Olaya</v>
      </c>
      <c r="Q950" s="28" t="str">
        <f>IFERROR(VLOOKUP(P950,Back!M:N,2,0),"")</f>
        <v>Centro</v>
      </c>
      <c r="R950" s="27" t="str">
        <f>IF(N950="Si",IFERROR(VLOOKUP(F950,'TD Cumpl'!B:AB,27,0),"No Aplica"),"No Aplica")</f>
        <v>Fluctúa</v>
      </c>
      <c r="S950" s="38">
        <v>83</v>
      </c>
      <c r="T950" s="36">
        <v>5194494</v>
      </c>
      <c r="U950" s="26">
        <v>206</v>
      </c>
      <c r="V950" s="37">
        <v>16573711</v>
      </c>
      <c r="W950" s="19">
        <v>100</v>
      </c>
      <c r="X950" s="37">
        <v>6682043</v>
      </c>
      <c r="Y950" s="46">
        <f t="shared" si="30"/>
        <v>2846793</v>
      </c>
    </row>
    <row r="951" spans="1:25" x14ac:dyDescent="0.25">
      <c r="A951" s="20">
        <f>+VLOOKUP(D951,Back!Q:R,2,0)</f>
        <v>10</v>
      </c>
      <c r="B951" s="20" t="str">
        <f t="shared" si="29"/>
        <v>2017 OCT</v>
      </c>
      <c r="C951" s="30">
        <v>2017</v>
      </c>
      <c r="D951" s="30" t="s">
        <v>173</v>
      </c>
      <c r="E951" s="30" t="s">
        <v>4</v>
      </c>
      <c r="F951" s="30">
        <v>79701425</v>
      </c>
      <c r="G951" s="30" t="s">
        <v>27</v>
      </c>
      <c r="H951" s="32">
        <v>39596124</v>
      </c>
      <c r="I951" s="32">
        <v>1262000</v>
      </c>
      <c r="J951" s="32">
        <v>7733211</v>
      </c>
      <c r="K951" s="33">
        <v>30600913</v>
      </c>
      <c r="L951" s="33">
        <v>20000000</v>
      </c>
      <c r="M951" s="34">
        <v>1.5300456499999999</v>
      </c>
      <c r="N951" s="209" t="str">
        <f>IFERROR(VLOOKUP(F951,Back!C:F,4,0),"NO")</f>
        <v>No</v>
      </c>
      <c r="O951" s="26">
        <v>25</v>
      </c>
      <c r="P951" s="28" t="str">
        <f>IFERROR(VLOOKUP(F951,Back!C:E,3,0),"")</f>
        <v>IPS Pto De Vista Olaya</v>
      </c>
      <c r="Q951" s="28" t="str">
        <f>IFERROR(VLOOKUP(P951,Back!M:N,2,0),"")</f>
        <v>Centro</v>
      </c>
      <c r="R951" s="27" t="str">
        <f>IF(N951="Si",IFERROR(VLOOKUP(F951,'TD Cumpl'!B:AB,27,0),"No Aplica"),"No Aplica")</f>
        <v>No Aplica</v>
      </c>
      <c r="S951" s="38">
        <v>80</v>
      </c>
      <c r="T951" s="36">
        <v>5294944</v>
      </c>
      <c r="U951" s="26">
        <v>224</v>
      </c>
      <c r="V951" s="37">
        <v>22785921</v>
      </c>
      <c r="W951" s="19">
        <v>103</v>
      </c>
      <c r="X951" s="37">
        <v>7733211</v>
      </c>
      <c r="Y951" s="46">
        <f t="shared" si="30"/>
        <v>3782048</v>
      </c>
    </row>
    <row r="952" spans="1:25" x14ac:dyDescent="0.25">
      <c r="A952" s="20">
        <f>+VLOOKUP(D952,Back!Q:R,2,0)</f>
        <v>10</v>
      </c>
      <c r="B952" s="20" t="str">
        <f t="shared" si="29"/>
        <v>2017 OCT</v>
      </c>
      <c r="C952" s="30">
        <v>2017</v>
      </c>
      <c r="D952" s="30" t="s">
        <v>173</v>
      </c>
      <c r="E952" s="30" t="s">
        <v>66</v>
      </c>
      <c r="F952" s="30">
        <v>3438422</v>
      </c>
      <c r="G952" s="30" t="s">
        <v>71</v>
      </c>
      <c r="H952" s="32">
        <v>44069708</v>
      </c>
      <c r="I952" s="32">
        <v>304000</v>
      </c>
      <c r="J952" s="32">
        <v>9803233</v>
      </c>
      <c r="K952" s="33">
        <v>33962475</v>
      </c>
      <c r="L952" s="33">
        <v>30960000</v>
      </c>
      <c r="M952" s="34">
        <v>1.0969791666666666</v>
      </c>
      <c r="N952" s="209" t="str">
        <f>IFERROR(VLOOKUP(F952,Back!C:F,4,0),"NO")</f>
        <v>Si</v>
      </c>
      <c r="O952" s="26">
        <v>25</v>
      </c>
      <c r="P952" s="28" t="str">
        <f>IFERROR(VLOOKUP(F952,Back!C:E,3,0),"")</f>
        <v>IPS Pto De Vista Punto Clave</v>
      </c>
      <c r="Q952" s="28" t="str">
        <f>IFERROR(VLOOKUP(P952,Back!M:N,2,0),"")</f>
        <v>Antioquia</v>
      </c>
      <c r="R952" s="27" t="str">
        <f>IF(N952="Si",IFERROR(VLOOKUP(F952,'TD Cumpl'!B:AB,27,0),"No Aplica"),"No Aplica")</f>
        <v>Fluctúa</v>
      </c>
      <c r="S952" s="38">
        <v>68</v>
      </c>
      <c r="T952" s="36">
        <v>7885485</v>
      </c>
      <c r="U952" s="26">
        <v>153</v>
      </c>
      <c r="V952" s="37">
        <v>19282499</v>
      </c>
      <c r="W952" s="19">
        <v>109</v>
      </c>
      <c r="X952" s="37">
        <v>9803233</v>
      </c>
      <c r="Y952" s="46">
        <f t="shared" si="30"/>
        <v>7098491</v>
      </c>
    </row>
    <row r="953" spans="1:25" x14ac:dyDescent="0.25">
      <c r="A953" s="20">
        <f>+VLOOKUP(D953,Back!Q:R,2,0)</f>
        <v>10</v>
      </c>
      <c r="B953" s="20" t="str">
        <f t="shared" si="29"/>
        <v>2017 OCT</v>
      </c>
      <c r="C953" s="30">
        <v>2017</v>
      </c>
      <c r="D953" s="30" t="s">
        <v>173</v>
      </c>
      <c r="E953" s="30" t="s">
        <v>92</v>
      </c>
      <c r="F953" s="30">
        <v>1017167720</v>
      </c>
      <c r="G953" s="30" t="s">
        <v>96</v>
      </c>
      <c r="H953" s="32">
        <v>37679671</v>
      </c>
      <c r="I953" s="32">
        <v>1209600</v>
      </c>
      <c r="J953" s="32">
        <v>8767580</v>
      </c>
      <c r="K953" s="33">
        <v>27702491</v>
      </c>
      <c r="L953" s="33">
        <v>43000000</v>
      </c>
      <c r="M953" s="34">
        <v>0.6442439767441861</v>
      </c>
      <c r="N953" s="209" t="str">
        <f>IFERROR(VLOOKUP(F953,Back!C:F,4,0),"NO")</f>
        <v>Si</v>
      </c>
      <c r="O953" s="26">
        <v>25</v>
      </c>
      <c r="P953" s="28" t="str">
        <f>IFERROR(VLOOKUP(F953,Back!C:E,3,0),"")</f>
        <v>IPS Pto De Vista Punto Clave</v>
      </c>
      <c r="Q953" s="28" t="str">
        <f>IFERROR(VLOOKUP(P953,Back!M:N,2,0),"")</f>
        <v>Antioquia</v>
      </c>
      <c r="R953" s="27" t="str">
        <f>IF(N953="Si",IFERROR(VLOOKUP(F953,'TD Cumpl'!B:AB,27,0),"No Aplica"),"No Aplica")</f>
        <v>Cumple</v>
      </c>
      <c r="S953" s="38">
        <v>61</v>
      </c>
      <c r="T953" s="36">
        <v>7194585</v>
      </c>
      <c r="U953" s="26">
        <v>159</v>
      </c>
      <c r="V953" s="37">
        <v>15724030</v>
      </c>
      <c r="W953" s="19">
        <v>101</v>
      </c>
      <c r="X953" s="37">
        <v>8767580</v>
      </c>
      <c r="Y953" s="46">
        <f t="shared" si="30"/>
        <v>5993476</v>
      </c>
    </row>
    <row r="954" spans="1:25" x14ac:dyDescent="0.25">
      <c r="A954" s="20">
        <f>+VLOOKUP(D954,Back!Q:R,2,0)</f>
        <v>10</v>
      </c>
      <c r="B954" s="20" t="str">
        <f t="shared" si="29"/>
        <v>2017 OCT</v>
      </c>
      <c r="C954" s="30">
        <v>2017</v>
      </c>
      <c r="D954" s="30" t="s">
        <v>173</v>
      </c>
      <c r="E954" s="30" t="s">
        <v>57</v>
      </c>
      <c r="F954" s="30">
        <v>43874518</v>
      </c>
      <c r="G954" s="30" t="s">
        <v>60</v>
      </c>
      <c r="H954" s="32">
        <v>67560630</v>
      </c>
      <c r="I954" s="32">
        <v>552000</v>
      </c>
      <c r="J954" s="32">
        <v>13482749</v>
      </c>
      <c r="K954" s="33">
        <v>53525881</v>
      </c>
      <c r="L954" s="33">
        <v>43000000</v>
      </c>
      <c r="M954" s="34">
        <v>1.2447879302325582</v>
      </c>
      <c r="N954" s="209" t="str">
        <f>IFERROR(VLOOKUP(F954,Back!C:F,4,0),"NO")</f>
        <v>Si</v>
      </c>
      <c r="O954" s="26">
        <v>25</v>
      </c>
      <c r="P954" s="28" t="str">
        <f>IFERROR(VLOOKUP(F954,Back!C:E,3,0),"")</f>
        <v>IPS Pto De Vista Punto Clave</v>
      </c>
      <c r="Q954" s="28" t="str">
        <f>IFERROR(VLOOKUP(P954,Back!M:N,2,0),"")</f>
        <v>Antioquia</v>
      </c>
      <c r="R954" s="27" t="str">
        <f>IF(N954="Si",IFERROR(VLOOKUP(F954,'TD Cumpl'!B:AB,27,0),"No Aplica"),"No Aplica")</f>
        <v>Fluctúa</v>
      </c>
      <c r="S954" s="38">
        <v>120</v>
      </c>
      <c r="T954" s="36">
        <v>12747533</v>
      </c>
      <c r="U954" s="26">
        <v>309</v>
      </c>
      <c r="V954" s="37">
        <v>33123228</v>
      </c>
      <c r="W954" s="19">
        <v>144</v>
      </c>
      <c r="X954" s="37">
        <v>13482749</v>
      </c>
      <c r="Y954" s="46">
        <f t="shared" si="30"/>
        <v>8207120</v>
      </c>
    </row>
    <row r="955" spans="1:25" x14ac:dyDescent="0.25">
      <c r="A955" s="20">
        <f>+VLOOKUP(D955,Back!Q:R,2,0)</f>
        <v>10</v>
      </c>
      <c r="B955" s="20" t="str">
        <f t="shared" si="29"/>
        <v>2017 OCT</v>
      </c>
      <c r="C955" s="30">
        <v>2017</v>
      </c>
      <c r="D955" s="30" t="s">
        <v>173</v>
      </c>
      <c r="E955" s="30" t="s">
        <v>64</v>
      </c>
      <c r="F955" s="30">
        <v>1036598360</v>
      </c>
      <c r="G955" s="30" t="s">
        <v>146</v>
      </c>
      <c r="H955" s="32">
        <v>52589851</v>
      </c>
      <c r="I955" s="32">
        <v>440000</v>
      </c>
      <c r="J955" s="32">
        <v>8074006</v>
      </c>
      <c r="K955" s="33">
        <v>44075845</v>
      </c>
      <c r="L955" s="33">
        <v>41968000</v>
      </c>
      <c r="M955" s="34">
        <v>1.050225052420892</v>
      </c>
      <c r="N955" s="209" t="str">
        <f>IFERROR(VLOOKUP(F955,Back!C:F,4,0),"NO")</f>
        <v>Si</v>
      </c>
      <c r="O955" s="26">
        <v>25</v>
      </c>
      <c r="P955" s="28" t="str">
        <f>IFERROR(VLOOKUP(F955,Back!C:E,3,0),"")</f>
        <v>IPS Pto De Vista Punto Clave</v>
      </c>
      <c r="Q955" s="28" t="str">
        <f>IFERROR(VLOOKUP(P955,Back!M:N,2,0),"")</f>
        <v>Antioquia</v>
      </c>
      <c r="R955" s="27" t="str">
        <f>IF(N955="Si",IFERROR(VLOOKUP(F955,'TD Cumpl'!B:AB,27,0),"No Aplica"),"No Aplica")</f>
        <v>Fluctúa</v>
      </c>
      <c r="S955" s="38">
        <v>81</v>
      </c>
      <c r="T955" s="36">
        <v>9988734</v>
      </c>
      <c r="U955" s="26">
        <v>223</v>
      </c>
      <c r="V955" s="37">
        <v>27198814</v>
      </c>
      <c r="W955" s="19">
        <v>93</v>
      </c>
      <c r="X955" s="37">
        <v>8074006</v>
      </c>
      <c r="Y955" s="46">
        <f t="shared" si="30"/>
        <v>7328297</v>
      </c>
    </row>
    <row r="956" spans="1:25" x14ac:dyDescent="0.25">
      <c r="A956" s="20">
        <f>+VLOOKUP(D956,Back!Q:R,2,0)</f>
        <v>10</v>
      </c>
      <c r="B956" s="20" t="str">
        <f t="shared" si="29"/>
        <v>2017 OCT</v>
      </c>
      <c r="C956" s="30">
        <v>2017</v>
      </c>
      <c r="D956" s="30" t="s">
        <v>173</v>
      </c>
      <c r="E956" s="30" t="s">
        <v>90</v>
      </c>
      <c r="F956" s="30">
        <v>1020419011</v>
      </c>
      <c r="G956" s="30" t="s">
        <v>97</v>
      </c>
      <c r="H956" s="32">
        <v>33577993</v>
      </c>
      <c r="I956" s="32">
        <v>880000</v>
      </c>
      <c r="J956" s="32">
        <v>10836318</v>
      </c>
      <c r="K956" s="33">
        <v>21861675</v>
      </c>
      <c r="L956" s="33">
        <v>43000000</v>
      </c>
      <c r="M956" s="34">
        <v>0.50841104651162794</v>
      </c>
      <c r="N956" s="209" t="str">
        <f>IFERROR(VLOOKUP(F956,Back!C:F,4,0),"NO")</f>
        <v>Si</v>
      </c>
      <c r="O956" s="26">
        <v>25</v>
      </c>
      <c r="P956" s="28" t="str">
        <f>IFERROR(VLOOKUP(F956,Back!C:E,3,0),"")</f>
        <v>IPS Pto De Vista Punto Clave</v>
      </c>
      <c r="Q956" s="28" t="str">
        <f>IFERROR(VLOOKUP(P956,Back!M:N,2,0),"")</f>
        <v>Antioquia</v>
      </c>
      <c r="R956" s="27" t="str">
        <f>IF(N956="Si",IFERROR(VLOOKUP(F956,'TD Cumpl'!B:AB,27,0),"No Aplica"),"No Aplica")</f>
        <v>Cumple</v>
      </c>
      <c r="S956" s="38">
        <v>54</v>
      </c>
      <c r="T956" s="36">
        <v>6069373</v>
      </c>
      <c r="U956" s="26">
        <v>123</v>
      </c>
      <c r="V956" s="37">
        <v>11347150</v>
      </c>
      <c r="W956" s="19">
        <v>114</v>
      </c>
      <c r="X956" s="37">
        <v>10836318</v>
      </c>
      <c r="Y956" s="46">
        <f t="shared" si="30"/>
        <v>5325152</v>
      </c>
    </row>
    <row r="957" spans="1:25" x14ac:dyDescent="0.25">
      <c r="A957" s="20">
        <f>+VLOOKUP(D957,Back!Q:R,2,0)</f>
        <v>10</v>
      </c>
      <c r="B957" s="20" t="str">
        <f t="shared" si="29"/>
        <v>2017 OCT</v>
      </c>
      <c r="C957" s="30">
        <v>2017</v>
      </c>
      <c r="D957" s="30" t="s">
        <v>173</v>
      </c>
      <c r="E957" s="30" t="s">
        <v>117</v>
      </c>
      <c r="F957" s="30">
        <v>1020419615</v>
      </c>
      <c r="G957" s="30" t="s">
        <v>118</v>
      </c>
      <c r="H957" s="32">
        <v>57068707</v>
      </c>
      <c r="I957" s="32">
        <v>304000</v>
      </c>
      <c r="J957" s="32">
        <v>10606803</v>
      </c>
      <c r="K957" s="33">
        <v>46157904</v>
      </c>
      <c r="L957" s="33">
        <v>43000000</v>
      </c>
      <c r="M957" s="34">
        <v>1.0734396279069767</v>
      </c>
      <c r="N957" s="209" t="str">
        <f>IFERROR(VLOOKUP(F957,Back!C:F,4,0),"NO")</f>
        <v>Si</v>
      </c>
      <c r="O957" s="26">
        <v>25</v>
      </c>
      <c r="P957" s="28" t="str">
        <f>IFERROR(VLOOKUP(F957,Back!C:E,3,0),"")</f>
        <v>IPS Pto De Vista Punto Clave</v>
      </c>
      <c r="Q957" s="28" t="str">
        <f>IFERROR(VLOOKUP(P957,Back!M:N,2,0),"")</f>
        <v>Antioquia</v>
      </c>
      <c r="R957" s="27" t="str">
        <f>IF(N957="Si",IFERROR(VLOOKUP(F957,'TD Cumpl'!B:AB,27,0),"No Aplica"),"No Aplica")</f>
        <v>Cumple</v>
      </c>
      <c r="S957" s="38">
        <v>95</v>
      </c>
      <c r="T957" s="36">
        <v>11273712</v>
      </c>
      <c r="U957" s="26">
        <v>254</v>
      </c>
      <c r="V957" s="37">
        <v>27862282</v>
      </c>
      <c r="W957" s="19">
        <v>119</v>
      </c>
      <c r="X957" s="37">
        <v>10606803</v>
      </c>
      <c r="Y957" s="46">
        <f t="shared" si="30"/>
        <v>7325910</v>
      </c>
    </row>
    <row r="958" spans="1:25" x14ac:dyDescent="0.25">
      <c r="A958" s="20">
        <f>+VLOOKUP(D958,Back!Q:R,2,0)</f>
        <v>10</v>
      </c>
      <c r="B958" s="20" t="str">
        <f t="shared" si="29"/>
        <v>2017 OCT</v>
      </c>
      <c r="C958" s="30">
        <v>2017</v>
      </c>
      <c r="D958" s="30" t="s">
        <v>173</v>
      </c>
      <c r="E958" s="30" t="s">
        <v>166</v>
      </c>
      <c r="F958" s="30">
        <v>1020451288</v>
      </c>
      <c r="G958" s="30" t="s">
        <v>167</v>
      </c>
      <c r="H958" s="32">
        <v>45351731</v>
      </c>
      <c r="I958" s="32">
        <v>370400</v>
      </c>
      <c r="J958" s="32">
        <v>9490793</v>
      </c>
      <c r="K958" s="33">
        <v>35490538</v>
      </c>
      <c r="L958" s="33">
        <v>43000000</v>
      </c>
      <c r="M958" s="34">
        <v>0.82536134883720935</v>
      </c>
      <c r="N958" s="209" t="str">
        <f>IFERROR(VLOOKUP(F958,Back!C:F,4,0),"NO")</f>
        <v>Si</v>
      </c>
      <c r="O958" s="26">
        <v>25</v>
      </c>
      <c r="P958" s="28" t="str">
        <f>IFERROR(VLOOKUP(F958,Back!C:E,3,0),"")</f>
        <v>IPS Pto De Vista Punto Clave</v>
      </c>
      <c r="Q958" s="28" t="str">
        <f>IFERROR(VLOOKUP(P958,Back!M:N,2,0),"")</f>
        <v>Antioquia</v>
      </c>
      <c r="R958" s="27" t="str">
        <f>IF(N958="Si",IFERROR(VLOOKUP(F958,'TD Cumpl'!B:AB,27,0),"No Aplica"),"No Aplica")</f>
        <v>Cumple</v>
      </c>
      <c r="S958" s="38">
        <v>77</v>
      </c>
      <c r="T958" s="36">
        <v>7948471</v>
      </c>
      <c r="U958" s="26">
        <v>199</v>
      </c>
      <c r="V958" s="37">
        <v>24083921</v>
      </c>
      <c r="W958" s="19">
        <v>106</v>
      </c>
      <c r="X958" s="37">
        <v>9490793</v>
      </c>
      <c r="Y958" s="46">
        <f t="shared" si="30"/>
        <v>3828546</v>
      </c>
    </row>
    <row r="959" spans="1:25" x14ac:dyDescent="0.25">
      <c r="A959" s="20">
        <f>+VLOOKUP(D959,Back!Q:R,2,0)</f>
        <v>10</v>
      </c>
      <c r="B959" s="20" t="str">
        <f t="shared" ref="B959:B1022" si="31">MID(UPPER(C959&amp;" "&amp;D959),1,8)</f>
        <v>2017 OCT</v>
      </c>
      <c r="C959" s="30">
        <v>2017</v>
      </c>
      <c r="D959" s="30" t="s">
        <v>173</v>
      </c>
      <c r="E959" s="30" t="s">
        <v>25</v>
      </c>
      <c r="F959" s="30">
        <v>1040030764</v>
      </c>
      <c r="G959" s="30" t="s">
        <v>43</v>
      </c>
      <c r="H959" s="32">
        <v>45330134</v>
      </c>
      <c r="I959" s="32">
        <v>2529000</v>
      </c>
      <c r="J959" s="32">
        <v>8880679</v>
      </c>
      <c r="K959" s="33">
        <v>33920455</v>
      </c>
      <c r="L959" s="33">
        <v>33000000</v>
      </c>
      <c r="M959" s="34">
        <v>1.0278925757575759</v>
      </c>
      <c r="N959" s="209" t="str">
        <f>IFERROR(VLOOKUP(F959,Back!C:F,4,0),"NO")</f>
        <v>Si</v>
      </c>
      <c r="O959" s="26">
        <v>25</v>
      </c>
      <c r="P959" s="28" t="str">
        <f>IFERROR(VLOOKUP(F959,Back!C:E,3,0),"")</f>
        <v>IPS Pto De Vista Rionegro</v>
      </c>
      <c r="Q959" s="28" t="str">
        <f>IFERROR(VLOOKUP(P959,Back!M:N,2,0),"")</f>
        <v>Antioquia</v>
      </c>
      <c r="R959" s="27" t="str">
        <f>IF(N959="Si",IFERROR(VLOOKUP(F959,'TD Cumpl'!B:AB,27,0),"No Aplica"),"No Aplica")</f>
        <v>Cumple</v>
      </c>
      <c r="S959" s="38">
        <v>77</v>
      </c>
      <c r="T959" s="36">
        <v>8559197</v>
      </c>
      <c r="U959" s="26">
        <v>196</v>
      </c>
      <c r="V959" s="37">
        <v>23187687</v>
      </c>
      <c r="W959" s="19">
        <v>100</v>
      </c>
      <c r="X959" s="37">
        <v>8880679</v>
      </c>
      <c r="Y959" s="46">
        <f t="shared" si="30"/>
        <v>4702571</v>
      </c>
    </row>
    <row r="960" spans="1:25" x14ac:dyDescent="0.25">
      <c r="A960" s="20">
        <f>+VLOOKUP(D960,Back!Q:R,2,0)</f>
        <v>10</v>
      </c>
      <c r="B960" s="20" t="str">
        <f t="shared" si="31"/>
        <v>2017 OCT</v>
      </c>
      <c r="C960" s="30">
        <v>2017</v>
      </c>
      <c r="D960" s="30" t="s">
        <v>173</v>
      </c>
      <c r="E960" s="30" t="s">
        <v>37</v>
      </c>
      <c r="F960" s="30">
        <v>1036779770</v>
      </c>
      <c r="G960" s="30" t="s">
        <v>52</v>
      </c>
      <c r="H960" s="32">
        <v>41740619</v>
      </c>
      <c r="I960" s="32">
        <v>660000</v>
      </c>
      <c r="J960" s="32">
        <v>8231752</v>
      </c>
      <c r="K960" s="33">
        <v>32848867</v>
      </c>
      <c r="L960" s="33">
        <v>33000000</v>
      </c>
      <c r="M960" s="34">
        <v>0.99542021212121212</v>
      </c>
      <c r="N960" s="209" t="str">
        <f>IFERROR(VLOOKUP(F960,Back!C:F,4,0),"NO")</f>
        <v>No</v>
      </c>
      <c r="O960" s="26">
        <v>25</v>
      </c>
      <c r="P960" s="28" t="str">
        <f>IFERROR(VLOOKUP(F960,Back!C:E,3,0),"")</f>
        <v>IPS Pto De Vista Rionegro</v>
      </c>
      <c r="Q960" s="28" t="str">
        <f>IFERROR(VLOOKUP(P960,Back!M:N,2,0),"")</f>
        <v>Antioquia</v>
      </c>
      <c r="R960" s="27" t="str">
        <f>IF(N960="Si",IFERROR(VLOOKUP(F960,'TD Cumpl'!B:AB,27,0),"No Aplica"),"No Aplica")</f>
        <v>No Aplica</v>
      </c>
      <c r="S960" s="38">
        <v>78</v>
      </c>
      <c r="T960" s="36">
        <v>7802083</v>
      </c>
      <c r="U960" s="26">
        <v>194</v>
      </c>
      <c r="V960" s="37">
        <v>20517018</v>
      </c>
      <c r="W960" s="19">
        <v>91</v>
      </c>
      <c r="X960" s="37">
        <v>8231752</v>
      </c>
      <c r="Y960" s="46">
        <f t="shared" si="30"/>
        <v>5189766</v>
      </c>
    </row>
    <row r="961" spans="1:25" x14ac:dyDescent="0.25">
      <c r="A961" s="20">
        <f>+VLOOKUP(D961,Back!Q:R,2,0)</f>
        <v>10</v>
      </c>
      <c r="B961" s="20" t="str">
        <f t="shared" si="31"/>
        <v>2017 OCT</v>
      </c>
      <c r="C961" s="30">
        <v>2017</v>
      </c>
      <c r="D961" s="30" t="s">
        <v>173</v>
      </c>
      <c r="E961" s="30" t="s">
        <v>24</v>
      </c>
      <c r="F961" s="30">
        <v>39448823</v>
      </c>
      <c r="G961" s="30" t="s">
        <v>48</v>
      </c>
      <c r="H961" s="32">
        <v>55389342</v>
      </c>
      <c r="I961" s="32">
        <v>1469400</v>
      </c>
      <c r="J961" s="32">
        <v>10023488</v>
      </c>
      <c r="K961" s="33">
        <v>43896454</v>
      </c>
      <c r="L961" s="33">
        <v>33000000</v>
      </c>
      <c r="M961" s="34">
        <v>1.3301955757575759</v>
      </c>
      <c r="N961" s="209" t="str">
        <f>IFERROR(VLOOKUP(F961,Back!C:F,4,0),"NO")</f>
        <v>Si</v>
      </c>
      <c r="O961" s="26">
        <v>25</v>
      </c>
      <c r="P961" s="28" t="str">
        <f>IFERROR(VLOOKUP(F961,Back!C:E,3,0),"")</f>
        <v>IPS Pto De Vista Rionegro</v>
      </c>
      <c r="Q961" s="28" t="str">
        <f>IFERROR(VLOOKUP(P961,Back!M:N,2,0),"")</f>
        <v>Antioquia</v>
      </c>
      <c r="R961" s="27" t="str">
        <f>IF(N961="Si",IFERROR(VLOOKUP(F961,'TD Cumpl'!B:AB,27,0),"No Aplica"),"No Aplica")</f>
        <v>Siempre Cumple</v>
      </c>
      <c r="S961" s="38">
        <v>95</v>
      </c>
      <c r="T961" s="36">
        <v>11076432</v>
      </c>
      <c r="U961" s="26">
        <v>238</v>
      </c>
      <c r="V961" s="37">
        <v>28750231</v>
      </c>
      <c r="W961" s="19">
        <v>115</v>
      </c>
      <c r="X961" s="37">
        <v>10023488</v>
      </c>
      <c r="Y961" s="46">
        <f t="shared" ref="Y961:Y1024" si="32">+H961-X961-V961-T961</f>
        <v>5539191</v>
      </c>
    </row>
    <row r="962" spans="1:25" x14ac:dyDescent="0.25">
      <c r="A962" s="20">
        <f>+VLOOKUP(D962,Back!Q:R,2,0)</f>
        <v>10</v>
      </c>
      <c r="B962" s="20" t="str">
        <f t="shared" si="31"/>
        <v>2017 OCT</v>
      </c>
      <c r="C962" s="30">
        <v>2017</v>
      </c>
      <c r="D962" s="30" t="s">
        <v>173</v>
      </c>
      <c r="E962" s="30" t="s">
        <v>9</v>
      </c>
      <c r="F962" s="30">
        <v>43169964</v>
      </c>
      <c r="G962" s="30" t="s">
        <v>155</v>
      </c>
      <c r="H962" s="32">
        <v>50015623</v>
      </c>
      <c r="I962" s="32">
        <v>1116000</v>
      </c>
      <c r="J962" s="32">
        <v>9078843</v>
      </c>
      <c r="K962" s="33">
        <v>39820780</v>
      </c>
      <c r="L962" s="33">
        <v>42200000</v>
      </c>
      <c r="M962" s="34">
        <v>0.94362037914691943</v>
      </c>
      <c r="N962" s="209" t="str">
        <f>IFERROR(VLOOKUP(F962,Back!C:F,4,0),"NO")</f>
        <v>Si</v>
      </c>
      <c r="O962" s="26">
        <v>25</v>
      </c>
      <c r="P962" s="28" t="str">
        <f>IFERROR(VLOOKUP(F962,Back!C:E,3,0),"")</f>
        <v>IPS Pto De Vista Molinos</v>
      </c>
      <c r="Q962" s="28" t="str">
        <f>IFERROR(VLOOKUP(P962,Back!M:N,2,0),"")</f>
        <v>Antioquia</v>
      </c>
      <c r="R962" s="27" t="str">
        <f>IF(N962="Si",IFERROR(VLOOKUP(F962,'TD Cumpl'!B:AB,27,0),"No Aplica"),"No Aplica")</f>
        <v>Cumple</v>
      </c>
      <c r="S962" s="38">
        <v>102</v>
      </c>
      <c r="T962" s="36">
        <v>10389715</v>
      </c>
      <c r="U962" s="26">
        <v>231</v>
      </c>
      <c r="V962" s="37">
        <v>24932467</v>
      </c>
      <c r="W962" s="19">
        <v>103</v>
      </c>
      <c r="X962" s="37">
        <v>9078843</v>
      </c>
      <c r="Y962" s="46">
        <f t="shared" si="32"/>
        <v>5614598</v>
      </c>
    </row>
    <row r="963" spans="1:25" x14ac:dyDescent="0.25">
      <c r="A963" s="20">
        <f>+VLOOKUP(D963,Back!Q:R,2,0)</f>
        <v>10</v>
      </c>
      <c r="B963" s="20" t="str">
        <f t="shared" si="31"/>
        <v>2017 OCT</v>
      </c>
      <c r="C963" s="30">
        <v>2017</v>
      </c>
      <c r="D963" s="30" t="s">
        <v>173</v>
      </c>
      <c r="E963" s="30" t="s">
        <v>81</v>
      </c>
      <c r="F963" s="30">
        <v>1017200970</v>
      </c>
      <c r="G963" s="30" t="s">
        <v>82</v>
      </c>
      <c r="H963" s="32">
        <v>43184239</v>
      </c>
      <c r="I963" s="32">
        <v>1352000</v>
      </c>
      <c r="J963" s="32">
        <v>10880616</v>
      </c>
      <c r="K963" s="33">
        <v>30951623</v>
      </c>
      <c r="L963" s="33">
        <v>30100000</v>
      </c>
      <c r="M963" s="34">
        <v>1.0282931229235881</v>
      </c>
      <c r="N963" s="209" t="str">
        <f>IFERROR(VLOOKUP(F963,Back!C:F,4,0),"NO")</f>
        <v>Si</v>
      </c>
      <c r="O963" s="26">
        <v>25</v>
      </c>
      <c r="P963" s="28" t="str">
        <f>IFERROR(VLOOKUP(F963,Back!C:E,3,0),"")</f>
        <v>IPS Pto De Vista San Diego</v>
      </c>
      <c r="Q963" s="28" t="str">
        <f>IFERROR(VLOOKUP(P963,Back!M:N,2,0),"")</f>
        <v>Antioquia</v>
      </c>
      <c r="R963" s="27" t="str">
        <f>IF(N963="Si",IFERROR(VLOOKUP(F963,'TD Cumpl'!B:AB,27,0),"No Aplica"),"No Aplica")</f>
        <v>Cumple</v>
      </c>
      <c r="S963" s="38">
        <v>72</v>
      </c>
      <c r="T963" s="36">
        <v>7685843</v>
      </c>
      <c r="U963" s="26">
        <v>154</v>
      </c>
      <c r="V963" s="37">
        <v>17838452</v>
      </c>
      <c r="W963" s="19">
        <v>115</v>
      </c>
      <c r="X963" s="37">
        <v>10880616</v>
      </c>
      <c r="Y963" s="46">
        <f t="shared" si="32"/>
        <v>6779328</v>
      </c>
    </row>
    <row r="964" spans="1:25" x14ac:dyDescent="0.25">
      <c r="A964" s="20">
        <f>+VLOOKUP(D964,Back!Q:R,2,0)</f>
        <v>10</v>
      </c>
      <c r="B964" s="20" t="str">
        <f t="shared" si="31"/>
        <v>2017 OCT</v>
      </c>
      <c r="C964" s="30">
        <v>2017</v>
      </c>
      <c r="D964" s="30" t="s">
        <v>173</v>
      </c>
      <c r="E964" s="30" t="s">
        <v>91</v>
      </c>
      <c r="F964" s="30">
        <v>43114534</v>
      </c>
      <c r="G964" s="30" t="s">
        <v>95</v>
      </c>
      <c r="H964" s="32">
        <v>46124694</v>
      </c>
      <c r="I964" s="32">
        <v>852000</v>
      </c>
      <c r="J964" s="32">
        <v>11906318</v>
      </c>
      <c r="K964" s="33">
        <v>33366376</v>
      </c>
      <c r="L964" s="33">
        <v>30100000</v>
      </c>
      <c r="M964" s="34">
        <v>1.1085174750830564</v>
      </c>
      <c r="N964" s="209" t="str">
        <f>IFERROR(VLOOKUP(F964,Back!C:F,4,0),"NO")</f>
        <v>No</v>
      </c>
      <c r="O964" s="26">
        <v>25</v>
      </c>
      <c r="P964" s="28" t="str">
        <f>IFERROR(VLOOKUP(F964,Back!C:E,3,0),"")</f>
        <v>IPS Pto De Vista San Diego</v>
      </c>
      <c r="Q964" s="28" t="str">
        <f>IFERROR(VLOOKUP(P964,Back!M:N,2,0),"")</f>
        <v>Antioquia</v>
      </c>
      <c r="R964" s="27" t="str">
        <f>IF(N964="Si",IFERROR(VLOOKUP(F964,'TD Cumpl'!B:AB,27,0),"No Aplica"),"No Aplica")</f>
        <v>No Aplica</v>
      </c>
      <c r="S964" s="38">
        <v>90</v>
      </c>
      <c r="T964" s="36">
        <v>8603312</v>
      </c>
      <c r="U964" s="26">
        <v>224</v>
      </c>
      <c r="V964" s="37">
        <v>21296015</v>
      </c>
      <c r="W964" s="19">
        <v>123</v>
      </c>
      <c r="X964" s="37">
        <v>11906318</v>
      </c>
      <c r="Y964" s="46">
        <f t="shared" si="32"/>
        <v>4319049</v>
      </c>
    </row>
    <row r="965" spans="1:25" x14ac:dyDescent="0.25">
      <c r="A965" s="20">
        <f>+VLOOKUP(D965,Back!Q:R,2,0)</f>
        <v>10</v>
      </c>
      <c r="B965" s="20" t="str">
        <f t="shared" si="31"/>
        <v>2017 OCT</v>
      </c>
      <c r="C965" s="30">
        <v>2017</v>
      </c>
      <c r="D965" s="30" t="s">
        <v>173</v>
      </c>
      <c r="E965" s="30" t="s">
        <v>17</v>
      </c>
      <c r="F965" s="30">
        <v>43113640</v>
      </c>
      <c r="G965" s="30" t="s">
        <v>47</v>
      </c>
      <c r="H965" s="32">
        <v>32902714</v>
      </c>
      <c r="I965" s="32">
        <v>0</v>
      </c>
      <c r="J965" s="32">
        <v>6499287</v>
      </c>
      <c r="K965" s="33">
        <v>26403427</v>
      </c>
      <c r="L965" s="33">
        <v>22876000</v>
      </c>
      <c r="M965" s="34">
        <v>1.1541977181325407</v>
      </c>
      <c r="N965" s="209" t="str">
        <f>IFERROR(VLOOKUP(F965,Back!C:F,4,0),"NO")</f>
        <v>Si</v>
      </c>
      <c r="O965" s="26">
        <v>25</v>
      </c>
      <c r="P965" s="28" t="str">
        <f>IFERROR(VLOOKUP(F965,Back!C:E,3,0),"")</f>
        <v>IPS Pto De Vista San Diego</v>
      </c>
      <c r="Q965" s="28" t="str">
        <f>IFERROR(VLOOKUP(P965,Back!M:N,2,0),"")</f>
        <v>Antioquia</v>
      </c>
      <c r="R965" s="27" t="str">
        <f>IF(N965="Si",IFERROR(VLOOKUP(F965,'TD Cumpl'!B:AB,27,0),"No Aplica"),"No Aplica")</f>
        <v>Cumple</v>
      </c>
      <c r="S965" s="38">
        <v>58</v>
      </c>
      <c r="T965" s="36">
        <v>6945434</v>
      </c>
      <c r="U965" s="26">
        <v>144</v>
      </c>
      <c r="V965" s="37">
        <v>15849210</v>
      </c>
      <c r="W965" s="19">
        <v>67</v>
      </c>
      <c r="X965" s="37">
        <v>6499287</v>
      </c>
      <c r="Y965" s="46">
        <f t="shared" si="32"/>
        <v>3608783</v>
      </c>
    </row>
    <row r="966" spans="1:25" x14ac:dyDescent="0.25">
      <c r="A966" s="20">
        <f>+VLOOKUP(D966,Back!Q:R,2,0)</f>
        <v>10</v>
      </c>
      <c r="B966" s="20" t="str">
        <f t="shared" si="31"/>
        <v>2017 OCT</v>
      </c>
      <c r="C966" s="30">
        <v>2017</v>
      </c>
      <c r="D966" s="30" t="s">
        <v>173</v>
      </c>
      <c r="E966" s="30" t="s">
        <v>84</v>
      </c>
      <c r="F966" s="30">
        <v>1020736461</v>
      </c>
      <c r="G966" s="30" t="s">
        <v>156</v>
      </c>
      <c r="H966" s="32">
        <v>42540888</v>
      </c>
      <c r="I966" s="32">
        <v>501000</v>
      </c>
      <c r="J966" s="32">
        <v>6689212</v>
      </c>
      <c r="K966" s="33">
        <v>35350676</v>
      </c>
      <c r="L966" s="33">
        <v>22000000</v>
      </c>
      <c r="M966" s="34">
        <v>1.606848909090909</v>
      </c>
      <c r="N966" s="209" t="str">
        <f>IFERROR(VLOOKUP(F966,Back!C:F,4,0),"NO")</f>
        <v>Si</v>
      </c>
      <c r="O966" s="26">
        <v>25</v>
      </c>
      <c r="P966" s="28" t="str">
        <f>IFERROR(VLOOKUP(F966,Back!C:E,3,0),"")</f>
        <v>IPS Pto De Vista Santa Bárbara</v>
      </c>
      <c r="Q966" s="28" t="str">
        <f>IFERROR(VLOOKUP(P966,Back!M:N,2,0),"")</f>
        <v>Centro</v>
      </c>
      <c r="R966" s="27" t="str">
        <f>IF(N966="Si",IFERROR(VLOOKUP(F966,'TD Cumpl'!B:AB,27,0),"No Aplica"),"No Aplica")</f>
        <v>Siempre Cumple</v>
      </c>
      <c r="S966" s="38">
        <v>75</v>
      </c>
      <c r="T966" s="36">
        <v>7913752</v>
      </c>
      <c r="U966" s="26">
        <v>198</v>
      </c>
      <c r="V966" s="37">
        <v>25875788</v>
      </c>
      <c r="W966" s="19">
        <v>93</v>
      </c>
      <c r="X966" s="37">
        <v>6689212</v>
      </c>
      <c r="Y966" s="46">
        <f t="shared" si="32"/>
        <v>2062136</v>
      </c>
    </row>
    <row r="967" spans="1:25" x14ac:dyDescent="0.25">
      <c r="A967" s="20">
        <f>+VLOOKUP(D967,Back!Q:R,2,0)</f>
        <v>10</v>
      </c>
      <c r="B967" s="20" t="str">
        <f t="shared" si="31"/>
        <v>2017 OCT</v>
      </c>
      <c r="C967" s="30">
        <v>2017</v>
      </c>
      <c r="D967" s="30" t="s">
        <v>173</v>
      </c>
      <c r="E967" s="30" t="s">
        <v>2</v>
      </c>
      <c r="F967" s="30">
        <v>52260671</v>
      </c>
      <c r="G967" s="30" t="s">
        <v>26</v>
      </c>
      <c r="H967" s="32">
        <v>35856782</v>
      </c>
      <c r="I967" s="32">
        <v>905600</v>
      </c>
      <c r="J967" s="32">
        <v>7117961</v>
      </c>
      <c r="K967" s="33">
        <v>27833221</v>
      </c>
      <c r="L967" s="33">
        <v>22000000</v>
      </c>
      <c r="M967" s="34">
        <v>1.265146409090909</v>
      </c>
      <c r="N967" s="209" t="str">
        <f>IFERROR(VLOOKUP(F967,Back!C:F,4,0),"NO")</f>
        <v>Si</v>
      </c>
      <c r="O967" s="26">
        <v>25</v>
      </c>
      <c r="P967" s="28" t="str">
        <f>IFERROR(VLOOKUP(F967,Back!C:E,3,0),"")</f>
        <v>IPS Pto De Vista Santa Bárbara</v>
      </c>
      <c r="Q967" s="28" t="str">
        <f>IFERROR(VLOOKUP(P967,Back!M:N,2,0),"")</f>
        <v>Centro</v>
      </c>
      <c r="R967" s="27" t="str">
        <f>IF(N967="Si",IFERROR(VLOOKUP(F967,'TD Cumpl'!B:AB,27,0),"No Aplica"),"No Aplica")</f>
        <v>Siempre Cumple</v>
      </c>
      <c r="S967" s="38">
        <v>63</v>
      </c>
      <c r="T967" s="36">
        <v>7348462</v>
      </c>
      <c r="U967" s="26">
        <v>166</v>
      </c>
      <c r="V967" s="37">
        <v>16662759</v>
      </c>
      <c r="W967" s="19">
        <v>90</v>
      </c>
      <c r="X967" s="37">
        <v>7117961</v>
      </c>
      <c r="Y967" s="46">
        <f t="shared" si="32"/>
        <v>4727600</v>
      </c>
    </row>
    <row r="968" spans="1:25" x14ac:dyDescent="0.25">
      <c r="A968" s="20">
        <f>+VLOOKUP(D968,Back!Q:R,2,0)</f>
        <v>10</v>
      </c>
      <c r="B968" s="20" t="str">
        <f t="shared" si="31"/>
        <v>2017 OCT</v>
      </c>
      <c r="C968" s="30">
        <v>2017</v>
      </c>
      <c r="D968" s="30" t="s">
        <v>173</v>
      </c>
      <c r="E968" s="30" t="s">
        <v>102</v>
      </c>
      <c r="F968" s="30">
        <v>79850984</v>
      </c>
      <c r="G968" s="30" t="s">
        <v>106</v>
      </c>
      <c r="H968" s="32">
        <v>28578765</v>
      </c>
      <c r="I968" s="32">
        <v>852000</v>
      </c>
      <c r="J968" s="32">
        <v>5322287</v>
      </c>
      <c r="K968" s="33">
        <v>22404478</v>
      </c>
      <c r="L968" s="33">
        <v>22000000</v>
      </c>
      <c r="M968" s="34">
        <v>1.0183853636363636</v>
      </c>
      <c r="N968" s="209" t="str">
        <f>IFERROR(VLOOKUP(F968,Back!C:F,4,0),"NO")</f>
        <v>Si</v>
      </c>
      <c r="O968" s="26">
        <v>25</v>
      </c>
      <c r="P968" s="28" t="str">
        <f>IFERROR(VLOOKUP(F968,Back!C:E,3,0),"")</f>
        <v>IPS Pto De Vista SSura Clle100</v>
      </c>
      <c r="Q968" s="28" t="str">
        <f>IFERROR(VLOOKUP(P968,Back!M:N,2,0),"")</f>
        <v>Centro</v>
      </c>
      <c r="R968" s="27" t="str">
        <f>IF(N968="Si",IFERROR(VLOOKUP(F968,'TD Cumpl'!B:AB,27,0),"No Aplica"),"No Aplica")</f>
        <v>Fluctúa</v>
      </c>
      <c r="S968" s="38">
        <v>41</v>
      </c>
      <c r="T968" s="36">
        <v>4423640</v>
      </c>
      <c r="U968" s="26">
        <v>133</v>
      </c>
      <c r="V968" s="37">
        <v>16167438</v>
      </c>
      <c r="W968" s="19">
        <v>67</v>
      </c>
      <c r="X968" s="37">
        <v>5322287</v>
      </c>
      <c r="Y968" s="46">
        <f t="shared" si="32"/>
        <v>2665400</v>
      </c>
    </row>
    <row r="969" spans="1:25" x14ac:dyDescent="0.25">
      <c r="A969" s="20">
        <f>+VLOOKUP(D969,Back!Q:R,2,0)</f>
        <v>10</v>
      </c>
      <c r="B969" s="20" t="str">
        <f t="shared" si="31"/>
        <v>2017 OCT</v>
      </c>
      <c r="C969" s="30">
        <v>2017</v>
      </c>
      <c r="D969" s="30" t="s">
        <v>173</v>
      </c>
      <c r="E969" s="30" t="s">
        <v>38</v>
      </c>
      <c r="F969" s="30">
        <v>43745192</v>
      </c>
      <c r="G969" s="30" t="s">
        <v>45</v>
      </c>
      <c r="H969" s="32">
        <v>33681408</v>
      </c>
      <c r="I969" s="32">
        <v>0</v>
      </c>
      <c r="J969" s="32">
        <v>3423358</v>
      </c>
      <c r="K969" s="33">
        <v>30258050</v>
      </c>
      <c r="L969" s="33">
        <v>25000000</v>
      </c>
      <c r="M969" s="34">
        <v>1.2103219999999999</v>
      </c>
      <c r="N969" s="209" t="str">
        <f>IFERROR(VLOOKUP(F969,Back!C:F,4,0),"NO")</f>
        <v>Si</v>
      </c>
      <c r="O969" s="26">
        <v>25</v>
      </c>
      <c r="P969" s="28" t="str">
        <f>IFERROR(VLOOKUP(F969,Back!C:E,3,0),"")</f>
        <v>IPS Punto de Vista Mayorca</v>
      </c>
      <c r="Q969" s="28" t="str">
        <f>IFERROR(VLOOKUP(P969,Back!M:N,2,0),"")</f>
        <v>Antioquia</v>
      </c>
      <c r="R969" s="27" t="str">
        <f>IF(N969="Si",IFERROR(VLOOKUP(F969,'TD Cumpl'!B:AB,27,0),"No Aplica"),"No Aplica")</f>
        <v>Cumple</v>
      </c>
      <c r="S969" s="38">
        <v>51</v>
      </c>
      <c r="T969" s="36">
        <v>9418556</v>
      </c>
      <c r="U969" s="26">
        <v>151</v>
      </c>
      <c r="V969" s="37">
        <v>18663092</v>
      </c>
      <c r="W969" s="19">
        <v>48</v>
      </c>
      <c r="X969" s="37">
        <v>3423358</v>
      </c>
      <c r="Y969" s="46">
        <f t="shared" si="32"/>
        <v>2176402</v>
      </c>
    </row>
    <row r="970" spans="1:25" x14ac:dyDescent="0.25">
      <c r="A970" s="20">
        <f>+VLOOKUP(D970,Back!Q:R,2,0)</f>
        <v>10</v>
      </c>
      <c r="B970" s="20" t="str">
        <f t="shared" si="31"/>
        <v>2017 OCT</v>
      </c>
      <c r="C970" s="30">
        <v>2017</v>
      </c>
      <c r="D970" s="30" t="s">
        <v>173</v>
      </c>
      <c r="E970" s="30" t="s">
        <v>7</v>
      </c>
      <c r="F970" s="30">
        <v>43745952</v>
      </c>
      <c r="G970" s="30" t="s">
        <v>50</v>
      </c>
      <c r="H970" s="32">
        <v>29356744</v>
      </c>
      <c r="I970" s="32">
        <v>124000</v>
      </c>
      <c r="J970" s="32">
        <v>4301507</v>
      </c>
      <c r="K970" s="33">
        <v>24931237</v>
      </c>
      <c r="L970" s="33">
        <v>18920000</v>
      </c>
      <c r="M970" s="34">
        <v>1.3177186575052855</v>
      </c>
      <c r="N970" s="209" t="str">
        <f>IFERROR(VLOOKUP(F970,Back!C:F,4,0),"NO")</f>
        <v>Si</v>
      </c>
      <c r="O970" s="26">
        <v>25</v>
      </c>
      <c r="P970" s="28" t="str">
        <f>IFERROR(VLOOKUP(F970,Back!C:E,3,0),"")</f>
        <v>IPS Pto De Vista Unicentro</v>
      </c>
      <c r="Q970" s="28" t="str">
        <f>IFERROR(VLOOKUP(P970,Back!M:N,2,0),"")</f>
        <v>Antioquia</v>
      </c>
      <c r="R970" s="27" t="str">
        <f>IF(N970="Si",IFERROR(VLOOKUP(F970,'TD Cumpl'!B:AB,27,0),"No Aplica"),"No Aplica")</f>
        <v>Siempre Cumple</v>
      </c>
      <c r="S970" s="38">
        <v>49</v>
      </c>
      <c r="T970" s="36">
        <v>6728370</v>
      </c>
      <c r="U970" s="26">
        <v>110</v>
      </c>
      <c r="V970" s="37">
        <v>15415216</v>
      </c>
      <c r="W970" s="19">
        <v>53</v>
      </c>
      <c r="X970" s="37">
        <v>4301507</v>
      </c>
      <c r="Y970" s="46">
        <f t="shared" si="32"/>
        <v>2911651</v>
      </c>
    </row>
    <row r="971" spans="1:25" x14ac:dyDescent="0.25">
      <c r="A971" s="20">
        <f>+VLOOKUP(D971,Back!Q:R,2,0)</f>
        <v>10</v>
      </c>
      <c r="B971" s="20" t="str">
        <f t="shared" si="31"/>
        <v>2017 OCT</v>
      </c>
      <c r="C971" s="30">
        <v>2017</v>
      </c>
      <c r="D971" s="30" t="s">
        <v>173</v>
      </c>
      <c r="E971" s="30" t="s">
        <v>6</v>
      </c>
      <c r="F971" s="30">
        <v>43821410</v>
      </c>
      <c r="G971" s="30" t="s">
        <v>40</v>
      </c>
      <c r="H971" s="32">
        <v>71494856</v>
      </c>
      <c r="I971" s="32">
        <v>1574680</v>
      </c>
      <c r="J971" s="32">
        <v>11717463</v>
      </c>
      <c r="K971" s="33">
        <v>58202713</v>
      </c>
      <c r="L971" s="33">
        <v>43000000</v>
      </c>
      <c r="M971" s="34">
        <v>1.353551465116279</v>
      </c>
      <c r="N971" s="209" t="str">
        <f>IFERROR(VLOOKUP(F971,Back!C:F,4,0),"NO")</f>
        <v>Si</v>
      </c>
      <c r="O971" s="26">
        <v>25</v>
      </c>
      <c r="P971" s="28" t="str">
        <f>IFERROR(VLOOKUP(F971,Back!C:E,3,0),"")</f>
        <v>IPS Pto De Vista Unicentro</v>
      </c>
      <c r="Q971" s="28" t="str">
        <f>IFERROR(VLOOKUP(P971,Back!M:N,2,0),"")</f>
        <v>Antioquia</v>
      </c>
      <c r="R971" s="27" t="str">
        <f>IF(N971="Si",IFERROR(VLOOKUP(F971,'TD Cumpl'!B:AB,27,0),"No Aplica"),"No Aplica")</f>
        <v>Siempre Cumple</v>
      </c>
      <c r="S971" s="38">
        <v>119</v>
      </c>
      <c r="T971" s="36">
        <v>15604773</v>
      </c>
      <c r="U971" s="26">
        <v>280</v>
      </c>
      <c r="V971" s="37">
        <v>36779401</v>
      </c>
      <c r="W971" s="19">
        <v>129</v>
      </c>
      <c r="X971" s="37">
        <v>11717463</v>
      </c>
      <c r="Y971" s="46">
        <f t="shared" si="32"/>
        <v>7393219</v>
      </c>
    </row>
    <row r="972" spans="1:25" x14ac:dyDescent="0.25">
      <c r="A972" s="20">
        <f>+VLOOKUP(D972,Back!Q:R,2,0)</f>
        <v>10</v>
      </c>
      <c r="B972" s="20" t="str">
        <f t="shared" si="31"/>
        <v>2017 OCT</v>
      </c>
      <c r="C972" s="30">
        <v>2017</v>
      </c>
      <c r="D972" s="30" t="s">
        <v>173</v>
      </c>
      <c r="E972" s="30" t="s">
        <v>20</v>
      </c>
      <c r="F972" s="30">
        <v>1017141451</v>
      </c>
      <c r="G972" s="30" t="s">
        <v>44</v>
      </c>
      <c r="H972" s="32">
        <v>48864388</v>
      </c>
      <c r="I972" s="32">
        <v>1662000</v>
      </c>
      <c r="J972" s="32">
        <v>9106877</v>
      </c>
      <c r="K972" s="33">
        <v>38095511</v>
      </c>
      <c r="L972" s="33">
        <v>41280000</v>
      </c>
      <c r="M972" s="34">
        <v>0.92285637112403096</v>
      </c>
      <c r="N972" s="209" t="str">
        <f>IFERROR(VLOOKUP(F972,Back!C:F,4,0),"NO")</f>
        <v>Si</v>
      </c>
      <c r="O972" s="26">
        <v>25</v>
      </c>
      <c r="P972" s="28" t="str">
        <f>IFERROR(VLOOKUP(F972,Back!C:E,3,0),"")</f>
        <v>IPS Pto De Vista Molinos</v>
      </c>
      <c r="Q972" s="28" t="str">
        <f>IFERROR(VLOOKUP(P972,Back!M:N,2,0),"")</f>
        <v>Antioquia</v>
      </c>
      <c r="R972" s="27" t="str">
        <f>IF(N972="Si",IFERROR(VLOOKUP(F972,'TD Cumpl'!B:AB,27,0),"No Aplica"),"No Aplica")</f>
        <v>Siempre Cumple</v>
      </c>
      <c r="S972" s="38">
        <v>93</v>
      </c>
      <c r="T972" s="36">
        <v>10892934</v>
      </c>
      <c r="U972" s="26">
        <v>231</v>
      </c>
      <c r="V972" s="37">
        <v>22422715</v>
      </c>
      <c r="W972" s="19">
        <v>106</v>
      </c>
      <c r="X972" s="37">
        <v>9106877</v>
      </c>
      <c r="Y972" s="46">
        <f t="shared" si="32"/>
        <v>6441862</v>
      </c>
    </row>
    <row r="973" spans="1:25" x14ac:dyDescent="0.25">
      <c r="A973" s="20">
        <f>+VLOOKUP(D973,Back!Q:R,2,0)</f>
        <v>10</v>
      </c>
      <c r="B973" s="20" t="str">
        <f t="shared" si="31"/>
        <v>2017 OCT</v>
      </c>
      <c r="C973" s="30">
        <v>2017</v>
      </c>
      <c r="D973" s="30" t="s">
        <v>173</v>
      </c>
      <c r="E973" s="30" t="s">
        <v>11</v>
      </c>
      <c r="F973" s="30">
        <v>43253531</v>
      </c>
      <c r="G973" s="30" t="s">
        <v>39</v>
      </c>
      <c r="H973" s="32">
        <v>54845689</v>
      </c>
      <c r="I973" s="32">
        <v>304000</v>
      </c>
      <c r="J973" s="32">
        <v>15816098</v>
      </c>
      <c r="K973" s="33">
        <v>38725591</v>
      </c>
      <c r="L973" s="33">
        <v>29000000</v>
      </c>
      <c r="M973" s="34">
        <v>1.3353652068965518</v>
      </c>
      <c r="N973" s="209" t="str">
        <f>IFERROR(VLOOKUP(F973,Back!C:F,4,0),"NO")</f>
        <v>Si</v>
      </c>
      <c r="O973" s="26">
        <v>25</v>
      </c>
      <c r="P973" s="28" t="str">
        <f>IFERROR(VLOOKUP(F973,Back!C:E,3,0),"")</f>
        <v>IPS Punto de Vista Bello</v>
      </c>
      <c r="Q973" s="28" t="str">
        <f>IFERROR(VLOOKUP(P973,Back!M:N,2,0),"")</f>
        <v>Antioquia</v>
      </c>
      <c r="R973" s="27" t="str">
        <f>IF(N973="Si",IFERROR(VLOOKUP(F973,'TD Cumpl'!B:AB,27,0),"No Aplica"),"No Aplica")</f>
        <v>Cumple</v>
      </c>
      <c r="S973" s="38">
        <v>85</v>
      </c>
      <c r="T973" s="36">
        <v>8091072</v>
      </c>
      <c r="U973" s="26">
        <v>222</v>
      </c>
      <c r="V973" s="37">
        <v>26329753</v>
      </c>
      <c r="W973" s="19">
        <v>173</v>
      </c>
      <c r="X973" s="37">
        <v>15816098</v>
      </c>
      <c r="Y973" s="46">
        <f t="shared" si="32"/>
        <v>4608766</v>
      </c>
    </row>
    <row r="974" spans="1:25" x14ac:dyDescent="0.25">
      <c r="A974" s="20">
        <f>+VLOOKUP(D974,Back!Q:R,2,0)</f>
        <v>10</v>
      </c>
      <c r="B974" s="20" t="str">
        <f t="shared" si="31"/>
        <v>2017 OCT</v>
      </c>
      <c r="C974" s="30">
        <v>2017</v>
      </c>
      <c r="D974" s="30" t="s">
        <v>173</v>
      </c>
      <c r="E974" s="30" t="s">
        <v>108</v>
      </c>
      <c r="F974" s="30">
        <v>1020443426</v>
      </c>
      <c r="G974" s="30" t="s">
        <v>109</v>
      </c>
      <c r="H974" s="32">
        <v>38738958</v>
      </c>
      <c r="I974" s="32">
        <v>866000</v>
      </c>
      <c r="J974" s="32">
        <v>9808904</v>
      </c>
      <c r="K974" s="33">
        <v>28064054</v>
      </c>
      <c r="L974" s="33">
        <v>41000000</v>
      </c>
      <c r="M974" s="34">
        <v>0.68448912195121947</v>
      </c>
      <c r="N974" s="209" t="str">
        <f>IFERROR(VLOOKUP(F974,Back!C:F,4,0),"NO")</f>
        <v>Si</v>
      </c>
      <c r="O974" s="26">
        <v>25</v>
      </c>
      <c r="P974" s="28" t="str">
        <f>IFERROR(VLOOKUP(F974,Back!C:E,3,0),"")</f>
        <v>IPS Pto De Vista San Diego</v>
      </c>
      <c r="Q974" s="28" t="str">
        <f>IFERROR(VLOOKUP(P974,Back!M:N,2,0),"")</f>
        <v>Antioquia</v>
      </c>
      <c r="R974" s="27" t="str">
        <f>IF(N974="Si",IFERROR(VLOOKUP(F974,'TD Cumpl'!B:AB,27,0),"No Aplica"),"No Aplica")</f>
        <v>Fluctúa</v>
      </c>
      <c r="S974" s="38">
        <v>65</v>
      </c>
      <c r="T974" s="36">
        <v>6225146</v>
      </c>
      <c r="U974" s="26">
        <v>191</v>
      </c>
      <c r="V974" s="37">
        <v>18470800</v>
      </c>
      <c r="W974" s="19">
        <v>111</v>
      </c>
      <c r="X974" s="37">
        <v>9808904</v>
      </c>
      <c r="Y974" s="46">
        <f t="shared" si="32"/>
        <v>4234108</v>
      </c>
    </row>
    <row r="975" spans="1:25" x14ac:dyDescent="0.25">
      <c r="A975" s="20">
        <f>+VLOOKUP(D975,Back!Q:R,2,0)</f>
        <v>10</v>
      </c>
      <c r="B975" s="20" t="str">
        <f t="shared" si="31"/>
        <v>2017 OCT</v>
      </c>
      <c r="C975" s="30">
        <v>2017</v>
      </c>
      <c r="D975" s="30" t="s">
        <v>173</v>
      </c>
      <c r="E975" s="30" t="s">
        <v>147</v>
      </c>
      <c r="F975" s="30">
        <v>31309227</v>
      </c>
      <c r="G975" s="30" t="s">
        <v>148</v>
      </c>
      <c r="H975" s="32">
        <v>13525227</v>
      </c>
      <c r="I975" s="32">
        <v>0</v>
      </c>
      <c r="J975" s="32">
        <v>3472578</v>
      </c>
      <c r="K975" s="33">
        <v>10052649</v>
      </c>
      <c r="L975" s="33">
        <v>14400000</v>
      </c>
      <c r="M975" s="34">
        <v>0.69810062500000003</v>
      </c>
      <c r="N975" s="209" t="str">
        <f>IFERROR(VLOOKUP(F975,Back!C:F,4,0),"NO")</f>
        <v>No</v>
      </c>
      <c r="O975" s="26">
        <v>25</v>
      </c>
      <c r="P975" s="28" t="str">
        <f>IFERROR(VLOOKUP(F975,Back!C:E,3,0),"")</f>
        <v/>
      </c>
      <c r="Q975" s="28" t="str">
        <f>IFERROR(VLOOKUP(P975,Back!M:N,2,0),"")</f>
        <v/>
      </c>
      <c r="R975" s="27" t="str">
        <f>IF(N975="Si",IFERROR(VLOOKUP(F975,'TD Cumpl'!B:AB,27,0),"No Aplica"),"No Aplica")</f>
        <v>No Aplica</v>
      </c>
      <c r="S975" s="38">
        <v>26</v>
      </c>
      <c r="T975" s="36">
        <v>2119255</v>
      </c>
      <c r="U975" s="26">
        <v>70</v>
      </c>
      <c r="V975" s="37">
        <v>6560467</v>
      </c>
      <c r="W975" s="19">
        <v>45</v>
      </c>
      <c r="X975" s="37">
        <v>3472578</v>
      </c>
      <c r="Y975" s="46">
        <f t="shared" si="32"/>
        <v>1372927</v>
      </c>
    </row>
    <row r="976" spans="1:25" x14ac:dyDescent="0.25">
      <c r="A976" s="20">
        <f>+VLOOKUP(D976,Back!Q:R,2,0)</f>
        <v>10</v>
      </c>
      <c r="B976" s="20" t="str">
        <f t="shared" si="31"/>
        <v>2017 OCT</v>
      </c>
      <c r="C976" s="30">
        <v>2017</v>
      </c>
      <c r="D976" s="30" t="s">
        <v>173</v>
      </c>
      <c r="E976" s="30" t="s">
        <v>149</v>
      </c>
      <c r="F976" s="30">
        <v>1130597373</v>
      </c>
      <c r="G976" s="30" t="s">
        <v>150</v>
      </c>
      <c r="H976" s="32">
        <v>26572763</v>
      </c>
      <c r="I976" s="32">
        <v>0</v>
      </c>
      <c r="J976" s="32">
        <v>7476946</v>
      </c>
      <c r="K976" s="33">
        <v>19095817</v>
      </c>
      <c r="L976" s="33">
        <v>30000000</v>
      </c>
      <c r="M976" s="34">
        <v>0.63652723333333339</v>
      </c>
      <c r="N976" s="209" t="str">
        <f>IFERROR(VLOOKUP(F976,Back!C:F,4,0),"NO")</f>
        <v>Si</v>
      </c>
      <c r="O976" s="26">
        <v>25</v>
      </c>
      <c r="P976" s="28" t="str">
        <f>IFERROR(VLOOKUP(F976,Back!C:E,3,0),"")</f>
        <v>Punto de Vista Cali Norte</v>
      </c>
      <c r="Q976" s="28" t="str">
        <f>IFERROR(VLOOKUP(P976,Back!M:N,2,0),"")</f>
        <v>Occidente</v>
      </c>
      <c r="R976" s="27" t="str">
        <f>IF(N976="Si",IFERROR(VLOOKUP(F976,'TD Cumpl'!B:AB,27,0),"No Aplica"),"No Aplica")</f>
        <v>Fluctúa</v>
      </c>
      <c r="S976" s="38">
        <v>42</v>
      </c>
      <c r="T976" s="36">
        <v>3760291</v>
      </c>
      <c r="U976" s="26">
        <v>146</v>
      </c>
      <c r="V976" s="37">
        <v>12890793</v>
      </c>
      <c r="W976" s="19">
        <v>98</v>
      </c>
      <c r="X976" s="37">
        <v>7476946</v>
      </c>
      <c r="Y976" s="46">
        <f t="shared" si="32"/>
        <v>2444733</v>
      </c>
    </row>
    <row r="977" spans="1:25" x14ac:dyDescent="0.25">
      <c r="A977" s="20">
        <f>+VLOOKUP(D977,Back!Q:R,2,0)</f>
        <v>10</v>
      </c>
      <c r="B977" s="20" t="str">
        <f t="shared" si="31"/>
        <v>2017 OCT</v>
      </c>
      <c r="C977" s="30">
        <v>2017</v>
      </c>
      <c r="D977" s="30" t="s">
        <v>173</v>
      </c>
      <c r="E977" s="30" t="s">
        <v>88</v>
      </c>
      <c r="F977" s="30">
        <v>31445278</v>
      </c>
      <c r="G977" s="30" t="s">
        <v>93</v>
      </c>
      <c r="H977" s="32">
        <v>29170803</v>
      </c>
      <c r="I977" s="32">
        <v>0</v>
      </c>
      <c r="J977" s="32">
        <v>8690861</v>
      </c>
      <c r="K977" s="33">
        <v>20479942</v>
      </c>
      <c r="L977" s="33">
        <v>30000000</v>
      </c>
      <c r="M977" s="34">
        <v>0.68266473333333333</v>
      </c>
      <c r="N977" s="209" t="str">
        <f>IFERROR(VLOOKUP(F977,Back!C:F,4,0),"NO")</f>
        <v>Si</v>
      </c>
      <c r="O977" s="26">
        <v>25</v>
      </c>
      <c r="P977" s="28" t="str">
        <f>IFERROR(VLOOKUP(F977,Back!C:E,3,0),"")</f>
        <v>Punto de Vista Tequendama</v>
      </c>
      <c r="Q977" s="28" t="str">
        <f>IFERROR(VLOOKUP(P977,Back!M:N,2,0),"")</f>
        <v>Occidente</v>
      </c>
      <c r="R977" s="27" t="str">
        <f>IF(N977="Si",IFERROR(VLOOKUP(F977,'TD Cumpl'!B:AB,27,0),"No Aplica"),"No Aplica")</f>
        <v>Cumple</v>
      </c>
      <c r="S977" s="38">
        <v>45</v>
      </c>
      <c r="T977" s="36">
        <v>3859632</v>
      </c>
      <c r="U977" s="26">
        <v>158</v>
      </c>
      <c r="V977" s="37">
        <v>13072495</v>
      </c>
      <c r="W977" s="19">
        <v>103</v>
      </c>
      <c r="X977" s="37">
        <v>8690861</v>
      </c>
      <c r="Y977" s="46">
        <f t="shared" si="32"/>
        <v>3547815</v>
      </c>
    </row>
    <row r="978" spans="1:25" x14ac:dyDescent="0.25">
      <c r="A978" s="20">
        <f>+VLOOKUP(D978,Back!Q:R,2,0)</f>
        <v>10</v>
      </c>
      <c r="B978" s="20" t="str">
        <f t="shared" si="31"/>
        <v>2017 OCT</v>
      </c>
      <c r="C978" s="30">
        <v>2017</v>
      </c>
      <c r="D978" s="30" t="s">
        <v>173</v>
      </c>
      <c r="E978" s="30" t="s">
        <v>169</v>
      </c>
      <c r="F978" s="30">
        <v>66857504</v>
      </c>
      <c r="G978" s="30" t="s">
        <v>170</v>
      </c>
      <c r="H978" s="32">
        <v>351315</v>
      </c>
      <c r="I978" s="32">
        <v>0</v>
      </c>
      <c r="J978" s="32">
        <v>0</v>
      </c>
      <c r="K978" s="33">
        <v>351315</v>
      </c>
      <c r="L978" s="33">
        <v>8400000</v>
      </c>
      <c r="M978" s="34">
        <v>4.1823214285714283E-2</v>
      </c>
      <c r="N978" s="209" t="str">
        <f>IFERROR(VLOOKUP(F978,Back!C:F,4,0),"NO")</f>
        <v>No</v>
      </c>
      <c r="O978" s="26">
        <v>25</v>
      </c>
      <c r="P978" s="28" t="str">
        <f>IFERROR(VLOOKUP(F978,Back!C:E,3,0),"")</f>
        <v/>
      </c>
      <c r="Q978" s="28" t="str">
        <f>IFERROR(VLOOKUP(P978,Back!M:N,2,0),"")</f>
        <v/>
      </c>
      <c r="R978" s="27" t="str">
        <f>IF(N978="Si",IFERROR(VLOOKUP(F978,'TD Cumpl'!B:AB,27,0),"No Aplica"),"No Aplica")</f>
        <v>No Aplica</v>
      </c>
      <c r="S978" s="38">
        <v>0</v>
      </c>
      <c r="T978" s="36">
        <v>0</v>
      </c>
      <c r="U978" s="26">
        <v>2</v>
      </c>
      <c r="V978" s="37">
        <v>220315</v>
      </c>
      <c r="W978" s="19">
        <v>0</v>
      </c>
      <c r="X978" s="37">
        <v>0</v>
      </c>
      <c r="Y978" s="46">
        <f t="shared" si="32"/>
        <v>131000</v>
      </c>
    </row>
    <row r="979" spans="1:25" x14ac:dyDescent="0.25">
      <c r="A979" s="20">
        <f>+VLOOKUP(D979,Back!Q:R,2,0)</f>
        <v>10</v>
      </c>
      <c r="B979" s="20" t="str">
        <f t="shared" si="31"/>
        <v>2017 OCT</v>
      </c>
      <c r="C979" s="30">
        <v>2017</v>
      </c>
      <c r="D979" s="30" t="s">
        <v>173</v>
      </c>
      <c r="E979" s="30" t="s">
        <v>5</v>
      </c>
      <c r="F979" s="30">
        <v>34542470</v>
      </c>
      <c r="G979" s="30" t="s">
        <v>28</v>
      </c>
      <c r="H979" s="32">
        <v>42681928</v>
      </c>
      <c r="I979" s="32">
        <v>2376360</v>
      </c>
      <c r="J979" s="32">
        <v>5984296</v>
      </c>
      <c r="K979" s="33">
        <v>34321272</v>
      </c>
      <c r="L979" s="33">
        <v>25000000</v>
      </c>
      <c r="M979" s="34">
        <v>1.3728508800000001</v>
      </c>
      <c r="N979" s="209" t="str">
        <f>IFERROR(VLOOKUP(F979,Back!C:F,4,0),"NO")</f>
        <v>Si</v>
      </c>
      <c r="O979" s="26">
        <v>25</v>
      </c>
      <c r="P979" s="28" t="str">
        <f>IFERROR(VLOOKUP(F979,Back!C:E,3,0),"")</f>
        <v>Optica Salud Sura Chipichape</v>
      </c>
      <c r="Q979" s="28" t="str">
        <f>IFERROR(VLOOKUP(P979,Back!M:N,2,0),"")</f>
        <v>Occidente</v>
      </c>
      <c r="R979" s="27" t="str">
        <f>IF(N979="Si",IFERROR(VLOOKUP(F979,'TD Cumpl'!B:AB,27,0),"No Aplica"),"No Aplica")</f>
        <v>Siempre Cumple</v>
      </c>
      <c r="S979" s="38">
        <v>64</v>
      </c>
      <c r="T979" s="36">
        <v>10428459</v>
      </c>
      <c r="U979" s="26">
        <v>177</v>
      </c>
      <c r="V979" s="37">
        <v>20560090</v>
      </c>
      <c r="W979" s="19">
        <v>67</v>
      </c>
      <c r="X979" s="37">
        <v>5984296</v>
      </c>
      <c r="Y979" s="46">
        <f t="shared" si="32"/>
        <v>5709083</v>
      </c>
    </row>
    <row r="980" spans="1:25" x14ac:dyDescent="0.25">
      <c r="A980" s="20">
        <f>+VLOOKUP(D980,Back!Q:R,2,0)</f>
        <v>10</v>
      </c>
      <c r="B980" s="20" t="str">
        <f t="shared" si="31"/>
        <v>2017 OCT</v>
      </c>
      <c r="C980" s="30">
        <v>2017</v>
      </c>
      <c r="D980" s="30" t="s">
        <v>173</v>
      </c>
      <c r="E980" s="30" t="s">
        <v>119</v>
      </c>
      <c r="F980" s="30"/>
      <c r="G980" s="30"/>
      <c r="H980" s="32">
        <v>87740</v>
      </c>
      <c r="I980" s="32">
        <v>0</v>
      </c>
      <c r="J980" s="32">
        <v>87740</v>
      </c>
      <c r="K980" s="33">
        <v>0</v>
      </c>
      <c r="L980" s="33"/>
      <c r="M980" s="34"/>
      <c r="N980" s="209" t="str">
        <f>IFERROR(VLOOKUP(F980,Back!C:F,4,0),"NO")</f>
        <v>NO</v>
      </c>
      <c r="O980" s="26">
        <v>25</v>
      </c>
      <c r="P980" s="28" t="str">
        <f>IFERROR(VLOOKUP(F980,Back!C:E,3,0),"")</f>
        <v/>
      </c>
      <c r="Q980" s="28" t="str">
        <f>IFERROR(VLOOKUP(P980,Back!M:N,2,0),"")</f>
        <v/>
      </c>
      <c r="R980" s="27" t="str">
        <f>IF(N980="Si",IFERROR(VLOOKUP(F980,'TD Cumpl'!B:AB,27,0),"No Aplica"),"No Aplica")</f>
        <v>No Aplica</v>
      </c>
      <c r="S980" s="38">
        <v>0</v>
      </c>
      <c r="T980" s="36">
        <v>0</v>
      </c>
      <c r="U980" s="26">
        <v>0</v>
      </c>
      <c r="V980" s="37">
        <v>0</v>
      </c>
      <c r="W980" s="19">
        <v>2</v>
      </c>
      <c r="X980" s="37">
        <v>87740</v>
      </c>
      <c r="Y980" s="46">
        <f t="shared" si="32"/>
        <v>0</v>
      </c>
    </row>
    <row r="981" spans="1:25" x14ac:dyDescent="0.25">
      <c r="A981" s="20">
        <f>+VLOOKUP(D981,Back!Q:R,2,0)</f>
        <v>10</v>
      </c>
      <c r="B981" s="20" t="str">
        <f t="shared" si="31"/>
        <v>2017 OCT</v>
      </c>
      <c r="C981" s="30">
        <v>2017</v>
      </c>
      <c r="D981" s="30" t="s">
        <v>173</v>
      </c>
      <c r="E981" s="30" t="s">
        <v>171</v>
      </c>
      <c r="F981" s="30"/>
      <c r="G981" s="30"/>
      <c r="H981" s="32">
        <v>134285</v>
      </c>
      <c r="I981" s="32">
        <v>0</v>
      </c>
      <c r="J981" s="32">
        <v>134285</v>
      </c>
      <c r="K981" s="33">
        <v>0</v>
      </c>
      <c r="L981" s="33"/>
      <c r="M981" s="34"/>
      <c r="N981" s="209" t="str">
        <f>IFERROR(VLOOKUP(F981,Back!C:F,4,0),"NO")</f>
        <v>NO</v>
      </c>
      <c r="O981" s="26">
        <v>25</v>
      </c>
      <c r="P981" s="28" t="str">
        <f>IFERROR(VLOOKUP(F981,Back!C:E,3,0),"")</f>
        <v/>
      </c>
      <c r="Q981" s="28" t="str">
        <f>IFERROR(VLOOKUP(P981,Back!M:N,2,0),"")</f>
        <v/>
      </c>
      <c r="R981" s="27" t="str">
        <f>IF(N981="Si",IFERROR(VLOOKUP(F981,'TD Cumpl'!B:AB,27,0),"No Aplica"),"No Aplica")</f>
        <v>No Aplica</v>
      </c>
      <c r="S981" s="38">
        <v>0</v>
      </c>
      <c r="T981" s="36">
        <v>0</v>
      </c>
      <c r="U981" s="26">
        <v>0</v>
      </c>
      <c r="V981" s="37">
        <v>0</v>
      </c>
      <c r="W981" s="19">
        <v>1</v>
      </c>
      <c r="X981" s="37">
        <v>134285</v>
      </c>
      <c r="Y981" s="46">
        <f t="shared" si="32"/>
        <v>0</v>
      </c>
    </row>
    <row r="982" spans="1:25" x14ac:dyDescent="0.25">
      <c r="A982" s="20">
        <f>+VLOOKUP(D982,Back!Q:R,2,0)</f>
        <v>10</v>
      </c>
      <c r="B982" s="20" t="str">
        <f t="shared" si="31"/>
        <v>2017 OCT</v>
      </c>
      <c r="C982" s="30">
        <v>2017</v>
      </c>
      <c r="D982" s="30" t="s">
        <v>173</v>
      </c>
      <c r="E982" s="30" t="s">
        <v>172</v>
      </c>
      <c r="F982" s="30"/>
      <c r="G982" s="30"/>
      <c r="H982" s="32">
        <v>394655</v>
      </c>
      <c r="I982" s="32">
        <v>0</v>
      </c>
      <c r="J982" s="32">
        <v>0</v>
      </c>
      <c r="K982" s="33">
        <v>394655</v>
      </c>
      <c r="L982" s="33"/>
      <c r="M982" s="34"/>
      <c r="N982" s="209" t="str">
        <f>IFERROR(VLOOKUP(F982,Back!C:F,4,0),"NO")</f>
        <v>NO</v>
      </c>
      <c r="O982" s="26">
        <v>25</v>
      </c>
      <c r="P982" s="28" t="str">
        <f>IFERROR(VLOOKUP(F982,Back!C:E,3,0),"")</f>
        <v/>
      </c>
      <c r="Q982" s="28" t="str">
        <f>IFERROR(VLOOKUP(P982,Back!M:N,2,0),"")</f>
        <v/>
      </c>
      <c r="R982" s="27" t="str">
        <f>IF(N982="Si",IFERROR(VLOOKUP(F982,'TD Cumpl'!B:AB,27,0),"No Aplica"),"No Aplica")</f>
        <v>No Aplica</v>
      </c>
      <c r="S982" s="38">
        <v>0</v>
      </c>
      <c r="T982" s="36">
        <v>0</v>
      </c>
      <c r="U982" s="26">
        <v>0</v>
      </c>
      <c r="V982" s="37">
        <v>0</v>
      </c>
      <c r="W982" s="19">
        <v>0</v>
      </c>
      <c r="X982" s="37">
        <v>0</v>
      </c>
      <c r="Y982" s="46">
        <f t="shared" si="32"/>
        <v>394655</v>
      </c>
    </row>
    <row r="983" spans="1:25" x14ac:dyDescent="0.25">
      <c r="A983" s="20">
        <f>+VLOOKUP(D983,Back!Q:R,2,0)</f>
        <v>10</v>
      </c>
      <c r="B983" s="20" t="str">
        <f t="shared" si="31"/>
        <v>2017 OCT</v>
      </c>
      <c r="C983" s="30">
        <v>2017</v>
      </c>
      <c r="D983" s="30" t="s">
        <v>173</v>
      </c>
      <c r="E983" s="30" t="s">
        <v>19</v>
      </c>
      <c r="F983" s="30"/>
      <c r="G983" s="30"/>
      <c r="H983" s="32">
        <v>268570</v>
      </c>
      <c r="I983" s="32">
        <v>0</v>
      </c>
      <c r="J983" s="32">
        <v>268570</v>
      </c>
      <c r="K983" s="33">
        <v>0</v>
      </c>
      <c r="L983" s="33"/>
      <c r="M983" s="34"/>
      <c r="N983" s="209" t="str">
        <f>IFERROR(VLOOKUP(F983,Back!C:F,4,0),"NO")</f>
        <v>NO</v>
      </c>
      <c r="O983" s="26">
        <v>25</v>
      </c>
      <c r="P983" s="28" t="str">
        <f>IFERROR(VLOOKUP(F983,Back!C:E,3,0),"")</f>
        <v/>
      </c>
      <c r="Q983" s="28" t="str">
        <f>IFERROR(VLOOKUP(P983,Back!M:N,2,0),"")</f>
        <v/>
      </c>
      <c r="R983" s="27" t="str">
        <f>IF(N983="Si",IFERROR(VLOOKUP(F983,'TD Cumpl'!B:AB,27,0),"No Aplica"),"No Aplica")</f>
        <v>No Aplica</v>
      </c>
      <c r="S983" s="38">
        <v>0</v>
      </c>
      <c r="T983" s="36">
        <v>0</v>
      </c>
      <c r="U983" s="26">
        <v>0</v>
      </c>
      <c r="V983" s="37">
        <v>0</v>
      </c>
      <c r="W983" s="19">
        <v>2</v>
      </c>
      <c r="X983" s="37">
        <v>268570</v>
      </c>
      <c r="Y983" s="46">
        <f t="shared" si="32"/>
        <v>0</v>
      </c>
    </row>
    <row r="984" spans="1:25" x14ac:dyDescent="0.25">
      <c r="A984" s="20">
        <f>+VLOOKUP(D984,Back!Q:R,2,0)</f>
        <v>10</v>
      </c>
      <c r="B984" s="20" t="str">
        <f t="shared" si="31"/>
        <v>2017 OCT</v>
      </c>
      <c r="C984" s="30">
        <v>2017</v>
      </c>
      <c r="D984" s="30" t="s">
        <v>173</v>
      </c>
      <c r="E984" s="30" t="s">
        <v>10</v>
      </c>
      <c r="F984" s="30"/>
      <c r="G984" s="30"/>
      <c r="H984" s="32">
        <v>20986</v>
      </c>
      <c r="I984" s="32">
        <v>0</v>
      </c>
      <c r="J984" s="32">
        <v>20986</v>
      </c>
      <c r="K984" s="33">
        <v>0</v>
      </c>
      <c r="L984" s="33"/>
      <c r="M984" s="34"/>
      <c r="N984" s="209" t="str">
        <f>IFERROR(VLOOKUP(F984,Back!C:F,4,0),"NO")</f>
        <v>NO</v>
      </c>
      <c r="O984" s="26">
        <v>25</v>
      </c>
      <c r="P984" s="28" t="str">
        <f>IFERROR(VLOOKUP(F984,Back!C:E,3,0),"")</f>
        <v/>
      </c>
      <c r="Q984" s="28" t="str">
        <f>IFERROR(VLOOKUP(P984,Back!M:N,2,0),"")</f>
        <v/>
      </c>
      <c r="R984" s="27" t="str">
        <f>IF(N984="Si",IFERROR(VLOOKUP(F984,'TD Cumpl'!B:AB,27,0),"No Aplica"),"No Aplica")</f>
        <v>No Aplica</v>
      </c>
      <c r="S984" s="38">
        <v>0</v>
      </c>
      <c r="T984" s="36">
        <v>0</v>
      </c>
      <c r="U984" s="26">
        <v>0</v>
      </c>
      <c r="V984" s="37">
        <v>0</v>
      </c>
      <c r="W984" s="19">
        <v>1</v>
      </c>
      <c r="X984" s="37">
        <v>20986</v>
      </c>
      <c r="Y984" s="46">
        <f t="shared" si="32"/>
        <v>0</v>
      </c>
    </row>
    <row r="985" spans="1:25" x14ac:dyDescent="0.25">
      <c r="A985" s="20">
        <f>+VLOOKUP(D985,Back!Q:R,2,0)</f>
        <v>10</v>
      </c>
      <c r="B985" s="20" t="str">
        <f t="shared" si="31"/>
        <v>2017 OCT</v>
      </c>
      <c r="C985" s="30">
        <v>2017</v>
      </c>
      <c r="D985" s="30" t="s">
        <v>173</v>
      </c>
      <c r="E985" s="30" t="s">
        <v>12</v>
      </c>
      <c r="F985" s="30"/>
      <c r="G985" s="30"/>
      <c r="H985" s="32">
        <v>577182</v>
      </c>
      <c r="I985" s="32">
        <v>0</v>
      </c>
      <c r="J985" s="32">
        <v>264290</v>
      </c>
      <c r="K985" s="33">
        <v>312892</v>
      </c>
      <c r="L985" s="33"/>
      <c r="M985" s="34"/>
      <c r="N985" s="209" t="str">
        <f>IFERROR(VLOOKUP(F985,Back!C:F,4,0),"NO")</f>
        <v>NO</v>
      </c>
      <c r="O985" s="26">
        <v>25</v>
      </c>
      <c r="P985" s="28" t="str">
        <f>IFERROR(VLOOKUP(F985,Back!C:E,3,0),"")</f>
        <v/>
      </c>
      <c r="Q985" s="28" t="str">
        <f>IFERROR(VLOOKUP(P985,Back!M:N,2,0),"")</f>
        <v/>
      </c>
      <c r="R985" s="27" t="str">
        <f>IF(N985="Si",IFERROR(VLOOKUP(F985,'TD Cumpl'!B:AB,27,0),"No Aplica"),"No Aplica")</f>
        <v>No Aplica</v>
      </c>
      <c r="S985" s="38">
        <v>0</v>
      </c>
      <c r="T985" s="36">
        <v>0</v>
      </c>
      <c r="U985" s="26">
        <v>4</v>
      </c>
      <c r="V985" s="37">
        <v>312890</v>
      </c>
      <c r="W985" s="19">
        <v>4</v>
      </c>
      <c r="X985" s="37">
        <v>264290</v>
      </c>
      <c r="Y985" s="46">
        <f t="shared" si="32"/>
        <v>2</v>
      </c>
    </row>
    <row r="986" spans="1:25" x14ac:dyDescent="0.25">
      <c r="A986" s="20">
        <f>+VLOOKUP(D986,Back!Q:R,2,0)</f>
        <v>10</v>
      </c>
      <c r="B986" s="20" t="str">
        <f t="shared" si="31"/>
        <v>2017 OCT</v>
      </c>
      <c r="C986" s="30">
        <v>2017</v>
      </c>
      <c r="D986" s="30" t="s">
        <v>173</v>
      </c>
      <c r="E986" s="30" t="s">
        <v>113</v>
      </c>
      <c r="F986" s="30"/>
      <c r="G986" s="30"/>
      <c r="H986" s="32">
        <v>43870</v>
      </c>
      <c r="I986" s="32">
        <v>0</v>
      </c>
      <c r="J986" s="32">
        <v>43870</v>
      </c>
      <c r="K986" s="33">
        <v>0</v>
      </c>
      <c r="L986" s="33"/>
      <c r="M986" s="34"/>
      <c r="N986" s="209" t="str">
        <f>IFERROR(VLOOKUP(F986,Back!C:F,4,0),"NO")</f>
        <v>NO</v>
      </c>
      <c r="O986" s="26">
        <v>25</v>
      </c>
      <c r="P986" s="28" t="str">
        <f>IFERROR(VLOOKUP(F986,Back!C:E,3,0),"")</f>
        <v/>
      </c>
      <c r="Q986" s="28" t="str">
        <f>IFERROR(VLOOKUP(P986,Back!M:N,2,0),"")</f>
        <v/>
      </c>
      <c r="R986" s="27" t="str">
        <f>IF(N986="Si",IFERROR(VLOOKUP(F986,'TD Cumpl'!B:AB,27,0),"No Aplica"),"No Aplica")</f>
        <v>No Aplica</v>
      </c>
      <c r="S986" s="38">
        <v>0</v>
      </c>
      <c r="T986" s="36">
        <v>0</v>
      </c>
      <c r="U986" s="26">
        <v>0</v>
      </c>
      <c r="V986" s="37">
        <v>0</v>
      </c>
      <c r="W986" s="19">
        <v>1</v>
      </c>
      <c r="X986" s="37">
        <v>43870</v>
      </c>
      <c r="Y986" s="46">
        <f t="shared" si="32"/>
        <v>0</v>
      </c>
    </row>
    <row r="987" spans="1:25" x14ac:dyDescent="0.25">
      <c r="A987" s="20">
        <f>+VLOOKUP(D987,Back!Q:R,2,0)</f>
        <v>10</v>
      </c>
      <c r="B987" s="20" t="str">
        <f t="shared" si="31"/>
        <v>2017 OCT</v>
      </c>
      <c r="C987" s="30">
        <v>2017</v>
      </c>
      <c r="D987" s="30" t="s">
        <v>173</v>
      </c>
      <c r="E987" s="30" t="s">
        <v>87</v>
      </c>
      <c r="F987" s="30"/>
      <c r="G987" s="30"/>
      <c r="H987" s="32">
        <v>-501616</v>
      </c>
      <c r="I987" s="32">
        <v>0</v>
      </c>
      <c r="J987" s="32">
        <v>0</v>
      </c>
      <c r="K987" s="33">
        <v>-501616</v>
      </c>
      <c r="L987" s="33"/>
      <c r="M987" s="34"/>
      <c r="N987" s="209" t="str">
        <f>IFERROR(VLOOKUP(F987,Back!C:F,4,0),"NO")</f>
        <v>NO</v>
      </c>
      <c r="O987" s="26">
        <v>25</v>
      </c>
      <c r="P987" s="28" t="str">
        <f>IFERROR(VLOOKUP(F987,Back!C:E,3,0),"")</f>
        <v/>
      </c>
      <c r="Q987" s="28" t="str">
        <f>IFERROR(VLOOKUP(P987,Back!M:N,2,0),"")</f>
        <v/>
      </c>
      <c r="R987" s="27" t="str">
        <f>IF(N987="Si",IFERROR(VLOOKUP(F987,'TD Cumpl'!B:AB,27,0),"No Aplica"),"No Aplica")</f>
        <v>No Aplica</v>
      </c>
      <c r="S987" s="38">
        <v>0</v>
      </c>
      <c r="T987" s="36">
        <v>0</v>
      </c>
      <c r="U987" s="26">
        <v>0</v>
      </c>
      <c r="V987" s="37">
        <v>0</v>
      </c>
      <c r="W987" s="19">
        <v>0</v>
      </c>
      <c r="X987" s="37">
        <v>0</v>
      </c>
      <c r="Y987" s="46">
        <f t="shared" si="32"/>
        <v>-501616</v>
      </c>
    </row>
    <row r="988" spans="1:25" x14ac:dyDescent="0.25">
      <c r="A988" s="20">
        <f>+VLOOKUP(D988,Back!Q:R,2,0)</f>
        <v>11</v>
      </c>
      <c r="B988" s="20" t="str">
        <f t="shared" si="31"/>
        <v>2017 NOV</v>
      </c>
      <c r="C988" s="30">
        <v>2017</v>
      </c>
      <c r="D988" s="30" t="s">
        <v>175</v>
      </c>
      <c r="E988" s="30" t="s">
        <v>33</v>
      </c>
      <c r="F988" s="30">
        <v>31307503</v>
      </c>
      <c r="G988" s="30" t="s">
        <v>36</v>
      </c>
      <c r="H988" s="32">
        <v>44198499</v>
      </c>
      <c r="I988" s="32">
        <v>0</v>
      </c>
      <c r="J988" s="32">
        <v>2285841</v>
      </c>
      <c r="K988" s="33">
        <v>41912658</v>
      </c>
      <c r="L988" s="33">
        <v>31721000</v>
      </c>
      <c r="M988" s="34">
        <v>1.3212905646101951</v>
      </c>
      <c r="N988" s="209" t="str">
        <f>IFERROR(VLOOKUP(F988,Back!C:F,4,0),"NO")</f>
        <v>NO</v>
      </c>
      <c r="O988" s="26">
        <v>24</v>
      </c>
      <c r="P988" s="28" t="str">
        <f>IFERROR(VLOOKUP(F988,Back!C:E,3,0),"")</f>
        <v/>
      </c>
      <c r="Q988" s="28" t="str">
        <f>IFERROR(VLOOKUP(P988,Back!M:N,2,0),"")</f>
        <v/>
      </c>
      <c r="R988" s="27" t="str">
        <f>IF(N988="Si",IFERROR(VLOOKUP(F988,'TD Cumpl'!B:AB,27,0),"No Aplica"),"No Aplica")</f>
        <v>No Aplica</v>
      </c>
      <c r="S988" s="38">
        <v>132</v>
      </c>
      <c r="T988" s="36">
        <v>7327955</v>
      </c>
      <c r="U988" s="26">
        <v>280</v>
      </c>
      <c r="V988" s="37">
        <v>14185227</v>
      </c>
      <c r="W988" s="19">
        <v>28</v>
      </c>
      <c r="X988" s="37">
        <v>2285841</v>
      </c>
      <c r="Y988" s="46">
        <f t="shared" si="32"/>
        <v>20399476</v>
      </c>
    </row>
    <row r="989" spans="1:25" x14ac:dyDescent="0.25">
      <c r="A989" s="20">
        <f>+VLOOKUP(D989,Back!Q:R,2,0)</f>
        <v>11</v>
      </c>
      <c r="B989" s="20" t="str">
        <f t="shared" si="31"/>
        <v>2017 NOV</v>
      </c>
      <c r="C989" s="30">
        <v>2017</v>
      </c>
      <c r="D989" s="30" t="s">
        <v>175</v>
      </c>
      <c r="E989" s="30" t="s">
        <v>62</v>
      </c>
      <c r="F989" s="30">
        <v>32256379</v>
      </c>
      <c r="G989" s="30" t="s">
        <v>61</v>
      </c>
      <c r="H989" s="32">
        <v>36450469</v>
      </c>
      <c r="I989" s="32">
        <v>0</v>
      </c>
      <c r="J989" s="32">
        <v>4855767</v>
      </c>
      <c r="K989" s="33">
        <v>31594702</v>
      </c>
      <c r="L989" s="33">
        <v>38500000</v>
      </c>
      <c r="M989" s="34">
        <v>0.82064161038961037</v>
      </c>
      <c r="N989" s="209" t="str">
        <f>IFERROR(VLOOKUP(F989,Back!C:F,4,0),"NO")</f>
        <v>Si</v>
      </c>
      <c r="O989" s="26">
        <v>24</v>
      </c>
      <c r="P989" s="28" t="str">
        <f>IFERROR(VLOOKUP(F989,Back!C:E,3,0),"")</f>
        <v>Ferias Empresariales Antioquia</v>
      </c>
      <c r="Q989" s="28" t="str">
        <f>IFERROR(VLOOKUP(P989,Back!M:N,2,0),"")</f>
        <v>Antioquia</v>
      </c>
      <c r="R989" s="27" t="str">
        <f>IF(N989="Si",IFERROR(VLOOKUP(F989,'TD Cumpl'!B:AB,27,0),"No Aplica"),"No Aplica")</f>
        <v>Fluctúa</v>
      </c>
      <c r="S989" s="38">
        <v>95</v>
      </c>
      <c r="T989" s="36">
        <v>3668578</v>
      </c>
      <c r="U989" s="26">
        <v>230</v>
      </c>
      <c r="V989" s="37">
        <v>12278586</v>
      </c>
      <c r="W989" s="19">
        <v>78</v>
      </c>
      <c r="X989" s="37">
        <v>4855767</v>
      </c>
      <c r="Y989" s="46">
        <f t="shared" si="32"/>
        <v>15647538</v>
      </c>
    </row>
    <row r="990" spans="1:25" x14ac:dyDescent="0.25">
      <c r="A990" s="20">
        <f>+VLOOKUP(D990,Back!Q:R,2,0)</f>
        <v>11</v>
      </c>
      <c r="B990" s="20" t="str">
        <f t="shared" si="31"/>
        <v>2017 NOV</v>
      </c>
      <c r="C990" s="30">
        <v>2017</v>
      </c>
      <c r="D990" s="30" t="s">
        <v>175</v>
      </c>
      <c r="E990" s="30" t="s">
        <v>83</v>
      </c>
      <c r="F990" s="30">
        <v>43800272</v>
      </c>
      <c r="G990" s="30" t="s">
        <v>85</v>
      </c>
      <c r="H990" s="32">
        <v>6340385</v>
      </c>
      <c r="I990" s="32">
        <v>426000</v>
      </c>
      <c r="J990" s="32">
        <v>1724947</v>
      </c>
      <c r="K990" s="33">
        <v>4189438</v>
      </c>
      <c r="L990" s="33">
        <v>18375000</v>
      </c>
      <c r="M990" s="34">
        <v>0.22799662585034014</v>
      </c>
      <c r="N990" s="209" t="str">
        <f>IFERROR(VLOOKUP(F990,Back!C:F,4,0),"NO")</f>
        <v>NO</v>
      </c>
      <c r="O990" s="26">
        <v>24</v>
      </c>
      <c r="P990" s="28" t="str">
        <f>IFERROR(VLOOKUP(F990,Back!C:E,3,0),"")</f>
        <v/>
      </c>
      <c r="Q990" s="28" t="str">
        <f>IFERROR(VLOOKUP(P990,Back!M:N,2,0),"")</f>
        <v/>
      </c>
      <c r="R990" s="27" t="str">
        <f>IF(N990="Si",IFERROR(VLOOKUP(F990,'TD Cumpl'!B:AB,27,0),"No Aplica"),"No Aplica")</f>
        <v>No Aplica</v>
      </c>
      <c r="S990" s="38">
        <v>15</v>
      </c>
      <c r="T990" s="36">
        <v>995653</v>
      </c>
      <c r="U990" s="26">
        <v>32</v>
      </c>
      <c r="V990" s="37">
        <v>2054951</v>
      </c>
      <c r="W990" s="19">
        <v>19</v>
      </c>
      <c r="X990" s="37">
        <v>1724947</v>
      </c>
      <c r="Y990" s="46">
        <f t="shared" si="32"/>
        <v>1564834</v>
      </c>
    </row>
    <row r="991" spans="1:25" x14ac:dyDescent="0.25">
      <c r="A991" s="20">
        <f>+VLOOKUP(D991,Back!Q:R,2,0)</f>
        <v>11</v>
      </c>
      <c r="B991" s="20" t="str">
        <f t="shared" si="31"/>
        <v>2017 NOV</v>
      </c>
      <c r="C991" s="30">
        <v>2017</v>
      </c>
      <c r="D991" s="30" t="s">
        <v>175</v>
      </c>
      <c r="E991" s="30" t="s">
        <v>56</v>
      </c>
      <c r="F991" s="30">
        <v>43971430</v>
      </c>
      <c r="G991" s="30" t="s">
        <v>142</v>
      </c>
      <c r="H991" s="32">
        <v>60244096</v>
      </c>
      <c r="I991" s="32">
        <v>990000</v>
      </c>
      <c r="J991" s="32">
        <v>15783356</v>
      </c>
      <c r="K991" s="33">
        <v>43470740</v>
      </c>
      <c r="L991" s="33">
        <v>37583333.333333328</v>
      </c>
      <c r="M991" s="34">
        <v>1.1566494013303772</v>
      </c>
      <c r="N991" s="209" t="str">
        <f>IFERROR(VLOOKUP(F991,Back!C:F,4,0),"NO")</f>
        <v>Si</v>
      </c>
      <c r="O991" s="26">
        <v>24</v>
      </c>
      <c r="P991" s="28" t="str">
        <f>IFERROR(VLOOKUP(F991,Back!C:E,3,0),"")</f>
        <v>IPS Pto De Vista Centro</v>
      </c>
      <c r="Q991" s="28" t="str">
        <f>IFERROR(VLOOKUP(P991,Back!M:N,2,0),"")</f>
        <v>Antioquia</v>
      </c>
      <c r="R991" s="27" t="str">
        <f>IF(N991="Si",IFERROR(VLOOKUP(F991,'TD Cumpl'!B:AB,27,0),"No Aplica"),"No Aplica")</f>
        <v>Siempre Cumple</v>
      </c>
      <c r="S991" s="38">
        <v>116</v>
      </c>
      <c r="T991" s="36">
        <v>9452438</v>
      </c>
      <c r="U991" s="26">
        <v>286</v>
      </c>
      <c r="V991" s="37">
        <v>28834941</v>
      </c>
      <c r="W991" s="19">
        <v>172</v>
      </c>
      <c r="X991" s="37">
        <v>15783356</v>
      </c>
      <c r="Y991" s="46">
        <f t="shared" si="32"/>
        <v>6173361</v>
      </c>
    </row>
    <row r="992" spans="1:25" x14ac:dyDescent="0.25">
      <c r="A992" s="20">
        <f>+VLOOKUP(D992,Back!Q:R,2,0)</f>
        <v>11</v>
      </c>
      <c r="B992" s="20" t="str">
        <f t="shared" si="31"/>
        <v>2017 NOV</v>
      </c>
      <c r="C992" s="30">
        <v>2017</v>
      </c>
      <c r="D992" s="30" t="s">
        <v>175</v>
      </c>
      <c r="E992" s="30" t="s">
        <v>34</v>
      </c>
      <c r="F992" s="30">
        <v>43554403</v>
      </c>
      <c r="G992" s="30" t="s">
        <v>35</v>
      </c>
      <c r="H992" s="32">
        <v>61534541</v>
      </c>
      <c r="I992" s="32">
        <v>440000</v>
      </c>
      <c r="J992" s="32">
        <v>13755813</v>
      </c>
      <c r="K992" s="33">
        <v>47338728</v>
      </c>
      <c r="L992" s="33">
        <v>37583333.333333328</v>
      </c>
      <c r="M992" s="34">
        <v>1.2595670421286034</v>
      </c>
      <c r="N992" s="209" t="str">
        <f>IFERROR(VLOOKUP(F992,Back!C:F,4,0),"NO")</f>
        <v>Si</v>
      </c>
      <c r="O992" s="26">
        <v>24</v>
      </c>
      <c r="P992" s="28" t="str">
        <f>IFERROR(VLOOKUP(F992,Back!C:E,3,0),"")</f>
        <v>IPS Pto De Vista Centro</v>
      </c>
      <c r="Q992" s="28" t="str">
        <f>IFERROR(VLOOKUP(P992,Back!M:N,2,0),"")</f>
        <v>Antioquia</v>
      </c>
      <c r="R992" s="27" t="str">
        <f>IF(N992="Si",IFERROR(VLOOKUP(F992,'TD Cumpl'!B:AB,27,0),"No Aplica"),"No Aplica")</f>
        <v>Siempre Cumple</v>
      </c>
      <c r="S992" s="38">
        <v>106</v>
      </c>
      <c r="T992" s="36">
        <v>11130288</v>
      </c>
      <c r="U992" s="26">
        <v>255</v>
      </c>
      <c r="V992" s="37">
        <v>30348582</v>
      </c>
      <c r="W992" s="19">
        <v>154</v>
      </c>
      <c r="X992" s="37">
        <v>13755813</v>
      </c>
      <c r="Y992" s="46">
        <f t="shared" si="32"/>
        <v>6299858</v>
      </c>
    </row>
    <row r="993" spans="1:25" x14ac:dyDescent="0.25">
      <c r="A993" s="20">
        <f>+VLOOKUP(D993,Back!Q:R,2,0)</f>
        <v>11</v>
      </c>
      <c r="B993" s="20" t="str">
        <f t="shared" si="31"/>
        <v>2017 NOV</v>
      </c>
      <c r="C993" s="30">
        <v>2017</v>
      </c>
      <c r="D993" s="30" t="s">
        <v>175</v>
      </c>
      <c r="E993" s="30" t="s">
        <v>101</v>
      </c>
      <c r="F993" s="30">
        <v>21428423</v>
      </c>
      <c r="G993" s="30" t="s">
        <v>154</v>
      </c>
      <c r="H993" s="32">
        <v>51710215</v>
      </c>
      <c r="I993" s="32">
        <v>304000</v>
      </c>
      <c r="J993" s="32">
        <v>12216618</v>
      </c>
      <c r="K993" s="33">
        <v>39189597</v>
      </c>
      <c r="L993" s="33">
        <v>37583333.333333328</v>
      </c>
      <c r="M993" s="34">
        <v>1.0427387228381375</v>
      </c>
      <c r="N993" s="209" t="str">
        <f>IFERROR(VLOOKUP(F993,Back!C:F,4,0),"NO")</f>
        <v>Si</v>
      </c>
      <c r="O993" s="26">
        <v>24</v>
      </c>
      <c r="P993" s="28" t="str">
        <f>IFERROR(VLOOKUP(F993,Back!C:E,3,0),"")</f>
        <v>IPS Pto De Vista Centro</v>
      </c>
      <c r="Q993" s="28" t="str">
        <f>IFERROR(VLOOKUP(P993,Back!M:N,2,0),"")</f>
        <v>Antioquia</v>
      </c>
      <c r="R993" s="27" t="str">
        <f>IF(N993="Si",IFERROR(VLOOKUP(F993,'TD Cumpl'!B:AB,27,0),"No Aplica"),"No Aplica")</f>
        <v>Fluctúa</v>
      </c>
      <c r="S993" s="38">
        <v>102</v>
      </c>
      <c r="T993" s="36">
        <v>9923655</v>
      </c>
      <c r="U993" s="26">
        <v>249</v>
      </c>
      <c r="V993" s="37">
        <v>24760665</v>
      </c>
      <c r="W993" s="19">
        <v>131</v>
      </c>
      <c r="X993" s="37">
        <v>12216618</v>
      </c>
      <c r="Y993" s="46">
        <f t="shared" si="32"/>
        <v>4809277</v>
      </c>
    </row>
    <row r="994" spans="1:25" x14ac:dyDescent="0.25">
      <c r="A994" s="20">
        <f>+VLOOKUP(D994,Back!Q:R,2,0)</f>
        <v>11</v>
      </c>
      <c r="B994" s="20" t="str">
        <f t="shared" si="31"/>
        <v>2017 NOV</v>
      </c>
      <c r="C994" s="30">
        <v>2017</v>
      </c>
      <c r="D994" s="30" t="s">
        <v>175</v>
      </c>
      <c r="E994" s="30" t="s">
        <v>13</v>
      </c>
      <c r="F994" s="30">
        <v>43866877</v>
      </c>
      <c r="G994" s="30" t="s">
        <v>46</v>
      </c>
      <c r="H994" s="32">
        <v>71170798</v>
      </c>
      <c r="I994" s="32">
        <v>152000</v>
      </c>
      <c r="J994" s="32">
        <v>15246858</v>
      </c>
      <c r="K994" s="33">
        <v>55771940</v>
      </c>
      <c r="L994" s="33">
        <v>37583333.333333328</v>
      </c>
      <c r="M994" s="34">
        <v>1.4839540576496677</v>
      </c>
      <c r="N994" s="209" t="str">
        <f>IFERROR(VLOOKUP(F994,Back!C:F,4,0),"NO")</f>
        <v>Si</v>
      </c>
      <c r="O994" s="26">
        <v>24</v>
      </c>
      <c r="P994" s="28" t="str">
        <f>IFERROR(VLOOKUP(F994,Back!C:E,3,0),"")</f>
        <v>IPS Pto De Vista Centro</v>
      </c>
      <c r="Q994" s="28" t="str">
        <f>IFERROR(VLOOKUP(P994,Back!M:N,2,0),"")</f>
        <v>Antioquia</v>
      </c>
      <c r="R994" s="27" t="str">
        <f>IF(N994="Si",IFERROR(VLOOKUP(F994,'TD Cumpl'!B:AB,27,0),"No Aplica"),"No Aplica")</f>
        <v>Siempre Cumple</v>
      </c>
      <c r="S994" s="38">
        <v>122</v>
      </c>
      <c r="T994" s="36">
        <v>13286928</v>
      </c>
      <c r="U994" s="26">
        <v>276</v>
      </c>
      <c r="V994" s="37">
        <v>35957521</v>
      </c>
      <c r="W994" s="19">
        <v>158</v>
      </c>
      <c r="X994" s="37">
        <v>15246858</v>
      </c>
      <c r="Y994" s="46">
        <f t="shared" si="32"/>
        <v>6679491</v>
      </c>
    </row>
    <row r="995" spans="1:25" x14ac:dyDescent="0.25">
      <c r="A995" s="20">
        <f>+VLOOKUP(D995,Back!Q:R,2,0)</f>
        <v>11</v>
      </c>
      <c r="B995" s="20" t="str">
        <f t="shared" si="31"/>
        <v>2017 NOV</v>
      </c>
      <c r="C995" s="30">
        <v>2017</v>
      </c>
      <c r="D995" s="30" t="s">
        <v>175</v>
      </c>
      <c r="E995" s="30" t="s">
        <v>121</v>
      </c>
      <c r="F995" s="30">
        <v>21982241</v>
      </c>
      <c r="G995" s="30" t="s">
        <v>143</v>
      </c>
      <c r="H995" s="32">
        <v>47261160</v>
      </c>
      <c r="I995" s="32">
        <v>304000</v>
      </c>
      <c r="J995" s="32">
        <v>11334724</v>
      </c>
      <c r="K995" s="33">
        <v>35622436</v>
      </c>
      <c r="L995" s="33">
        <v>26583333.333333332</v>
      </c>
      <c r="M995" s="34">
        <v>1.3400289404388714</v>
      </c>
      <c r="N995" s="209" t="str">
        <f>IFERROR(VLOOKUP(F995,Back!C:F,4,0),"NO")</f>
        <v>Si</v>
      </c>
      <c r="O995" s="26">
        <v>24</v>
      </c>
      <c r="P995" s="28" t="str">
        <f>IFERROR(VLOOKUP(F995,Back!C:E,3,0),"")</f>
        <v>IPS Punto de Vista Bello</v>
      </c>
      <c r="Q995" s="28" t="str">
        <f>IFERROR(VLOOKUP(P995,Back!M:N,2,0),"")</f>
        <v>Antioquia</v>
      </c>
      <c r="R995" s="27" t="str">
        <f>IF(N995="Si",IFERROR(VLOOKUP(F995,'TD Cumpl'!B:AB,27,0),"No Aplica"),"No Aplica")</f>
        <v>Fluctúa</v>
      </c>
      <c r="S995" s="38">
        <v>103</v>
      </c>
      <c r="T995" s="36">
        <v>8287262</v>
      </c>
      <c r="U995" s="26">
        <v>234</v>
      </c>
      <c r="V995" s="37">
        <v>22297921</v>
      </c>
      <c r="W995" s="19">
        <v>130</v>
      </c>
      <c r="X995" s="37">
        <v>11334724</v>
      </c>
      <c r="Y995" s="46">
        <f t="shared" si="32"/>
        <v>5341253</v>
      </c>
    </row>
    <row r="996" spans="1:25" x14ac:dyDescent="0.25">
      <c r="A996" s="20">
        <f>+VLOOKUP(D996,Back!Q:R,2,0)</f>
        <v>11</v>
      </c>
      <c r="B996" s="20" t="str">
        <f t="shared" si="31"/>
        <v>2017 NOV</v>
      </c>
      <c r="C996" s="30">
        <v>2017</v>
      </c>
      <c r="D996" s="30" t="s">
        <v>175</v>
      </c>
      <c r="E996" s="30" t="s">
        <v>18</v>
      </c>
      <c r="F996" s="30">
        <v>39442617</v>
      </c>
      <c r="G996" s="30" t="s">
        <v>41</v>
      </c>
      <c r="H996" s="32">
        <v>35609591</v>
      </c>
      <c r="I996" s="32">
        <v>370400</v>
      </c>
      <c r="J996" s="32">
        <v>6879351</v>
      </c>
      <c r="K996" s="33">
        <v>28359840</v>
      </c>
      <c r="L996" s="33">
        <v>22875000</v>
      </c>
      <c r="M996" s="34">
        <v>1.2397744262295083</v>
      </c>
      <c r="N996" s="209" t="str">
        <f>IFERROR(VLOOKUP(F996,Back!C:F,4,0),"NO")</f>
        <v>Si</v>
      </c>
      <c r="O996" s="26">
        <v>24</v>
      </c>
      <c r="P996" s="28" t="str">
        <f>IFERROR(VLOOKUP(F996,Back!C:E,3,0),"")</f>
        <v>IPS Pto De Vista San Diego</v>
      </c>
      <c r="Q996" s="28" t="str">
        <f>IFERROR(VLOOKUP(P996,Back!M:N,2,0),"")</f>
        <v>Antioquia</v>
      </c>
      <c r="R996" s="27" t="str">
        <f>IF(N996="Si",IFERROR(VLOOKUP(F996,'TD Cumpl'!B:AB,27,0),"No Aplica"),"No Aplica")</f>
        <v>Cumple</v>
      </c>
      <c r="S996" s="38">
        <v>51</v>
      </c>
      <c r="T996" s="36">
        <v>7190029</v>
      </c>
      <c r="U996" s="26">
        <v>126</v>
      </c>
      <c r="V996" s="37">
        <v>18026144</v>
      </c>
      <c r="W996" s="19">
        <v>75</v>
      </c>
      <c r="X996" s="37">
        <v>6879351</v>
      </c>
      <c r="Y996" s="46">
        <f t="shared" si="32"/>
        <v>3514067</v>
      </c>
    </row>
    <row r="997" spans="1:25" x14ac:dyDescent="0.25">
      <c r="A997" s="20">
        <f>+VLOOKUP(D997,Back!Q:R,2,0)</f>
        <v>11</v>
      </c>
      <c r="B997" s="20" t="str">
        <f t="shared" si="31"/>
        <v>2017 NOV</v>
      </c>
      <c r="C997" s="30">
        <v>2017</v>
      </c>
      <c r="D997" s="30" t="s">
        <v>175</v>
      </c>
      <c r="E997" s="30" t="s">
        <v>23</v>
      </c>
      <c r="F997" s="30">
        <v>43907427</v>
      </c>
      <c r="G997" s="30" t="s">
        <v>144</v>
      </c>
      <c r="H997" s="32">
        <v>52456820</v>
      </c>
      <c r="I997" s="32">
        <v>518760</v>
      </c>
      <c r="J997" s="32">
        <v>6292991</v>
      </c>
      <c r="K997" s="33">
        <v>45645069</v>
      </c>
      <c r="L997" s="33">
        <v>33000000</v>
      </c>
      <c r="M997" s="34">
        <v>1.383183909090909</v>
      </c>
      <c r="N997" s="209" t="str">
        <f>IFERROR(VLOOKUP(F997,Back!C:F,4,0),"NO")</f>
        <v>Si</v>
      </c>
      <c r="O997" s="26">
        <v>24</v>
      </c>
      <c r="P997" s="28" t="str">
        <f>IFERROR(VLOOKUP(F997,Back!C:E,3,0),"")</f>
        <v>IPS Pto De Vista Industriales</v>
      </c>
      <c r="Q997" s="28" t="str">
        <f>IFERROR(VLOOKUP(P997,Back!M:N,2,0),"")</f>
        <v>Antioquia</v>
      </c>
      <c r="R997" s="27" t="str">
        <f>IF(N997="Si",IFERROR(VLOOKUP(F997,'TD Cumpl'!B:AB,27,0),"No Aplica"),"No Aplica")</f>
        <v>Siempre Cumple</v>
      </c>
      <c r="S997" s="38">
        <v>51</v>
      </c>
      <c r="T997" s="36">
        <v>10232946</v>
      </c>
      <c r="U997" s="26">
        <v>165</v>
      </c>
      <c r="V997" s="37">
        <v>29524809</v>
      </c>
      <c r="W997" s="19">
        <v>74</v>
      </c>
      <c r="X997" s="37">
        <v>6292991</v>
      </c>
      <c r="Y997" s="46">
        <f t="shared" si="32"/>
        <v>6406074</v>
      </c>
    </row>
    <row r="998" spans="1:25" x14ac:dyDescent="0.25">
      <c r="A998" s="20">
        <f>+VLOOKUP(D998,Back!Q:R,2,0)</f>
        <v>11</v>
      </c>
      <c r="B998" s="20" t="str">
        <f t="shared" si="31"/>
        <v>2017 NOV</v>
      </c>
      <c r="C998" s="30">
        <v>2017</v>
      </c>
      <c r="D998" s="30" t="s">
        <v>175</v>
      </c>
      <c r="E998" s="30" t="s">
        <v>21</v>
      </c>
      <c r="F998" s="30">
        <v>1035417626</v>
      </c>
      <c r="G998" s="30" t="s">
        <v>80</v>
      </c>
      <c r="H998" s="32">
        <v>75360758</v>
      </c>
      <c r="I998" s="32">
        <v>1455400</v>
      </c>
      <c r="J998" s="32">
        <v>16190170</v>
      </c>
      <c r="K998" s="33">
        <v>57715188</v>
      </c>
      <c r="L998" s="33">
        <v>28666666.666666668</v>
      </c>
      <c r="M998" s="34">
        <v>2.0133205116279069</v>
      </c>
      <c r="N998" s="209" t="str">
        <f>IFERROR(VLOOKUP(F998,Back!C:F,4,0),"NO")</f>
        <v>Si</v>
      </c>
      <c r="O998" s="26">
        <v>24</v>
      </c>
      <c r="P998" s="28" t="str">
        <f>IFERROR(VLOOKUP(F998,Back!C:E,3,0),"")</f>
        <v>IPS Pto De Vista Unicentro</v>
      </c>
      <c r="Q998" s="28" t="str">
        <f>IFERROR(VLOOKUP(P998,Back!M:N,2,0),"")</f>
        <v>Antioquia</v>
      </c>
      <c r="R998" s="27" t="str">
        <f>IF(N998="Si",IFERROR(VLOOKUP(F998,'TD Cumpl'!B:AB,27,0),"No Aplica"),"No Aplica")</f>
        <v>Cumple</v>
      </c>
      <c r="S998" s="38">
        <v>110</v>
      </c>
      <c r="T998" s="36">
        <v>14601546</v>
      </c>
      <c r="U998" s="26">
        <v>269</v>
      </c>
      <c r="V998" s="37">
        <v>35951102</v>
      </c>
      <c r="W998" s="19">
        <v>160</v>
      </c>
      <c r="X998" s="37">
        <v>16190170</v>
      </c>
      <c r="Y998" s="46">
        <f t="shared" si="32"/>
        <v>8617940</v>
      </c>
    </row>
    <row r="999" spans="1:25" x14ac:dyDescent="0.25">
      <c r="A999" s="20">
        <f>+VLOOKUP(D999,Back!Q:R,2,0)</f>
        <v>11</v>
      </c>
      <c r="B999" s="20" t="str">
        <f t="shared" si="31"/>
        <v>2017 NOV</v>
      </c>
      <c r="C999" s="30">
        <v>2017</v>
      </c>
      <c r="D999" s="30" t="s">
        <v>175</v>
      </c>
      <c r="E999" s="30" t="s">
        <v>103</v>
      </c>
      <c r="F999" s="30">
        <v>1020409789</v>
      </c>
      <c r="G999" s="30" t="s">
        <v>145</v>
      </c>
      <c r="H999" s="32">
        <v>87098749</v>
      </c>
      <c r="I999" s="32">
        <v>784000</v>
      </c>
      <c r="J999" s="32">
        <v>20763243</v>
      </c>
      <c r="K999" s="33">
        <v>65551506</v>
      </c>
      <c r="L999" s="33">
        <v>39416666.666666672</v>
      </c>
      <c r="M999" s="34">
        <v>1.6630403213530653</v>
      </c>
      <c r="N999" s="209" t="str">
        <f>IFERROR(VLOOKUP(F999,Back!C:F,4,0),"NO")</f>
        <v>Si</v>
      </c>
      <c r="O999" s="26">
        <v>24</v>
      </c>
      <c r="P999" s="28" t="str">
        <f>IFERROR(VLOOKUP(F999,Back!C:E,3,0),"")</f>
        <v>IPS Pto De Vista Molinos</v>
      </c>
      <c r="Q999" s="28" t="str">
        <f>IFERROR(VLOOKUP(P999,Back!M:N,2,0),"")</f>
        <v>Antioquia</v>
      </c>
      <c r="R999" s="27" t="str">
        <f>IF(N999="Si",IFERROR(VLOOKUP(F999,'TD Cumpl'!B:AB,27,0),"No Aplica"),"No Aplica")</f>
        <v>Cumple</v>
      </c>
      <c r="S999" s="38">
        <v>128</v>
      </c>
      <c r="T999" s="36">
        <v>16844932</v>
      </c>
      <c r="U999" s="26">
        <v>317</v>
      </c>
      <c r="V999" s="37">
        <v>41533714</v>
      </c>
      <c r="W999" s="19">
        <v>218</v>
      </c>
      <c r="X999" s="37">
        <v>20763243</v>
      </c>
      <c r="Y999" s="46">
        <f t="shared" si="32"/>
        <v>7956860</v>
      </c>
    </row>
    <row r="1000" spans="1:25" x14ac:dyDescent="0.25">
      <c r="A1000" s="20">
        <f>+VLOOKUP(D1000,Back!Q:R,2,0)</f>
        <v>11</v>
      </c>
      <c r="B1000" s="20" t="str">
        <f t="shared" si="31"/>
        <v>2017 NOV</v>
      </c>
      <c r="C1000" s="30">
        <v>2017</v>
      </c>
      <c r="D1000" s="30" t="s">
        <v>175</v>
      </c>
      <c r="E1000" s="30" t="s">
        <v>8</v>
      </c>
      <c r="F1000" s="30">
        <v>43259130</v>
      </c>
      <c r="G1000" s="30" t="s">
        <v>51</v>
      </c>
      <c r="H1000" s="32">
        <v>60932865</v>
      </c>
      <c r="I1000" s="32">
        <v>1021000</v>
      </c>
      <c r="J1000" s="32">
        <v>13974949</v>
      </c>
      <c r="K1000" s="33">
        <v>45936916</v>
      </c>
      <c r="L1000" s="33">
        <v>39416666.666666672</v>
      </c>
      <c r="M1000" s="34">
        <v>1.1654185877378433</v>
      </c>
      <c r="N1000" s="209" t="str">
        <f>IFERROR(VLOOKUP(F1000,Back!C:F,4,0),"NO")</f>
        <v>Si</v>
      </c>
      <c r="O1000" s="26">
        <v>24</v>
      </c>
      <c r="P1000" s="28" t="str">
        <f>IFERROR(VLOOKUP(F1000,Back!C:E,3,0),"")</f>
        <v>IPS Pto De Vista Molinos</v>
      </c>
      <c r="Q1000" s="28" t="str">
        <f>IFERROR(VLOOKUP(P1000,Back!M:N,2,0),"")</f>
        <v>Antioquia</v>
      </c>
      <c r="R1000" s="27" t="str">
        <f>IF(N1000="Si",IFERROR(VLOOKUP(F1000,'TD Cumpl'!B:AB,27,0),"No Aplica"),"No Aplica")</f>
        <v>Fluctúa</v>
      </c>
      <c r="S1000" s="38">
        <v>95</v>
      </c>
      <c r="T1000" s="36">
        <v>9835800</v>
      </c>
      <c r="U1000" s="26">
        <v>288</v>
      </c>
      <c r="V1000" s="37">
        <v>31275460</v>
      </c>
      <c r="W1000" s="19">
        <v>141</v>
      </c>
      <c r="X1000" s="37">
        <v>13974949</v>
      </c>
      <c r="Y1000" s="46">
        <f t="shared" si="32"/>
        <v>5846656</v>
      </c>
    </row>
    <row r="1001" spans="1:25" x14ac:dyDescent="0.25">
      <c r="A1001" s="20">
        <f>+VLOOKUP(D1001,Back!Q:R,2,0)</f>
        <v>11</v>
      </c>
      <c r="B1001" s="20" t="str">
        <f t="shared" si="31"/>
        <v>2017 NOV</v>
      </c>
      <c r="C1001" s="30">
        <v>2017</v>
      </c>
      <c r="D1001" s="30" t="s">
        <v>175</v>
      </c>
      <c r="E1001" s="30" t="s">
        <v>22</v>
      </c>
      <c r="F1001" s="30">
        <v>42164020</v>
      </c>
      <c r="G1001" s="30" t="s">
        <v>105</v>
      </c>
      <c r="H1001" s="32">
        <v>60575223</v>
      </c>
      <c r="I1001" s="32">
        <v>1662000</v>
      </c>
      <c r="J1001" s="32">
        <v>13383346</v>
      </c>
      <c r="K1001" s="33">
        <v>45529877</v>
      </c>
      <c r="L1001" s="33">
        <v>35833333.333333336</v>
      </c>
      <c r="M1001" s="34">
        <v>1.2706012186046511</v>
      </c>
      <c r="N1001" s="209" t="str">
        <f>IFERROR(VLOOKUP(F1001,Back!C:F,4,0),"NO")</f>
        <v>Si</v>
      </c>
      <c r="O1001" s="26">
        <v>24</v>
      </c>
      <c r="P1001" s="28" t="str">
        <f>IFERROR(VLOOKUP(F1001,Back!C:E,3,0),"")</f>
        <v>IPS Pto De Vista Molinos</v>
      </c>
      <c r="Q1001" s="28" t="str">
        <f>IFERROR(VLOOKUP(P1001,Back!M:N,2,0),"")</f>
        <v>Antioquia</v>
      </c>
      <c r="R1001" s="27" t="str">
        <f>IF(N1001="Si",IFERROR(VLOOKUP(F1001,'TD Cumpl'!B:AB,27,0),"No Aplica"),"No Aplica")</f>
        <v>Siempre Cumple</v>
      </c>
      <c r="S1001" s="38">
        <v>109</v>
      </c>
      <c r="T1001" s="36">
        <v>10411449</v>
      </c>
      <c r="U1001" s="26">
        <v>259</v>
      </c>
      <c r="V1001" s="37">
        <v>29249576</v>
      </c>
      <c r="W1001" s="19">
        <v>140</v>
      </c>
      <c r="X1001" s="37">
        <v>13383346</v>
      </c>
      <c r="Y1001" s="46">
        <f t="shared" si="32"/>
        <v>7530852</v>
      </c>
    </row>
    <row r="1002" spans="1:25" x14ac:dyDescent="0.25">
      <c r="A1002" s="20">
        <f>+VLOOKUP(D1002,Back!Q:R,2,0)</f>
        <v>11</v>
      </c>
      <c r="B1002" s="20" t="str">
        <f t="shared" si="31"/>
        <v>2017 NOV</v>
      </c>
      <c r="C1002" s="30">
        <v>2017</v>
      </c>
      <c r="D1002" s="30" t="s">
        <v>175</v>
      </c>
      <c r="E1002" s="30" t="s">
        <v>3</v>
      </c>
      <c r="F1002" s="30">
        <v>52725011</v>
      </c>
      <c r="G1002" s="30" t="s">
        <v>42</v>
      </c>
      <c r="H1002" s="32">
        <v>23113868</v>
      </c>
      <c r="I1002" s="32">
        <v>1634000</v>
      </c>
      <c r="J1002" s="32">
        <v>5103579</v>
      </c>
      <c r="K1002" s="33">
        <v>16376289</v>
      </c>
      <c r="L1002" s="33">
        <v>20000000</v>
      </c>
      <c r="M1002" s="34">
        <v>0.81881444999999997</v>
      </c>
      <c r="N1002" s="209" t="str">
        <f>IFERROR(VLOOKUP(F1002,Back!C:F,4,0),"NO")</f>
        <v>Si</v>
      </c>
      <c r="O1002" s="26">
        <v>24</v>
      </c>
      <c r="P1002" s="28" t="str">
        <f>IFERROR(VLOOKUP(F1002,Back!C:E,3,0),"")</f>
        <v>IPS Pto De Vista Olaya</v>
      </c>
      <c r="Q1002" s="28" t="str">
        <f>IFERROR(VLOOKUP(P1002,Back!M:N,2,0),"")</f>
        <v>Centro</v>
      </c>
      <c r="R1002" s="27" t="str">
        <f>IF(N1002="Si",IFERROR(VLOOKUP(F1002,'TD Cumpl'!B:AB,27,0),"No Aplica"),"No Aplica")</f>
        <v>Fluctúa</v>
      </c>
      <c r="S1002" s="38">
        <v>62</v>
      </c>
      <c r="T1002" s="36">
        <v>3324732</v>
      </c>
      <c r="U1002" s="26">
        <v>151</v>
      </c>
      <c r="V1002" s="37">
        <v>11268654</v>
      </c>
      <c r="W1002" s="19">
        <v>79</v>
      </c>
      <c r="X1002" s="37">
        <v>5103579</v>
      </c>
      <c r="Y1002" s="46">
        <f t="shared" si="32"/>
        <v>3416903</v>
      </c>
    </row>
    <row r="1003" spans="1:25" x14ac:dyDescent="0.25">
      <c r="A1003" s="20">
        <f>+VLOOKUP(D1003,Back!Q:R,2,0)</f>
        <v>11</v>
      </c>
      <c r="B1003" s="20" t="str">
        <f t="shared" si="31"/>
        <v>2017 NOV</v>
      </c>
      <c r="C1003" s="30">
        <v>2017</v>
      </c>
      <c r="D1003" s="30" t="s">
        <v>175</v>
      </c>
      <c r="E1003" s="30" t="s">
        <v>4</v>
      </c>
      <c r="F1003" s="30">
        <v>79701425</v>
      </c>
      <c r="G1003" s="30" t="s">
        <v>27</v>
      </c>
      <c r="H1003" s="32">
        <v>26806849</v>
      </c>
      <c r="I1003" s="32">
        <v>880000</v>
      </c>
      <c r="J1003" s="32">
        <v>4894394</v>
      </c>
      <c r="K1003" s="33">
        <v>21032455</v>
      </c>
      <c r="L1003" s="33">
        <v>20000000</v>
      </c>
      <c r="M1003" s="34">
        <v>1.0516227499999999</v>
      </c>
      <c r="N1003" s="209" t="str">
        <f>IFERROR(VLOOKUP(F1003,Back!C:F,4,0),"NO")</f>
        <v>No</v>
      </c>
      <c r="O1003" s="26">
        <v>24</v>
      </c>
      <c r="P1003" s="28" t="str">
        <f>IFERROR(VLOOKUP(F1003,Back!C:E,3,0),"")</f>
        <v>IPS Pto De Vista Olaya</v>
      </c>
      <c r="Q1003" s="28" t="str">
        <f>IFERROR(VLOOKUP(P1003,Back!M:N,2,0),"")</f>
        <v>Centro</v>
      </c>
      <c r="R1003" s="27" t="str">
        <f>IF(N1003="Si",IFERROR(VLOOKUP(F1003,'TD Cumpl'!B:AB,27,0),"No Aplica"),"No Aplica")</f>
        <v>No Aplica</v>
      </c>
      <c r="S1003" s="38">
        <v>69</v>
      </c>
      <c r="T1003" s="36">
        <v>4670160</v>
      </c>
      <c r="U1003" s="26">
        <v>158</v>
      </c>
      <c r="V1003" s="37">
        <v>15052277</v>
      </c>
      <c r="W1003" s="19">
        <v>72</v>
      </c>
      <c r="X1003" s="37">
        <v>4894394</v>
      </c>
      <c r="Y1003" s="46">
        <f t="shared" si="32"/>
        <v>2190018</v>
      </c>
    </row>
    <row r="1004" spans="1:25" x14ac:dyDescent="0.25">
      <c r="A1004" s="20">
        <f>+VLOOKUP(D1004,Back!Q:R,2,0)</f>
        <v>11</v>
      </c>
      <c r="B1004" s="20" t="str">
        <f t="shared" si="31"/>
        <v>2017 NOV</v>
      </c>
      <c r="C1004" s="30">
        <v>2017</v>
      </c>
      <c r="D1004" s="30" t="s">
        <v>175</v>
      </c>
      <c r="E1004" s="30" t="s">
        <v>66</v>
      </c>
      <c r="F1004" s="30">
        <v>3438422</v>
      </c>
      <c r="G1004" s="30" t="s">
        <v>71</v>
      </c>
      <c r="H1004" s="32">
        <v>26774358</v>
      </c>
      <c r="I1004" s="32">
        <v>417200</v>
      </c>
      <c r="J1004" s="32">
        <v>3247985</v>
      </c>
      <c r="K1004" s="33">
        <v>23109173</v>
      </c>
      <c r="L1004" s="33">
        <v>21500000</v>
      </c>
      <c r="M1004" s="34">
        <v>1.0748452558139534</v>
      </c>
      <c r="N1004" s="209" t="str">
        <f>IFERROR(VLOOKUP(F1004,Back!C:F,4,0),"NO")</f>
        <v>Si</v>
      </c>
      <c r="O1004" s="26">
        <v>24</v>
      </c>
      <c r="P1004" s="28" t="str">
        <f>IFERROR(VLOOKUP(F1004,Back!C:E,3,0),"")</f>
        <v>IPS Pto De Vista Punto Clave</v>
      </c>
      <c r="Q1004" s="28" t="str">
        <f>IFERROR(VLOOKUP(P1004,Back!M:N,2,0),"")</f>
        <v>Antioquia</v>
      </c>
      <c r="R1004" s="27" t="str">
        <f>IF(N1004="Si",IFERROR(VLOOKUP(F1004,'TD Cumpl'!B:AB,27,0),"No Aplica"),"No Aplica")</f>
        <v>Fluctúa</v>
      </c>
      <c r="S1004" s="38">
        <v>43</v>
      </c>
      <c r="T1004" s="36">
        <v>4498421</v>
      </c>
      <c r="U1004" s="26">
        <v>112</v>
      </c>
      <c r="V1004" s="37">
        <v>14417225</v>
      </c>
      <c r="W1004" s="19">
        <v>39</v>
      </c>
      <c r="X1004" s="37">
        <v>3247985</v>
      </c>
      <c r="Y1004" s="46">
        <f t="shared" si="32"/>
        <v>4610727</v>
      </c>
    </row>
    <row r="1005" spans="1:25" x14ac:dyDescent="0.25">
      <c r="A1005" s="20">
        <f>+VLOOKUP(D1005,Back!Q:R,2,0)</f>
        <v>11</v>
      </c>
      <c r="B1005" s="20" t="str">
        <f t="shared" si="31"/>
        <v>2017 NOV</v>
      </c>
      <c r="C1005" s="30">
        <v>2017</v>
      </c>
      <c r="D1005" s="30" t="s">
        <v>175</v>
      </c>
      <c r="E1005" s="30" t="s">
        <v>92</v>
      </c>
      <c r="F1005" s="30">
        <v>1017167720</v>
      </c>
      <c r="G1005" s="30" t="s">
        <v>96</v>
      </c>
      <c r="H1005" s="32">
        <v>53334385</v>
      </c>
      <c r="I1005" s="32">
        <v>1048000</v>
      </c>
      <c r="J1005" s="32">
        <v>10906510</v>
      </c>
      <c r="K1005" s="33">
        <v>41379875</v>
      </c>
      <c r="L1005" s="33">
        <v>37625000</v>
      </c>
      <c r="M1005" s="34">
        <v>1.099797342192691</v>
      </c>
      <c r="N1005" s="209" t="str">
        <f>IFERROR(VLOOKUP(F1005,Back!C:F,4,0),"NO")</f>
        <v>Si</v>
      </c>
      <c r="O1005" s="26">
        <v>24</v>
      </c>
      <c r="P1005" s="28" t="str">
        <f>IFERROR(VLOOKUP(F1005,Back!C:E,3,0),"")</f>
        <v>IPS Pto De Vista Punto Clave</v>
      </c>
      <c r="Q1005" s="28" t="str">
        <f>IFERROR(VLOOKUP(P1005,Back!M:N,2,0),"")</f>
        <v>Antioquia</v>
      </c>
      <c r="R1005" s="27" t="str">
        <f>IF(N1005="Si",IFERROR(VLOOKUP(F1005,'TD Cumpl'!B:AB,27,0),"No Aplica"),"No Aplica")</f>
        <v>Cumple</v>
      </c>
      <c r="S1005" s="38">
        <v>91</v>
      </c>
      <c r="T1005" s="36">
        <v>9208342</v>
      </c>
      <c r="U1005" s="26">
        <v>222</v>
      </c>
      <c r="V1005" s="37">
        <v>27194796</v>
      </c>
      <c r="W1005" s="19">
        <v>122</v>
      </c>
      <c r="X1005" s="37">
        <v>10906510</v>
      </c>
      <c r="Y1005" s="46">
        <f t="shared" si="32"/>
        <v>6024737</v>
      </c>
    </row>
    <row r="1006" spans="1:25" x14ac:dyDescent="0.25">
      <c r="A1006" s="20">
        <f>+VLOOKUP(D1006,Back!Q:R,2,0)</f>
        <v>11</v>
      </c>
      <c r="B1006" s="20" t="str">
        <f t="shared" si="31"/>
        <v>2017 NOV</v>
      </c>
      <c r="C1006" s="30">
        <v>2017</v>
      </c>
      <c r="D1006" s="30" t="s">
        <v>175</v>
      </c>
      <c r="E1006" s="30" t="s">
        <v>57</v>
      </c>
      <c r="F1006" s="30">
        <v>43874518</v>
      </c>
      <c r="G1006" s="30" t="s">
        <v>60</v>
      </c>
      <c r="H1006" s="32">
        <v>52809363</v>
      </c>
      <c r="I1006" s="32">
        <v>412000</v>
      </c>
      <c r="J1006" s="32">
        <v>10813313</v>
      </c>
      <c r="K1006" s="33">
        <v>41584050</v>
      </c>
      <c r="L1006" s="33">
        <v>39416666.666666672</v>
      </c>
      <c r="M1006" s="34">
        <v>1.0549864693446087</v>
      </c>
      <c r="N1006" s="209" t="str">
        <f>IFERROR(VLOOKUP(F1006,Back!C:F,4,0),"NO")</f>
        <v>Si</v>
      </c>
      <c r="O1006" s="26">
        <v>24</v>
      </c>
      <c r="P1006" s="28" t="str">
        <f>IFERROR(VLOOKUP(F1006,Back!C:E,3,0),"")</f>
        <v>IPS Pto De Vista Punto Clave</v>
      </c>
      <c r="Q1006" s="28" t="str">
        <f>IFERROR(VLOOKUP(P1006,Back!M:N,2,0),"")</f>
        <v>Antioquia</v>
      </c>
      <c r="R1006" s="27" t="str">
        <f>IF(N1006="Si",IFERROR(VLOOKUP(F1006,'TD Cumpl'!B:AB,27,0),"No Aplica"),"No Aplica")</f>
        <v>Fluctúa</v>
      </c>
      <c r="S1006" s="38">
        <v>90</v>
      </c>
      <c r="T1006" s="36">
        <v>9372525</v>
      </c>
      <c r="U1006" s="26">
        <v>276</v>
      </c>
      <c r="V1006" s="37">
        <v>28564100</v>
      </c>
      <c r="W1006" s="19">
        <v>129</v>
      </c>
      <c r="X1006" s="37">
        <v>10813313</v>
      </c>
      <c r="Y1006" s="46">
        <f t="shared" si="32"/>
        <v>4059425</v>
      </c>
    </row>
    <row r="1007" spans="1:25" x14ac:dyDescent="0.25">
      <c r="A1007" s="20">
        <f>+VLOOKUP(D1007,Back!Q:R,2,0)</f>
        <v>11</v>
      </c>
      <c r="B1007" s="20" t="str">
        <f t="shared" si="31"/>
        <v>2017 NOV</v>
      </c>
      <c r="C1007" s="30">
        <v>2017</v>
      </c>
      <c r="D1007" s="30" t="s">
        <v>175</v>
      </c>
      <c r="E1007" s="30" t="s">
        <v>64</v>
      </c>
      <c r="F1007" s="30">
        <v>1036598360</v>
      </c>
      <c r="G1007" s="30" t="s">
        <v>146</v>
      </c>
      <c r="H1007" s="32">
        <v>58969829</v>
      </c>
      <c r="I1007" s="32">
        <v>2008000</v>
      </c>
      <c r="J1007" s="32">
        <v>10986974</v>
      </c>
      <c r="K1007" s="33">
        <v>45974855</v>
      </c>
      <c r="L1007" s="33">
        <v>39416666.666666672</v>
      </c>
      <c r="M1007" s="34">
        <v>1.1663810993657504</v>
      </c>
      <c r="N1007" s="209" t="str">
        <f>IFERROR(VLOOKUP(F1007,Back!C:F,4,0),"NO")</f>
        <v>Si</v>
      </c>
      <c r="O1007" s="26">
        <v>24</v>
      </c>
      <c r="P1007" s="28" t="str">
        <f>IFERROR(VLOOKUP(F1007,Back!C:E,3,0),"")</f>
        <v>IPS Pto De Vista Punto Clave</v>
      </c>
      <c r="Q1007" s="28" t="str">
        <f>IFERROR(VLOOKUP(P1007,Back!M:N,2,0),"")</f>
        <v>Antioquia</v>
      </c>
      <c r="R1007" s="27" t="str">
        <f>IF(N1007="Si",IFERROR(VLOOKUP(F1007,'TD Cumpl'!B:AB,27,0),"No Aplica"),"No Aplica")</f>
        <v>Fluctúa</v>
      </c>
      <c r="S1007" s="38">
        <v>92</v>
      </c>
      <c r="T1007" s="36">
        <v>9394135</v>
      </c>
      <c r="U1007" s="26">
        <v>250</v>
      </c>
      <c r="V1007" s="37">
        <v>30835631</v>
      </c>
      <c r="W1007" s="19">
        <v>118</v>
      </c>
      <c r="X1007" s="37">
        <v>10986974</v>
      </c>
      <c r="Y1007" s="46">
        <f t="shared" si="32"/>
        <v>7753089</v>
      </c>
    </row>
    <row r="1008" spans="1:25" x14ac:dyDescent="0.25">
      <c r="A1008" s="20">
        <f>+VLOOKUP(D1008,Back!Q:R,2,0)</f>
        <v>11</v>
      </c>
      <c r="B1008" s="20" t="str">
        <f t="shared" si="31"/>
        <v>2017 NOV</v>
      </c>
      <c r="C1008" s="30">
        <v>2017</v>
      </c>
      <c r="D1008" s="30" t="s">
        <v>175</v>
      </c>
      <c r="E1008" s="30" t="s">
        <v>90</v>
      </c>
      <c r="F1008" s="30">
        <v>1020419011</v>
      </c>
      <c r="G1008" s="30" t="s">
        <v>97</v>
      </c>
      <c r="H1008" s="32">
        <v>61878934</v>
      </c>
      <c r="I1008" s="32">
        <v>608000</v>
      </c>
      <c r="J1008" s="32">
        <v>14184348</v>
      </c>
      <c r="K1008" s="33">
        <v>47086586</v>
      </c>
      <c r="L1008" s="33">
        <v>39416666.666666672</v>
      </c>
      <c r="M1008" s="34">
        <v>1.1945856913319237</v>
      </c>
      <c r="N1008" s="209" t="str">
        <f>IFERROR(VLOOKUP(F1008,Back!C:F,4,0),"NO")</f>
        <v>Si</v>
      </c>
      <c r="O1008" s="26">
        <v>24</v>
      </c>
      <c r="P1008" s="28" t="str">
        <f>IFERROR(VLOOKUP(F1008,Back!C:E,3,0),"")</f>
        <v>IPS Pto De Vista Punto Clave</v>
      </c>
      <c r="Q1008" s="28" t="str">
        <f>IFERROR(VLOOKUP(P1008,Back!M:N,2,0),"")</f>
        <v>Antioquia</v>
      </c>
      <c r="R1008" s="27" t="str">
        <f>IF(N1008="Si",IFERROR(VLOOKUP(F1008,'TD Cumpl'!B:AB,27,0),"No Aplica"),"No Aplica")</f>
        <v>Cumple</v>
      </c>
      <c r="S1008" s="38">
        <v>115</v>
      </c>
      <c r="T1008" s="36">
        <v>11665009</v>
      </c>
      <c r="U1008" s="26">
        <v>282</v>
      </c>
      <c r="V1008" s="37">
        <v>28159465</v>
      </c>
      <c r="W1008" s="19">
        <v>147</v>
      </c>
      <c r="X1008" s="37">
        <v>14184348</v>
      </c>
      <c r="Y1008" s="46">
        <f t="shared" si="32"/>
        <v>7870112</v>
      </c>
    </row>
    <row r="1009" spans="1:25" x14ac:dyDescent="0.25">
      <c r="A1009" s="20">
        <f>+VLOOKUP(D1009,Back!Q:R,2,0)</f>
        <v>11</v>
      </c>
      <c r="B1009" s="20" t="str">
        <f t="shared" si="31"/>
        <v>2017 NOV</v>
      </c>
      <c r="C1009" s="30">
        <v>2017</v>
      </c>
      <c r="D1009" s="30" t="s">
        <v>175</v>
      </c>
      <c r="E1009" s="30" t="s">
        <v>117</v>
      </c>
      <c r="F1009" s="30">
        <v>1020419615</v>
      </c>
      <c r="G1009" s="30" t="s">
        <v>118</v>
      </c>
      <c r="H1009" s="32">
        <v>61393097</v>
      </c>
      <c r="I1009" s="32">
        <v>1069200</v>
      </c>
      <c r="J1009" s="32">
        <v>12223573</v>
      </c>
      <c r="K1009" s="33">
        <v>48100324</v>
      </c>
      <c r="L1009" s="33">
        <v>39416666.666666672</v>
      </c>
      <c r="M1009" s="34">
        <v>1.2203042029598308</v>
      </c>
      <c r="N1009" s="209" t="str">
        <f>IFERROR(VLOOKUP(F1009,Back!C:F,4,0),"NO")</f>
        <v>Si</v>
      </c>
      <c r="O1009" s="26">
        <v>24</v>
      </c>
      <c r="P1009" s="28" t="str">
        <f>IFERROR(VLOOKUP(F1009,Back!C:E,3,0),"")</f>
        <v>IPS Pto De Vista Punto Clave</v>
      </c>
      <c r="Q1009" s="28" t="str">
        <f>IFERROR(VLOOKUP(P1009,Back!M:N,2,0),"")</f>
        <v>Antioquia</v>
      </c>
      <c r="R1009" s="27" t="str">
        <f>IF(N1009="Si",IFERROR(VLOOKUP(F1009,'TD Cumpl'!B:AB,27,0),"No Aplica"),"No Aplica")</f>
        <v>Cumple</v>
      </c>
      <c r="S1009" s="38">
        <v>107</v>
      </c>
      <c r="T1009" s="36">
        <v>11846585</v>
      </c>
      <c r="U1009" s="26">
        <v>252</v>
      </c>
      <c r="V1009" s="37">
        <v>30077556</v>
      </c>
      <c r="W1009" s="19">
        <v>127</v>
      </c>
      <c r="X1009" s="37">
        <v>12223573</v>
      </c>
      <c r="Y1009" s="46">
        <f t="shared" si="32"/>
        <v>7245383</v>
      </c>
    </row>
    <row r="1010" spans="1:25" x14ac:dyDescent="0.25">
      <c r="A1010" s="20">
        <f>+VLOOKUP(D1010,Back!Q:R,2,0)</f>
        <v>11</v>
      </c>
      <c r="B1010" s="20" t="str">
        <f t="shared" si="31"/>
        <v>2017 NOV</v>
      </c>
      <c r="C1010" s="30">
        <v>2017</v>
      </c>
      <c r="D1010" s="30" t="s">
        <v>175</v>
      </c>
      <c r="E1010" s="30" t="s">
        <v>166</v>
      </c>
      <c r="F1010" s="30">
        <v>1020451288</v>
      </c>
      <c r="G1010" s="30" t="s">
        <v>167</v>
      </c>
      <c r="H1010" s="32">
        <v>39756153</v>
      </c>
      <c r="I1010" s="32">
        <v>1568000</v>
      </c>
      <c r="J1010" s="32">
        <v>11826603</v>
      </c>
      <c r="K1010" s="33">
        <v>26361550</v>
      </c>
      <c r="L1010" s="33">
        <v>39416666.666666672</v>
      </c>
      <c r="M1010" s="34">
        <v>0.66879196617336145</v>
      </c>
      <c r="N1010" s="209" t="str">
        <f>IFERROR(VLOOKUP(F1010,Back!C:F,4,0),"NO")</f>
        <v>Si</v>
      </c>
      <c r="O1010" s="26">
        <v>24</v>
      </c>
      <c r="P1010" s="28" t="str">
        <f>IFERROR(VLOOKUP(F1010,Back!C:E,3,0),"")</f>
        <v>IPS Pto De Vista Punto Clave</v>
      </c>
      <c r="Q1010" s="28" t="str">
        <f>IFERROR(VLOOKUP(P1010,Back!M:N,2,0),"")</f>
        <v>Antioquia</v>
      </c>
      <c r="R1010" s="27" t="str">
        <f>IF(N1010="Si",IFERROR(VLOOKUP(F1010,'TD Cumpl'!B:AB,27,0),"No Aplica"),"No Aplica")</f>
        <v>Cumple</v>
      </c>
      <c r="S1010" s="38">
        <v>59</v>
      </c>
      <c r="T1010" s="36">
        <v>6204852</v>
      </c>
      <c r="U1010" s="26">
        <v>152</v>
      </c>
      <c r="V1010" s="37">
        <v>16082156</v>
      </c>
      <c r="W1010" s="19">
        <v>117</v>
      </c>
      <c r="X1010" s="37">
        <v>11826603</v>
      </c>
      <c r="Y1010" s="46">
        <f t="shared" si="32"/>
        <v>5642542</v>
      </c>
    </row>
    <row r="1011" spans="1:25" x14ac:dyDescent="0.25">
      <c r="A1011" s="20">
        <f>+VLOOKUP(D1011,Back!Q:R,2,0)</f>
        <v>11</v>
      </c>
      <c r="B1011" s="20" t="str">
        <f t="shared" si="31"/>
        <v>2017 NOV</v>
      </c>
      <c r="C1011" s="30">
        <v>2017</v>
      </c>
      <c r="D1011" s="30" t="s">
        <v>175</v>
      </c>
      <c r="E1011" s="30" t="s">
        <v>25</v>
      </c>
      <c r="F1011" s="30">
        <v>1040030764</v>
      </c>
      <c r="G1011" s="30" t="s">
        <v>43</v>
      </c>
      <c r="H1011" s="32">
        <v>46832912</v>
      </c>
      <c r="I1011" s="32">
        <v>2557400</v>
      </c>
      <c r="J1011" s="32">
        <v>9467374</v>
      </c>
      <c r="K1011" s="33">
        <v>34808138</v>
      </c>
      <c r="L1011" s="33">
        <v>30250000</v>
      </c>
      <c r="M1011" s="34">
        <v>1.1506822479338843</v>
      </c>
      <c r="N1011" s="209" t="str">
        <f>IFERROR(VLOOKUP(F1011,Back!C:F,4,0),"NO")</f>
        <v>Si</v>
      </c>
      <c r="O1011" s="26">
        <v>24</v>
      </c>
      <c r="P1011" s="28" t="str">
        <f>IFERROR(VLOOKUP(F1011,Back!C:E,3,0),"")</f>
        <v>IPS Pto De Vista Rionegro</v>
      </c>
      <c r="Q1011" s="28" t="str">
        <f>IFERROR(VLOOKUP(P1011,Back!M:N,2,0),"")</f>
        <v>Antioquia</v>
      </c>
      <c r="R1011" s="27" t="str">
        <f>IF(N1011="Si",IFERROR(VLOOKUP(F1011,'TD Cumpl'!B:AB,27,0),"No Aplica"),"No Aplica")</f>
        <v>Cumple</v>
      </c>
      <c r="S1011" s="38">
        <v>77</v>
      </c>
      <c r="T1011" s="36">
        <v>8136099</v>
      </c>
      <c r="U1011" s="26">
        <v>204</v>
      </c>
      <c r="V1011" s="37">
        <v>23908087</v>
      </c>
      <c r="W1011" s="19">
        <v>103</v>
      </c>
      <c r="X1011" s="37">
        <v>9467374</v>
      </c>
      <c r="Y1011" s="46">
        <f t="shared" si="32"/>
        <v>5321352</v>
      </c>
    </row>
    <row r="1012" spans="1:25" x14ac:dyDescent="0.25">
      <c r="A1012" s="20">
        <f>+VLOOKUP(D1012,Back!Q:R,2,0)</f>
        <v>11</v>
      </c>
      <c r="B1012" s="20" t="str">
        <f t="shared" si="31"/>
        <v>2017 NOV</v>
      </c>
      <c r="C1012" s="30">
        <v>2017</v>
      </c>
      <c r="D1012" s="30" t="s">
        <v>175</v>
      </c>
      <c r="E1012" s="30" t="s">
        <v>37</v>
      </c>
      <c r="F1012" s="30">
        <v>1036779770</v>
      </c>
      <c r="G1012" s="30" t="s">
        <v>52</v>
      </c>
      <c r="H1012" s="32">
        <v>43477277</v>
      </c>
      <c r="I1012" s="32">
        <v>1972000</v>
      </c>
      <c r="J1012" s="32">
        <v>9143513</v>
      </c>
      <c r="K1012" s="33">
        <v>32361764</v>
      </c>
      <c r="L1012" s="33">
        <v>30250000</v>
      </c>
      <c r="M1012" s="34">
        <v>1.0698103801652892</v>
      </c>
      <c r="N1012" s="209" t="str">
        <f>IFERROR(VLOOKUP(F1012,Back!C:F,4,0),"NO")</f>
        <v>No</v>
      </c>
      <c r="O1012" s="26">
        <v>24</v>
      </c>
      <c r="P1012" s="28" t="str">
        <f>IFERROR(VLOOKUP(F1012,Back!C:E,3,0),"")</f>
        <v>IPS Pto De Vista Rionegro</v>
      </c>
      <c r="Q1012" s="28" t="str">
        <f>IFERROR(VLOOKUP(P1012,Back!M:N,2,0),"")</f>
        <v>Antioquia</v>
      </c>
      <c r="R1012" s="27" t="str">
        <f>IF(N1012="Si",IFERROR(VLOOKUP(F1012,'TD Cumpl'!B:AB,27,0),"No Aplica"),"No Aplica")</f>
        <v>No Aplica</v>
      </c>
      <c r="S1012" s="38">
        <v>83</v>
      </c>
      <c r="T1012" s="36">
        <v>8014379</v>
      </c>
      <c r="U1012" s="26">
        <v>182</v>
      </c>
      <c r="V1012" s="37">
        <v>21330637</v>
      </c>
      <c r="W1012" s="19">
        <v>102</v>
      </c>
      <c r="X1012" s="37">
        <v>9143513</v>
      </c>
      <c r="Y1012" s="46">
        <f t="shared" si="32"/>
        <v>4988748</v>
      </c>
    </row>
    <row r="1013" spans="1:25" x14ac:dyDescent="0.25">
      <c r="A1013" s="20">
        <f>+VLOOKUP(D1013,Back!Q:R,2,0)</f>
        <v>11</v>
      </c>
      <c r="B1013" s="20" t="str">
        <f t="shared" si="31"/>
        <v>2017 NOV</v>
      </c>
      <c r="C1013" s="30">
        <v>2017</v>
      </c>
      <c r="D1013" s="30" t="s">
        <v>175</v>
      </c>
      <c r="E1013" s="30" t="s">
        <v>24</v>
      </c>
      <c r="F1013" s="30">
        <v>39448823</v>
      </c>
      <c r="G1013" s="30" t="s">
        <v>48</v>
      </c>
      <c r="H1013" s="32">
        <v>54974346</v>
      </c>
      <c r="I1013" s="32">
        <v>2029400</v>
      </c>
      <c r="J1013" s="32">
        <v>9973557</v>
      </c>
      <c r="K1013" s="33">
        <v>42971389</v>
      </c>
      <c r="L1013" s="33">
        <v>30250000</v>
      </c>
      <c r="M1013" s="34">
        <v>1.420541785123967</v>
      </c>
      <c r="N1013" s="209" t="str">
        <f>IFERROR(VLOOKUP(F1013,Back!C:F,4,0),"NO")</f>
        <v>Si</v>
      </c>
      <c r="O1013" s="26">
        <v>24</v>
      </c>
      <c r="P1013" s="28" t="str">
        <f>IFERROR(VLOOKUP(F1013,Back!C:E,3,0),"")</f>
        <v>IPS Pto De Vista Rionegro</v>
      </c>
      <c r="Q1013" s="28" t="str">
        <f>IFERROR(VLOOKUP(P1013,Back!M:N,2,0),"")</f>
        <v>Antioquia</v>
      </c>
      <c r="R1013" s="27" t="str">
        <f>IF(N1013="Si",IFERROR(VLOOKUP(F1013,'TD Cumpl'!B:AB,27,0),"No Aplica"),"No Aplica")</f>
        <v>Siempre Cumple</v>
      </c>
      <c r="S1013" s="38">
        <v>85</v>
      </c>
      <c r="T1013" s="36">
        <v>9924213</v>
      </c>
      <c r="U1013" s="26">
        <v>230</v>
      </c>
      <c r="V1013" s="37">
        <v>29747170</v>
      </c>
      <c r="W1013" s="19">
        <v>108</v>
      </c>
      <c r="X1013" s="37">
        <v>9973557</v>
      </c>
      <c r="Y1013" s="46">
        <f t="shared" si="32"/>
        <v>5329406</v>
      </c>
    </row>
    <row r="1014" spans="1:25" x14ac:dyDescent="0.25">
      <c r="A1014" s="20">
        <f>+VLOOKUP(D1014,Back!Q:R,2,0)</f>
        <v>11</v>
      </c>
      <c r="B1014" s="20" t="str">
        <f t="shared" si="31"/>
        <v>2017 NOV</v>
      </c>
      <c r="C1014" s="30">
        <v>2017</v>
      </c>
      <c r="D1014" s="30" t="s">
        <v>175</v>
      </c>
      <c r="E1014" s="30" t="s">
        <v>9</v>
      </c>
      <c r="F1014" s="30">
        <v>43169964</v>
      </c>
      <c r="G1014" s="30" t="s">
        <v>155</v>
      </c>
      <c r="H1014" s="32">
        <v>55984932</v>
      </c>
      <c r="I1014" s="32">
        <v>1959800</v>
      </c>
      <c r="J1014" s="32">
        <v>10817272</v>
      </c>
      <c r="K1014" s="33">
        <v>43207860</v>
      </c>
      <c r="L1014" s="33">
        <v>39416666.666666672</v>
      </c>
      <c r="M1014" s="34">
        <v>1.0961824947145875</v>
      </c>
      <c r="N1014" s="209" t="str">
        <f>IFERROR(VLOOKUP(F1014,Back!C:F,4,0),"NO")</f>
        <v>Si</v>
      </c>
      <c r="O1014" s="26">
        <v>24</v>
      </c>
      <c r="P1014" s="28" t="str">
        <f>IFERROR(VLOOKUP(F1014,Back!C:E,3,0),"")</f>
        <v>IPS Pto De Vista Molinos</v>
      </c>
      <c r="Q1014" s="28" t="str">
        <f>IFERROR(VLOOKUP(P1014,Back!M:N,2,0),"")</f>
        <v>Antioquia</v>
      </c>
      <c r="R1014" s="27" t="str">
        <f>IF(N1014="Si",IFERROR(VLOOKUP(F1014,'TD Cumpl'!B:AB,27,0),"No Aplica"),"No Aplica")</f>
        <v>Cumple</v>
      </c>
      <c r="S1014" s="38">
        <v>104</v>
      </c>
      <c r="T1014" s="36">
        <v>10679376</v>
      </c>
      <c r="U1014" s="26">
        <v>249</v>
      </c>
      <c r="V1014" s="37">
        <v>27428737</v>
      </c>
      <c r="W1014" s="19">
        <v>115</v>
      </c>
      <c r="X1014" s="37">
        <v>10817272</v>
      </c>
      <c r="Y1014" s="46">
        <f t="shared" si="32"/>
        <v>7059547</v>
      </c>
    </row>
    <row r="1015" spans="1:25" x14ac:dyDescent="0.25">
      <c r="A1015" s="20">
        <f>+VLOOKUP(D1015,Back!Q:R,2,0)</f>
        <v>11</v>
      </c>
      <c r="B1015" s="20" t="str">
        <f t="shared" si="31"/>
        <v>2017 NOV</v>
      </c>
      <c r="C1015" s="30">
        <v>2017</v>
      </c>
      <c r="D1015" s="30" t="s">
        <v>175</v>
      </c>
      <c r="E1015" s="30" t="s">
        <v>81</v>
      </c>
      <c r="F1015" s="30">
        <v>1017200970</v>
      </c>
      <c r="G1015" s="30" t="s">
        <v>82</v>
      </c>
      <c r="H1015" s="32">
        <v>49645222</v>
      </c>
      <c r="I1015" s="32">
        <v>812000</v>
      </c>
      <c r="J1015" s="32">
        <v>10933474</v>
      </c>
      <c r="K1015" s="33">
        <v>37899748</v>
      </c>
      <c r="L1015" s="33">
        <v>27591666.666666668</v>
      </c>
      <c r="M1015" s="34">
        <v>1.3735940078526125</v>
      </c>
      <c r="N1015" s="209" t="str">
        <f>IFERROR(VLOOKUP(F1015,Back!C:F,4,0),"NO")</f>
        <v>Si</v>
      </c>
      <c r="O1015" s="26">
        <v>24</v>
      </c>
      <c r="P1015" s="28" t="str">
        <f>IFERROR(VLOOKUP(F1015,Back!C:E,3,0),"")</f>
        <v>IPS Pto De Vista San Diego</v>
      </c>
      <c r="Q1015" s="28" t="str">
        <f>IFERROR(VLOOKUP(P1015,Back!M:N,2,0),"")</f>
        <v>Antioquia</v>
      </c>
      <c r="R1015" s="27" t="str">
        <f>IF(N1015="Si",IFERROR(VLOOKUP(F1015,'TD Cumpl'!B:AB,27,0),"No Aplica"),"No Aplica")</f>
        <v>Cumple</v>
      </c>
      <c r="S1015" s="38">
        <v>93</v>
      </c>
      <c r="T1015" s="36">
        <v>10624894</v>
      </c>
      <c r="U1015" s="26">
        <v>192</v>
      </c>
      <c r="V1015" s="37">
        <v>21795017</v>
      </c>
      <c r="W1015" s="19">
        <v>120</v>
      </c>
      <c r="X1015" s="37">
        <v>10933474</v>
      </c>
      <c r="Y1015" s="46">
        <f t="shared" si="32"/>
        <v>6291837</v>
      </c>
    </row>
    <row r="1016" spans="1:25" x14ac:dyDescent="0.25">
      <c r="A1016" s="20">
        <f>+VLOOKUP(D1016,Back!Q:R,2,0)</f>
        <v>11</v>
      </c>
      <c r="B1016" s="20" t="str">
        <f t="shared" si="31"/>
        <v>2017 NOV</v>
      </c>
      <c r="C1016" s="30">
        <v>2017</v>
      </c>
      <c r="D1016" s="30" t="s">
        <v>175</v>
      </c>
      <c r="E1016" s="30" t="s">
        <v>91</v>
      </c>
      <c r="F1016" s="30">
        <v>43114534</v>
      </c>
      <c r="G1016" s="30" t="s">
        <v>95</v>
      </c>
      <c r="H1016" s="32">
        <v>46145707</v>
      </c>
      <c r="I1016" s="32">
        <v>896000</v>
      </c>
      <c r="J1016" s="32">
        <v>10462995</v>
      </c>
      <c r="K1016" s="33">
        <v>34786712</v>
      </c>
      <c r="L1016" s="33">
        <v>27591666.666666668</v>
      </c>
      <c r="M1016" s="34">
        <v>1.2607687828450618</v>
      </c>
      <c r="N1016" s="209" t="str">
        <f>IFERROR(VLOOKUP(F1016,Back!C:F,4,0),"NO")</f>
        <v>No</v>
      </c>
      <c r="O1016" s="26">
        <v>24</v>
      </c>
      <c r="P1016" s="28" t="str">
        <f>IFERROR(VLOOKUP(F1016,Back!C:E,3,0),"")</f>
        <v>IPS Pto De Vista San Diego</v>
      </c>
      <c r="Q1016" s="28" t="str">
        <f>IFERROR(VLOOKUP(P1016,Back!M:N,2,0),"")</f>
        <v>Antioquia</v>
      </c>
      <c r="R1016" s="27" t="str">
        <f>IF(N1016="Si",IFERROR(VLOOKUP(F1016,'TD Cumpl'!B:AB,27,0),"No Aplica"),"No Aplica")</f>
        <v>No Aplica</v>
      </c>
      <c r="S1016" s="38">
        <v>81</v>
      </c>
      <c r="T1016" s="36">
        <v>9277635</v>
      </c>
      <c r="U1016" s="26">
        <v>218</v>
      </c>
      <c r="V1016" s="37">
        <v>21939857</v>
      </c>
      <c r="W1016" s="19">
        <v>111</v>
      </c>
      <c r="X1016" s="37">
        <v>10462995</v>
      </c>
      <c r="Y1016" s="46">
        <f t="shared" si="32"/>
        <v>4465220</v>
      </c>
    </row>
    <row r="1017" spans="1:25" x14ac:dyDescent="0.25">
      <c r="A1017" s="20">
        <f>+VLOOKUP(D1017,Back!Q:R,2,0)</f>
        <v>11</v>
      </c>
      <c r="B1017" s="20" t="str">
        <f t="shared" si="31"/>
        <v>2017 NOV</v>
      </c>
      <c r="C1017" s="30">
        <v>2017</v>
      </c>
      <c r="D1017" s="30" t="s">
        <v>175</v>
      </c>
      <c r="E1017" s="30" t="s">
        <v>17</v>
      </c>
      <c r="F1017" s="30">
        <v>43113640</v>
      </c>
      <c r="G1017" s="30" t="s">
        <v>47</v>
      </c>
      <c r="H1017" s="32">
        <v>46758812</v>
      </c>
      <c r="I1017" s="32">
        <v>885400</v>
      </c>
      <c r="J1017" s="32">
        <v>9278291</v>
      </c>
      <c r="K1017" s="33">
        <v>36595121</v>
      </c>
      <c r="L1017" s="33">
        <v>27591666.666666668</v>
      </c>
      <c r="M1017" s="34">
        <v>1.3263106372697069</v>
      </c>
      <c r="N1017" s="209" t="str">
        <f>IFERROR(VLOOKUP(F1017,Back!C:F,4,0),"NO")</f>
        <v>Si</v>
      </c>
      <c r="O1017" s="26">
        <v>24</v>
      </c>
      <c r="P1017" s="28" t="str">
        <f>IFERROR(VLOOKUP(F1017,Back!C:E,3,0),"")</f>
        <v>IPS Pto De Vista San Diego</v>
      </c>
      <c r="Q1017" s="28" t="str">
        <f>IFERROR(VLOOKUP(P1017,Back!M:N,2,0),"")</f>
        <v>Antioquia</v>
      </c>
      <c r="R1017" s="27" t="str">
        <f>IF(N1017="Si",IFERROR(VLOOKUP(F1017,'TD Cumpl'!B:AB,27,0),"No Aplica"),"No Aplica")</f>
        <v>Cumple</v>
      </c>
      <c r="S1017" s="38">
        <v>80</v>
      </c>
      <c r="T1017" s="36">
        <v>10188381</v>
      </c>
      <c r="U1017" s="26">
        <v>191</v>
      </c>
      <c r="V1017" s="37">
        <v>22739075</v>
      </c>
      <c r="W1017" s="19">
        <v>103</v>
      </c>
      <c r="X1017" s="37">
        <v>9278291</v>
      </c>
      <c r="Y1017" s="46">
        <f t="shared" si="32"/>
        <v>4553065</v>
      </c>
    </row>
    <row r="1018" spans="1:25" x14ac:dyDescent="0.25">
      <c r="A1018" s="20">
        <f>+VLOOKUP(D1018,Back!Q:R,2,0)</f>
        <v>11</v>
      </c>
      <c r="B1018" s="20" t="str">
        <f t="shared" si="31"/>
        <v>2017 NOV</v>
      </c>
      <c r="C1018" s="30">
        <v>2017</v>
      </c>
      <c r="D1018" s="30" t="s">
        <v>175</v>
      </c>
      <c r="E1018" s="30" t="s">
        <v>84</v>
      </c>
      <c r="F1018" s="30">
        <v>1020736461</v>
      </c>
      <c r="G1018" s="30" t="s">
        <v>156</v>
      </c>
      <c r="H1018" s="32">
        <v>36708038</v>
      </c>
      <c r="I1018" s="32">
        <v>900000</v>
      </c>
      <c r="J1018" s="32">
        <v>6154747</v>
      </c>
      <c r="K1018" s="33">
        <v>29653291</v>
      </c>
      <c r="L1018" s="33">
        <v>22000000</v>
      </c>
      <c r="M1018" s="34">
        <v>1.3478768636363636</v>
      </c>
      <c r="N1018" s="209" t="str">
        <f>IFERROR(VLOOKUP(F1018,Back!C:F,4,0),"NO")</f>
        <v>Si</v>
      </c>
      <c r="O1018" s="26">
        <v>24</v>
      </c>
      <c r="P1018" s="28" t="str">
        <f>IFERROR(VLOOKUP(F1018,Back!C:E,3,0),"")</f>
        <v>IPS Pto De Vista Santa Bárbara</v>
      </c>
      <c r="Q1018" s="28" t="str">
        <f>IFERROR(VLOOKUP(P1018,Back!M:N,2,0),"")</f>
        <v>Centro</v>
      </c>
      <c r="R1018" s="27" t="str">
        <f>IF(N1018="Si",IFERROR(VLOOKUP(F1018,'TD Cumpl'!B:AB,27,0),"No Aplica"),"No Aplica")</f>
        <v>Siempre Cumple</v>
      </c>
      <c r="S1018" s="38">
        <v>60</v>
      </c>
      <c r="T1018" s="36">
        <v>6435093</v>
      </c>
      <c r="U1018" s="26">
        <v>156</v>
      </c>
      <c r="V1018" s="37">
        <v>21307816</v>
      </c>
      <c r="W1018" s="19">
        <v>87</v>
      </c>
      <c r="X1018" s="37">
        <v>6154747</v>
      </c>
      <c r="Y1018" s="46">
        <f t="shared" si="32"/>
        <v>2810382</v>
      </c>
    </row>
    <row r="1019" spans="1:25" x14ac:dyDescent="0.25">
      <c r="A1019" s="20">
        <f>+VLOOKUP(D1019,Back!Q:R,2,0)</f>
        <v>11</v>
      </c>
      <c r="B1019" s="20" t="str">
        <f t="shared" si="31"/>
        <v>2017 NOV</v>
      </c>
      <c r="C1019" s="30">
        <v>2017</v>
      </c>
      <c r="D1019" s="30" t="s">
        <v>175</v>
      </c>
      <c r="E1019" s="30" t="s">
        <v>2</v>
      </c>
      <c r="F1019" s="30">
        <v>52260671</v>
      </c>
      <c r="G1019" s="30" t="s">
        <v>26</v>
      </c>
      <c r="H1019" s="32">
        <v>29812160</v>
      </c>
      <c r="I1019" s="32">
        <v>1396000</v>
      </c>
      <c r="J1019" s="32">
        <v>4106232</v>
      </c>
      <c r="K1019" s="33">
        <v>24309928</v>
      </c>
      <c r="L1019" s="33">
        <v>22000000</v>
      </c>
      <c r="M1019" s="34">
        <v>1.1049967272727272</v>
      </c>
      <c r="N1019" s="209" t="str">
        <f>IFERROR(VLOOKUP(F1019,Back!C:F,4,0),"NO")</f>
        <v>Si</v>
      </c>
      <c r="O1019" s="26">
        <v>24</v>
      </c>
      <c r="P1019" s="28" t="str">
        <f>IFERROR(VLOOKUP(F1019,Back!C:E,3,0),"")</f>
        <v>IPS Pto De Vista Santa Bárbara</v>
      </c>
      <c r="Q1019" s="28" t="str">
        <f>IFERROR(VLOOKUP(P1019,Back!M:N,2,0),"")</f>
        <v>Centro</v>
      </c>
      <c r="R1019" s="27" t="str">
        <f>IF(N1019="Si",IFERROR(VLOOKUP(F1019,'TD Cumpl'!B:AB,27,0),"No Aplica"),"No Aplica")</f>
        <v>Siempre Cumple</v>
      </c>
      <c r="S1019" s="38">
        <v>51</v>
      </c>
      <c r="T1019" s="36">
        <v>6125202</v>
      </c>
      <c r="U1019" s="26">
        <v>134</v>
      </c>
      <c r="V1019" s="37">
        <v>16090940</v>
      </c>
      <c r="W1019" s="19">
        <v>58</v>
      </c>
      <c r="X1019" s="37">
        <v>4106232</v>
      </c>
      <c r="Y1019" s="46">
        <f t="shared" si="32"/>
        <v>3489786</v>
      </c>
    </row>
    <row r="1020" spans="1:25" x14ac:dyDescent="0.25">
      <c r="A1020" s="20">
        <f>+VLOOKUP(D1020,Back!Q:R,2,0)</f>
        <v>11</v>
      </c>
      <c r="B1020" s="20" t="str">
        <f t="shared" si="31"/>
        <v>2017 NOV</v>
      </c>
      <c r="C1020" s="30">
        <v>2017</v>
      </c>
      <c r="D1020" s="30" t="s">
        <v>175</v>
      </c>
      <c r="E1020" s="30" t="s">
        <v>102</v>
      </c>
      <c r="F1020" s="30">
        <v>79850984</v>
      </c>
      <c r="G1020" s="30" t="s">
        <v>106</v>
      </c>
      <c r="H1020" s="32">
        <v>30870276</v>
      </c>
      <c r="I1020" s="32">
        <v>740800</v>
      </c>
      <c r="J1020" s="32">
        <v>6312251</v>
      </c>
      <c r="K1020" s="33">
        <v>23817225</v>
      </c>
      <c r="L1020" s="33">
        <v>22000000</v>
      </c>
      <c r="M1020" s="34">
        <v>1.0826011363636363</v>
      </c>
      <c r="N1020" s="209" t="str">
        <f>IFERROR(VLOOKUP(F1020,Back!C:F,4,0),"NO")</f>
        <v>Si</v>
      </c>
      <c r="O1020" s="26">
        <v>24</v>
      </c>
      <c r="P1020" s="28" t="str">
        <f>IFERROR(VLOOKUP(F1020,Back!C:E,3,0),"")</f>
        <v>IPS Pto De Vista SSura Clle100</v>
      </c>
      <c r="Q1020" s="28" t="str">
        <f>IFERROR(VLOOKUP(P1020,Back!M:N,2,0),"")</f>
        <v>Centro</v>
      </c>
      <c r="R1020" s="27" t="str">
        <f>IF(N1020="Si",IFERROR(VLOOKUP(F1020,'TD Cumpl'!B:AB,27,0),"No Aplica"),"No Aplica")</f>
        <v>Fluctúa</v>
      </c>
      <c r="S1020" s="38">
        <v>46</v>
      </c>
      <c r="T1020" s="36">
        <v>4455726</v>
      </c>
      <c r="U1020" s="26">
        <v>134</v>
      </c>
      <c r="V1020" s="37">
        <v>17683429</v>
      </c>
      <c r="W1020" s="19">
        <v>84</v>
      </c>
      <c r="X1020" s="37">
        <v>6312251</v>
      </c>
      <c r="Y1020" s="46">
        <f t="shared" si="32"/>
        <v>2418870</v>
      </c>
    </row>
    <row r="1021" spans="1:25" x14ac:dyDescent="0.25">
      <c r="A1021" s="20">
        <f>+VLOOKUP(D1021,Back!Q:R,2,0)</f>
        <v>11</v>
      </c>
      <c r="B1021" s="20" t="str">
        <f t="shared" si="31"/>
        <v>2017 NOV</v>
      </c>
      <c r="C1021" s="30">
        <v>2017</v>
      </c>
      <c r="D1021" s="30" t="s">
        <v>175</v>
      </c>
      <c r="E1021" s="30" t="s">
        <v>38</v>
      </c>
      <c r="F1021" s="30">
        <v>43745192</v>
      </c>
      <c r="G1021" s="30" t="s">
        <v>45</v>
      </c>
      <c r="H1021" s="32">
        <v>30369131</v>
      </c>
      <c r="I1021" s="32">
        <v>383400</v>
      </c>
      <c r="J1021" s="32">
        <v>2480688</v>
      </c>
      <c r="K1021" s="33">
        <v>27505043</v>
      </c>
      <c r="L1021" s="33">
        <v>25000000</v>
      </c>
      <c r="M1021" s="34">
        <v>1.10020172</v>
      </c>
      <c r="N1021" s="209" t="str">
        <f>IFERROR(VLOOKUP(F1021,Back!C:F,4,0),"NO")</f>
        <v>Si</v>
      </c>
      <c r="O1021" s="26">
        <v>24</v>
      </c>
      <c r="P1021" s="28" t="str">
        <f>IFERROR(VLOOKUP(F1021,Back!C:E,3,0),"")</f>
        <v>IPS Punto de Vista Mayorca</v>
      </c>
      <c r="Q1021" s="28" t="str">
        <f>IFERROR(VLOOKUP(P1021,Back!M:N,2,0),"")</f>
        <v>Antioquia</v>
      </c>
      <c r="R1021" s="27" t="str">
        <f>IF(N1021="Si",IFERROR(VLOOKUP(F1021,'TD Cumpl'!B:AB,27,0),"No Aplica"),"No Aplica")</f>
        <v>Cumple</v>
      </c>
      <c r="S1021" s="38">
        <v>50</v>
      </c>
      <c r="T1021" s="36">
        <v>8215477</v>
      </c>
      <c r="U1021" s="26">
        <v>136</v>
      </c>
      <c r="V1021" s="37">
        <v>17556486</v>
      </c>
      <c r="W1021" s="19">
        <v>43</v>
      </c>
      <c r="X1021" s="37">
        <v>2480688</v>
      </c>
      <c r="Y1021" s="46">
        <f t="shared" si="32"/>
        <v>2116480</v>
      </c>
    </row>
    <row r="1022" spans="1:25" x14ac:dyDescent="0.25">
      <c r="A1022" s="20">
        <f>+VLOOKUP(D1022,Back!Q:R,2,0)</f>
        <v>11</v>
      </c>
      <c r="B1022" s="20" t="str">
        <f t="shared" si="31"/>
        <v>2017 NOV</v>
      </c>
      <c r="C1022" s="30">
        <v>2017</v>
      </c>
      <c r="D1022" s="30" t="s">
        <v>175</v>
      </c>
      <c r="E1022" s="30" t="s">
        <v>7</v>
      </c>
      <c r="F1022" s="30">
        <v>43745952</v>
      </c>
      <c r="G1022" s="30" t="s">
        <v>50</v>
      </c>
      <c r="H1022" s="32">
        <v>75708260</v>
      </c>
      <c r="I1022" s="32">
        <v>1748000</v>
      </c>
      <c r="J1022" s="32">
        <v>15216791</v>
      </c>
      <c r="K1022" s="33">
        <v>58743469</v>
      </c>
      <c r="L1022" s="33">
        <v>39416666.666666672</v>
      </c>
      <c r="M1022" s="34">
        <v>1.4903205665961943</v>
      </c>
      <c r="N1022" s="209" t="str">
        <f>IFERROR(VLOOKUP(F1022,Back!C:F,4,0),"NO")</f>
        <v>Si</v>
      </c>
      <c r="O1022" s="26">
        <v>24</v>
      </c>
      <c r="P1022" s="28" t="str">
        <f>IFERROR(VLOOKUP(F1022,Back!C:E,3,0),"")</f>
        <v>IPS Pto De Vista Unicentro</v>
      </c>
      <c r="Q1022" s="28" t="str">
        <f>IFERROR(VLOOKUP(P1022,Back!M:N,2,0),"")</f>
        <v>Antioquia</v>
      </c>
      <c r="R1022" s="27" t="str">
        <f>IF(N1022="Si",IFERROR(VLOOKUP(F1022,'TD Cumpl'!B:AB,27,0),"No Aplica"),"No Aplica")</f>
        <v>Siempre Cumple</v>
      </c>
      <c r="S1022" s="38">
        <v>110</v>
      </c>
      <c r="T1022" s="36">
        <v>13074879</v>
      </c>
      <c r="U1022" s="26">
        <v>261</v>
      </c>
      <c r="V1022" s="37">
        <v>37268562</v>
      </c>
      <c r="W1022" s="19">
        <v>154</v>
      </c>
      <c r="X1022" s="37">
        <v>15216791</v>
      </c>
      <c r="Y1022" s="46">
        <f t="shared" si="32"/>
        <v>10148028</v>
      </c>
    </row>
    <row r="1023" spans="1:25" x14ac:dyDescent="0.25">
      <c r="A1023" s="20">
        <f>+VLOOKUP(D1023,Back!Q:R,2,0)</f>
        <v>11</v>
      </c>
      <c r="B1023" s="20" t="str">
        <f t="shared" ref="B1023:B1086" si="33">MID(UPPER(C1023&amp;" "&amp;D1023),1,8)</f>
        <v>2017 NOV</v>
      </c>
      <c r="C1023" s="30">
        <v>2017</v>
      </c>
      <c r="D1023" s="30" t="s">
        <v>175</v>
      </c>
      <c r="E1023" s="30" t="s">
        <v>6</v>
      </c>
      <c r="F1023" s="30">
        <v>43821410</v>
      </c>
      <c r="G1023" s="30" t="s">
        <v>40</v>
      </c>
      <c r="H1023" s="32">
        <v>71843708</v>
      </c>
      <c r="I1023" s="32">
        <v>1868800</v>
      </c>
      <c r="J1023" s="32">
        <v>12767347</v>
      </c>
      <c r="K1023" s="33">
        <v>57207561</v>
      </c>
      <c r="L1023" s="33">
        <v>39416666.666666672</v>
      </c>
      <c r="M1023" s="34">
        <v>1.4513546131078223</v>
      </c>
      <c r="N1023" s="209" t="str">
        <f>IFERROR(VLOOKUP(F1023,Back!C:F,4,0),"NO")</f>
        <v>Si</v>
      </c>
      <c r="O1023" s="26">
        <v>24</v>
      </c>
      <c r="P1023" s="28" t="str">
        <f>IFERROR(VLOOKUP(F1023,Back!C:E,3,0),"")</f>
        <v>IPS Pto De Vista Unicentro</v>
      </c>
      <c r="Q1023" s="28" t="str">
        <f>IFERROR(VLOOKUP(P1023,Back!M:N,2,0),"")</f>
        <v>Antioquia</v>
      </c>
      <c r="R1023" s="27" t="str">
        <f>IF(N1023="Si",IFERROR(VLOOKUP(F1023,'TD Cumpl'!B:AB,27,0),"No Aplica"),"No Aplica")</f>
        <v>Siempre Cumple</v>
      </c>
      <c r="S1023" s="38">
        <v>106</v>
      </c>
      <c r="T1023" s="36">
        <v>14213130</v>
      </c>
      <c r="U1023" s="26">
        <v>275</v>
      </c>
      <c r="V1023" s="37">
        <v>37268562</v>
      </c>
      <c r="W1023" s="19">
        <v>143</v>
      </c>
      <c r="X1023" s="37">
        <v>12767347</v>
      </c>
      <c r="Y1023" s="46">
        <f t="shared" si="32"/>
        <v>7594669</v>
      </c>
    </row>
    <row r="1024" spans="1:25" x14ac:dyDescent="0.25">
      <c r="A1024" s="20">
        <f>+VLOOKUP(D1024,Back!Q:R,2,0)</f>
        <v>11</v>
      </c>
      <c r="B1024" s="20" t="str">
        <f t="shared" si="33"/>
        <v>2017 NOV</v>
      </c>
      <c r="C1024" s="30">
        <v>2017</v>
      </c>
      <c r="D1024" s="30" t="s">
        <v>175</v>
      </c>
      <c r="E1024" s="30" t="s">
        <v>20</v>
      </c>
      <c r="F1024" s="30">
        <v>1017141451</v>
      </c>
      <c r="G1024" s="30" t="s">
        <v>44</v>
      </c>
      <c r="H1024" s="32">
        <v>17766159</v>
      </c>
      <c r="I1024" s="32">
        <v>1112000</v>
      </c>
      <c r="J1024" s="32">
        <v>2760493</v>
      </c>
      <c r="K1024" s="33">
        <v>13893666</v>
      </c>
      <c r="L1024" s="33">
        <v>10750000</v>
      </c>
      <c r="M1024" s="34">
        <v>1.292434046511628</v>
      </c>
      <c r="N1024" s="209" t="str">
        <f>IFERROR(VLOOKUP(F1024,Back!C:F,4,0),"NO")</f>
        <v>Si</v>
      </c>
      <c r="O1024" s="26">
        <v>24</v>
      </c>
      <c r="P1024" s="28" t="str">
        <f>IFERROR(VLOOKUP(F1024,Back!C:E,3,0),"")</f>
        <v>IPS Pto De Vista Molinos</v>
      </c>
      <c r="Q1024" s="28" t="str">
        <f>IFERROR(VLOOKUP(P1024,Back!M:N,2,0),"")</f>
        <v>Antioquia</v>
      </c>
      <c r="R1024" s="27" t="str">
        <f>IF(N1024="Si",IFERROR(VLOOKUP(F1024,'TD Cumpl'!B:AB,27,0),"No Aplica"),"No Aplica")</f>
        <v>Siempre Cumple</v>
      </c>
      <c r="S1024" s="38">
        <v>27</v>
      </c>
      <c r="T1024" s="36">
        <v>2473162</v>
      </c>
      <c r="U1024" s="26">
        <v>72</v>
      </c>
      <c r="V1024" s="37">
        <v>8616219</v>
      </c>
      <c r="W1024" s="19">
        <v>32</v>
      </c>
      <c r="X1024" s="37">
        <v>2760493</v>
      </c>
      <c r="Y1024" s="46">
        <f t="shared" si="32"/>
        <v>3916285</v>
      </c>
    </row>
    <row r="1025" spans="1:25" x14ac:dyDescent="0.25">
      <c r="A1025" s="20">
        <f>+VLOOKUP(D1025,Back!Q:R,2,0)</f>
        <v>11</v>
      </c>
      <c r="B1025" s="20" t="str">
        <f t="shared" si="33"/>
        <v>2017 NOV</v>
      </c>
      <c r="C1025" s="30">
        <v>2017</v>
      </c>
      <c r="D1025" s="30" t="s">
        <v>175</v>
      </c>
      <c r="E1025" s="30" t="s">
        <v>11</v>
      </c>
      <c r="F1025" s="30">
        <v>43253531</v>
      </c>
      <c r="G1025" s="30" t="s">
        <v>39</v>
      </c>
      <c r="H1025" s="32">
        <v>45450345</v>
      </c>
      <c r="I1025" s="32">
        <v>815000</v>
      </c>
      <c r="J1025" s="32">
        <v>11274376</v>
      </c>
      <c r="K1025" s="33">
        <v>33360969</v>
      </c>
      <c r="L1025" s="33">
        <v>26583333.333333332</v>
      </c>
      <c r="M1025" s="34">
        <v>1.2549580815047023</v>
      </c>
      <c r="N1025" s="209" t="str">
        <f>IFERROR(VLOOKUP(F1025,Back!C:F,4,0),"NO")</f>
        <v>Si</v>
      </c>
      <c r="O1025" s="26">
        <v>24</v>
      </c>
      <c r="P1025" s="28" t="str">
        <f>IFERROR(VLOOKUP(F1025,Back!C:E,3,0),"")</f>
        <v>IPS Punto de Vista Bello</v>
      </c>
      <c r="Q1025" s="28" t="str">
        <f>IFERROR(VLOOKUP(P1025,Back!M:N,2,0),"")</f>
        <v>Antioquia</v>
      </c>
      <c r="R1025" s="27" t="str">
        <f>IF(N1025="Si",IFERROR(VLOOKUP(F1025,'TD Cumpl'!B:AB,27,0),"No Aplica"),"No Aplica")</f>
        <v>Cumple</v>
      </c>
      <c r="S1025" s="38">
        <v>85</v>
      </c>
      <c r="T1025" s="36">
        <v>7973440</v>
      </c>
      <c r="U1025" s="26">
        <v>206</v>
      </c>
      <c r="V1025" s="37">
        <v>21278365</v>
      </c>
      <c r="W1025" s="19">
        <v>127</v>
      </c>
      <c r="X1025" s="37">
        <v>11274376</v>
      </c>
      <c r="Y1025" s="46">
        <f t="shared" ref="Y1025:Y1088" si="34">+H1025-X1025-V1025-T1025</f>
        <v>4924164</v>
      </c>
    </row>
    <row r="1026" spans="1:25" x14ac:dyDescent="0.25">
      <c r="A1026" s="20">
        <f>+VLOOKUP(D1026,Back!Q:R,2,0)</f>
        <v>11</v>
      </c>
      <c r="B1026" s="20" t="str">
        <f t="shared" si="33"/>
        <v>2017 NOV</v>
      </c>
      <c r="C1026" s="30">
        <v>2017</v>
      </c>
      <c r="D1026" s="30" t="s">
        <v>175</v>
      </c>
      <c r="E1026" s="30" t="s">
        <v>108</v>
      </c>
      <c r="F1026" s="30">
        <v>1020443426</v>
      </c>
      <c r="G1026" s="30" t="s">
        <v>109</v>
      </c>
      <c r="H1026" s="32">
        <v>46717457</v>
      </c>
      <c r="I1026" s="32">
        <v>440000</v>
      </c>
      <c r="J1026" s="32">
        <v>8313900</v>
      </c>
      <c r="K1026" s="33">
        <v>37963557</v>
      </c>
      <c r="L1026" s="33">
        <v>37583333.333333328</v>
      </c>
      <c r="M1026" s="34">
        <v>1.0101168159645235</v>
      </c>
      <c r="N1026" s="209" t="str">
        <f>IFERROR(VLOOKUP(F1026,Back!C:F,4,0),"NO")</f>
        <v>Si</v>
      </c>
      <c r="O1026" s="26">
        <v>24</v>
      </c>
      <c r="P1026" s="28" t="str">
        <f>IFERROR(VLOOKUP(F1026,Back!C:E,3,0),"")</f>
        <v>IPS Pto De Vista San Diego</v>
      </c>
      <c r="Q1026" s="28" t="str">
        <f>IFERROR(VLOOKUP(P1026,Back!M:N,2,0),"")</f>
        <v>Antioquia</v>
      </c>
      <c r="R1026" s="27" t="str">
        <f>IF(N1026="Si",IFERROR(VLOOKUP(F1026,'TD Cumpl'!B:AB,27,0),"No Aplica"),"No Aplica")</f>
        <v>Fluctúa</v>
      </c>
      <c r="S1026" s="38">
        <v>94</v>
      </c>
      <c r="T1026" s="36">
        <v>8928482</v>
      </c>
      <c r="U1026" s="26">
        <v>214</v>
      </c>
      <c r="V1026" s="37">
        <v>23588055</v>
      </c>
      <c r="W1026" s="19">
        <v>93</v>
      </c>
      <c r="X1026" s="37">
        <v>8313900</v>
      </c>
      <c r="Y1026" s="46">
        <f t="shared" si="34"/>
        <v>5887020</v>
      </c>
    </row>
    <row r="1027" spans="1:25" x14ac:dyDescent="0.25">
      <c r="A1027" s="20">
        <f>+VLOOKUP(D1027,Back!Q:R,2,0)</f>
        <v>11</v>
      </c>
      <c r="B1027" s="20" t="str">
        <f t="shared" si="33"/>
        <v>2017 NOV</v>
      </c>
      <c r="C1027" s="30">
        <v>2017</v>
      </c>
      <c r="D1027" s="30" t="s">
        <v>175</v>
      </c>
      <c r="E1027" s="30" t="s">
        <v>147</v>
      </c>
      <c r="F1027" s="30">
        <v>31309227</v>
      </c>
      <c r="G1027" s="30" t="s">
        <v>148</v>
      </c>
      <c r="H1027" s="32">
        <v>2403261</v>
      </c>
      <c r="I1027" s="32">
        <v>0</v>
      </c>
      <c r="J1027" s="32">
        <v>0</v>
      </c>
      <c r="K1027" s="33">
        <v>2403261</v>
      </c>
      <c r="L1027" s="33">
        <v>17500000</v>
      </c>
      <c r="M1027" s="34">
        <v>0.13732920000000001</v>
      </c>
      <c r="N1027" s="209" t="str">
        <f>IFERROR(VLOOKUP(F1027,Back!C:F,4,0),"NO")</f>
        <v>No</v>
      </c>
      <c r="O1027" s="26">
        <v>24</v>
      </c>
      <c r="P1027" s="28" t="str">
        <f>IFERROR(VLOOKUP(F1027,Back!C:E,3,0),"")</f>
        <v/>
      </c>
      <c r="Q1027" s="28" t="str">
        <f>IFERROR(VLOOKUP(P1027,Back!M:N,2,0),"")</f>
        <v/>
      </c>
      <c r="R1027" s="27" t="str">
        <f>IF(N1027="Si",IFERROR(VLOOKUP(F1027,'TD Cumpl'!B:AB,27,0),"No Aplica"),"No Aplica")</f>
        <v>No Aplica</v>
      </c>
      <c r="S1027" s="38">
        <v>7</v>
      </c>
      <c r="T1027" s="36">
        <v>672744</v>
      </c>
      <c r="U1027" s="26">
        <v>18</v>
      </c>
      <c r="V1027" s="37">
        <v>1405600</v>
      </c>
      <c r="W1027" s="19">
        <v>0</v>
      </c>
      <c r="X1027" s="37">
        <v>0</v>
      </c>
      <c r="Y1027" s="46">
        <f t="shared" si="34"/>
        <v>324917</v>
      </c>
    </row>
    <row r="1028" spans="1:25" x14ac:dyDescent="0.25">
      <c r="A1028" s="20">
        <f>+VLOOKUP(D1028,Back!Q:R,2,0)</f>
        <v>11</v>
      </c>
      <c r="B1028" s="20" t="str">
        <f t="shared" si="33"/>
        <v>2017 NOV</v>
      </c>
      <c r="C1028" s="30">
        <v>2017</v>
      </c>
      <c r="D1028" s="30" t="s">
        <v>175</v>
      </c>
      <c r="E1028" s="30" t="s">
        <v>149</v>
      </c>
      <c r="F1028" s="30">
        <v>1130597373</v>
      </c>
      <c r="G1028" s="30" t="s">
        <v>150</v>
      </c>
      <c r="H1028" s="32">
        <v>31645420</v>
      </c>
      <c r="I1028" s="32">
        <v>0</v>
      </c>
      <c r="J1028" s="32">
        <v>7952882</v>
      </c>
      <c r="K1028" s="33">
        <v>23692538</v>
      </c>
      <c r="L1028" s="33">
        <v>30000000</v>
      </c>
      <c r="M1028" s="34">
        <v>0.78975126666666662</v>
      </c>
      <c r="N1028" s="209" t="str">
        <f>IFERROR(VLOOKUP(F1028,Back!C:F,4,0),"NO")</f>
        <v>Si</v>
      </c>
      <c r="O1028" s="26">
        <v>24</v>
      </c>
      <c r="P1028" s="28" t="str">
        <f>IFERROR(VLOOKUP(F1028,Back!C:E,3,0),"")</f>
        <v>Punto de Vista Cali Norte</v>
      </c>
      <c r="Q1028" s="28" t="str">
        <f>IFERROR(VLOOKUP(P1028,Back!M:N,2,0),"")</f>
        <v>Occidente</v>
      </c>
      <c r="R1028" s="27" t="str">
        <f>IF(N1028="Si",IFERROR(VLOOKUP(F1028,'TD Cumpl'!B:AB,27,0),"No Aplica"),"No Aplica")</f>
        <v>Fluctúa</v>
      </c>
      <c r="S1028" s="38">
        <v>51</v>
      </c>
      <c r="T1028" s="36">
        <v>4111880</v>
      </c>
      <c r="U1028" s="26">
        <v>172</v>
      </c>
      <c r="V1028" s="37">
        <v>17944098</v>
      </c>
      <c r="W1028" s="19">
        <v>91</v>
      </c>
      <c r="X1028" s="37">
        <v>7952882</v>
      </c>
      <c r="Y1028" s="46">
        <f t="shared" si="34"/>
        <v>1636560</v>
      </c>
    </row>
    <row r="1029" spans="1:25" x14ac:dyDescent="0.25">
      <c r="A1029" s="20">
        <f>+VLOOKUP(D1029,Back!Q:R,2,0)</f>
        <v>11</v>
      </c>
      <c r="B1029" s="20" t="str">
        <f t="shared" si="33"/>
        <v>2017 NOV</v>
      </c>
      <c r="C1029" s="30">
        <v>2017</v>
      </c>
      <c r="D1029" s="30" t="s">
        <v>175</v>
      </c>
      <c r="E1029" s="30" t="s">
        <v>88</v>
      </c>
      <c r="F1029" s="30">
        <v>31445278</v>
      </c>
      <c r="G1029" s="30" t="s">
        <v>93</v>
      </c>
      <c r="H1029" s="32">
        <v>40463646</v>
      </c>
      <c r="I1029" s="32">
        <v>0</v>
      </c>
      <c r="J1029" s="32">
        <v>11634538</v>
      </c>
      <c r="K1029" s="33">
        <v>28829108</v>
      </c>
      <c r="L1029" s="33">
        <v>30000000</v>
      </c>
      <c r="M1029" s="34">
        <v>0.96097026666666663</v>
      </c>
      <c r="N1029" s="209" t="str">
        <f>IFERROR(VLOOKUP(F1029,Back!C:F,4,0),"NO")</f>
        <v>Si</v>
      </c>
      <c r="O1029" s="26">
        <v>24</v>
      </c>
      <c r="P1029" s="28" t="str">
        <f>IFERROR(VLOOKUP(F1029,Back!C:E,3,0),"")</f>
        <v>Punto de Vista Tequendama</v>
      </c>
      <c r="Q1029" s="28" t="str">
        <f>IFERROR(VLOOKUP(P1029,Back!M:N,2,0),"")</f>
        <v>Occidente</v>
      </c>
      <c r="R1029" s="27" t="str">
        <f>IF(N1029="Si",IFERROR(VLOOKUP(F1029,'TD Cumpl'!B:AB,27,0),"No Aplica"),"No Aplica")</f>
        <v>Cumple</v>
      </c>
      <c r="S1029" s="38">
        <v>77</v>
      </c>
      <c r="T1029" s="36">
        <v>5722643</v>
      </c>
      <c r="U1029" s="26">
        <v>268</v>
      </c>
      <c r="V1029" s="37">
        <v>20228809</v>
      </c>
      <c r="W1029" s="19">
        <v>128</v>
      </c>
      <c r="X1029" s="37">
        <v>11634538</v>
      </c>
      <c r="Y1029" s="46">
        <f t="shared" si="34"/>
        <v>2877656</v>
      </c>
    </row>
    <row r="1030" spans="1:25" x14ac:dyDescent="0.25">
      <c r="A1030" s="20">
        <f>+VLOOKUP(D1030,Back!Q:R,2,0)</f>
        <v>11</v>
      </c>
      <c r="B1030" s="20" t="str">
        <f t="shared" si="33"/>
        <v>2017 NOV</v>
      </c>
      <c r="C1030" s="30">
        <v>2017</v>
      </c>
      <c r="D1030" s="30" t="s">
        <v>175</v>
      </c>
      <c r="E1030" s="30" t="s">
        <v>169</v>
      </c>
      <c r="F1030" s="30">
        <v>66857504</v>
      </c>
      <c r="G1030" s="30" t="s">
        <v>170</v>
      </c>
      <c r="H1030" s="32">
        <v>17596763</v>
      </c>
      <c r="I1030" s="32">
        <v>0</v>
      </c>
      <c r="J1030" s="32">
        <v>7718873</v>
      </c>
      <c r="K1030" s="33">
        <v>9877890</v>
      </c>
      <c r="L1030" s="33">
        <v>30000000</v>
      </c>
      <c r="M1030" s="34">
        <v>0.32926299999999997</v>
      </c>
      <c r="N1030" s="209" t="str">
        <f>IFERROR(VLOOKUP(F1030,Back!C:F,4,0),"NO")</f>
        <v>No</v>
      </c>
      <c r="O1030" s="26">
        <v>24</v>
      </c>
      <c r="P1030" s="28" t="str">
        <f>IFERROR(VLOOKUP(F1030,Back!C:E,3,0),"")</f>
        <v/>
      </c>
      <c r="Q1030" s="28" t="str">
        <f>IFERROR(VLOOKUP(P1030,Back!M:N,2,0),"")</f>
        <v/>
      </c>
      <c r="R1030" s="27" t="str">
        <f>IF(N1030="Si",IFERROR(VLOOKUP(F1030,'TD Cumpl'!B:AB,27,0),"No Aplica"),"No Aplica")</f>
        <v>No Aplica</v>
      </c>
      <c r="S1030" s="38">
        <v>28</v>
      </c>
      <c r="T1030" s="36">
        <v>2398499</v>
      </c>
      <c r="U1030" s="26">
        <v>92</v>
      </c>
      <c r="V1030" s="37">
        <v>6431386</v>
      </c>
      <c r="W1030" s="19">
        <v>80</v>
      </c>
      <c r="X1030" s="37">
        <v>7718873</v>
      </c>
      <c r="Y1030" s="46">
        <f t="shared" si="34"/>
        <v>1048005</v>
      </c>
    </row>
    <row r="1031" spans="1:25" x14ac:dyDescent="0.25">
      <c r="A1031" s="20">
        <f>+VLOOKUP(D1031,Back!Q:R,2,0)</f>
        <v>11</v>
      </c>
      <c r="B1031" s="20" t="str">
        <f t="shared" si="33"/>
        <v>2017 NOV</v>
      </c>
      <c r="C1031" s="30">
        <v>2017</v>
      </c>
      <c r="D1031" s="30" t="s">
        <v>175</v>
      </c>
      <c r="E1031" s="30" t="s">
        <v>5</v>
      </c>
      <c r="F1031" s="30">
        <v>34542470</v>
      </c>
      <c r="G1031" s="30" t="s">
        <v>28</v>
      </c>
      <c r="H1031" s="32">
        <v>47769881</v>
      </c>
      <c r="I1031" s="32">
        <v>967800</v>
      </c>
      <c r="J1031" s="32">
        <v>7393165</v>
      </c>
      <c r="K1031" s="33">
        <v>39408916</v>
      </c>
      <c r="L1031" s="33">
        <v>25000000</v>
      </c>
      <c r="M1031" s="34">
        <v>1.57635664</v>
      </c>
      <c r="N1031" s="209" t="str">
        <f>IFERROR(VLOOKUP(F1031,Back!C:F,4,0),"NO")</f>
        <v>Si</v>
      </c>
      <c r="O1031" s="26">
        <v>24</v>
      </c>
      <c r="P1031" s="28" t="str">
        <f>IFERROR(VLOOKUP(F1031,Back!C:E,3,0),"")</f>
        <v>Optica Salud Sura Chipichape</v>
      </c>
      <c r="Q1031" s="28" t="str">
        <f>IFERROR(VLOOKUP(P1031,Back!M:N,2,0),"")</f>
        <v>Occidente</v>
      </c>
      <c r="R1031" s="27" t="str">
        <f>IF(N1031="Si",IFERROR(VLOOKUP(F1031,'TD Cumpl'!B:AB,27,0),"No Aplica"),"No Aplica")</f>
        <v>Siempre Cumple</v>
      </c>
      <c r="S1031" s="38">
        <v>82</v>
      </c>
      <c r="T1031" s="36">
        <v>12643624</v>
      </c>
      <c r="U1031" s="26">
        <v>211</v>
      </c>
      <c r="V1031" s="37">
        <v>21758581</v>
      </c>
      <c r="W1031" s="19">
        <v>82</v>
      </c>
      <c r="X1031" s="37">
        <v>7393165</v>
      </c>
      <c r="Y1031" s="46">
        <f t="shared" si="34"/>
        <v>5974511</v>
      </c>
    </row>
    <row r="1032" spans="1:25" x14ac:dyDescent="0.25">
      <c r="A1032" s="20">
        <f>+VLOOKUP(D1032,Back!Q:R,2,0)</f>
        <v>11</v>
      </c>
      <c r="B1032" s="20" t="str">
        <f t="shared" si="33"/>
        <v>2017 NOV</v>
      </c>
      <c r="C1032" s="30">
        <v>2017</v>
      </c>
      <c r="D1032" s="30" t="s">
        <v>175</v>
      </c>
      <c r="E1032" s="30" t="s">
        <v>59</v>
      </c>
      <c r="F1032" s="30"/>
      <c r="G1032" s="30"/>
      <c r="H1032" s="32">
        <v>6856850</v>
      </c>
      <c r="I1032" s="32">
        <v>0</v>
      </c>
      <c r="J1032" s="32">
        <v>2563934</v>
      </c>
      <c r="K1032" s="33">
        <v>4292916</v>
      </c>
      <c r="L1032" s="33"/>
      <c r="M1032" s="34"/>
      <c r="N1032" s="209" t="str">
        <f>IFERROR(VLOOKUP(F1032,Back!C:F,4,0),"NO")</f>
        <v>NO</v>
      </c>
      <c r="O1032" s="26">
        <v>24</v>
      </c>
      <c r="P1032" s="28" t="str">
        <f>IFERROR(VLOOKUP(F1032,Back!C:E,3,0),"")</f>
        <v/>
      </c>
      <c r="Q1032" s="28" t="str">
        <f>IFERROR(VLOOKUP(P1032,Back!M:N,2,0),"")</f>
        <v/>
      </c>
      <c r="R1032" s="27" t="str">
        <f>IF(N1032="Si",IFERROR(VLOOKUP(F1032,'TD Cumpl'!B:AB,27,0),"No Aplica"),"No Aplica")</f>
        <v>No Aplica</v>
      </c>
      <c r="S1032" s="38">
        <v>11</v>
      </c>
      <c r="T1032" s="36">
        <v>705095</v>
      </c>
      <c r="U1032" s="26">
        <v>26</v>
      </c>
      <c r="V1032" s="37">
        <v>2090010</v>
      </c>
      <c r="W1032" s="19">
        <v>29</v>
      </c>
      <c r="X1032" s="37">
        <v>2563934</v>
      </c>
      <c r="Y1032" s="46">
        <f t="shared" si="34"/>
        <v>1497811</v>
      </c>
    </row>
    <row r="1033" spans="1:25" x14ac:dyDescent="0.25">
      <c r="A1033" s="20">
        <f>+VLOOKUP(D1033,Back!Q:R,2,0)</f>
        <v>11</v>
      </c>
      <c r="B1033" s="20" t="str">
        <f t="shared" si="33"/>
        <v>2017 NOV</v>
      </c>
      <c r="C1033" s="30">
        <v>2017</v>
      </c>
      <c r="D1033" s="30" t="s">
        <v>175</v>
      </c>
      <c r="E1033" s="30" t="s">
        <v>159</v>
      </c>
      <c r="F1033" s="30"/>
      <c r="G1033" s="30"/>
      <c r="H1033" s="32">
        <v>284400</v>
      </c>
      <c r="I1033" s="32">
        <v>0</v>
      </c>
      <c r="J1033" s="32">
        <v>0</v>
      </c>
      <c r="K1033" s="33">
        <v>284400</v>
      </c>
      <c r="L1033" s="33"/>
      <c r="M1033" s="34"/>
      <c r="N1033" s="209" t="str">
        <f>IFERROR(VLOOKUP(F1033,Back!C:F,4,0),"NO")</f>
        <v>NO</v>
      </c>
      <c r="O1033" s="26">
        <v>24</v>
      </c>
      <c r="P1033" s="28" t="str">
        <f>IFERROR(VLOOKUP(F1033,Back!C:E,3,0),"")</f>
        <v/>
      </c>
      <c r="Q1033" s="28" t="str">
        <f>IFERROR(VLOOKUP(P1033,Back!M:N,2,0),"")</f>
        <v/>
      </c>
      <c r="R1033" s="27" t="str">
        <f>IF(N1033="Si",IFERROR(VLOOKUP(F1033,'TD Cumpl'!B:AB,27,0),"No Aplica"),"No Aplica")</f>
        <v>No Aplica</v>
      </c>
      <c r="S1033" s="38">
        <v>0</v>
      </c>
      <c r="T1033" s="36">
        <v>0</v>
      </c>
      <c r="U1033" s="26">
        <v>0</v>
      </c>
      <c r="V1033" s="37">
        <v>0</v>
      </c>
      <c r="W1033" s="19">
        <v>0</v>
      </c>
      <c r="X1033" s="37">
        <v>0</v>
      </c>
      <c r="Y1033" s="46">
        <f t="shared" si="34"/>
        <v>284400</v>
      </c>
    </row>
    <row r="1034" spans="1:25" x14ac:dyDescent="0.25">
      <c r="A1034" s="20">
        <f>+VLOOKUP(D1034,Back!Q:R,2,0)</f>
        <v>11</v>
      </c>
      <c r="B1034" s="20" t="str">
        <f t="shared" si="33"/>
        <v>2017 NOV</v>
      </c>
      <c r="C1034" s="30">
        <v>2017</v>
      </c>
      <c r="D1034" s="30" t="s">
        <v>175</v>
      </c>
      <c r="E1034" s="30" t="s">
        <v>119</v>
      </c>
      <c r="F1034" s="30"/>
      <c r="G1034" s="30"/>
      <c r="H1034" s="32">
        <v>357158</v>
      </c>
      <c r="I1034" s="32">
        <v>0</v>
      </c>
      <c r="J1034" s="32">
        <v>131610</v>
      </c>
      <c r="K1034" s="33">
        <v>225548</v>
      </c>
      <c r="L1034" s="33"/>
      <c r="M1034" s="34"/>
      <c r="N1034" s="209" t="str">
        <f>IFERROR(VLOOKUP(F1034,Back!C:F,4,0),"NO")</f>
        <v>NO</v>
      </c>
      <c r="O1034" s="26">
        <v>24</v>
      </c>
      <c r="P1034" s="28" t="str">
        <f>IFERROR(VLOOKUP(F1034,Back!C:E,3,0),"")</f>
        <v/>
      </c>
      <c r="Q1034" s="28" t="str">
        <f>IFERROR(VLOOKUP(P1034,Back!M:N,2,0),"")</f>
        <v/>
      </c>
      <c r="R1034" s="27" t="str">
        <f>IF(N1034="Si",IFERROR(VLOOKUP(F1034,'TD Cumpl'!B:AB,27,0),"No Aplica"),"No Aplica")</f>
        <v>No Aplica</v>
      </c>
      <c r="S1034" s="38">
        <v>1</v>
      </c>
      <c r="T1034" s="36">
        <v>53418</v>
      </c>
      <c r="U1034" s="26">
        <v>2</v>
      </c>
      <c r="V1034" s="37">
        <v>172130</v>
      </c>
      <c r="W1034" s="19">
        <v>3</v>
      </c>
      <c r="X1034" s="37">
        <v>131610</v>
      </c>
      <c r="Y1034" s="46">
        <f t="shared" si="34"/>
        <v>0</v>
      </c>
    </row>
    <row r="1035" spans="1:25" x14ac:dyDescent="0.25">
      <c r="A1035" s="20">
        <f>+VLOOKUP(D1035,Back!Q:R,2,0)</f>
        <v>11</v>
      </c>
      <c r="B1035" s="20" t="str">
        <f t="shared" si="33"/>
        <v>2017 NOV</v>
      </c>
      <c r="C1035" s="30">
        <v>2017</v>
      </c>
      <c r="D1035" s="30" t="s">
        <v>175</v>
      </c>
      <c r="E1035" s="30" t="s">
        <v>99</v>
      </c>
      <c r="F1035" s="30"/>
      <c r="G1035" s="30"/>
      <c r="H1035" s="32">
        <v>94800</v>
      </c>
      <c r="I1035" s="32">
        <v>0</v>
      </c>
      <c r="J1035" s="32">
        <v>0</v>
      </c>
      <c r="K1035" s="33">
        <v>94800</v>
      </c>
      <c r="L1035" s="33"/>
      <c r="M1035" s="34"/>
      <c r="N1035" s="209" t="str">
        <f>IFERROR(VLOOKUP(F1035,Back!C:F,4,0),"NO")</f>
        <v>NO</v>
      </c>
      <c r="O1035" s="26">
        <v>24</v>
      </c>
      <c r="P1035" s="28" t="str">
        <f>IFERROR(VLOOKUP(F1035,Back!C:E,3,0),"")</f>
        <v/>
      </c>
      <c r="Q1035" s="28" t="str">
        <f>IFERROR(VLOOKUP(P1035,Back!M:N,2,0),"")</f>
        <v/>
      </c>
      <c r="R1035" s="27" t="str">
        <f>IF(N1035="Si",IFERROR(VLOOKUP(F1035,'TD Cumpl'!B:AB,27,0),"No Aplica"),"No Aplica")</f>
        <v>No Aplica</v>
      </c>
      <c r="S1035" s="38">
        <v>0</v>
      </c>
      <c r="T1035" s="36">
        <v>0</v>
      </c>
      <c r="U1035" s="26">
        <v>0</v>
      </c>
      <c r="V1035" s="37">
        <v>0</v>
      </c>
      <c r="W1035" s="19">
        <v>0</v>
      </c>
      <c r="X1035" s="37">
        <v>0</v>
      </c>
      <c r="Y1035" s="46">
        <f t="shared" si="34"/>
        <v>94800</v>
      </c>
    </row>
    <row r="1036" spans="1:25" x14ac:dyDescent="0.25">
      <c r="A1036" s="20">
        <f>+VLOOKUP(D1036,Back!Q:R,2,0)</f>
        <v>11</v>
      </c>
      <c r="B1036" s="20" t="str">
        <f t="shared" si="33"/>
        <v>2017 NOV</v>
      </c>
      <c r="C1036" s="30">
        <v>2017</v>
      </c>
      <c r="D1036" s="30" t="s">
        <v>175</v>
      </c>
      <c r="E1036" s="30" t="s">
        <v>176</v>
      </c>
      <c r="F1036" s="30"/>
      <c r="G1036" s="30"/>
      <c r="H1036" s="32">
        <v>218800</v>
      </c>
      <c r="I1036" s="32">
        <v>0</v>
      </c>
      <c r="J1036" s="32">
        <v>0</v>
      </c>
      <c r="K1036" s="33">
        <v>218800</v>
      </c>
      <c r="L1036" s="33"/>
      <c r="M1036" s="34"/>
      <c r="N1036" s="209" t="str">
        <f>IFERROR(VLOOKUP(F1036,Back!C:F,4,0),"NO")</f>
        <v>NO</v>
      </c>
      <c r="O1036" s="26">
        <v>24</v>
      </c>
      <c r="P1036" s="28" t="str">
        <f>IFERROR(VLOOKUP(F1036,Back!C:E,3,0),"")</f>
        <v/>
      </c>
      <c r="Q1036" s="28" t="str">
        <f>IFERROR(VLOOKUP(P1036,Back!M:N,2,0),"")</f>
        <v/>
      </c>
      <c r="R1036" s="27" t="str">
        <f>IF(N1036="Si",IFERROR(VLOOKUP(F1036,'TD Cumpl'!B:AB,27,0),"No Aplica"),"No Aplica")</f>
        <v>No Aplica</v>
      </c>
      <c r="S1036" s="38">
        <v>0</v>
      </c>
      <c r="T1036" s="36">
        <v>0</v>
      </c>
      <c r="U1036" s="26">
        <v>0</v>
      </c>
      <c r="V1036" s="37">
        <v>0</v>
      </c>
      <c r="W1036" s="19">
        <v>0</v>
      </c>
      <c r="X1036" s="37">
        <v>0</v>
      </c>
      <c r="Y1036" s="46">
        <f t="shared" si="34"/>
        <v>218800</v>
      </c>
    </row>
    <row r="1037" spans="1:25" x14ac:dyDescent="0.25">
      <c r="A1037" s="20">
        <f>+VLOOKUP(D1037,Back!Q:R,2,0)</f>
        <v>11</v>
      </c>
      <c r="B1037" s="20" t="str">
        <f t="shared" si="33"/>
        <v>2017 NOV</v>
      </c>
      <c r="C1037" s="30">
        <v>2017</v>
      </c>
      <c r="D1037" s="30" t="s">
        <v>175</v>
      </c>
      <c r="E1037" s="30" t="s">
        <v>12</v>
      </c>
      <c r="F1037" s="30"/>
      <c r="G1037" s="30"/>
      <c r="H1037" s="32">
        <v>1175359</v>
      </c>
      <c r="I1037" s="32">
        <v>0</v>
      </c>
      <c r="J1037" s="32">
        <v>913994</v>
      </c>
      <c r="K1037" s="33">
        <v>261365</v>
      </c>
      <c r="L1037" s="33"/>
      <c r="M1037" s="34"/>
      <c r="N1037" s="209" t="str">
        <f>IFERROR(VLOOKUP(F1037,Back!C:F,4,0),"NO")</f>
        <v>NO</v>
      </c>
      <c r="O1037" s="26">
        <v>24</v>
      </c>
      <c r="P1037" s="28" t="str">
        <f>IFERROR(VLOOKUP(F1037,Back!C:E,3,0),"")</f>
        <v/>
      </c>
      <c r="Q1037" s="28" t="str">
        <f>IFERROR(VLOOKUP(P1037,Back!M:N,2,0),"")</f>
        <v/>
      </c>
      <c r="R1037" s="27" t="str">
        <f>IF(N1037="Si",IFERROR(VLOOKUP(F1037,'TD Cumpl'!B:AB,27,0),"No Aplica"),"No Aplica")</f>
        <v>No Aplica</v>
      </c>
      <c r="S1037" s="38">
        <v>3</v>
      </c>
      <c r="T1037" s="36">
        <v>234804</v>
      </c>
      <c r="U1037" s="26">
        <v>0</v>
      </c>
      <c r="V1037" s="37">
        <v>0</v>
      </c>
      <c r="W1037" s="19">
        <v>12</v>
      </c>
      <c r="X1037" s="37">
        <v>913994</v>
      </c>
      <c r="Y1037" s="46">
        <f t="shared" si="34"/>
        <v>26561</v>
      </c>
    </row>
    <row r="1038" spans="1:25" x14ac:dyDescent="0.25">
      <c r="A1038" s="20">
        <f>+VLOOKUP(D1038,Back!Q:R,2,0)</f>
        <v>11</v>
      </c>
      <c r="B1038" s="20" t="str">
        <f t="shared" si="33"/>
        <v>2017 NOV</v>
      </c>
      <c r="C1038" s="30">
        <v>2017</v>
      </c>
      <c r="D1038" s="30" t="s">
        <v>175</v>
      </c>
      <c r="E1038" s="30" t="s">
        <v>113</v>
      </c>
      <c r="F1038" s="30"/>
      <c r="G1038" s="30"/>
      <c r="H1038" s="32">
        <v>338334</v>
      </c>
      <c r="I1038" s="32">
        <v>0</v>
      </c>
      <c r="J1038" s="32">
        <v>338334</v>
      </c>
      <c r="K1038" s="33">
        <v>0</v>
      </c>
      <c r="L1038" s="33"/>
      <c r="M1038" s="34"/>
      <c r="N1038" s="209" t="str">
        <f>IFERROR(VLOOKUP(F1038,Back!C:F,4,0),"NO")</f>
        <v>NO</v>
      </c>
      <c r="O1038" s="26">
        <v>24</v>
      </c>
      <c r="P1038" s="28" t="str">
        <f>IFERROR(VLOOKUP(F1038,Back!C:E,3,0),"")</f>
        <v/>
      </c>
      <c r="Q1038" s="28" t="str">
        <f>IFERROR(VLOOKUP(P1038,Back!M:N,2,0),"")</f>
        <v/>
      </c>
      <c r="R1038" s="27" t="str">
        <f>IF(N1038="Si",IFERROR(VLOOKUP(F1038,'TD Cumpl'!B:AB,27,0),"No Aplica"),"No Aplica")</f>
        <v>No Aplica</v>
      </c>
      <c r="S1038" s="38">
        <v>0</v>
      </c>
      <c r="T1038" s="36">
        <v>0</v>
      </c>
      <c r="U1038" s="26">
        <v>0</v>
      </c>
      <c r="V1038" s="37">
        <v>0</v>
      </c>
      <c r="W1038" s="19">
        <v>3</v>
      </c>
      <c r="X1038" s="37">
        <v>338334</v>
      </c>
      <c r="Y1038" s="46">
        <f t="shared" si="34"/>
        <v>0</v>
      </c>
    </row>
    <row r="1039" spans="1:25" x14ac:dyDescent="0.25">
      <c r="A1039" s="20">
        <f>+VLOOKUP(D1039,Back!Q:R,2,0)</f>
        <v>11</v>
      </c>
      <c r="B1039" s="20" t="str">
        <f t="shared" si="33"/>
        <v>2017 NOV</v>
      </c>
      <c r="C1039" s="30">
        <v>2017</v>
      </c>
      <c r="D1039" s="30" t="s">
        <v>175</v>
      </c>
      <c r="E1039" s="30" t="s">
        <v>177</v>
      </c>
      <c r="F1039" s="30"/>
      <c r="G1039" s="30"/>
      <c r="H1039" s="32">
        <v>23109</v>
      </c>
      <c r="I1039" s="32">
        <v>0</v>
      </c>
      <c r="J1039" s="32">
        <v>0</v>
      </c>
      <c r="K1039" s="33">
        <v>23109</v>
      </c>
      <c r="L1039" s="33"/>
      <c r="M1039" s="34"/>
      <c r="N1039" s="209" t="str">
        <f>IFERROR(VLOOKUP(F1039,Back!C:F,4,0),"NO")</f>
        <v>NO</v>
      </c>
      <c r="O1039" s="26">
        <v>24</v>
      </c>
      <c r="P1039" s="28" t="str">
        <f>IFERROR(VLOOKUP(F1039,Back!C:E,3,0),"")</f>
        <v/>
      </c>
      <c r="Q1039" s="28" t="str">
        <f>IFERROR(VLOOKUP(P1039,Back!M:N,2,0),"")</f>
        <v/>
      </c>
      <c r="R1039" s="27" t="str">
        <f>IF(N1039="Si",IFERROR(VLOOKUP(F1039,'TD Cumpl'!B:AB,27,0),"No Aplica"),"No Aplica")</f>
        <v>No Aplica</v>
      </c>
      <c r="S1039" s="38">
        <v>0</v>
      </c>
      <c r="T1039" s="36">
        <v>0</v>
      </c>
      <c r="U1039" s="26">
        <v>0</v>
      </c>
      <c r="V1039" s="37">
        <v>0</v>
      </c>
      <c r="W1039" s="19">
        <v>0</v>
      </c>
      <c r="X1039" s="37">
        <v>0</v>
      </c>
      <c r="Y1039" s="46">
        <f t="shared" si="34"/>
        <v>23109</v>
      </c>
    </row>
    <row r="1040" spans="1:25" x14ac:dyDescent="0.25">
      <c r="A1040" s="20">
        <f>+VLOOKUP(D1040,Back!Q:R,2,0)</f>
        <v>11</v>
      </c>
      <c r="B1040" s="20" t="str">
        <f t="shared" si="33"/>
        <v>2017 NOV</v>
      </c>
      <c r="C1040" s="30">
        <v>2017</v>
      </c>
      <c r="D1040" s="30" t="s">
        <v>175</v>
      </c>
      <c r="E1040" s="30" t="s">
        <v>178</v>
      </c>
      <c r="F1040" s="30"/>
      <c r="G1040" s="30"/>
      <c r="H1040" s="32">
        <v>69764</v>
      </c>
      <c r="I1040" s="32">
        <v>0</v>
      </c>
      <c r="J1040" s="32">
        <v>69764</v>
      </c>
      <c r="K1040" s="33">
        <v>0</v>
      </c>
      <c r="L1040" s="33"/>
      <c r="M1040" s="34"/>
      <c r="N1040" s="209" t="str">
        <f>IFERROR(VLOOKUP(F1040,Back!C:F,4,0),"NO")</f>
        <v>NO</v>
      </c>
      <c r="O1040" s="26">
        <v>24</v>
      </c>
      <c r="P1040" s="28" t="str">
        <f>IFERROR(VLOOKUP(F1040,Back!C:E,3,0),"")</f>
        <v/>
      </c>
      <c r="Q1040" s="28" t="str">
        <f>IFERROR(VLOOKUP(P1040,Back!M:N,2,0),"")</f>
        <v/>
      </c>
      <c r="R1040" s="27" t="str">
        <f>IF(N1040="Si",IFERROR(VLOOKUP(F1040,'TD Cumpl'!B:AB,27,0),"No Aplica"),"No Aplica")</f>
        <v>No Aplica</v>
      </c>
      <c r="S1040" s="38">
        <v>0</v>
      </c>
      <c r="T1040" s="36">
        <v>0</v>
      </c>
      <c r="U1040" s="26">
        <v>0</v>
      </c>
      <c r="V1040" s="37">
        <v>0</v>
      </c>
      <c r="W1040" s="19">
        <v>1</v>
      </c>
      <c r="X1040" s="37">
        <v>69764</v>
      </c>
      <c r="Y1040" s="46">
        <f t="shared" si="34"/>
        <v>0</v>
      </c>
    </row>
    <row r="1041" spans="1:25" x14ac:dyDescent="0.25">
      <c r="A1041" s="20">
        <f>+VLOOKUP(D1041,Back!Q:R,2,0)</f>
        <v>11</v>
      </c>
      <c r="B1041" s="20" t="str">
        <f t="shared" si="33"/>
        <v>2017 NOV</v>
      </c>
      <c r="C1041" s="30">
        <v>2017</v>
      </c>
      <c r="D1041" s="30" t="s">
        <v>175</v>
      </c>
      <c r="E1041" s="30" t="s">
        <v>179</v>
      </c>
      <c r="F1041" s="30"/>
      <c r="G1041" s="30"/>
      <c r="H1041" s="32">
        <v>134285</v>
      </c>
      <c r="I1041" s="32">
        <v>0</v>
      </c>
      <c r="J1041" s="32">
        <v>134285</v>
      </c>
      <c r="K1041" s="33">
        <v>0</v>
      </c>
      <c r="L1041" s="33"/>
      <c r="M1041" s="34"/>
      <c r="N1041" s="209" t="str">
        <f>IFERROR(VLOOKUP(F1041,Back!C:F,4,0),"NO")</f>
        <v>NO</v>
      </c>
      <c r="O1041" s="26">
        <v>24</v>
      </c>
      <c r="P1041" s="28" t="str">
        <f>IFERROR(VLOOKUP(F1041,Back!C:E,3,0),"")</f>
        <v/>
      </c>
      <c r="Q1041" s="28" t="str">
        <f>IFERROR(VLOOKUP(P1041,Back!M:N,2,0),"")</f>
        <v/>
      </c>
      <c r="R1041" s="27" t="str">
        <f>IF(N1041="Si",IFERROR(VLOOKUP(F1041,'TD Cumpl'!B:AB,27,0),"No Aplica"),"No Aplica")</f>
        <v>No Aplica</v>
      </c>
      <c r="S1041" s="38">
        <v>0</v>
      </c>
      <c r="T1041" s="36">
        <v>0</v>
      </c>
      <c r="U1041" s="26">
        <v>0</v>
      </c>
      <c r="V1041" s="37">
        <v>0</v>
      </c>
      <c r="W1041" s="19">
        <v>1</v>
      </c>
      <c r="X1041" s="37">
        <v>134285</v>
      </c>
      <c r="Y1041" s="46">
        <f t="shared" si="34"/>
        <v>0</v>
      </c>
    </row>
    <row r="1042" spans="1:25" x14ac:dyDescent="0.25">
      <c r="A1042" s="20">
        <f>+VLOOKUP(D1042,Back!Q:R,2,0)</f>
        <v>11</v>
      </c>
      <c r="B1042" s="20" t="str">
        <f t="shared" si="33"/>
        <v>2017 NOV</v>
      </c>
      <c r="C1042" s="30">
        <v>2017</v>
      </c>
      <c r="D1042" s="30" t="s">
        <v>175</v>
      </c>
      <c r="E1042" s="30" t="s">
        <v>87</v>
      </c>
      <c r="F1042" s="30"/>
      <c r="G1042" s="30"/>
      <c r="H1042" s="32">
        <v>-78551</v>
      </c>
      <c r="I1042" s="32">
        <v>0</v>
      </c>
      <c r="J1042" s="32">
        <v>0</v>
      </c>
      <c r="K1042" s="33">
        <v>-78551</v>
      </c>
      <c r="L1042" s="33"/>
      <c r="M1042" s="34"/>
      <c r="N1042" s="209" t="str">
        <f>IFERROR(VLOOKUP(F1042,Back!C:F,4,0),"NO")</f>
        <v>NO</v>
      </c>
      <c r="O1042" s="26">
        <v>24</v>
      </c>
      <c r="P1042" s="28" t="str">
        <f>IFERROR(VLOOKUP(F1042,Back!C:E,3,0),"")</f>
        <v/>
      </c>
      <c r="Q1042" s="28" t="str">
        <f>IFERROR(VLOOKUP(P1042,Back!M:N,2,0),"")</f>
        <v/>
      </c>
      <c r="R1042" s="27" t="str">
        <f>IF(N1042="Si",IFERROR(VLOOKUP(F1042,'TD Cumpl'!B:AB,27,0),"No Aplica"),"No Aplica")</f>
        <v>No Aplica</v>
      </c>
      <c r="S1042" s="38">
        <v>6</v>
      </c>
      <c r="T1042" s="36">
        <v>35004</v>
      </c>
      <c r="U1042" s="26">
        <v>8</v>
      </c>
      <c r="V1042" s="37">
        <v>65600</v>
      </c>
      <c r="W1042" s="19">
        <v>0</v>
      </c>
      <c r="X1042" s="37">
        <v>0</v>
      </c>
      <c r="Y1042" s="46">
        <f t="shared" si="34"/>
        <v>-179155</v>
      </c>
    </row>
    <row r="1043" spans="1:25" x14ac:dyDescent="0.25">
      <c r="A1043" s="20">
        <f>+VLOOKUP(D1043,Back!Q:R,2,0)</f>
        <v>12</v>
      </c>
      <c r="B1043" s="20" t="str">
        <f t="shared" si="33"/>
        <v>2017 DIC</v>
      </c>
      <c r="C1043" s="30">
        <v>2017</v>
      </c>
      <c r="D1043" s="30" t="s">
        <v>187</v>
      </c>
      <c r="E1043" s="30" t="s">
        <v>9</v>
      </c>
      <c r="F1043" s="30">
        <v>43169964</v>
      </c>
      <c r="G1043" s="30" t="s">
        <v>155</v>
      </c>
      <c r="H1043" s="32">
        <v>46495079</v>
      </c>
      <c r="I1043" s="32">
        <v>1049000</v>
      </c>
      <c r="J1043" s="32">
        <v>8076681</v>
      </c>
      <c r="K1043" s="33">
        <v>37369398</v>
      </c>
      <c r="L1043" s="33">
        <v>21708333.333333332</v>
      </c>
      <c r="M1043" s="34">
        <v>1.7214310019193859</v>
      </c>
      <c r="N1043" s="209" t="str">
        <f>IFERROR(VLOOKUP(F1043,Back!C:F,4,0),"NO")</f>
        <v>Si</v>
      </c>
      <c r="O1043" s="26">
        <v>24</v>
      </c>
      <c r="P1043" s="28" t="str">
        <f>IFERROR(VLOOKUP(F1043,Back!C:E,3,0),"")</f>
        <v>IPS Pto De Vista Molinos</v>
      </c>
      <c r="Q1043" s="28" t="str">
        <f>IFERROR(VLOOKUP(P1043,Back!M:N,2,0),"")</f>
        <v>Antioquia</v>
      </c>
      <c r="R1043" s="27" t="str">
        <f>IF(N1043="Si",IFERROR(VLOOKUP(F1043,'TD Cumpl'!B:AB,27,0),"No Aplica"),"No Aplica")</f>
        <v>Cumple</v>
      </c>
      <c r="S1043" s="38">
        <v>88</v>
      </c>
      <c r="T1043" s="36">
        <v>9078590</v>
      </c>
      <c r="U1043" s="26">
        <v>229</v>
      </c>
      <c r="V1043" s="37">
        <v>25004780</v>
      </c>
      <c r="W1043" s="19">
        <v>89</v>
      </c>
      <c r="X1043" s="37">
        <v>8076681</v>
      </c>
      <c r="Y1043" s="46">
        <f t="shared" si="34"/>
        <v>4335028</v>
      </c>
    </row>
    <row r="1044" spans="1:25" x14ac:dyDescent="0.25">
      <c r="A1044" s="20">
        <f>+VLOOKUP(D1044,Back!Q:R,2,0)</f>
        <v>12</v>
      </c>
      <c r="B1044" s="20" t="str">
        <f t="shared" si="33"/>
        <v>2017 DIC</v>
      </c>
      <c r="C1044" s="30">
        <v>2017</v>
      </c>
      <c r="D1044" s="30" t="s">
        <v>187</v>
      </c>
      <c r="E1044" s="30" t="s">
        <v>11</v>
      </c>
      <c r="F1044" s="30">
        <v>43253531</v>
      </c>
      <c r="G1044" s="30" t="s">
        <v>39</v>
      </c>
      <c r="H1044" s="32">
        <v>53868378</v>
      </c>
      <c r="I1044" s="32">
        <v>1072000</v>
      </c>
      <c r="J1044" s="32">
        <v>12514720</v>
      </c>
      <c r="K1044" s="33">
        <v>40281658</v>
      </c>
      <c r="L1044" s="33">
        <v>29000000</v>
      </c>
      <c r="M1044" s="34">
        <v>1.3890226896551725</v>
      </c>
      <c r="N1044" s="209" t="str">
        <f>IFERROR(VLOOKUP(F1044,Back!C:F,4,0),"NO")</f>
        <v>Si</v>
      </c>
      <c r="O1044" s="26">
        <v>24</v>
      </c>
      <c r="P1044" s="28" t="str">
        <f>IFERROR(VLOOKUP(F1044,Back!C:E,3,0),"")</f>
        <v>IPS Punto de Vista Bello</v>
      </c>
      <c r="Q1044" s="28" t="str">
        <f>IFERROR(VLOOKUP(P1044,Back!M:N,2,0),"")</f>
        <v>Antioquia</v>
      </c>
      <c r="R1044" s="27" t="str">
        <f>IF(N1044="Si",IFERROR(VLOOKUP(F1044,'TD Cumpl'!B:AB,27,0),"No Aplica"),"No Aplica")</f>
        <v>Cumple</v>
      </c>
      <c r="S1044" s="38">
        <v>94</v>
      </c>
      <c r="T1044" s="36">
        <v>8718393</v>
      </c>
      <c r="U1044" s="26">
        <v>239</v>
      </c>
      <c r="V1044" s="37">
        <v>24560095</v>
      </c>
      <c r="W1044" s="19">
        <v>135</v>
      </c>
      <c r="X1044" s="37">
        <v>12514720</v>
      </c>
      <c r="Y1044" s="46">
        <f t="shared" si="34"/>
        <v>8075170</v>
      </c>
    </row>
    <row r="1045" spans="1:25" x14ac:dyDescent="0.25">
      <c r="A1045" s="20">
        <f>+VLOOKUP(D1045,Back!Q:R,2,0)</f>
        <v>12</v>
      </c>
      <c r="B1045" s="20" t="str">
        <f t="shared" si="33"/>
        <v>2017 DIC</v>
      </c>
      <c r="C1045" s="30">
        <v>2017</v>
      </c>
      <c r="D1045" s="30" t="s">
        <v>187</v>
      </c>
      <c r="E1045" s="30" t="s">
        <v>66</v>
      </c>
      <c r="F1045" s="30">
        <v>3438422</v>
      </c>
      <c r="G1045" s="30" t="s">
        <v>71</v>
      </c>
      <c r="H1045" s="32">
        <v>59883388</v>
      </c>
      <c r="I1045" s="32">
        <v>744000</v>
      </c>
      <c r="J1045" s="32">
        <v>10790843</v>
      </c>
      <c r="K1045" s="33">
        <v>48348545</v>
      </c>
      <c r="L1045" s="33">
        <v>43000000</v>
      </c>
      <c r="M1045" s="34">
        <v>1.1243847674418606</v>
      </c>
      <c r="N1045" s="209" t="str">
        <f>IFERROR(VLOOKUP(F1045,Back!C:F,4,0),"NO")</f>
        <v>Si</v>
      </c>
      <c r="O1045" s="26">
        <v>24</v>
      </c>
      <c r="P1045" s="28" t="str">
        <f>IFERROR(VLOOKUP(F1045,Back!C:E,3,0),"")</f>
        <v>IPS Pto De Vista Punto Clave</v>
      </c>
      <c r="Q1045" s="28" t="str">
        <f>IFERROR(VLOOKUP(P1045,Back!M:N,2,0),"")</f>
        <v>Antioquia</v>
      </c>
      <c r="R1045" s="27" t="str">
        <f>IF(N1045="Si",IFERROR(VLOOKUP(F1045,'TD Cumpl'!B:AB,27,0),"No Aplica"),"No Aplica")</f>
        <v>Fluctúa</v>
      </c>
      <c r="S1045" s="38">
        <v>89</v>
      </c>
      <c r="T1045" s="36">
        <v>10676153</v>
      </c>
      <c r="U1045" s="26">
        <v>217</v>
      </c>
      <c r="V1045" s="37">
        <v>31097970</v>
      </c>
      <c r="W1045" s="19">
        <v>114</v>
      </c>
      <c r="X1045" s="37">
        <v>10790843</v>
      </c>
      <c r="Y1045" s="46">
        <f t="shared" si="34"/>
        <v>7318422</v>
      </c>
    </row>
    <row r="1046" spans="1:25" x14ac:dyDescent="0.25">
      <c r="A1046" s="20">
        <f>+VLOOKUP(D1046,Back!Q:R,2,0)</f>
        <v>12</v>
      </c>
      <c r="B1046" s="20" t="str">
        <f t="shared" si="33"/>
        <v>2017 DIC</v>
      </c>
      <c r="C1046" s="30">
        <v>2017</v>
      </c>
      <c r="D1046" s="30" t="s">
        <v>187</v>
      </c>
      <c r="E1046" s="30" t="s">
        <v>6</v>
      </c>
      <c r="F1046" s="30">
        <v>43821410</v>
      </c>
      <c r="G1046" s="30" t="s">
        <v>40</v>
      </c>
      <c r="H1046" s="32">
        <v>84199687</v>
      </c>
      <c r="I1046" s="32">
        <v>1378600</v>
      </c>
      <c r="J1046" s="32">
        <v>16184606</v>
      </c>
      <c r="K1046" s="33">
        <v>66636481</v>
      </c>
      <c r="L1046" s="33">
        <v>43000000</v>
      </c>
      <c r="M1046" s="34">
        <v>1.5496856046511629</v>
      </c>
      <c r="N1046" s="209" t="str">
        <f>IFERROR(VLOOKUP(F1046,Back!C:F,4,0),"NO")</f>
        <v>Si</v>
      </c>
      <c r="O1046" s="26">
        <v>24</v>
      </c>
      <c r="P1046" s="28" t="str">
        <f>IFERROR(VLOOKUP(F1046,Back!C:E,3,0),"")</f>
        <v>IPS Pto De Vista Unicentro</v>
      </c>
      <c r="Q1046" s="28" t="str">
        <f>IFERROR(VLOOKUP(P1046,Back!M:N,2,0),"")</f>
        <v>Antioquia</v>
      </c>
      <c r="R1046" s="27" t="str">
        <f>IF(N1046="Si",IFERROR(VLOOKUP(F1046,'TD Cumpl'!B:AB,27,0),"No Aplica"),"No Aplica")</f>
        <v>Siempre Cumple</v>
      </c>
      <c r="S1046" s="38">
        <v>145</v>
      </c>
      <c r="T1046" s="36">
        <v>17882946</v>
      </c>
      <c r="U1046" s="26">
        <v>323</v>
      </c>
      <c r="V1046" s="37">
        <v>42037988</v>
      </c>
      <c r="W1046" s="19">
        <v>175</v>
      </c>
      <c r="X1046" s="37">
        <v>16184606</v>
      </c>
      <c r="Y1046" s="46">
        <f t="shared" si="34"/>
        <v>8094147</v>
      </c>
    </row>
    <row r="1047" spans="1:25" x14ac:dyDescent="0.25">
      <c r="A1047" s="20">
        <f>+VLOOKUP(D1047,Back!Q:R,2,0)</f>
        <v>12</v>
      </c>
      <c r="B1047" s="20" t="str">
        <f t="shared" si="33"/>
        <v>2017 DIC</v>
      </c>
      <c r="C1047" s="30">
        <v>2017</v>
      </c>
      <c r="D1047" s="30" t="s">
        <v>187</v>
      </c>
      <c r="E1047" s="30" t="s">
        <v>84</v>
      </c>
      <c r="F1047" s="30">
        <v>1020736461</v>
      </c>
      <c r="G1047" s="30" t="s">
        <v>156</v>
      </c>
      <c r="H1047" s="32">
        <v>46259813</v>
      </c>
      <c r="I1047" s="32">
        <v>810400</v>
      </c>
      <c r="J1047" s="32">
        <v>7226887</v>
      </c>
      <c r="K1047" s="33">
        <v>38222526</v>
      </c>
      <c r="L1047" s="33">
        <v>21083333.333333332</v>
      </c>
      <c r="M1047" s="34">
        <v>1.812926134387352</v>
      </c>
      <c r="N1047" s="209" t="str">
        <f>IFERROR(VLOOKUP(F1047,Back!C:F,4,0),"NO")</f>
        <v>Si</v>
      </c>
      <c r="O1047" s="26">
        <v>24</v>
      </c>
      <c r="P1047" s="28" t="str">
        <f>IFERROR(VLOOKUP(F1047,Back!C:E,3,0),"")</f>
        <v>IPS Pto De Vista Santa Bárbara</v>
      </c>
      <c r="Q1047" s="28" t="str">
        <f>IFERROR(VLOOKUP(P1047,Back!M:N,2,0),"")</f>
        <v>Centro</v>
      </c>
      <c r="R1047" s="27" t="str">
        <f>IF(N1047="Si",IFERROR(VLOOKUP(F1047,'TD Cumpl'!B:AB,27,0),"No Aplica"),"No Aplica")</f>
        <v>Siempre Cumple</v>
      </c>
      <c r="S1047" s="38">
        <v>61</v>
      </c>
      <c r="T1047" s="36">
        <v>6479480</v>
      </c>
      <c r="U1047" s="26">
        <v>186</v>
      </c>
      <c r="V1047" s="37">
        <v>27939246</v>
      </c>
      <c r="W1047" s="19">
        <v>92</v>
      </c>
      <c r="X1047" s="37">
        <v>7226887</v>
      </c>
      <c r="Y1047" s="46">
        <f t="shared" si="34"/>
        <v>4614200</v>
      </c>
    </row>
    <row r="1048" spans="1:25" x14ac:dyDescent="0.25">
      <c r="A1048" s="20">
        <f>+VLOOKUP(D1048,Back!Q:R,2,0)</f>
        <v>12</v>
      </c>
      <c r="B1048" s="20" t="str">
        <f t="shared" si="33"/>
        <v>2017 DIC</v>
      </c>
      <c r="C1048" s="30">
        <v>2017</v>
      </c>
      <c r="D1048" s="30" t="s">
        <v>187</v>
      </c>
      <c r="E1048" s="30" t="s">
        <v>18</v>
      </c>
      <c r="F1048" s="30">
        <v>39442617</v>
      </c>
      <c r="G1048" s="30" t="s">
        <v>41</v>
      </c>
      <c r="H1048" s="32">
        <v>16849549</v>
      </c>
      <c r="I1048" s="32">
        <v>0</v>
      </c>
      <c r="J1048" s="32">
        <v>978515</v>
      </c>
      <c r="K1048" s="33">
        <v>15871034</v>
      </c>
      <c r="L1048" s="33">
        <v>12750000</v>
      </c>
      <c r="M1048" s="34">
        <v>1.244786980392157</v>
      </c>
      <c r="N1048" s="209" t="str">
        <f>IFERROR(VLOOKUP(F1048,Back!C:F,4,0),"NO")</f>
        <v>Si</v>
      </c>
      <c r="O1048" s="26">
        <v>24</v>
      </c>
      <c r="P1048" s="28" t="str">
        <f>IFERROR(VLOOKUP(F1048,Back!C:E,3,0),"")</f>
        <v>IPS Pto De Vista San Diego</v>
      </c>
      <c r="Q1048" s="28" t="str">
        <f>IFERROR(VLOOKUP(P1048,Back!M:N,2,0),"")</f>
        <v>Antioquia</v>
      </c>
      <c r="R1048" s="27" t="str">
        <f>IF(N1048="Si",IFERROR(VLOOKUP(F1048,'TD Cumpl'!B:AB,27,0),"No Aplica"),"No Aplica")</f>
        <v>Cumple</v>
      </c>
      <c r="S1048" s="38">
        <v>23</v>
      </c>
      <c r="T1048" s="36">
        <v>3137069</v>
      </c>
      <c r="U1048" s="26">
        <v>59</v>
      </c>
      <c r="V1048" s="37">
        <v>10980039</v>
      </c>
      <c r="W1048" s="19">
        <v>12</v>
      </c>
      <c r="X1048" s="37">
        <v>978515</v>
      </c>
      <c r="Y1048" s="46">
        <f t="shared" si="34"/>
        <v>1753926</v>
      </c>
    </row>
    <row r="1049" spans="1:25" x14ac:dyDescent="0.25">
      <c r="A1049" s="20">
        <f>+VLOOKUP(D1049,Back!Q:R,2,0)</f>
        <v>12</v>
      </c>
      <c r="B1049" s="20" t="str">
        <f t="shared" si="33"/>
        <v>2017 DIC</v>
      </c>
      <c r="C1049" s="30">
        <v>2017</v>
      </c>
      <c r="D1049" s="30" t="s">
        <v>187</v>
      </c>
      <c r="E1049" s="30" t="s">
        <v>56</v>
      </c>
      <c r="F1049" s="30">
        <v>43971430</v>
      </c>
      <c r="G1049" s="30" t="s">
        <v>142</v>
      </c>
      <c r="H1049" s="32">
        <v>63179340</v>
      </c>
      <c r="I1049" s="32">
        <v>901000</v>
      </c>
      <c r="J1049" s="32">
        <v>14961703</v>
      </c>
      <c r="K1049" s="33">
        <v>47316637</v>
      </c>
      <c r="L1049" s="33">
        <v>39291666.666666664</v>
      </c>
      <c r="M1049" s="34">
        <v>1.2042410265111347</v>
      </c>
      <c r="N1049" s="209" t="str">
        <f>IFERROR(VLOOKUP(F1049,Back!C:F,4,0),"NO")</f>
        <v>Si</v>
      </c>
      <c r="O1049" s="26">
        <v>24</v>
      </c>
      <c r="P1049" s="28" t="str">
        <f>IFERROR(VLOOKUP(F1049,Back!C:E,3,0),"")</f>
        <v>IPS Pto De Vista Centro</v>
      </c>
      <c r="Q1049" s="28" t="str">
        <f>IFERROR(VLOOKUP(P1049,Back!M:N,2,0),"")</f>
        <v>Antioquia</v>
      </c>
      <c r="R1049" s="27" t="str">
        <f>IF(N1049="Si",IFERROR(VLOOKUP(F1049,'TD Cumpl'!B:AB,27,0),"No Aplica"),"No Aplica")</f>
        <v>Siempre Cumple</v>
      </c>
      <c r="S1049" s="38">
        <v>110</v>
      </c>
      <c r="T1049" s="36">
        <v>10828318</v>
      </c>
      <c r="U1049" s="26">
        <v>321</v>
      </c>
      <c r="V1049" s="37">
        <v>30273364</v>
      </c>
      <c r="W1049" s="19">
        <v>165</v>
      </c>
      <c r="X1049" s="37">
        <v>14961703</v>
      </c>
      <c r="Y1049" s="46">
        <f t="shared" si="34"/>
        <v>7115955</v>
      </c>
    </row>
    <row r="1050" spans="1:25" x14ac:dyDescent="0.25">
      <c r="A1050" s="20">
        <f>+VLOOKUP(D1050,Back!Q:R,2,0)</f>
        <v>12</v>
      </c>
      <c r="B1050" s="20" t="str">
        <f t="shared" si="33"/>
        <v>2017 DIC</v>
      </c>
      <c r="C1050" s="30">
        <v>2017</v>
      </c>
      <c r="D1050" s="30" t="s">
        <v>187</v>
      </c>
      <c r="E1050" s="30" t="s">
        <v>102</v>
      </c>
      <c r="F1050" s="30">
        <v>79850984</v>
      </c>
      <c r="G1050" s="30" t="s">
        <v>106</v>
      </c>
      <c r="H1050" s="32">
        <v>31339786</v>
      </c>
      <c r="I1050" s="32">
        <v>705500</v>
      </c>
      <c r="J1050" s="32">
        <v>4244262</v>
      </c>
      <c r="K1050" s="33">
        <v>26390024</v>
      </c>
      <c r="L1050" s="33">
        <v>21083333.333333332</v>
      </c>
      <c r="M1050" s="34">
        <v>1.2517007430830041</v>
      </c>
      <c r="N1050" s="209" t="str">
        <f>IFERROR(VLOOKUP(F1050,Back!C:F,4,0),"NO")</f>
        <v>Si</v>
      </c>
      <c r="O1050" s="26">
        <v>24</v>
      </c>
      <c r="P1050" s="28" t="str">
        <f>IFERROR(VLOOKUP(F1050,Back!C:E,3,0),"")</f>
        <v>IPS Pto De Vista SSura Clle100</v>
      </c>
      <c r="Q1050" s="28" t="str">
        <f>IFERROR(VLOOKUP(P1050,Back!M:N,2,0),"")</f>
        <v>Centro</v>
      </c>
      <c r="R1050" s="27" t="str">
        <f>IF(N1050="Si",IFERROR(VLOOKUP(F1050,'TD Cumpl'!B:AB,27,0),"No Aplica"),"No Aplica")</f>
        <v>Fluctúa</v>
      </c>
      <c r="S1050" s="38">
        <v>53</v>
      </c>
      <c r="T1050" s="36">
        <v>5545570</v>
      </c>
      <c r="U1050" s="26">
        <v>150</v>
      </c>
      <c r="V1050" s="37">
        <v>19398820</v>
      </c>
      <c r="W1050" s="19">
        <v>55</v>
      </c>
      <c r="X1050" s="37">
        <v>4244262</v>
      </c>
      <c r="Y1050" s="46">
        <f t="shared" si="34"/>
        <v>2151134</v>
      </c>
    </row>
    <row r="1051" spans="1:25" x14ac:dyDescent="0.25">
      <c r="A1051" s="20">
        <f>+VLOOKUP(D1051,Back!Q:R,2,0)</f>
        <v>12</v>
      </c>
      <c r="B1051" s="20" t="str">
        <f t="shared" si="33"/>
        <v>2017 DIC</v>
      </c>
      <c r="C1051" s="30">
        <v>2017</v>
      </c>
      <c r="D1051" s="30" t="s">
        <v>187</v>
      </c>
      <c r="E1051" s="30" t="s">
        <v>166</v>
      </c>
      <c r="F1051" s="30">
        <v>1020451288</v>
      </c>
      <c r="G1051" s="30" t="s">
        <v>167</v>
      </c>
      <c r="H1051" s="32">
        <v>60766210</v>
      </c>
      <c r="I1051" s="32">
        <v>1156000</v>
      </c>
      <c r="J1051" s="32">
        <v>11540485</v>
      </c>
      <c r="K1051" s="33">
        <v>48069725</v>
      </c>
      <c r="L1051" s="33">
        <v>43000000</v>
      </c>
      <c r="M1051" s="34">
        <v>1.1179005813953489</v>
      </c>
      <c r="N1051" s="209" t="str">
        <f>IFERROR(VLOOKUP(F1051,Back!C:F,4,0),"NO")</f>
        <v>Si</v>
      </c>
      <c r="O1051" s="26">
        <v>24</v>
      </c>
      <c r="P1051" s="28" t="str">
        <f>IFERROR(VLOOKUP(F1051,Back!C:E,3,0),"")</f>
        <v>IPS Pto De Vista Punto Clave</v>
      </c>
      <c r="Q1051" s="28" t="str">
        <f>IFERROR(VLOOKUP(P1051,Back!M:N,2,0),"")</f>
        <v>Antioquia</v>
      </c>
      <c r="R1051" s="27" t="str">
        <f>IF(N1051="Si",IFERROR(VLOOKUP(F1051,'TD Cumpl'!B:AB,27,0),"No Aplica"),"No Aplica")</f>
        <v>Cumple</v>
      </c>
      <c r="S1051" s="38">
        <v>108</v>
      </c>
      <c r="T1051" s="36">
        <v>10760212</v>
      </c>
      <c r="U1051" s="26">
        <v>270</v>
      </c>
      <c r="V1051" s="37">
        <v>33586039</v>
      </c>
      <c r="W1051" s="19">
        <v>121</v>
      </c>
      <c r="X1051" s="37">
        <v>11540485</v>
      </c>
      <c r="Y1051" s="46">
        <f t="shared" si="34"/>
        <v>4879474</v>
      </c>
    </row>
    <row r="1052" spans="1:25" x14ac:dyDescent="0.25">
      <c r="A1052" s="20">
        <f>+VLOOKUP(D1052,Back!Q:R,2,0)</f>
        <v>12</v>
      </c>
      <c r="B1052" s="20" t="str">
        <f t="shared" si="33"/>
        <v>2017 DIC</v>
      </c>
      <c r="C1052" s="30">
        <v>2017</v>
      </c>
      <c r="D1052" s="30" t="s">
        <v>187</v>
      </c>
      <c r="E1052" s="30" t="s">
        <v>147</v>
      </c>
      <c r="F1052" s="30">
        <v>31309227</v>
      </c>
      <c r="G1052" s="30" t="s">
        <v>148</v>
      </c>
      <c r="H1052" s="32">
        <v>14519690</v>
      </c>
      <c r="I1052" s="32">
        <v>0</v>
      </c>
      <c r="J1052" s="32">
        <v>5137819</v>
      </c>
      <c r="K1052" s="33">
        <v>9381871</v>
      </c>
      <c r="L1052" s="33">
        <v>30000000</v>
      </c>
      <c r="M1052" s="34">
        <v>0.31272903333333335</v>
      </c>
      <c r="N1052" s="209" t="str">
        <f>IFERROR(VLOOKUP(F1052,Back!C:F,4,0),"NO")</f>
        <v>No</v>
      </c>
      <c r="O1052" s="26">
        <v>24</v>
      </c>
      <c r="P1052" s="28" t="str">
        <f>IFERROR(VLOOKUP(F1052,Back!C:E,3,0),"")</f>
        <v/>
      </c>
      <c r="Q1052" s="28" t="str">
        <f>IFERROR(VLOOKUP(P1052,Back!M:N,2,0),"")</f>
        <v/>
      </c>
      <c r="R1052" s="27" t="str">
        <f>IF(N1052="Si",IFERROR(VLOOKUP(F1052,'TD Cumpl'!B:AB,27,0),"No Aplica"),"No Aplica")</f>
        <v>No Aplica</v>
      </c>
      <c r="S1052" s="38">
        <v>24</v>
      </c>
      <c r="T1052" s="36">
        <v>2299321</v>
      </c>
      <c r="U1052" s="26">
        <v>72</v>
      </c>
      <c r="V1052" s="37">
        <v>6007943</v>
      </c>
      <c r="W1052" s="19">
        <v>65</v>
      </c>
      <c r="X1052" s="37">
        <v>5137819</v>
      </c>
      <c r="Y1052" s="46">
        <f t="shared" si="34"/>
        <v>1074607</v>
      </c>
    </row>
    <row r="1053" spans="1:25" x14ac:dyDescent="0.25">
      <c r="A1053" s="20">
        <f>+VLOOKUP(D1053,Back!Q:R,2,0)</f>
        <v>12</v>
      </c>
      <c r="B1053" s="20" t="str">
        <f t="shared" si="33"/>
        <v>2017 DIC</v>
      </c>
      <c r="C1053" s="30">
        <v>2017</v>
      </c>
      <c r="D1053" s="30" t="s">
        <v>187</v>
      </c>
      <c r="E1053" s="30" t="s">
        <v>108</v>
      </c>
      <c r="F1053" s="30">
        <v>1020443426</v>
      </c>
      <c r="G1053" s="30" t="s">
        <v>109</v>
      </c>
      <c r="H1053" s="32">
        <v>53466591</v>
      </c>
      <c r="I1053" s="32">
        <v>304000</v>
      </c>
      <c r="J1053" s="32">
        <v>11812158</v>
      </c>
      <c r="K1053" s="33">
        <v>41350433</v>
      </c>
      <c r="L1053" s="33">
        <v>39291666.666666664</v>
      </c>
      <c r="M1053" s="34">
        <v>1.0523970222693533</v>
      </c>
      <c r="N1053" s="209" t="str">
        <f>IFERROR(VLOOKUP(F1053,Back!C:F,4,0),"NO")</f>
        <v>Si</v>
      </c>
      <c r="O1053" s="26">
        <v>24</v>
      </c>
      <c r="P1053" s="28" t="str">
        <f>IFERROR(VLOOKUP(F1053,Back!C:E,3,0),"")</f>
        <v>IPS Pto De Vista San Diego</v>
      </c>
      <c r="Q1053" s="28" t="str">
        <f>IFERROR(VLOOKUP(P1053,Back!M:N,2,0),"")</f>
        <v>Antioquia</v>
      </c>
      <c r="R1053" s="27" t="str">
        <f>IF(N1053="Si",IFERROR(VLOOKUP(F1053,'TD Cumpl'!B:AB,27,0),"No Aplica"),"No Aplica")</f>
        <v>Fluctúa</v>
      </c>
      <c r="S1053" s="38">
        <v>91</v>
      </c>
      <c r="T1053" s="36">
        <v>8435023</v>
      </c>
      <c r="U1053" s="26">
        <v>256</v>
      </c>
      <c r="V1053" s="37">
        <v>27851587</v>
      </c>
      <c r="W1053" s="19">
        <v>121</v>
      </c>
      <c r="X1053" s="37">
        <v>11812158</v>
      </c>
      <c r="Y1053" s="46">
        <f t="shared" si="34"/>
        <v>5367823</v>
      </c>
    </row>
    <row r="1054" spans="1:25" x14ac:dyDescent="0.25">
      <c r="A1054" s="20">
        <f>+VLOOKUP(D1054,Back!Q:R,2,0)</f>
        <v>12</v>
      </c>
      <c r="B1054" s="20" t="str">
        <f t="shared" si="33"/>
        <v>2017 DIC</v>
      </c>
      <c r="C1054" s="30">
        <v>2017</v>
      </c>
      <c r="D1054" s="30" t="s">
        <v>187</v>
      </c>
      <c r="E1054" s="30" t="s">
        <v>34</v>
      </c>
      <c r="F1054" s="30">
        <v>43554403</v>
      </c>
      <c r="G1054" s="30" t="s">
        <v>35</v>
      </c>
      <c r="H1054" s="32">
        <v>62953464</v>
      </c>
      <c r="I1054" s="32">
        <v>0</v>
      </c>
      <c r="J1054" s="32">
        <v>14278187</v>
      </c>
      <c r="K1054" s="33">
        <v>48675277</v>
      </c>
      <c r="L1054" s="33">
        <v>39291666.666666664</v>
      </c>
      <c r="M1054" s="34">
        <v>1.2388193510074232</v>
      </c>
      <c r="N1054" s="209" t="str">
        <f>IFERROR(VLOOKUP(F1054,Back!C:F,4,0),"NO")</f>
        <v>Si</v>
      </c>
      <c r="O1054" s="26">
        <v>24</v>
      </c>
      <c r="P1054" s="28" t="str">
        <f>IFERROR(VLOOKUP(F1054,Back!C:E,3,0),"")</f>
        <v>IPS Pto De Vista Centro</v>
      </c>
      <c r="Q1054" s="28" t="str">
        <f>IFERROR(VLOOKUP(P1054,Back!M:N,2,0),"")</f>
        <v>Antioquia</v>
      </c>
      <c r="R1054" s="27" t="str">
        <f>IF(N1054="Si",IFERROR(VLOOKUP(F1054,'TD Cumpl'!B:AB,27,0),"No Aplica"),"No Aplica")</f>
        <v>Siempre Cumple</v>
      </c>
      <c r="S1054" s="38">
        <v>109</v>
      </c>
      <c r="T1054" s="36">
        <v>11840435</v>
      </c>
      <c r="U1054" s="26">
        <v>280</v>
      </c>
      <c r="V1054" s="37">
        <v>29600837</v>
      </c>
      <c r="W1054" s="19">
        <v>151</v>
      </c>
      <c r="X1054" s="37">
        <v>14278187</v>
      </c>
      <c r="Y1054" s="46">
        <f t="shared" si="34"/>
        <v>7234005</v>
      </c>
    </row>
    <row r="1055" spans="1:25" x14ac:dyDescent="0.25">
      <c r="A1055" s="20">
        <f>+VLOOKUP(D1055,Back!Q:R,2,0)</f>
        <v>12</v>
      </c>
      <c r="B1055" s="20" t="str">
        <f t="shared" si="33"/>
        <v>2017 DIC</v>
      </c>
      <c r="C1055" s="30">
        <v>2017</v>
      </c>
      <c r="D1055" s="30" t="s">
        <v>187</v>
      </c>
      <c r="E1055" s="30" t="s">
        <v>92</v>
      </c>
      <c r="F1055" s="30">
        <v>1017167720</v>
      </c>
      <c r="G1055" s="30" t="s">
        <v>96</v>
      </c>
      <c r="H1055" s="32">
        <v>62186609</v>
      </c>
      <c r="I1055" s="32">
        <v>1610000</v>
      </c>
      <c r="J1055" s="32">
        <v>11594413</v>
      </c>
      <c r="K1055" s="33">
        <v>48982196</v>
      </c>
      <c r="L1055" s="33">
        <v>43000000</v>
      </c>
      <c r="M1055" s="34">
        <v>1.1391208372093022</v>
      </c>
      <c r="N1055" s="209" t="str">
        <f>IFERROR(VLOOKUP(F1055,Back!C:F,4,0),"NO")</f>
        <v>Si</v>
      </c>
      <c r="O1055" s="26">
        <v>24</v>
      </c>
      <c r="P1055" s="28" t="str">
        <f>IFERROR(VLOOKUP(F1055,Back!C:E,3,0),"")</f>
        <v>IPS Pto De Vista Punto Clave</v>
      </c>
      <c r="Q1055" s="28" t="str">
        <f>IFERROR(VLOOKUP(P1055,Back!M:N,2,0),"")</f>
        <v>Antioquia</v>
      </c>
      <c r="R1055" s="27" t="str">
        <f>IF(N1055="Si",IFERROR(VLOOKUP(F1055,'TD Cumpl'!B:AB,27,0),"No Aplica"),"No Aplica")</f>
        <v>Cumple</v>
      </c>
      <c r="S1055" s="38">
        <v>113</v>
      </c>
      <c r="T1055" s="36">
        <v>10780985</v>
      </c>
      <c r="U1055" s="26">
        <v>255</v>
      </c>
      <c r="V1055" s="37">
        <v>30736426</v>
      </c>
      <c r="W1055" s="19">
        <v>124</v>
      </c>
      <c r="X1055" s="37">
        <v>11594413</v>
      </c>
      <c r="Y1055" s="46">
        <f t="shared" si="34"/>
        <v>9074785</v>
      </c>
    </row>
    <row r="1056" spans="1:25" x14ac:dyDescent="0.25">
      <c r="A1056" s="20">
        <f>+VLOOKUP(D1056,Back!Q:R,2,0)</f>
        <v>12</v>
      </c>
      <c r="B1056" s="20" t="str">
        <f t="shared" si="33"/>
        <v>2017 DIC</v>
      </c>
      <c r="C1056" s="30">
        <v>2017</v>
      </c>
      <c r="D1056" s="30" t="s">
        <v>187</v>
      </c>
      <c r="E1056" s="30" t="s">
        <v>3</v>
      </c>
      <c r="F1056" s="30">
        <v>52725011</v>
      </c>
      <c r="G1056" s="30" t="s">
        <v>42</v>
      </c>
      <c r="H1056" s="32">
        <v>10359567</v>
      </c>
      <c r="I1056" s="32">
        <v>396000</v>
      </c>
      <c r="J1056" s="32">
        <v>1430483</v>
      </c>
      <c r="K1056" s="33">
        <v>8533084</v>
      </c>
      <c r="L1056" s="33">
        <v>3333333.3333333335</v>
      </c>
      <c r="M1056" s="34">
        <v>2.5599251999999999</v>
      </c>
      <c r="N1056" s="209" t="str">
        <f>IFERROR(VLOOKUP(F1056,Back!C:F,4,0),"NO")</f>
        <v>Si</v>
      </c>
      <c r="O1056" s="26">
        <v>24</v>
      </c>
      <c r="P1056" s="28" t="str">
        <f>IFERROR(VLOOKUP(F1056,Back!C:E,3,0),"")</f>
        <v>IPS Pto De Vista Olaya</v>
      </c>
      <c r="Q1056" s="28" t="str">
        <f>IFERROR(VLOOKUP(P1056,Back!M:N,2,0),"")</f>
        <v>Centro</v>
      </c>
      <c r="R1056" s="27" t="str">
        <f>IF(N1056="Si",IFERROR(VLOOKUP(F1056,'TD Cumpl'!B:AB,27,0),"No Aplica"),"No Aplica")</f>
        <v>Fluctúa</v>
      </c>
      <c r="S1056" s="38">
        <v>26</v>
      </c>
      <c r="T1056" s="36">
        <v>1720993</v>
      </c>
      <c r="U1056" s="26">
        <v>68</v>
      </c>
      <c r="V1056" s="37">
        <v>6118082</v>
      </c>
      <c r="W1056" s="19">
        <v>17</v>
      </c>
      <c r="X1056" s="37">
        <v>1430483</v>
      </c>
      <c r="Y1056" s="46">
        <f t="shared" si="34"/>
        <v>1090009</v>
      </c>
    </row>
    <row r="1057" spans="1:25" x14ac:dyDescent="0.25">
      <c r="A1057" s="20">
        <f>+VLOOKUP(D1057,Back!Q:R,2,0)</f>
        <v>12</v>
      </c>
      <c r="B1057" s="20" t="str">
        <f t="shared" si="33"/>
        <v>2017 DIC</v>
      </c>
      <c r="C1057" s="30">
        <v>2017</v>
      </c>
      <c r="D1057" s="30" t="s">
        <v>187</v>
      </c>
      <c r="E1057" s="30" t="s">
        <v>25</v>
      </c>
      <c r="F1057" s="30">
        <v>1040030764</v>
      </c>
      <c r="G1057" s="30" t="s">
        <v>43</v>
      </c>
      <c r="H1057" s="32">
        <v>48718916</v>
      </c>
      <c r="I1057" s="32">
        <v>6065000</v>
      </c>
      <c r="J1057" s="32">
        <v>7738133</v>
      </c>
      <c r="K1057" s="33">
        <v>34915783</v>
      </c>
      <c r="L1057" s="33">
        <v>33000000</v>
      </c>
      <c r="M1057" s="34">
        <v>1.0580540303030304</v>
      </c>
      <c r="N1057" s="209" t="str">
        <f>IFERROR(VLOOKUP(F1057,Back!C:F,4,0),"NO")</f>
        <v>Si</v>
      </c>
      <c r="O1057" s="26">
        <v>24</v>
      </c>
      <c r="P1057" s="28" t="str">
        <f>IFERROR(VLOOKUP(F1057,Back!C:E,3,0),"")</f>
        <v>IPS Pto De Vista Rionegro</v>
      </c>
      <c r="Q1057" s="28" t="str">
        <f>IFERROR(VLOOKUP(P1057,Back!M:N,2,0),"")</f>
        <v>Antioquia</v>
      </c>
      <c r="R1057" s="27" t="str">
        <f>IF(N1057="Si",IFERROR(VLOOKUP(F1057,'TD Cumpl'!B:AB,27,0),"No Aplica"),"No Aplica")</f>
        <v>Cumple</v>
      </c>
      <c r="S1057" s="38">
        <v>75</v>
      </c>
      <c r="T1057" s="36">
        <v>8661454</v>
      </c>
      <c r="U1057" s="26">
        <v>220</v>
      </c>
      <c r="V1057" s="37">
        <v>23841798</v>
      </c>
      <c r="W1057" s="19">
        <v>96</v>
      </c>
      <c r="X1057" s="37">
        <v>7738133</v>
      </c>
      <c r="Y1057" s="46">
        <f t="shared" si="34"/>
        <v>8477531</v>
      </c>
    </row>
    <row r="1058" spans="1:25" x14ac:dyDescent="0.25">
      <c r="A1058" s="20">
        <f>+VLOOKUP(D1058,Back!Q:R,2,0)</f>
        <v>12</v>
      </c>
      <c r="B1058" s="20" t="str">
        <f t="shared" si="33"/>
        <v>2017 DIC</v>
      </c>
      <c r="C1058" s="30">
        <v>2017</v>
      </c>
      <c r="D1058" s="30" t="s">
        <v>187</v>
      </c>
      <c r="E1058" s="30" t="s">
        <v>33</v>
      </c>
      <c r="F1058" s="30">
        <v>31307503</v>
      </c>
      <c r="G1058" s="30" t="s">
        <v>36</v>
      </c>
      <c r="H1058" s="32">
        <v>25986829</v>
      </c>
      <c r="I1058" s="32">
        <v>0</v>
      </c>
      <c r="J1058" s="32">
        <v>756490</v>
      </c>
      <c r="K1058" s="33">
        <v>25230339</v>
      </c>
      <c r="L1058" s="33">
        <v>31721000</v>
      </c>
      <c r="M1058" s="34">
        <v>0.79538283786765862</v>
      </c>
      <c r="N1058" s="209" t="str">
        <f>IFERROR(VLOOKUP(F1058,Back!C:F,4,0),"NO")</f>
        <v>NO</v>
      </c>
      <c r="O1058" s="26">
        <v>24</v>
      </c>
      <c r="P1058" s="28" t="str">
        <f>IFERROR(VLOOKUP(F1058,Back!C:E,3,0),"")</f>
        <v/>
      </c>
      <c r="Q1058" s="28" t="str">
        <f>IFERROR(VLOOKUP(P1058,Back!M:N,2,0),"")</f>
        <v/>
      </c>
      <c r="R1058" s="27" t="str">
        <f>IF(N1058="Si",IFERROR(VLOOKUP(F1058,'TD Cumpl'!B:AB,27,0),"No Aplica"),"No Aplica")</f>
        <v>No Aplica</v>
      </c>
      <c r="S1058" s="38">
        <v>17</v>
      </c>
      <c r="T1058" s="36">
        <v>1121637</v>
      </c>
      <c r="U1058" s="26">
        <v>42</v>
      </c>
      <c r="V1058" s="37">
        <v>1838853</v>
      </c>
      <c r="W1058" s="19">
        <v>9</v>
      </c>
      <c r="X1058" s="37">
        <v>756490</v>
      </c>
      <c r="Y1058" s="46">
        <f t="shared" si="34"/>
        <v>22269849</v>
      </c>
    </row>
    <row r="1059" spans="1:25" x14ac:dyDescent="0.25">
      <c r="A1059" s="20">
        <f>+VLOOKUP(D1059,Back!Q:R,2,0)</f>
        <v>12</v>
      </c>
      <c r="B1059" s="20" t="str">
        <f t="shared" si="33"/>
        <v>2017 DIC</v>
      </c>
      <c r="C1059" s="30">
        <v>2017</v>
      </c>
      <c r="D1059" s="30" t="s">
        <v>187</v>
      </c>
      <c r="E1059" s="30" t="s">
        <v>22</v>
      </c>
      <c r="F1059" s="30">
        <v>42164020</v>
      </c>
      <c r="G1059" s="30" t="s">
        <v>105</v>
      </c>
      <c r="H1059" s="32">
        <v>60493632</v>
      </c>
      <c r="I1059" s="32">
        <v>2942000</v>
      </c>
      <c r="J1059" s="32">
        <v>9572327</v>
      </c>
      <c r="K1059" s="33">
        <v>47979305</v>
      </c>
      <c r="L1059" s="33">
        <v>43000000</v>
      </c>
      <c r="M1059" s="34">
        <v>1.1157977906976744</v>
      </c>
      <c r="N1059" s="209" t="str">
        <f>IFERROR(VLOOKUP(F1059,Back!C:F,4,0),"NO")</f>
        <v>Si</v>
      </c>
      <c r="O1059" s="26">
        <v>24</v>
      </c>
      <c r="P1059" s="28" t="str">
        <f>IFERROR(VLOOKUP(F1059,Back!C:E,3,0),"")</f>
        <v>IPS Pto De Vista Molinos</v>
      </c>
      <c r="Q1059" s="28" t="str">
        <f>IFERROR(VLOOKUP(P1059,Back!M:N,2,0),"")</f>
        <v>Antioquia</v>
      </c>
      <c r="R1059" s="27" t="str">
        <f>IF(N1059="Si",IFERROR(VLOOKUP(F1059,'TD Cumpl'!B:AB,27,0),"No Aplica"),"No Aplica")</f>
        <v>Siempre Cumple</v>
      </c>
      <c r="S1059" s="38">
        <v>100</v>
      </c>
      <c r="T1059" s="36">
        <v>11279425</v>
      </c>
      <c r="U1059" s="26">
        <v>252</v>
      </c>
      <c r="V1059" s="37">
        <v>30380619</v>
      </c>
      <c r="W1059" s="19">
        <v>96</v>
      </c>
      <c r="X1059" s="37">
        <v>9572327</v>
      </c>
      <c r="Y1059" s="46">
        <f t="shared" si="34"/>
        <v>9261261</v>
      </c>
    </row>
    <row r="1060" spans="1:25" x14ac:dyDescent="0.25">
      <c r="A1060" s="20">
        <f>+VLOOKUP(D1060,Back!Q:R,2,0)</f>
        <v>12</v>
      </c>
      <c r="B1060" s="20" t="str">
        <f t="shared" si="33"/>
        <v>2017 DIC</v>
      </c>
      <c r="C1060" s="30">
        <v>2017</v>
      </c>
      <c r="D1060" s="30" t="s">
        <v>187</v>
      </c>
      <c r="E1060" s="30" t="s">
        <v>21</v>
      </c>
      <c r="F1060" s="30">
        <v>1035417626</v>
      </c>
      <c r="G1060" s="30" t="s">
        <v>80</v>
      </c>
      <c r="H1060" s="32">
        <v>47219857</v>
      </c>
      <c r="I1060" s="32">
        <v>880000</v>
      </c>
      <c r="J1060" s="32">
        <v>6783051</v>
      </c>
      <c r="K1060" s="33">
        <v>39556806</v>
      </c>
      <c r="L1060" s="33">
        <v>37625000</v>
      </c>
      <c r="M1060" s="34">
        <v>1.0513436810631229</v>
      </c>
      <c r="N1060" s="209" t="str">
        <f>IFERROR(VLOOKUP(F1060,Back!C:F,4,0),"NO")</f>
        <v>Si</v>
      </c>
      <c r="O1060" s="26">
        <v>24</v>
      </c>
      <c r="P1060" s="28" t="str">
        <f>IFERROR(VLOOKUP(F1060,Back!C:E,3,0),"")</f>
        <v>IPS Pto De Vista Unicentro</v>
      </c>
      <c r="Q1060" s="28" t="str">
        <f>IFERROR(VLOOKUP(P1060,Back!M:N,2,0),"")</f>
        <v>Antioquia</v>
      </c>
      <c r="R1060" s="27" t="str">
        <f>IF(N1060="Si",IFERROR(VLOOKUP(F1060,'TD Cumpl'!B:AB,27,0),"No Aplica"),"No Aplica")</f>
        <v>Cumple</v>
      </c>
      <c r="S1060" s="38">
        <v>80</v>
      </c>
      <c r="T1060" s="36">
        <v>10031012</v>
      </c>
      <c r="U1060" s="26">
        <v>192</v>
      </c>
      <c r="V1060" s="37">
        <v>25375821</v>
      </c>
      <c r="W1060" s="19">
        <v>76</v>
      </c>
      <c r="X1060" s="37">
        <v>6783051</v>
      </c>
      <c r="Y1060" s="46">
        <f t="shared" si="34"/>
        <v>5029973</v>
      </c>
    </row>
    <row r="1061" spans="1:25" x14ac:dyDescent="0.25">
      <c r="A1061" s="20">
        <f>+VLOOKUP(D1061,Back!Q:R,2,0)</f>
        <v>12</v>
      </c>
      <c r="B1061" s="20" t="str">
        <f t="shared" si="33"/>
        <v>2017 DIC</v>
      </c>
      <c r="C1061" s="30">
        <v>2017</v>
      </c>
      <c r="D1061" s="30" t="s">
        <v>187</v>
      </c>
      <c r="E1061" s="30" t="s">
        <v>81</v>
      </c>
      <c r="F1061" s="30">
        <v>1017200970</v>
      </c>
      <c r="G1061" s="30" t="s">
        <v>82</v>
      </c>
      <c r="H1061" s="32">
        <v>50195576</v>
      </c>
      <c r="I1061" s="32">
        <v>412000</v>
      </c>
      <c r="J1061" s="32">
        <v>8872440</v>
      </c>
      <c r="K1061" s="33">
        <v>40911136</v>
      </c>
      <c r="L1061" s="33">
        <v>30100000</v>
      </c>
      <c r="M1061" s="34">
        <v>1.359173953488372</v>
      </c>
      <c r="N1061" s="209" t="str">
        <f>IFERROR(VLOOKUP(F1061,Back!C:F,4,0),"NO")</f>
        <v>Si</v>
      </c>
      <c r="O1061" s="26">
        <v>24</v>
      </c>
      <c r="P1061" s="28" t="str">
        <f>IFERROR(VLOOKUP(F1061,Back!C:E,3,0),"")</f>
        <v>IPS Pto De Vista San Diego</v>
      </c>
      <c r="Q1061" s="28" t="str">
        <f>IFERROR(VLOOKUP(P1061,Back!M:N,2,0),"")</f>
        <v>Antioquia</v>
      </c>
      <c r="R1061" s="27" t="str">
        <f>IF(N1061="Si",IFERROR(VLOOKUP(F1061,'TD Cumpl'!B:AB,27,0),"No Aplica"),"No Aplica")</f>
        <v>Cumple</v>
      </c>
      <c r="S1061" s="38">
        <v>84</v>
      </c>
      <c r="T1061" s="36">
        <v>10276224</v>
      </c>
      <c r="U1061" s="26">
        <v>202</v>
      </c>
      <c r="V1061" s="37">
        <v>23938070</v>
      </c>
      <c r="W1061" s="19">
        <v>89</v>
      </c>
      <c r="X1061" s="37">
        <v>8872440</v>
      </c>
      <c r="Y1061" s="46">
        <f t="shared" si="34"/>
        <v>7108842</v>
      </c>
    </row>
    <row r="1062" spans="1:25" x14ac:dyDescent="0.25">
      <c r="A1062" s="20">
        <f>+VLOOKUP(D1062,Back!Q:R,2,0)</f>
        <v>12</v>
      </c>
      <c r="B1062" s="20" t="str">
        <f t="shared" si="33"/>
        <v>2017 DIC</v>
      </c>
      <c r="C1062" s="30">
        <v>2017</v>
      </c>
      <c r="D1062" s="30" t="s">
        <v>187</v>
      </c>
      <c r="E1062" s="30" t="s">
        <v>57</v>
      </c>
      <c r="F1062" s="30">
        <v>43874518</v>
      </c>
      <c r="G1062" s="30" t="s">
        <v>60</v>
      </c>
      <c r="H1062" s="32">
        <v>67029634</v>
      </c>
      <c r="I1062" s="32">
        <v>1258400</v>
      </c>
      <c r="J1062" s="32">
        <v>12995899</v>
      </c>
      <c r="K1062" s="33">
        <v>52775335</v>
      </c>
      <c r="L1062" s="33">
        <v>43000000</v>
      </c>
      <c r="M1062" s="34">
        <v>1.2273333720930233</v>
      </c>
      <c r="N1062" s="209" t="str">
        <f>IFERROR(VLOOKUP(F1062,Back!C:F,4,0),"NO")</f>
        <v>Si</v>
      </c>
      <c r="O1062" s="26">
        <v>24</v>
      </c>
      <c r="P1062" s="28" t="str">
        <f>IFERROR(VLOOKUP(F1062,Back!C:E,3,0),"")</f>
        <v>IPS Pto De Vista Punto Clave</v>
      </c>
      <c r="Q1062" s="28" t="str">
        <f>IFERROR(VLOOKUP(P1062,Back!M:N,2,0),"")</f>
        <v>Antioquia</v>
      </c>
      <c r="R1062" s="27" t="str">
        <f>IF(N1062="Si",IFERROR(VLOOKUP(F1062,'TD Cumpl'!B:AB,27,0),"No Aplica"),"No Aplica")</f>
        <v>Fluctúa</v>
      </c>
      <c r="S1062" s="38">
        <v>123</v>
      </c>
      <c r="T1062" s="36">
        <v>11621364</v>
      </c>
      <c r="U1062" s="26">
        <v>334</v>
      </c>
      <c r="V1062" s="37">
        <v>34497692</v>
      </c>
      <c r="W1062" s="19">
        <v>134</v>
      </c>
      <c r="X1062" s="37">
        <v>12995899</v>
      </c>
      <c r="Y1062" s="46">
        <f t="shared" si="34"/>
        <v>7914679</v>
      </c>
    </row>
    <row r="1063" spans="1:25" x14ac:dyDescent="0.25">
      <c r="A1063" s="20">
        <f>+VLOOKUP(D1063,Back!Q:R,2,0)</f>
        <v>12</v>
      </c>
      <c r="B1063" s="20" t="str">
        <f t="shared" si="33"/>
        <v>2017 DIC</v>
      </c>
      <c r="C1063" s="30">
        <v>2017</v>
      </c>
      <c r="D1063" s="30" t="s">
        <v>187</v>
      </c>
      <c r="E1063" s="30" t="s">
        <v>101</v>
      </c>
      <c r="F1063" s="30">
        <v>21428423</v>
      </c>
      <c r="G1063" s="30" t="s">
        <v>154</v>
      </c>
      <c r="H1063" s="32">
        <v>59051382</v>
      </c>
      <c r="I1063" s="32">
        <v>1030400</v>
      </c>
      <c r="J1063" s="32">
        <v>12830370</v>
      </c>
      <c r="K1063" s="33">
        <v>45190612</v>
      </c>
      <c r="L1063" s="33">
        <v>39291666.666666664</v>
      </c>
      <c r="M1063" s="34">
        <v>1.1501322248144221</v>
      </c>
      <c r="N1063" s="209" t="str">
        <f>IFERROR(VLOOKUP(F1063,Back!C:F,4,0),"NO")</f>
        <v>Si</v>
      </c>
      <c r="O1063" s="26">
        <v>24</v>
      </c>
      <c r="P1063" s="28" t="str">
        <f>IFERROR(VLOOKUP(F1063,Back!C:E,3,0),"")</f>
        <v>IPS Pto De Vista Centro</v>
      </c>
      <c r="Q1063" s="28" t="str">
        <f>IFERROR(VLOOKUP(P1063,Back!M:N,2,0),"")</f>
        <v>Antioquia</v>
      </c>
      <c r="R1063" s="27" t="str">
        <f>IF(N1063="Si",IFERROR(VLOOKUP(F1063,'TD Cumpl'!B:AB,27,0),"No Aplica"),"No Aplica")</f>
        <v>Fluctúa</v>
      </c>
      <c r="S1063" s="38">
        <v>124</v>
      </c>
      <c r="T1063" s="36">
        <v>11689081</v>
      </c>
      <c r="U1063" s="26">
        <v>284</v>
      </c>
      <c r="V1063" s="37">
        <v>29109112</v>
      </c>
      <c r="W1063" s="19">
        <v>137</v>
      </c>
      <c r="X1063" s="37">
        <v>12830370</v>
      </c>
      <c r="Y1063" s="46">
        <f t="shared" si="34"/>
        <v>5422819</v>
      </c>
    </row>
    <row r="1064" spans="1:25" x14ac:dyDescent="0.25">
      <c r="A1064" s="20">
        <f>+VLOOKUP(D1064,Back!Q:R,2,0)</f>
        <v>12</v>
      </c>
      <c r="B1064" s="20" t="str">
        <f t="shared" si="33"/>
        <v>2017 DIC</v>
      </c>
      <c r="C1064" s="30">
        <v>2017</v>
      </c>
      <c r="D1064" s="30" t="s">
        <v>187</v>
      </c>
      <c r="E1064" s="30" t="s">
        <v>91</v>
      </c>
      <c r="F1064" s="30">
        <v>43114534</v>
      </c>
      <c r="G1064" s="30" t="s">
        <v>95</v>
      </c>
      <c r="H1064" s="32">
        <v>53561318</v>
      </c>
      <c r="I1064" s="32">
        <v>304000</v>
      </c>
      <c r="J1064" s="32">
        <v>11431024</v>
      </c>
      <c r="K1064" s="33">
        <v>41826294</v>
      </c>
      <c r="L1064" s="33">
        <v>30100000</v>
      </c>
      <c r="M1064" s="34">
        <v>1.3895778737541529</v>
      </c>
      <c r="N1064" s="209" t="str">
        <f>IFERROR(VLOOKUP(F1064,Back!C:F,4,0),"NO")</f>
        <v>No</v>
      </c>
      <c r="O1064" s="26">
        <v>24</v>
      </c>
      <c r="P1064" s="28" t="str">
        <f>IFERROR(VLOOKUP(F1064,Back!C:E,3,0),"")</f>
        <v>IPS Pto De Vista San Diego</v>
      </c>
      <c r="Q1064" s="28" t="str">
        <f>IFERROR(VLOOKUP(P1064,Back!M:N,2,0),"")</f>
        <v>Antioquia</v>
      </c>
      <c r="R1064" s="27" t="str">
        <f>IF(N1064="Si",IFERROR(VLOOKUP(F1064,'TD Cumpl'!B:AB,27,0),"No Aplica"),"No Aplica")</f>
        <v>No Aplica</v>
      </c>
      <c r="S1064" s="38">
        <v>94</v>
      </c>
      <c r="T1064" s="36">
        <v>10372673</v>
      </c>
      <c r="U1064" s="26">
        <v>256</v>
      </c>
      <c r="V1064" s="37">
        <v>25373884</v>
      </c>
      <c r="W1064" s="19">
        <v>122</v>
      </c>
      <c r="X1064" s="37">
        <v>11431024</v>
      </c>
      <c r="Y1064" s="46">
        <f t="shared" si="34"/>
        <v>6383737</v>
      </c>
    </row>
    <row r="1065" spans="1:25" x14ac:dyDescent="0.25">
      <c r="A1065" s="20">
        <f>+VLOOKUP(D1065,Back!Q:R,2,0)</f>
        <v>12</v>
      </c>
      <c r="B1065" s="20" t="str">
        <f t="shared" si="33"/>
        <v>2017 DIC</v>
      </c>
      <c r="C1065" s="30">
        <v>2017</v>
      </c>
      <c r="D1065" s="30" t="s">
        <v>187</v>
      </c>
      <c r="E1065" s="30" t="s">
        <v>2</v>
      </c>
      <c r="F1065" s="30">
        <v>52260671</v>
      </c>
      <c r="G1065" s="30" t="s">
        <v>26</v>
      </c>
      <c r="H1065" s="32">
        <v>29598073</v>
      </c>
      <c r="I1065" s="32">
        <v>971000</v>
      </c>
      <c r="J1065" s="32">
        <v>5417838</v>
      </c>
      <c r="K1065" s="33">
        <v>23209235</v>
      </c>
      <c r="L1065" s="33">
        <v>21083333.333333332</v>
      </c>
      <c r="M1065" s="34">
        <v>1.100833280632411</v>
      </c>
      <c r="N1065" s="209" t="str">
        <f>IFERROR(VLOOKUP(F1065,Back!C:F,4,0),"NO")</f>
        <v>Si</v>
      </c>
      <c r="O1065" s="26">
        <v>24</v>
      </c>
      <c r="P1065" s="28" t="str">
        <f>IFERROR(VLOOKUP(F1065,Back!C:E,3,0),"")</f>
        <v>IPS Pto De Vista Santa Bárbara</v>
      </c>
      <c r="Q1065" s="28" t="str">
        <f>IFERROR(VLOOKUP(P1065,Back!M:N,2,0),"")</f>
        <v>Centro</v>
      </c>
      <c r="R1065" s="27" t="str">
        <f>IF(N1065="Si",IFERROR(VLOOKUP(F1065,'TD Cumpl'!B:AB,27,0),"No Aplica"),"No Aplica")</f>
        <v>Siempre Cumple</v>
      </c>
      <c r="S1065" s="38">
        <v>41</v>
      </c>
      <c r="T1065" s="36">
        <v>4498778</v>
      </c>
      <c r="U1065" s="26">
        <v>138</v>
      </c>
      <c r="V1065" s="37">
        <v>16362691</v>
      </c>
      <c r="W1065" s="19">
        <v>73</v>
      </c>
      <c r="X1065" s="37">
        <v>5417838</v>
      </c>
      <c r="Y1065" s="46">
        <f t="shared" si="34"/>
        <v>3318766</v>
      </c>
    </row>
    <row r="1066" spans="1:25" x14ac:dyDescent="0.25">
      <c r="A1066" s="20">
        <f>+VLOOKUP(D1066,Back!Q:R,2,0)</f>
        <v>12</v>
      </c>
      <c r="B1066" s="20" t="str">
        <f t="shared" si="33"/>
        <v>2017 DIC</v>
      </c>
      <c r="C1066" s="30">
        <v>2017</v>
      </c>
      <c r="D1066" s="30" t="s">
        <v>187</v>
      </c>
      <c r="E1066" s="30" t="s">
        <v>37</v>
      </c>
      <c r="F1066" s="30">
        <v>1036779770</v>
      </c>
      <c r="G1066" s="30" t="s">
        <v>52</v>
      </c>
      <c r="H1066" s="32">
        <v>46897479</v>
      </c>
      <c r="I1066" s="32">
        <v>1376000</v>
      </c>
      <c r="J1066" s="32">
        <v>9787124</v>
      </c>
      <c r="K1066" s="33">
        <v>35734355</v>
      </c>
      <c r="L1066" s="33">
        <v>33000000</v>
      </c>
      <c r="M1066" s="34">
        <v>1.0828592424242425</v>
      </c>
      <c r="N1066" s="209" t="str">
        <f>IFERROR(VLOOKUP(F1066,Back!C:F,4,0),"NO")</f>
        <v>No</v>
      </c>
      <c r="O1066" s="26">
        <v>24</v>
      </c>
      <c r="P1066" s="28" t="str">
        <f>IFERROR(VLOOKUP(F1066,Back!C:E,3,0),"")</f>
        <v>IPS Pto De Vista Rionegro</v>
      </c>
      <c r="Q1066" s="28" t="str">
        <f>IFERROR(VLOOKUP(P1066,Back!M:N,2,0),"")</f>
        <v>Antioquia</v>
      </c>
      <c r="R1066" s="27" t="str">
        <f>IF(N1066="Si",IFERROR(VLOOKUP(F1066,'TD Cumpl'!B:AB,27,0),"No Aplica"),"No Aplica")</f>
        <v>No Aplica</v>
      </c>
      <c r="S1066" s="38">
        <v>81</v>
      </c>
      <c r="T1066" s="36">
        <v>8437165</v>
      </c>
      <c r="U1066" s="26">
        <v>199</v>
      </c>
      <c r="V1066" s="37">
        <v>22702905</v>
      </c>
      <c r="W1066" s="19">
        <v>104</v>
      </c>
      <c r="X1066" s="37">
        <v>9787124</v>
      </c>
      <c r="Y1066" s="46">
        <f t="shared" si="34"/>
        <v>5970285</v>
      </c>
    </row>
    <row r="1067" spans="1:25" x14ac:dyDescent="0.25">
      <c r="A1067" s="20">
        <f>+VLOOKUP(D1067,Back!Q:R,2,0)</f>
        <v>12</v>
      </c>
      <c r="B1067" s="20" t="str">
        <f t="shared" si="33"/>
        <v>2017 DIC</v>
      </c>
      <c r="C1067" s="30">
        <v>2017</v>
      </c>
      <c r="D1067" s="30" t="s">
        <v>187</v>
      </c>
      <c r="E1067" s="30" t="s">
        <v>64</v>
      </c>
      <c r="F1067" s="30">
        <v>1036598360</v>
      </c>
      <c r="G1067" s="30" t="s">
        <v>146</v>
      </c>
      <c r="H1067" s="32">
        <v>59170386</v>
      </c>
      <c r="I1067" s="32">
        <v>1037400</v>
      </c>
      <c r="J1067" s="32">
        <v>10787098</v>
      </c>
      <c r="K1067" s="33">
        <v>47345888</v>
      </c>
      <c r="L1067" s="33">
        <v>43000000</v>
      </c>
      <c r="M1067" s="34">
        <v>1.1010671627906976</v>
      </c>
      <c r="N1067" s="209" t="str">
        <f>IFERROR(VLOOKUP(F1067,Back!C:F,4,0),"NO")</f>
        <v>Si</v>
      </c>
      <c r="O1067" s="26">
        <v>24</v>
      </c>
      <c r="P1067" s="28" t="str">
        <f>IFERROR(VLOOKUP(F1067,Back!C:E,3,0),"")</f>
        <v>IPS Pto De Vista Punto Clave</v>
      </c>
      <c r="Q1067" s="28" t="str">
        <f>IFERROR(VLOOKUP(P1067,Back!M:N,2,0),"")</f>
        <v>Antioquia</v>
      </c>
      <c r="R1067" s="27" t="str">
        <f>IF(N1067="Si",IFERROR(VLOOKUP(F1067,'TD Cumpl'!B:AB,27,0),"No Aplica"),"No Aplica")</f>
        <v>Fluctúa</v>
      </c>
      <c r="S1067" s="38">
        <v>103</v>
      </c>
      <c r="T1067" s="36">
        <v>10810335</v>
      </c>
      <c r="U1067" s="26">
        <v>284</v>
      </c>
      <c r="V1067" s="37">
        <v>31861155</v>
      </c>
      <c r="W1067" s="19">
        <v>119</v>
      </c>
      <c r="X1067" s="37">
        <v>10787098</v>
      </c>
      <c r="Y1067" s="46">
        <f t="shared" si="34"/>
        <v>5711798</v>
      </c>
    </row>
    <row r="1068" spans="1:25" x14ac:dyDescent="0.25">
      <c r="A1068" s="20">
        <f>+VLOOKUP(D1068,Back!Q:R,2,0)</f>
        <v>12</v>
      </c>
      <c r="B1068" s="20" t="str">
        <f t="shared" si="33"/>
        <v>2017 DIC</v>
      </c>
      <c r="C1068" s="30">
        <v>2017</v>
      </c>
      <c r="D1068" s="30" t="s">
        <v>187</v>
      </c>
      <c r="E1068" s="30" t="s">
        <v>20</v>
      </c>
      <c r="F1068" s="30">
        <v>1017141451</v>
      </c>
      <c r="G1068" s="30" t="s">
        <v>44</v>
      </c>
      <c r="H1068" s="32">
        <v>69040189</v>
      </c>
      <c r="I1068" s="32">
        <v>3008000</v>
      </c>
      <c r="J1068" s="32">
        <v>12269797</v>
      </c>
      <c r="K1068" s="33">
        <v>53762392</v>
      </c>
      <c r="L1068" s="33">
        <v>43000000</v>
      </c>
      <c r="M1068" s="34">
        <v>1.2502881860465116</v>
      </c>
      <c r="N1068" s="209" t="str">
        <f>IFERROR(VLOOKUP(F1068,Back!C:F,4,0),"NO")</f>
        <v>Si</v>
      </c>
      <c r="O1068" s="26">
        <v>24</v>
      </c>
      <c r="P1068" s="28" t="str">
        <f>IFERROR(VLOOKUP(F1068,Back!C:E,3,0),"")</f>
        <v>IPS Pto De Vista Molinos</v>
      </c>
      <c r="Q1068" s="28" t="str">
        <f>IFERROR(VLOOKUP(P1068,Back!M:N,2,0),"")</f>
        <v>Antioquia</v>
      </c>
      <c r="R1068" s="27" t="str">
        <f>IF(N1068="Si",IFERROR(VLOOKUP(F1068,'TD Cumpl'!B:AB,27,0),"No Aplica"),"No Aplica")</f>
        <v>Siempre Cumple</v>
      </c>
      <c r="S1068" s="38">
        <v>110</v>
      </c>
      <c r="T1068" s="36">
        <v>13592733</v>
      </c>
      <c r="U1068" s="26">
        <v>252</v>
      </c>
      <c r="V1068" s="37">
        <v>33026486</v>
      </c>
      <c r="W1068" s="19">
        <v>134</v>
      </c>
      <c r="X1068" s="37">
        <v>12269797</v>
      </c>
      <c r="Y1068" s="46">
        <f t="shared" si="34"/>
        <v>10151173</v>
      </c>
    </row>
    <row r="1069" spans="1:25" x14ac:dyDescent="0.25">
      <c r="A1069" s="20">
        <f>+VLOOKUP(D1069,Back!Q:R,2,0)</f>
        <v>12</v>
      </c>
      <c r="B1069" s="20" t="str">
        <f t="shared" si="33"/>
        <v>2017 DIC</v>
      </c>
      <c r="C1069" s="30">
        <v>2017</v>
      </c>
      <c r="D1069" s="30" t="s">
        <v>187</v>
      </c>
      <c r="E1069" s="30" t="s">
        <v>38</v>
      </c>
      <c r="F1069" s="30">
        <v>43745192</v>
      </c>
      <c r="G1069" s="30" t="s">
        <v>45</v>
      </c>
      <c r="H1069" s="32">
        <v>33257499</v>
      </c>
      <c r="I1069" s="32">
        <v>286920</v>
      </c>
      <c r="J1069" s="32">
        <v>4685851</v>
      </c>
      <c r="K1069" s="33">
        <v>28284728</v>
      </c>
      <c r="L1069" s="33">
        <v>23958333.333333332</v>
      </c>
      <c r="M1069" s="34">
        <v>1.1805799513043478</v>
      </c>
      <c r="N1069" s="209" t="str">
        <f>IFERROR(VLOOKUP(F1069,Back!C:F,4,0),"NO")</f>
        <v>Si</v>
      </c>
      <c r="O1069" s="26">
        <v>24</v>
      </c>
      <c r="P1069" s="28" t="str">
        <f>IFERROR(VLOOKUP(F1069,Back!C:E,3,0),"")</f>
        <v>IPS Punto de Vista Mayorca</v>
      </c>
      <c r="Q1069" s="28" t="str">
        <f>IFERROR(VLOOKUP(P1069,Back!M:N,2,0),"")</f>
        <v>Antioquia</v>
      </c>
      <c r="R1069" s="27" t="str">
        <f>IF(N1069="Si",IFERROR(VLOOKUP(F1069,'TD Cumpl'!B:AB,27,0),"No Aplica"),"No Aplica")</f>
        <v>Cumple</v>
      </c>
      <c r="S1069" s="38">
        <v>46</v>
      </c>
      <c r="T1069" s="36">
        <v>6938411</v>
      </c>
      <c r="U1069" s="26">
        <v>150</v>
      </c>
      <c r="V1069" s="37">
        <v>19352839</v>
      </c>
      <c r="W1069" s="19">
        <v>53</v>
      </c>
      <c r="X1069" s="37">
        <v>4685851</v>
      </c>
      <c r="Y1069" s="46">
        <f t="shared" si="34"/>
        <v>2280398</v>
      </c>
    </row>
    <row r="1070" spans="1:25" x14ac:dyDescent="0.25">
      <c r="A1070" s="20">
        <f>+VLOOKUP(D1070,Back!Q:R,2,0)</f>
        <v>12</v>
      </c>
      <c r="B1070" s="20" t="str">
        <f t="shared" si="33"/>
        <v>2017 DIC</v>
      </c>
      <c r="C1070" s="30">
        <v>2017</v>
      </c>
      <c r="D1070" s="30" t="s">
        <v>187</v>
      </c>
      <c r="E1070" s="30" t="s">
        <v>13</v>
      </c>
      <c r="F1070" s="30">
        <v>43866877</v>
      </c>
      <c r="G1070" s="30" t="s">
        <v>46</v>
      </c>
      <c r="H1070" s="32">
        <v>60274845</v>
      </c>
      <c r="I1070" s="32">
        <v>206000</v>
      </c>
      <c r="J1070" s="32">
        <v>12630601</v>
      </c>
      <c r="K1070" s="33">
        <v>47438244</v>
      </c>
      <c r="L1070" s="33">
        <v>39291666.666666664</v>
      </c>
      <c r="M1070" s="34">
        <v>1.2073360084835632</v>
      </c>
      <c r="N1070" s="209" t="str">
        <f>IFERROR(VLOOKUP(F1070,Back!C:F,4,0),"NO")</f>
        <v>Si</v>
      </c>
      <c r="O1070" s="26">
        <v>24</v>
      </c>
      <c r="P1070" s="28" t="str">
        <f>IFERROR(VLOOKUP(F1070,Back!C:E,3,0),"")</f>
        <v>IPS Pto De Vista Centro</v>
      </c>
      <c r="Q1070" s="28" t="str">
        <f>IFERROR(VLOOKUP(P1070,Back!M:N,2,0),"")</f>
        <v>Antioquia</v>
      </c>
      <c r="R1070" s="27" t="str">
        <f>IF(N1070="Si",IFERROR(VLOOKUP(F1070,'TD Cumpl'!B:AB,27,0),"No Aplica"),"No Aplica")</f>
        <v>Siempre Cumple</v>
      </c>
      <c r="S1070" s="38">
        <v>101</v>
      </c>
      <c r="T1070" s="36">
        <v>12700857</v>
      </c>
      <c r="U1070" s="26">
        <v>224</v>
      </c>
      <c r="V1070" s="37">
        <v>28830244</v>
      </c>
      <c r="W1070" s="19">
        <v>126</v>
      </c>
      <c r="X1070" s="37">
        <v>12630601</v>
      </c>
      <c r="Y1070" s="46">
        <f t="shared" si="34"/>
        <v>6113143</v>
      </c>
    </row>
    <row r="1071" spans="1:25" x14ac:dyDescent="0.25">
      <c r="A1071" s="20">
        <f>+VLOOKUP(D1071,Back!Q:R,2,0)</f>
        <v>12</v>
      </c>
      <c r="B1071" s="20" t="str">
        <f t="shared" si="33"/>
        <v>2017 DIC</v>
      </c>
      <c r="C1071" s="30">
        <v>2017</v>
      </c>
      <c r="D1071" s="30" t="s">
        <v>187</v>
      </c>
      <c r="E1071" s="30" t="s">
        <v>17</v>
      </c>
      <c r="F1071" s="30">
        <v>43113640</v>
      </c>
      <c r="G1071" s="30" t="s">
        <v>47</v>
      </c>
      <c r="H1071" s="32">
        <v>51059040</v>
      </c>
      <c r="I1071" s="32">
        <v>852000</v>
      </c>
      <c r="J1071" s="32">
        <v>8351671</v>
      </c>
      <c r="K1071" s="33">
        <v>41855369</v>
      </c>
      <c r="L1071" s="33">
        <v>30100000</v>
      </c>
      <c r="M1071" s="34">
        <v>1.3905438205980067</v>
      </c>
      <c r="N1071" s="209" t="str">
        <f>IFERROR(VLOOKUP(F1071,Back!C:F,4,0),"NO")</f>
        <v>Si</v>
      </c>
      <c r="O1071" s="26">
        <v>24</v>
      </c>
      <c r="P1071" s="28" t="str">
        <f>IFERROR(VLOOKUP(F1071,Back!C:E,3,0),"")</f>
        <v>IPS Pto De Vista San Diego</v>
      </c>
      <c r="Q1071" s="28" t="str">
        <f>IFERROR(VLOOKUP(P1071,Back!M:N,2,0),"")</f>
        <v>Antioquia</v>
      </c>
      <c r="R1071" s="27" t="str">
        <f>IF(N1071="Si",IFERROR(VLOOKUP(F1071,'TD Cumpl'!B:AB,27,0),"No Aplica"),"No Aplica")</f>
        <v>Cumple</v>
      </c>
      <c r="S1071" s="38">
        <v>89</v>
      </c>
      <c r="T1071" s="36">
        <v>11982799</v>
      </c>
      <c r="U1071" s="26">
        <v>199</v>
      </c>
      <c r="V1071" s="37">
        <v>25164179</v>
      </c>
      <c r="W1071" s="19">
        <v>87</v>
      </c>
      <c r="X1071" s="37">
        <v>8351671</v>
      </c>
      <c r="Y1071" s="46">
        <f t="shared" si="34"/>
        <v>5560391</v>
      </c>
    </row>
    <row r="1072" spans="1:25" x14ac:dyDescent="0.25">
      <c r="A1072" s="20">
        <f>+VLOOKUP(D1072,Back!Q:R,2,0)</f>
        <v>12</v>
      </c>
      <c r="B1072" s="20" t="str">
        <f t="shared" si="33"/>
        <v>2017 DIC</v>
      </c>
      <c r="C1072" s="30">
        <v>2017</v>
      </c>
      <c r="D1072" s="30" t="s">
        <v>187</v>
      </c>
      <c r="E1072" s="30" t="s">
        <v>24</v>
      </c>
      <c r="F1072" s="30">
        <v>39448823</v>
      </c>
      <c r="G1072" s="30" t="s">
        <v>48</v>
      </c>
      <c r="H1072" s="32">
        <v>54391198</v>
      </c>
      <c r="I1072" s="32">
        <v>2566000</v>
      </c>
      <c r="J1072" s="32">
        <v>8813660</v>
      </c>
      <c r="K1072" s="33">
        <v>43011538</v>
      </c>
      <c r="L1072" s="33">
        <v>33000000</v>
      </c>
      <c r="M1072" s="34">
        <v>1.3033799393939394</v>
      </c>
      <c r="N1072" s="209" t="str">
        <f>IFERROR(VLOOKUP(F1072,Back!C:F,4,0),"NO")</f>
        <v>Si</v>
      </c>
      <c r="O1072" s="26">
        <v>24</v>
      </c>
      <c r="P1072" s="28" t="str">
        <f>IFERROR(VLOOKUP(F1072,Back!C:E,3,0),"")</f>
        <v>IPS Pto De Vista Rionegro</v>
      </c>
      <c r="Q1072" s="28" t="str">
        <f>IFERROR(VLOOKUP(P1072,Back!M:N,2,0),"")</f>
        <v>Antioquia</v>
      </c>
      <c r="R1072" s="27" t="str">
        <f>IF(N1072="Si",IFERROR(VLOOKUP(F1072,'TD Cumpl'!B:AB,27,0),"No Aplica"),"No Aplica")</f>
        <v>Siempre Cumple</v>
      </c>
      <c r="S1072" s="38">
        <v>89</v>
      </c>
      <c r="T1072" s="36">
        <v>11073719</v>
      </c>
      <c r="U1072" s="26">
        <v>222</v>
      </c>
      <c r="V1072" s="37">
        <v>29113777</v>
      </c>
      <c r="W1072" s="19">
        <v>99</v>
      </c>
      <c r="X1072" s="37">
        <v>8813660</v>
      </c>
      <c r="Y1072" s="46">
        <f t="shared" si="34"/>
        <v>5390042</v>
      </c>
    </row>
    <row r="1073" spans="1:25" x14ac:dyDescent="0.25">
      <c r="A1073" s="20">
        <f>+VLOOKUP(D1073,Back!Q:R,2,0)</f>
        <v>12</v>
      </c>
      <c r="B1073" s="20" t="str">
        <f t="shared" si="33"/>
        <v>2017 DIC</v>
      </c>
      <c r="C1073" s="30">
        <v>2017</v>
      </c>
      <c r="D1073" s="30" t="s">
        <v>187</v>
      </c>
      <c r="E1073" s="30" t="s">
        <v>23</v>
      </c>
      <c r="F1073" s="30">
        <v>43907427</v>
      </c>
      <c r="G1073" s="30" t="s">
        <v>144</v>
      </c>
      <c r="H1073" s="32">
        <v>53519837</v>
      </c>
      <c r="I1073" s="32">
        <v>669600</v>
      </c>
      <c r="J1073" s="32">
        <v>5422439</v>
      </c>
      <c r="K1073" s="33">
        <v>47427798</v>
      </c>
      <c r="L1073" s="33">
        <v>30000000</v>
      </c>
      <c r="M1073" s="34">
        <v>1.5809266</v>
      </c>
      <c r="N1073" s="209" t="str">
        <f>IFERROR(VLOOKUP(F1073,Back!C:F,4,0),"NO")</f>
        <v>Si</v>
      </c>
      <c r="O1073" s="26">
        <v>24</v>
      </c>
      <c r="P1073" s="28" t="str">
        <f>IFERROR(VLOOKUP(F1073,Back!C:E,3,0),"")</f>
        <v>IPS Pto De Vista Industriales</v>
      </c>
      <c r="Q1073" s="28" t="str">
        <f>IFERROR(VLOOKUP(P1073,Back!M:N,2,0),"")</f>
        <v>Antioquia</v>
      </c>
      <c r="R1073" s="27" t="str">
        <f>IF(N1073="Si",IFERROR(VLOOKUP(F1073,'TD Cumpl'!B:AB,27,0),"No Aplica"),"No Aplica")</f>
        <v>Siempre Cumple</v>
      </c>
      <c r="S1073" s="38">
        <v>39</v>
      </c>
      <c r="T1073" s="36">
        <v>7381483</v>
      </c>
      <c r="U1073" s="26">
        <v>134</v>
      </c>
      <c r="V1073" s="37">
        <v>35068369</v>
      </c>
      <c r="W1073" s="19">
        <v>55</v>
      </c>
      <c r="X1073" s="37">
        <v>5422439</v>
      </c>
      <c r="Y1073" s="46">
        <f t="shared" si="34"/>
        <v>5647546</v>
      </c>
    </row>
    <row r="1074" spans="1:25" x14ac:dyDescent="0.25">
      <c r="A1074" s="20">
        <f>+VLOOKUP(D1074,Back!Q:R,2,0)</f>
        <v>12</v>
      </c>
      <c r="B1074" s="20" t="str">
        <f t="shared" si="33"/>
        <v>2017 DIC</v>
      </c>
      <c r="C1074" s="30">
        <v>2017</v>
      </c>
      <c r="D1074" s="30" t="s">
        <v>187</v>
      </c>
      <c r="E1074" s="30" t="s">
        <v>181</v>
      </c>
      <c r="F1074" s="30">
        <v>32183069</v>
      </c>
      <c r="G1074" s="30" t="s">
        <v>182</v>
      </c>
      <c r="H1074" s="32">
        <v>19569050</v>
      </c>
      <c r="I1074" s="32">
        <v>0</v>
      </c>
      <c r="J1074" s="32">
        <v>6834946</v>
      </c>
      <c r="K1074" s="33">
        <v>12734104</v>
      </c>
      <c r="L1074" s="33">
        <v>21500000</v>
      </c>
      <c r="M1074" s="34">
        <v>0.59228390697674416</v>
      </c>
      <c r="N1074" s="209" t="str">
        <f>IFERROR(VLOOKUP(F1074,Back!C:F,4,0),"NO")</f>
        <v>Si</v>
      </c>
      <c r="O1074" s="26">
        <v>24</v>
      </c>
      <c r="P1074" s="28" t="str">
        <f>IFERROR(VLOOKUP(F1074,Back!C:E,3,0),"")</f>
        <v>IPS Pto De Vista Molinos</v>
      </c>
      <c r="Q1074" s="28" t="str">
        <f>IFERROR(VLOOKUP(P1074,Back!M:N,2,0),"")</f>
        <v>Antioquia</v>
      </c>
      <c r="R1074" s="27" t="str">
        <f>IF(N1074="Si",IFERROR(VLOOKUP(F1074,'TD Cumpl'!B:AB,27,0),"No Aplica"),"No Aplica")</f>
        <v>No Cumple</v>
      </c>
      <c r="S1074" s="38">
        <v>32</v>
      </c>
      <c r="T1074" s="36">
        <v>3983787</v>
      </c>
      <c r="U1074" s="26">
        <v>80</v>
      </c>
      <c r="V1074" s="37">
        <v>7534286</v>
      </c>
      <c r="W1074" s="19">
        <v>71</v>
      </c>
      <c r="X1074" s="37">
        <v>6834946</v>
      </c>
      <c r="Y1074" s="46">
        <f t="shared" si="34"/>
        <v>1216031</v>
      </c>
    </row>
    <row r="1075" spans="1:25" x14ac:dyDescent="0.25">
      <c r="A1075" s="20">
        <f>+VLOOKUP(D1075,Back!Q:R,2,0)</f>
        <v>12</v>
      </c>
      <c r="B1075" s="20" t="str">
        <f t="shared" si="33"/>
        <v>2017 DIC</v>
      </c>
      <c r="C1075" s="30">
        <v>2017</v>
      </c>
      <c r="D1075" s="30" t="s">
        <v>187</v>
      </c>
      <c r="E1075" s="30" t="s">
        <v>88</v>
      </c>
      <c r="F1075" s="30">
        <v>31445278</v>
      </c>
      <c r="G1075" s="30" t="s">
        <v>93</v>
      </c>
      <c r="H1075" s="32">
        <v>23326099</v>
      </c>
      <c r="I1075" s="32">
        <v>0</v>
      </c>
      <c r="J1075" s="32">
        <v>5055322</v>
      </c>
      <c r="K1075" s="33">
        <v>18270777</v>
      </c>
      <c r="L1075" s="33">
        <v>21250000</v>
      </c>
      <c r="M1075" s="34">
        <v>0.8598012705882353</v>
      </c>
      <c r="N1075" s="209" t="str">
        <f>IFERROR(VLOOKUP(F1075,Back!C:F,4,0),"NO")</f>
        <v>Si</v>
      </c>
      <c r="O1075" s="26">
        <v>24</v>
      </c>
      <c r="P1075" s="28" t="str">
        <f>IFERROR(VLOOKUP(F1075,Back!C:E,3,0),"")</f>
        <v>Punto de Vista Tequendama</v>
      </c>
      <c r="Q1075" s="28" t="str">
        <f>IFERROR(VLOOKUP(P1075,Back!M:N,2,0),"")</f>
        <v>Occidente</v>
      </c>
      <c r="R1075" s="27" t="str">
        <f>IF(N1075="Si",IFERROR(VLOOKUP(F1075,'TD Cumpl'!B:AB,27,0),"No Aplica"),"No Aplica")</f>
        <v>Cumple</v>
      </c>
      <c r="S1075" s="38">
        <v>41</v>
      </c>
      <c r="T1075" s="36">
        <v>3235203</v>
      </c>
      <c r="U1075" s="26">
        <v>146</v>
      </c>
      <c r="V1075" s="37">
        <v>13900518</v>
      </c>
      <c r="W1075" s="19">
        <v>65</v>
      </c>
      <c r="X1075" s="37">
        <v>5055322</v>
      </c>
      <c r="Y1075" s="46">
        <f t="shared" si="34"/>
        <v>1135056</v>
      </c>
    </row>
    <row r="1076" spans="1:25" x14ac:dyDescent="0.25">
      <c r="A1076" s="20">
        <f>+VLOOKUP(D1076,Back!Q:R,2,0)</f>
        <v>12</v>
      </c>
      <c r="B1076" s="20" t="str">
        <f t="shared" si="33"/>
        <v>2017 DIC</v>
      </c>
      <c r="C1076" s="30">
        <v>2017</v>
      </c>
      <c r="D1076" s="30" t="s">
        <v>187</v>
      </c>
      <c r="E1076" s="30" t="s">
        <v>62</v>
      </c>
      <c r="F1076" s="30">
        <v>32256379</v>
      </c>
      <c r="G1076" s="30" t="s">
        <v>61</v>
      </c>
      <c r="H1076" s="32">
        <v>11517022</v>
      </c>
      <c r="I1076" s="32">
        <v>0</v>
      </c>
      <c r="J1076" s="32">
        <v>1992875</v>
      </c>
      <c r="K1076" s="33">
        <v>9524147</v>
      </c>
      <c r="L1076" s="33">
        <v>10500000</v>
      </c>
      <c r="M1076" s="34">
        <v>0.90706161904761906</v>
      </c>
      <c r="N1076" s="209" t="str">
        <f>IFERROR(VLOOKUP(F1076,Back!C:F,4,0),"NO")</f>
        <v>Si</v>
      </c>
      <c r="O1076" s="26">
        <v>24</v>
      </c>
      <c r="P1076" s="28" t="str">
        <f>IFERROR(VLOOKUP(F1076,Back!C:E,3,0),"")</f>
        <v>Ferias Empresariales Antioquia</v>
      </c>
      <c r="Q1076" s="28" t="str">
        <f>IFERROR(VLOOKUP(P1076,Back!M:N,2,0),"")</f>
        <v>Antioquia</v>
      </c>
      <c r="R1076" s="27" t="str">
        <f>IF(N1076="Si",IFERROR(VLOOKUP(F1076,'TD Cumpl'!B:AB,27,0),"No Aplica"),"No Aplica")</f>
        <v>Fluctúa</v>
      </c>
      <c r="S1076" s="38">
        <v>0</v>
      </c>
      <c r="T1076" s="36">
        <v>0</v>
      </c>
      <c r="U1076" s="26">
        <v>0</v>
      </c>
      <c r="V1076" s="37">
        <v>0</v>
      </c>
      <c r="W1076" s="19">
        <v>31</v>
      </c>
      <c r="X1076" s="37">
        <v>1992875</v>
      </c>
      <c r="Y1076" s="46">
        <f t="shared" si="34"/>
        <v>9524147</v>
      </c>
    </row>
    <row r="1077" spans="1:25" x14ac:dyDescent="0.25">
      <c r="A1077" s="20">
        <f>+VLOOKUP(D1077,Back!Q:R,2,0)</f>
        <v>12</v>
      </c>
      <c r="B1077" s="20" t="str">
        <f t="shared" si="33"/>
        <v>2017 DIC</v>
      </c>
      <c r="C1077" s="30">
        <v>2017</v>
      </c>
      <c r="D1077" s="30" t="s">
        <v>187</v>
      </c>
      <c r="E1077" s="30" t="s">
        <v>4</v>
      </c>
      <c r="F1077" s="30">
        <v>79701425</v>
      </c>
      <c r="G1077" s="30" t="s">
        <v>27</v>
      </c>
      <c r="H1077" s="32">
        <v>32482625</v>
      </c>
      <c r="I1077" s="32">
        <v>440000</v>
      </c>
      <c r="J1077" s="32">
        <v>5081430</v>
      </c>
      <c r="K1077" s="33">
        <v>26961195</v>
      </c>
      <c r="L1077" s="33">
        <v>15000000</v>
      </c>
      <c r="M1077" s="34">
        <v>1.7974129999999999</v>
      </c>
      <c r="N1077" s="209" t="str">
        <f>IFERROR(VLOOKUP(F1077,Back!C:F,4,0),"NO")</f>
        <v>No</v>
      </c>
      <c r="O1077" s="26">
        <v>24</v>
      </c>
      <c r="P1077" s="28" t="str">
        <f>IFERROR(VLOOKUP(F1077,Back!C:E,3,0),"")</f>
        <v>IPS Pto De Vista Olaya</v>
      </c>
      <c r="Q1077" s="28" t="str">
        <f>IFERROR(VLOOKUP(P1077,Back!M:N,2,0),"")</f>
        <v>Centro</v>
      </c>
      <c r="R1077" s="27" t="str">
        <f>IF(N1077="Si",IFERROR(VLOOKUP(F1077,'TD Cumpl'!B:AB,27,0),"No Aplica"),"No Aplica")</f>
        <v>No Aplica</v>
      </c>
      <c r="S1077" s="38">
        <v>83</v>
      </c>
      <c r="T1077" s="36">
        <v>5125419</v>
      </c>
      <c r="U1077" s="26">
        <v>206</v>
      </c>
      <c r="V1077" s="37">
        <v>18553694</v>
      </c>
      <c r="W1077" s="19">
        <v>77</v>
      </c>
      <c r="X1077" s="37">
        <v>5081430</v>
      </c>
      <c r="Y1077" s="46">
        <f t="shared" si="34"/>
        <v>3722082</v>
      </c>
    </row>
    <row r="1078" spans="1:25" x14ac:dyDescent="0.25">
      <c r="A1078" s="20">
        <f>+VLOOKUP(D1078,Back!Q:R,2,0)</f>
        <v>12</v>
      </c>
      <c r="B1078" s="20" t="str">
        <f t="shared" si="33"/>
        <v>2017 DIC</v>
      </c>
      <c r="C1078" s="30">
        <v>2017</v>
      </c>
      <c r="D1078" s="30" t="s">
        <v>187</v>
      </c>
      <c r="E1078" s="30" t="s">
        <v>5</v>
      </c>
      <c r="F1078" s="30">
        <v>34542470</v>
      </c>
      <c r="G1078" s="30" t="s">
        <v>28</v>
      </c>
      <c r="H1078" s="32">
        <v>23006928</v>
      </c>
      <c r="I1078" s="32">
        <v>537480</v>
      </c>
      <c r="J1078" s="32">
        <v>2466671</v>
      </c>
      <c r="K1078" s="33">
        <v>20002777</v>
      </c>
      <c r="L1078" s="33">
        <v>7291666.666666666</v>
      </c>
      <c r="M1078" s="34">
        <v>2.7432379885714289</v>
      </c>
      <c r="N1078" s="209" t="str">
        <f>IFERROR(VLOOKUP(F1078,Back!C:F,4,0),"NO")</f>
        <v>Si</v>
      </c>
      <c r="O1078" s="26">
        <v>24</v>
      </c>
      <c r="P1078" s="28" t="str">
        <f>IFERROR(VLOOKUP(F1078,Back!C:E,3,0),"")</f>
        <v>Optica Salud Sura Chipichape</v>
      </c>
      <c r="Q1078" s="28" t="str">
        <f>IFERROR(VLOOKUP(P1078,Back!M:N,2,0),"")</f>
        <v>Occidente</v>
      </c>
      <c r="R1078" s="27" t="str">
        <f>IF(N1078="Si",IFERROR(VLOOKUP(F1078,'TD Cumpl'!B:AB,27,0),"No Aplica"),"No Aplica")</f>
        <v>Siempre Cumple</v>
      </c>
      <c r="S1078" s="38">
        <v>35</v>
      </c>
      <c r="T1078" s="36">
        <v>4592959</v>
      </c>
      <c r="U1078" s="26">
        <v>94</v>
      </c>
      <c r="V1078" s="37">
        <v>12617280</v>
      </c>
      <c r="W1078" s="19">
        <v>28</v>
      </c>
      <c r="X1078" s="37">
        <v>2466671</v>
      </c>
      <c r="Y1078" s="46">
        <f t="shared" si="34"/>
        <v>3330018</v>
      </c>
    </row>
    <row r="1079" spans="1:25" x14ac:dyDescent="0.25">
      <c r="A1079" s="20">
        <f>+VLOOKUP(D1079,Back!Q:R,2,0)</f>
        <v>12</v>
      </c>
      <c r="B1079" s="20" t="str">
        <f t="shared" si="33"/>
        <v>2017 DIC</v>
      </c>
      <c r="C1079" s="30">
        <v>2017</v>
      </c>
      <c r="D1079" s="30" t="s">
        <v>187</v>
      </c>
      <c r="E1079" s="30" t="s">
        <v>103</v>
      </c>
      <c r="F1079" s="30">
        <v>1020409789</v>
      </c>
      <c r="G1079" s="30" t="s">
        <v>145</v>
      </c>
      <c r="H1079" s="32">
        <v>78221017</v>
      </c>
      <c r="I1079" s="32">
        <v>2726000</v>
      </c>
      <c r="J1079" s="32">
        <v>16024320</v>
      </c>
      <c r="K1079" s="33">
        <v>59470697</v>
      </c>
      <c r="L1079" s="33">
        <v>43000000</v>
      </c>
      <c r="M1079" s="34">
        <v>1.3830394651162792</v>
      </c>
      <c r="N1079" s="209" t="str">
        <f>IFERROR(VLOOKUP(F1079,Back!C:F,4,0),"NO")</f>
        <v>Si</v>
      </c>
      <c r="O1079" s="26">
        <v>24</v>
      </c>
      <c r="P1079" s="28" t="str">
        <f>IFERROR(VLOOKUP(F1079,Back!C:E,3,0),"")</f>
        <v>IPS Pto De Vista Molinos</v>
      </c>
      <c r="Q1079" s="28" t="str">
        <f>IFERROR(VLOOKUP(P1079,Back!M:N,2,0),"")</f>
        <v>Antioquia</v>
      </c>
      <c r="R1079" s="27" t="str">
        <f>IF(N1079="Si",IFERROR(VLOOKUP(F1079,'TD Cumpl'!B:AB,27,0),"No Aplica"),"No Aplica")</f>
        <v>Cumple</v>
      </c>
      <c r="S1079" s="38">
        <v>137</v>
      </c>
      <c r="T1079" s="36">
        <v>16608865</v>
      </c>
      <c r="U1079" s="26">
        <v>340</v>
      </c>
      <c r="V1079" s="37">
        <v>37422920</v>
      </c>
      <c r="W1079" s="19">
        <v>178</v>
      </c>
      <c r="X1079" s="37">
        <v>16024320</v>
      </c>
      <c r="Y1079" s="46">
        <f t="shared" si="34"/>
        <v>8164912</v>
      </c>
    </row>
    <row r="1080" spans="1:25" x14ac:dyDescent="0.25">
      <c r="A1080" s="20">
        <f>+VLOOKUP(D1080,Back!Q:R,2,0)</f>
        <v>12</v>
      </c>
      <c r="B1080" s="20" t="str">
        <f t="shared" si="33"/>
        <v>2017 DIC</v>
      </c>
      <c r="C1080" s="30">
        <v>2017</v>
      </c>
      <c r="D1080" s="30" t="s">
        <v>187</v>
      </c>
      <c r="E1080" s="30" t="s">
        <v>149</v>
      </c>
      <c r="F1080" s="30">
        <v>1130597373</v>
      </c>
      <c r="G1080" s="30" t="s">
        <v>150</v>
      </c>
      <c r="H1080" s="32">
        <v>37359204</v>
      </c>
      <c r="I1080" s="32">
        <v>112800</v>
      </c>
      <c r="J1080" s="32">
        <v>4805905</v>
      </c>
      <c r="K1080" s="33">
        <v>32440499</v>
      </c>
      <c r="L1080" s="33">
        <v>26458333.333333332</v>
      </c>
      <c r="M1080" s="34">
        <v>1.2260976000000001</v>
      </c>
      <c r="N1080" s="209" t="str">
        <f>IFERROR(VLOOKUP(F1080,Back!C:F,4,0),"NO")</f>
        <v>Si</v>
      </c>
      <c r="O1080" s="26">
        <v>24</v>
      </c>
      <c r="P1080" s="28" t="str">
        <f>IFERROR(VLOOKUP(F1080,Back!C:E,3,0),"")</f>
        <v>Punto de Vista Cali Norte</v>
      </c>
      <c r="Q1080" s="28" t="str">
        <f>IFERROR(VLOOKUP(P1080,Back!M:N,2,0),"")</f>
        <v>Occidente</v>
      </c>
      <c r="R1080" s="27" t="str">
        <f>IF(N1080="Si",IFERROR(VLOOKUP(F1080,'TD Cumpl'!B:AB,27,0),"No Aplica"),"No Aplica")</f>
        <v>Fluctúa</v>
      </c>
      <c r="S1080" s="38">
        <v>64</v>
      </c>
      <c r="T1080" s="36">
        <v>8554063</v>
      </c>
      <c r="U1080" s="26">
        <v>180</v>
      </c>
      <c r="V1080" s="37">
        <v>21435532</v>
      </c>
      <c r="W1080" s="19">
        <v>56</v>
      </c>
      <c r="X1080" s="37">
        <v>4805905</v>
      </c>
      <c r="Y1080" s="46">
        <f t="shared" si="34"/>
        <v>2563704</v>
      </c>
    </row>
    <row r="1081" spans="1:25" x14ac:dyDescent="0.25">
      <c r="A1081" s="20">
        <f>+VLOOKUP(D1081,Back!Q:R,2,0)</f>
        <v>12</v>
      </c>
      <c r="B1081" s="20" t="str">
        <f t="shared" si="33"/>
        <v>2017 DIC</v>
      </c>
      <c r="C1081" s="30">
        <v>2017</v>
      </c>
      <c r="D1081" s="30" t="s">
        <v>187</v>
      </c>
      <c r="E1081" s="30" t="s">
        <v>7</v>
      </c>
      <c r="F1081" s="30">
        <v>43745952</v>
      </c>
      <c r="G1081" s="30" t="s">
        <v>50</v>
      </c>
      <c r="H1081" s="32">
        <v>83843568</v>
      </c>
      <c r="I1081" s="32">
        <v>2500000</v>
      </c>
      <c r="J1081" s="32">
        <v>16737154</v>
      </c>
      <c r="K1081" s="33">
        <v>64606414</v>
      </c>
      <c r="L1081" s="33">
        <v>43000000</v>
      </c>
      <c r="M1081" s="34">
        <v>1.5024747441860464</v>
      </c>
      <c r="N1081" s="209" t="str">
        <f>IFERROR(VLOOKUP(F1081,Back!C:F,4,0),"NO")</f>
        <v>Si</v>
      </c>
      <c r="O1081" s="26">
        <v>24</v>
      </c>
      <c r="P1081" s="28" t="str">
        <f>IFERROR(VLOOKUP(F1081,Back!C:E,3,0),"")</f>
        <v>IPS Pto De Vista Unicentro</v>
      </c>
      <c r="Q1081" s="28" t="str">
        <f>IFERROR(VLOOKUP(P1081,Back!M:N,2,0),"")</f>
        <v>Antioquia</v>
      </c>
      <c r="R1081" s="27" t="str">
        <f>IF(N1081="Si",IFERROR(VLOOKUP(F1081,'TD Cumpl'!B:AB,27,0),"No Aplica"),"No Aplica")</f>
        <v>Siempre Cumple</v>
      </c>
      <c r="S1081" s="38">
        <v>143</v>
      </c>
      <c r="T1081" s="36">
        <v>16431927</v>
      </c>
      <c r="U1081" s="26">
        <v>300</v>
      </c>
      <c r="V1081" s="37">
        <v>39665502</v>
      </c>
      <c r="W1081" s="19">
        <v>169</v>
      </c>
      <c r="X1081" s="37">
        <v>16737154</v>
      </c>
      <c r="Y1081" s="46">
        <f t="shared" si="34"/>
        <v>11008985</v>
      </c>
    </row>
    <row r="1082" spans="1:25" x14ac:dyDescent="0.25">
      <c r="A1082" s="20">
        <f>+VLOOKUP(D1082,Back!Q:R,2,0)</f>
        <v>12</v>
      </c>
      <c r="B1082" s="20" t="str">
        <f t="shared" si="33"/>
        <v>2017 DIC</v>
      </c>
      <c r="C1082" s="30">
        <v>2017</v>
      </c>
      <c r="D1082" s="30" t="s">
        <v>187</v>
      </c>
      <c r="E1082" s="30" t="s">
        <v>169</v>
      </c>
      <c r="F1082" s="30">
        <v>66857504</v>
      </c>
      <c r="G1082" s="30" t="s">
        <v>170</v>
      </c>
      <c r="H1082" s="32">
        <v>13659094</v>
      </c>
      <c r="I1082" s="32">
        <v>0</v>
      </c>
      <c r="J1082" s="32">
        <v>5367869</v>
      </c>
      <c r="K1082" s="33">
        <v>8291225</v>
      </c>
      <c r="L1082" s="33">
        <v>30000000</v>
      </c>
      <c r="M1082" s="34">
        <v>0.27637416666666664</v>
      </c>
      <c r="N1082" s="209" t="str">
        <f>IFERROR(VLOOKUP(F1082,Back!C:F,4,0),"NO")</f>
        <v>No</v>
      </c>
      <c r="O1082" s="26">
        <v>24</v>
      </c>
      <c r="P1082" s="28" t="str">
        <f>IFERROR(VLOOKUP(F1082,Back!C:E,3,0),"")</f>
        <v/>
      </c>
      <c r="Q1082" s="28" t="str">
        <f>IFERROR(VLOOKUP(P1082,Back!M:N,2,0),"")</f>
        <v/>
      </c>
      <c r="R1082" s="27" t="str">
        <f>IF(N1082="Si",IFERROR(VLOOKUP(F1082,'TD Cumpl'!B:AB,27,0),"No Aplica"),"No Aplica")</f>
        <v>No Aplica</v>
      </c>
      <c r="S1082" s="38">
        <v>22</v>
      </c>
      <c r="T1082" s="36">
        <v>1921543</v>
      </c>
      <c r="U1082" s="26">
        <v>102</v>
      </c>
      <c r="V1082" s="37">
        <v>5626937</v>
      </c>
      <c r="W1082" s="19">
        <v>62</v>
      </c>
      <c r="X1082" s="37">
        <v>5367869</v>
      </c>
      <c r="Y1082" s="46">
        <f t="shared" si="34"/>
        <v>742745</v>
      </c>
    </row>
    <row r="1083" spans="1:25" x14ac:dyDescent="0.25">
      <c r="A1083" s="20">
        <f>+VLOOKUP(D1083,Back!Q:R,2,0)</f>
        <v>12</v>
      </c>
      <c r="B1083" s="20" t="str">
        <f t="shared" si="33"/>
        <v>2017 DIC</v>
      </c>
      <c r="C1083" s="30">
        <v>2017</v>
      </c>
      <c r="D1083" s="30" t="s">
        <v>187</v>
      </c>
      <c r="E1083" s="30" t="s">
        <v>177</v>
      </c>
      <c r="F1083" s="30">
        <v>1035913369</v>
      </c>
      <c r="G1083" s="30" t="s">
        <v>183</v>
      </c>
      <c r="H1083" s="32">
        <v>30693810</v>
      </c>
      <c r="I1083" s="32">
        <v>880000</v>
      </c>
      <c r="J1083" s="32">
        <v>8603656</v>
      </c>
      <c r="K1083" s="33">
        <v>21210154</v>
      </c>
      <c r="L1083" s="33">
        <v>39291666.666666664</v>
      </c>
      <c r="M1083" s="34">
        <v>0.53981303923647939</v>
      </c>
      <c r="N1083" s="209" t="str">
        <f>IFERROR(VLOOKUP(F1083,Back!C:F,4,0),"NO")</f>
        <v>Si</v>
      </c>
      <c r="O1083" s="26">
        <v>24</v>
      </c>
      <c r="P1083" s="28" t="str">
        <f>IFERROR(VLOOKUP(F1083,Back!C:E,3,0),"")</f>
        <v>IPS Pto De Vista Centro</v>
      </c>
      <c r="Q1083" s="28" t="str">
        <f>IFERROR(VLOOKUP(P1083,Back!M:N,2,0),"")</f>
        <v>Antioquia</v>
      </c>
      <c r="R1083" s="27" t="str">
        <f>IF(N1083="Si",IFERROR(VLOOKUP(F1083,'TD Cumpl'!B:AB,27,0),"No Aplica"),"No Aplica")</f>
        <v>Fluctúa</v>
      </c>
      <c r="S1083" s="38">
        <v>41</v>
      </c>
      <c r="T1083" s="36">
        <v>3979405</v>
      </c>
      <c r="U1083" s="26">
        <v>138</v>
      </c>
      <c r="V1083" s="37">
        <v>14919694</v>
      </c>
      <c r="W1083" s="19">
        <v>96</v>
      </c>
      <c r="X1083" s="37">
        <v>8603656</v>
      </c>
      <c r="Y1083" s="46">
        <f t="shared" si="34"/>
        <v>3191055</v>
      </c>
    </row>
    <row r="1084" spans="1:25" x14ac:dyDescent="0.25">
      <c r="A1084" s="20">
        <f>+VLOOKUP(D1084,Back!Q:R,2,0)</f>
        <v>12</v>
      </c>
      <c r="B1084" s="20" t="str">
        <f t="shared" si="33"/>
        <v>2017 DIC</v>
      </c>
      <c r="C1084" s="30">
        <v>2017</v>
      </c>
      <c r="D1084" s="30" t="s">
        <v>187</v>
      </c>
      <c r="E1084" s="30" t="s">
        <v>90</v>
      </c>
      <c r="F1084" s="30">
        <v>1020419011</v>
      </c>
      <c r="G1084" s="30" t="s">
        <v>97</v>
      </c>
      <c r="H1084" s="32">
        <v>60936109</v>
      </c>
      <c r="I1084" s="32">
        <v>524000</v>
      </c>
      <c r="J1084" s="32">
        <v>12161620</v>
      </c>
      <c r="K1084" s="33">
        <v>48250489</v>
      </c>
      <c r="L1084" s="33">
        <v>43000000</v>
      </c>
      <c r="M1084" s="34">
        <v>1.1221043953488372</v>
      </c>
      <c r="N1084" s="209" t="str">
        <f>IFERROR(VLOOKUP(F1084,Back!C:F,4,0),"NO")</f>
        <v>Si</v>
      </c>
      <c r="O1084" s="26">
        <v>24</v>
      </c>
      <c r="P1084" s="28" t="str">
        <f>IFERROR(VLOOKUP(F1084,Back!C:E,3,0),"")</f>
        <v>IPS Pto De Vista Punto Clave</v>
      </c>
      <c r="Q1084" s="28" t="str">
        <f>IFERROR(VLOOKUP(P1084,Back!M:N,2,0),"")</f>
        <v>Antioquia</v>
      </c>
      <c r="R1084" s="27" t="str">
        <f>IF(N1084="Si",IFERROR(VLOOKUP(F1084,'TD Cumpl'!B:AB,27,0),"No Aplica"),"No Aplica")</f>
        <v>Cumple</v>
      </c>
      <c r="S1084" s="38">
        <v>125</v>
      </c>
      <c r="T1084" s="36">
        <v>11479432</v>
      </c>
      <c r="U1084" s="26">
        <v>278</v>
      </c>
      <c r="V1084" s="37">
        <v>30236614</v>
      </c>
      <c r="W1084" s="19">
        <v>130</v>
      </c>
      <c r="X1084" s="37">
        <v>12161620</v>
      </c>
      <c r="Y1084" s="46">
        <f t="shared" si="34"/>
        <v>7058443</v>
      </c>
    </row>
    <row r="1085" spans="1:25" x14ac:dyDescent="0.25">
      <c r="A1085" s="20">
        <f>+VLOOKUP(D1085,Back!Q:R,2,0)</f>
        <v>12</v>
      </c>
      <c r="B1085" s="20" t="str">
        <f t="shared" si="33"/>
        <v>2017 DIC</v>
      </c>
      <c r="C1085" s="30">
        <v>2017</v>
      </c>
      <c r="D1085" s="30" t="s">
        <v>187</v>
      </c>
      <c r="E1085" s="30" t="s">
        <v>121</v>
      </c>
      <c r="F1085" s="30">
        <v>21982241</v>
      </c>
      <c r="G1085" s="30" t="s">
        <v>143</v>
      </c>
      <c r="H1085" s="32">
        <v>42401714</v>
      </c>
      <c r="I1085" s="32">
        <v>412000</v>
      </c>
      <c r="J1085" s="32">
        <v>8892342</v>
      </c>
      <c r="K1085" s="33">
        <v>33097372</v>
      </c>
      <c r="L1085" s="33">
        <v>29000000</v>
      </c>
      <c r="M1085" s="34">
        <v>1.1412886896551724</v>
      </c>
      <c r="N1085" s="209" t="str">
        <f>IFERROR(VLOOKUP(F1085,Back!C:F,4,0),"NO")</f>
        <v>Si</v>
      </c>
      <c r="O1085" s="26">
        <v>24</v>
      </c>
      <c r="P1085" s="28" t="str">
        <f>IFERROR(VLOOKUP(F1085,Back!C:E,3,0),"")</f>
        <v>IPS Punto de Vista Bello</v>
      </c>
      <c r="Q1085" s="28" t="str">
        <f>IFERROR(VLOOKUP(P1085,Back!M:N,2,0),"")</f>
        <v>Antioquia</v>
      </c>
      <c r="R1085" s="27" t="str">
        <f>IF(N1085="Si",IFERROR(VLOOKUP(F1085,'TD Cumpl'!B:AB,27,0),"No Aplica"),"No Aplica")</f>
        <v>Fluctúa</v>
      </c>
      <c r="S1085" s="38">
        <v>82</v>
      </c>
      <c r="T1085" s="36">
        <v>8132528</v>
      </c>
      <c r="U1085" s="26">
        <v>211</v>
      </c>
      <c r="V1085" s="37">
        <v>20384196</v>
      </c>
      <c r="W1085" s="19">
        <v>102</v>
      </c>
      <c r="X1085" s="37">
        <v>8892342</v>
      </c>
      <c r="Y1085" s="46">
        <f t="shared" si="34"/>
        <v>4992648</v>
      </c>
    </row>
    <row r="1086" spans="1:25" x14ac:dyDescent="0.25">
      <c r="A1086" s="20">
        <f>+VLOOKUP(D1086,Back!Q:R,2,0)</f>
        <v>12</v>
      </c>
      <c r="B1086" s="20" t="str">
        <f t="shared" si="33"/>
        <v>2017 DIC</v>
      </c>
      <c r="C1086" s="30">
        <v>2017</v>
      </c>
      <c r="D1086" s="30" t="s">
        <v>187</v>
      </c>
      <c r="E1086" s="30" t="s">
        <v>117</v>
      </c>
      <c r="F1086" s="30">
        <v>1020419615</v>
      </c>
      <c r="G1086" s="30" t="s">
        <v>118</v>
      </c>
      <c r="H1086" s="32">
        <v>66548425</v>
      </c>
      <c r="I1086" s="32">
        <v>0</v>
      </c>
      <c r="J1086" s="32">
        <v>13932577</v>
      </c>
      <c r="K1086" s="33">
        <v>52615848</v>
      </c>
      <c r="L1086" s="33">
        <v>43000000</v>
      </c>
      <c r="M1086" s="34">
        <v>1.2236243720930233</v>
      </c>
      <c r="N1086" s="209" t="str">
        <f>IFERROR(VLOOKUP(F1086,Back!C:F,4,0),"NO")</f>
        <v>Si</v>
      </c>
      <c r="O1086" s="26">
        <v>24</v>
      </c>
      <c r="P1086" s="28" t="str">
        <f>IFERROR(VLOOKUP(F1086,Back!C:E,3,0),"")</f>
        <v>IPS Pto De Vista Punto Clave</v>
      </c>
      <c r="Q1086" s="28" t="str">
        <f>IFERROR(VLOOKUP(P1086,Back!M:N,2,0),"")</f>
        <v>Antioquia</v>
      </c>
      <c r="R1086" s="27" t="str">
        <f>IF(N1086="Si",IFERROR(VLOOKUP(F1086,'TD Cumpl'!B:AB,27,0),"No Aplica"),"No Aplica")</f>
        <v>Cumple</v>
      </c>
      <c r="S1086" s="38">
        <v>123</v>
      </c>
      <c r="T1086" s="36">
        <v>12399083</v>
      </c>
      <c r="U1086" s="26">
        <v>293</v>
      </c>
      <c r="V1086" s="37">
        <v>33312372</v>
      </c>
      <c r="W1086" s="19">
        <v>149</v>
      </c>
      <c r="X1086" s="37">
        <v>13932577</v>
      </c>
      <c r="Y1086" s="46">
        <f t="shared" si="34"/>
        <v>6904393</v>
      </c>
    </row>
    <row r="1087" spans="1:25" x14ac:dyDescent="0.25">
      <c r="A1087" s="20">
        <f>+VLOOKUP(D1087,Back!Q:R,2,0)</f>
        <v>12</v>
      </c>
      <c r="B1087" s="20" t="str">
        <f t="shared" ref="B1087:B1150" si="35">MID(UPPER(C1087&amp;" "&amp;D1087),1,8)</f>
        <v>2017 DIC</v>
      </c>
      <c r="C1087" s="30">
        <v>2017</v>
      </c>
      <c r="D1087" s="30" t="s">
        <v>187</v>
      </c>
      <c r="E1087" s="30" t="s">
        <v>8</v>
      </c>
      <c r="F1087" s="30">
        <v>43259130</v>
      </c>
      <c r="G1087" s="30" t="s">
        <v>51</v>
      </c>
      <c r="H1087" s="32">
        <v>52696012</v>
      </c>
      <c r="I1087" s="32">
        <v>1632000</v>
      </c>
      <c r="J1087" s="32">
        <v>8895980</v>
      </c>
      <c r="K1087" s="33">
        <v>42168032</v>
      </c>
      <c r="L1087" s="33">
        <v>34041666.666666672</v>
      </c>
      <c r="M1087" s="34">
        <v>1.2387181982864135</v>
      </c>
      <c r="N1087" s="209" t="str">
        <f>IFERROR(VLOOKUP(F1087,Back!C:F,4,0),"NO")</f>
        <v>Si</v>
      </c>
      <c r="O1087" s="26">
        <v>24</v>
      </c>
      <c r="P1087" s="28" t="str">
        <f>IFERROR(VLOOKUP(F1087,Back!C:E,3,0),"")</f>
        <v>IPS Pto De Vista Molinos</v>
      </c>
      <c r="Q1087" s="28" t="str">
        <f>IFERROR(VLOOKUP(P1087,Back!M:N,2,0),"")</f>
        <v>Antioquia</v>
      </c>
      <c r="R1087" s="27" t="str">
        <f>IF(N1087="Si",IFERROR(VLOOKUP(F1087,'TD Cumpl'!B:AB,27,0),"No Aplica"),"No Aplica")</f>
        <v>Fluctúa</v>
      </c>
      <c r="S1087" s="38">
        <v>99</v>
      </c>
      <c r="T1087" s="36">
        <v>11395264</v>
      </c>
      <c r="U1087" s="26">
        <v>254</v>
      </c>
      <c r="V1087" s="37">
        <v>27638192</v>
      </c>
      <c r="W1087" s="19">
        <v>103</v>
      </c>
      <c r="X1087" s="37">
        <v>8895980</v>
      </c>
      <c r="Y1087" s="46">
        <f t="shared" si="34"/>
        <v>4766576</v>
      </c>
    </row>
    <row r="1088" spans="1:25" x14ac:dyDescent="0.25">
      <c r="A1088" s="20">
        <f>+VLOOKUP(D1088,Back!Q:R,2,0)</f>
        <v>12</v>
      </c>
      <c r="B1088" s="20" t="str">
        <f t="shared" si="35"/>
        <v>2017 DIC</v>
      </c>
      <c r="C1088" s="30">
        <v>2017</v>
      </c>
      <c r="D1088" s="30" t="s">
        <v>187</v>
      </c>
      <c r="E1088" s="30" t="s">
        <v>184</v>
      </c>
      <c r="F1088" s="30"/>
      <c r="G1088" s="30"/>
      <c r="H1088" s="32">
        <v>407117</v>
      </c>
      <c r="I1088" s="32">
        <v>0</v>
      </c>
      <c r="J1088" s="32">
        <v>69764</v>
      </c>
      <c r="K1088" s="33">
        <v>337353</v>
      </c>
      <c r="L1088" s="33"/>
      <c r="M1088" s="34"/>
      <c r="N1088" s="209" t="str">
        <f>IFERROR(VLOOKUP(F1088,Back!C:F,4,0),"NO")</f>
        <v>NO</v>
      </c>
      <c r="O1088" s="26">
        <v>24</v>
      </c>
      <c r="P1088" s="28" t="str">
        <f>IFERROR(VLOOKUP(F1088,Back!C:E,3,0),"")</f>
        <v/>
      </c>
      <c r="Q1088" s="28" t="str">
        <f>IFERROR(VLOOKUP(P1088,Back!M:N,2,0),"")</f>
        <v/>
      </c>
      <c r="R1088" s="27" t="str">
        <f>IF(N1088="Si",IFERROR(VLOOKUP(F1088,'TD Cumpl'!B:AB,27,0),"No Aplica"),"No Aplica")</f>
        <v>No Aplica</v>
      </c>
      <c r="S1088" s="38">
        <v>2</v>
      </c>
      <c r="T1088" s="36">
        <v>120638</v>
      </c>
      <c r="U1088" s="26">
        <v>2</v>
      </c>
      <c r="V1088" s="37">
        <v>216715</v>
      </c>
      <c r="W1088" s="19">
        <v>1</v>
      </c>
      <c r="X1088" s="37">
        <v>69764</v>
      </c>
      <c r="Y1088" s="46">
        <f t="shared" si="34"/>
        <v>0</v>
      </c>
    </row>
    <row r="1089" spans="1:26" x14ac:dyDescent="0.25">
      <c r="A1089" s="20">
        <f>+VLOOKUP(D1089,Back!Q:R,2,0)</f>
        <v>12</v>
      </c>
      <c r="B1089" s="20" t="str">
        <f t="shared" si="35"/>
        <v>2017 DIC</v>
      </c>
      <c r="C1089" s="30">
        <v>2017</v>
      </c>
      <c r="D1089" s="30" t="s">
        <v>187</v>
      </c>
      <c r="E1089" s="30" t="s">
        <v>83</v>
      </c>
      <c r="F1089" s="30"/>
      <c r="G1089" s="30"/>
      <c r="H1089" s="32">
        <v>4247115</v>
      </c>
      <c r="I1089" s="32">
        <v>0</v>
      </c>
      <c r="J1089" s="32">
        <v>668750</v>
      </c>
      <c r="K1089" s="33">
        <v>3578365</v>
      </c>
      <c r="L1089" s="33"/>
      <c r="M1089" s="34"/>
      <c r="N1089" s="209" t="str">
        <f>IFERROR(VLOOKUP(F1089,Back!C:F,4,0),"NO")</f>
        <v>NO</v>
      </c>
      <c r="O1089" s="26">
        <v>24</v>
      </c>
      <c r="P1089" s="28" t="str">
        <f>IFERROR(VLOOKUP(F1089,Back!C:E,3,0),"")</f>
        <v/>
      </c>
      <c r="Q1089" s="28" t="str">
        <f>IFERROR(VLOOKUP(P1089,Back!M:N,2,0),"")</f>
        <v/>
      </c>
      <c r="R1089" s="27" t="str">
        <f>IF(N1089="Si",IFERROR(VLOOKUP(F1089,'TD Cumpl'!B:AB,27,0),"No Aplica"),"No Aplica")</f>
        <v>No Aplica</v>
      </c>
      <c r="S1089" s="38">
        <v>7</v>
      </c>
      <c r="T1089" s="36">
        <v>798035</v>
      </c>
      <c r="U1089" s="26">
        <v>22</v>
      </c>
      <c r="V1089" s="37">
        <v>2247330</v>
      </c>
      <c r="W1089" s="19">
        <v>7</v>
      </c>
      <c r="X1089" s="37">
        <v>668750</v>
      </c>
      <c r="Y1089" s="46">
        <f t="shared" ref="Y1089:Y1152" si="36">+H1089-X1089-V1089-T1089</f>
        <v>533000</v>
      </c>
    </row>
    <row r="1090" spans="1:26" x14ac:dyDescent="0.25">
      <c r="A1090" s="20">
        <f>+VLOOKUP(D1090,Back!Q:R,2,0)</f>
        <v>12</v>
      </c>
      <c r="B1090" s="20" t="str">
        <f t="shared" si="35"/>
        <v>2017 DIC</v>
      </c>
      <c r="C1090" s="30">
        <v>2017</v>
      </c>
      <c r="D1090" s="30" t="s">
        <v>187</v>
      </c>
      <c r="E1090" s="30" t="s">
        <v>59</v>
      </c>
      <c r="F1090" s="30"/>
      <c r="G1090" s="30"/>
      <c r="H1090" s="32">
        <v>985602</v>
      </c>
      <c r="I1090" s="32">
        <v>0</v>
      </c>
      <c r="J1090" s="32">
        <v>0</v>
      </c>
      <c r="K1090" s="33">
        <v>985602</v>
      </c>
      <c r="L1090" s="33"/>
      <c r="M1090" s="34"/>
      <c r="N1090" s="209" t="str">
        <f>IFERROR(VLOOKUP(F1090,Back!C:F,4,0),"NO")</f>
        <v>NO</v>
      </c>
      <c r="O1090" s="26">
        <v>24</v>
      </c>
      <c r="P1090" s="28" t="str">
        <f>IFERROR(VLOOKUP(F1090,Back!C:E,3,0),"")</f>
        <v/>
      </c>
      <c r="Q1090" s="28" t="str">
        <f>IFERROR(VLOOKUP(P1090,Back!M:N,2,0),"")</f>
        <v/>
      </c>
      <c r="R1090" s="27" t="str">
        <f>IF(N1090="Si",IFERROR(VLOOKUP(F1090,'TD Cumpl'!B:AB,27,0),"No Aplica"),"No Aplica")</f>
        <v>No Aplica</v>
      </c>
      <c r="S1090" s="38">
        <v>2</v>
      </c>
      <c r="T1090" s="36">
        <v>154001</v>
      </c>
      <c r="U1090" s="26">
        <v>4</v>
      </c>
      <c r="V1090" s="37">
        <v>391600</v>
      </c>
      <c r="W1090" s="19">
        <v>0</v>
      </c>
      <c r="X1090" s="37">
        <v>0</v>
      </c>
      <c r="Y1090" s="46">
        <f t="shared" si="36"/>
        <v>440001</v>
      </c>
    </row>
    <row r="1091" spans="1:26" x14ac:dyDescent="0.25">
      <c r="A1091" s="20">
        <f>+VLOOKUP(D1091,Back!Q:R,2,0)</f>
        <v>12</v>
      </c>
      <c r="B1091" s="20" t="str">
        <f t="shared" si="35"/>
        <v>2017 DIC</v>
      </c>
      <c r="C1091" s="30">
        <v>2017</v>
      </c>
      <c r="D1091" s="30" t="s">
        <v>187</v>
      </c>
      <c r="E1091" s="30" t="s">
        <v>159</v>
      </c>
      <c r="F1091" s="30"/>
      <c r="G1091" s="30"/>
      <c r="H1091" s="32">
        <v>281200</v>
      </c>
      <c r="I1091" s="32">
        <v>0</v>
      </c>
      <c r="J1091" s="32">
        <v>0</v>
      </c>
      <c r="K1091" s="33">
        <v>281200</v>
      </c>
      <c r="L1091" s="33"/>
      <c r="M1091" s="34"/>
      <c r="N1091" s="209" t="str">
        <f>IFERROR(VLOOKUP(F1091,Back!C:F,4,0),"NO")</f>
        <v>NO</v>
      </c>
      <c r="O1091" s="26">
        <v>24</v>
      </c>
      <c r="P1091" s="28" t="str">
        <f>IFERROR(VLOOKUP(F1091,Back!C:E,3,0),"")</f>
        <v/>
      </c>
      <c r="Q1091" s="28" t="str">
        <f>IFERROR(VLOOKUP(P1091,Back!M:N,2,0),"")</f>
        <v/>
      </c>
      <c r="R1091" s="27" t="str">
        <f>IF(N1091="Si",IFERROR(VLOOKUP(F1091,'TD Cumpl'!B:AB,27,0),"No Aplica"),"No Aplica")</f>
        <v>No Aplica</v>
      </c>
      <c r="S1091" s="38">
        <v>0</v>
      </c>
      <c r="T1091" s="36">
        <v>0</v>
      </c>
      <c r="U1091" s="26">
        <v>0</v>
      </c>
      <c r="V1091" s="37">
        <v>0</v>
      </c>
      <c r="W1091" s="19">
        <v>0</v>
      </c>
      <c r="X1091" s="37">
        <v>0</v>
      </c>
      <c r="Y1091" s="46">
        <f t="shared" si="36"/>
        <v>281200</v>
      </c>
    </row>
    <row r="1092" spans="1:26" x14ac:dyDescent="0.25">
      <c r="A1092" s="20">
        <f>+VLOOKUP(D1092,Back!Q:R,2,0)</f>
        <v>12</v>
      </c>
      <c r="B1092" s="20" t="str">
        <f t="shared" si="35"/>
        <v>2017 DIC</v>
      </c>
      <c r="C1092" s="30">
        <v>2017</v>
      </c>
      <c r="D1092" s="30" t="s">
        <v>187</v>
      </c>
      <c r="E1092" s="30" t="s">
        <v>119</v>
      </c>
      <c r="F1092" s="30"/>
      <c r="G1092" s="30"/>
      <c r="H1092" s="32">
        <v>3754448</v>
      </c>
      <c r="I1092" s="32">
        <v>0</v>
      </c>
      <c r="J1092" s="32">
        <v>2746690</v>
      </c>
      <c r="K1092" s="33">
        <v>1007758</v>
      </c>
      <c r="L1092" s="33"/>
      <c r="M1092" s="34"/>
      <c r="N1092" s="209" t="str">
        <f>IFERROR(VLOOKUP(F1092,Back!C:F,4,0),"NO")</f>
        <v>NO</v>
      </c>
      <c r="O1092" s="26">
        <v>24</v>
      </c>
      <c r="P1092" s="28" t="str">
        <f>IFERROR(VLOOKUP(F1092,Back!C:E,3,0),"")</f>
        <v/>
      </c>
      <c r="Q1092" s="28" t="str">
        <f>IFERROR(VLOOKUP(P1092,Back!M:N,2,0),"")</f>
        <v/>
      </c>
      <c r="R1092" s="27" t="str">
        <f>IF(N1092="Si",IFERROR(VLOOKUP(F1092,'TD Cumpl'!B:AB,27,0),"No Aplica"),"No Aplica")</f>
        <v>No Aplica</v>
      </c>
      <c r="S1092" s="38">
        <v>2</v>
      </c>
      <c r="T1092" s="36">
        <v>94572</v>
      </c>
      <c r="U1092" s="26">
        <v>4</v>
      </c>
      <c r="V1092" s="37">
        <v>156160</v>
      </c>
      <c r="W1092" s="19">
        <v>35</v>
      </c>
      <c r="X1092" s="37">
        <v>2746690</v>
      </c>
      <c r="Y1092" s="46">
        <f t="shared" si="36"/>
        <v>757026</v>
      </c>
    </row>
    <row r="1093" spans="1:26" x14ac:dyDescent="0.25">
      <c r="A1093" s="20">
        <f>+VLOOKUP(D1093,Back!Q:R,2,0)</f>
        <v>12</v>
      </c>
      <c r="B1093" s="20" t="str">
        <f t="shared" si="35"/>
        <v>2017 DIC</v>
      </c>
      <c r="C1093" s="30">
        <v>2017</v>
      </c>
      <c r="D1093" s="30" t="s">
        <v>187</v>
      </c>
      <c r="E1093" s="30" t="s">
        <v>111</v>
      </c>
      <c r="F1093" s="30"/>
      <c r="G1093" s="30"/>
      <c r="H1093" s="32">
        <v>94800</v>
      </c>
      <c r="I1093" s="32">
        <v>0</v>
      </c>
      <c r="J1093" s="32">
        <v>0</v>
      </c>
      <c r="K1093" s="33">
        <v>94800</v>
      </c>
      <c r="L1093" s="33"/>
      <c r="M1093" s="34"/>
      <c r="N1093" s="209" t="str">
        <f>IFERROR(VLOOKUP(F1093,Back!C:F,4,0),"NO")</f>
        <v>NO</v>
      </c>
      <c r="O1093" s="26">
        <v>24</v>
      </c>
      <c r="P1093" s="28" t="str">
        <f>IFERROR(VLOOKUP(F1093,Back!C:E,3,0),"")</f>
        <v/>
      </c>
      <c r="Q1093" s="28" t="str">
        <f>IFERROR(VLOOKUP(P1093,Back!M:N,2,0),"")</f>
        <v/>
      </c>
      <c r="R1093" s="27" t="str">
        <f>IF(N1093="Si",IFERROR(VLOOKUP(F1093,'TD Cumpl'!B:AB,27,0),"No Aplica"),"No Aplica")</f>
        <v>No Aplica</v>
      </c>
      <c r="S1093" s="38">
        <v>0</v>
      </c>
      <c r="T1093" s="36">
        <v>0</v>
      </c>
      <c r="U1093" s="26">
        <v>0</v>
      </c>
      <c r="V1093" s="37">
        <v>0</v>
      </c>
      <c r="W1093" s="19">
        <v>0</v>
      </c>
      <c r="X1093" s="37">
        <v>0</v>
      </c>
      <c r="Y1093" s="46">
        <f t="shared" si="36"/>
        <v>94800</v>
      </c>
    </row>
    <row r="1094" spans="1:26" x14ac:dyDescent="0.25">
      <c r="A1094" s="20">
        <f>+VLOOKUP(D1094,Back!Q:R,2,0)</f>
        <v>12</v>
      </c>
      <c r="B1094" s="20" t="str">
        <f t="shared" si="35"/>
        <v>2017 DIC</v>
      </c>
      <c r="C1094" s="30">
        <v>2017</v>
      </c>
      <c r="D1094" s="30" t="s">
        <v>187</v>
      </c>
      <c r="E1094" s="30" t="s">
        <v>185</v>
      </c>
      <c r="F1094" s="30"/>
      <c r="G1094" s="30"/>
      <c r="H1094" s="32">
        <v>43870</v>
      </c>
      <c r="I1094" s="32">
        <v>0</v>
      </c>
      <c r="J1094" s="32">
        <v>43870</v>
      </c>
      <c r="K1094" s="33">
        <v>0</v>
      </c>
      <c r="L1094" s="33"/>
      <c r="M1094" s="34"/>
      <c r="N1094" s="209" t="str">
        <f>IFERROR(VLOOKUP(F1094,Back!C:F,4,0),"NO")</f>
        <v>NO</v>
      </c>
      <c r="O1094" s="26">
        <v>24</v>
      </c>
      <c r="P1094" s="28" t="str">
        <f>IFERROR(VLOOKUP(F1094,Back!C:E,3,0),"")</f>
        <v/>
      </c>
      <c r="Q1094" s="28" t="str">
        <f>IFERROR(VLOOKUP(P1094,Back!M:N,2,0),"")</f>
        <v/>
      </c>
      <c r="R1094" s="27" t="str">
        <f>IF(N1094="Si",IFERROR(VLOOKUP(F1094,'TD Cumpl'!B:AB,27,0),"No Aplica"),"No Aplica")</f>
        <v>No Aplica</v>
      </c>
      <c r="S1094" s="38">
        <v>0</v>
      </c>
      <c r="T1094" s="36">
        <v>0</v>
      </c>
      <c r="U1094" s="26">
        <v>0</v>
      </c>
      <c r="V1094" s="37">
        <v>0</v>
      </c>
      <c r="W1094" s="19">
        <v>1</v>
      </c>
      <c r="X1094" s="37">
        <v>43870</v>
      </c>
      <c r="Y1094" s="46">
        <f t="shared" si="36"/>
        <v>0</v>
      </c>
    </row>
    <row r="1095" spans="1:26" x14ac:dyDescent="0.25">
      <c r="A1095" s="20">
        <f>+VLOOKUP(D1095,Back!Q:R,2,0)</f>
        <v>12</v>
      </c>
      <c r="B1095" s="20" t="str">
        <f t="shared" si="35"/>
        <v>2017 DIC</v>
      </c>
      <c r="C1095" s="30">
        <v>2017</v>
      </c>
      <c r="D1095" s="30" t="s">
        <v>187</v>
      </c>
      <c r="E1095" s="30" t="s">
        <v>19</v>
      </c>
      <c r="F1095" s="30"/>
      <c r="G1095" s="30"/>
      <c r="H1095" s="32">
        <v>43870</v>
      </c>
      <c r="I1095" s="32">
        <v>0</v>
      </c>
      <c r="J1095" s="32">
        <v>43870</v>
      </c>
      <c r="K1095" s="33">
        <v>0</v>
      </c>
      <c r="L1095" s="33"/>
      <c r="M1095" s="34"/>
      <c r="N1095" s="209" t="str">
        <f>IFERROR(VLOOKUP(F1095,Back!C:F,4,0),"NO")</f>
        <v>NO</v>
      </c>
      <c r="O1095" s="26">
        <v>24</v>
      </c>
      <c r="P1095" s="28" t="str">
        <f>IFERROR(VLOOKUP(F1095,Back!C:E,3,0),"")</f>
        <v/>
      </c>
      <c r="Q1095" s="28" t="str">
        <f>IFERROR(VLOOKUP(P1095,Back!M:N,2,0),"")</f>
        <v/>
      </c>
      <c r="R1095" s="27" t="str">
        <f>IF(N1095="Si",IFERROR(VLOOKUP(F1095,'TD Cumpl'!B:AB,27,0),"No Aplica"),"No Aplica")</f>
        <v>No Aplica</v>
      </c>
      <c r="S1095" s="38">
        <v>0</v>
      </c>
      <c r="T1095" s="36">
        <v>0</v>
      </c>
      <c r="U1095" s="26">
        <v>0</v>
      </c>
      <c r="V1095" s="37">
        <v>0</v>
      </c>
      <c r="W1095" s="19">
        <v>1</v>
      </c>
      <c r="X1095" s="37">
        <v>43870</v>
      </c>
      <c r="Y1095" s="46">
        <f t="shared" si="36"/>
        <v>0</v>
      </c>
    </row>
    <row r="1096" spans="1:26" x14ac:dyDescent="0.25">
      <c r="A1096" s="20">
        <f>+VLOOKUP(D1096,Back!Q:R,2,0)</f>
        <v>12</v>
      </c>
      <c r="B1096" s="20" t="str">
        <f t="shared" si="35"/>
        <v>2017 DIC</v>
      </c>
      <c r="C1096" s="30">
        <v>2017</v>
      </c>
      <c r="D1096" s="30" t="s">
        <v>187</v>
      </c>
      <c r="E1096" s="30" t="s">
        <v>15</v>
      </c>
      <c r="F1096" s="30"/>
      <c r="G1096" s="30"/>
      <c r="H1096" s="32">
        <v>420000</v>
      </c>
      <c r="I1096" s="32">
        <v>0</v>
      </c>
      <c r="J1096" s="32">
        <v>0</v>
      </c>
      <c r="K1096" s="33">
        <v>420000</v>
      </c>
      <c r="L1096" s="33"/>
      <c r="M1096" s="34"/>
      <c r="N1096" s="209" t="str">
        <f>IFERROR(VLOOKUP(F1096,Back!C:F,4,0),"NO")</f>
        <v>NO</v>
      </c>
      <c r="O1096" s="26">
        <v>24</v>
      </c>
      <c r="P1096" s="28" t="str">
        <f>IFERROR(VLOOKUP(F1096,Back!C:E,3,0),"")</f>
        <v/>
      </c>
      <c r="Q1096" s="28" t="str">
        <f>IFERROR(VLOOKUP(P1096,Back!M:N,2,0),"")</f>
        <v/>
      </c>
      <c r="R1096" s="27" t="str">
        <f>IF(N1096="Si",IFERROR(VLOOKUP(F1096,'TD Cumpl'!B:AB,27,0),"No Aplica"),"No Aplica")</f>
        <v>No Aplica</v>
      </c>
      <c r="S1096" s="38">
        <v>0</v>
      </c>
      <c r="T1096" s="36">
        <v>0</v>
      </c>
      <c r="U1096" s="26">
        <v>0</v>
      </c>
      <c r="V1096" s="37">
        <v>0</v>
      </c>
      <c r="W1096" s="19">
        <v>0</v>
      </c>
      <c r="X1096" s="37">
        <v>0</v>
      </c>
      <c r="Y1096" s="46">
        <f t="shared" si="36"/>
        <v>420000</v>
      </c>
    </row>
    <row r="1097" spans="1:26" x14ac:dyDescent="0.25">
      <c r="A1097" s="20">
        <f>+VLOOKUP(D1097,Back!Q:R,2,0)</f>
        <v>12</v>
      </c>
      <c r="B1097" s="20" t="str">
        <f t="shared" si="35"/>
        <v>2017 DIC</v>
      </c>
      <c r="C1097" s="30">
        <v>2017</v>
      </c>
      <c r="D1097" s="30" t="s">
        <v>187</v>
      </c>
      <c r="E1097" s="30" t="s">
        <v>186</v>
      </c>
      <c r="F1097" s="30"/>
      <c r="G1097" s="30"/>
      <c r="H1097" s="32">
        <v>319594</v>
      </c>
      <c r="I1097" s="32">
        <v>0</v>
      </c>
      <c r="J1097" s="32">
        <v>0</v>
      </c>
      <c r="K1097" s="33">
        <v>319594</v>
      </c>
      <c r="L1097" s="33"/>
      <c r="M1097" s="34"/>
      <c r="N1097" s="209" t="str">
        <f>IFERROR(VLOOKUP(F1097,Back!C:F,4,0),"NO")</f>
        <v>NO</v>
      </c>
      <c r="O1097" s="26">
        <v>24</v>
      </c>
      <c r="P1097" s="28" t="str">
        <f>IFERROR(VLOOKUP(F1097,Back!C:E,3,0),"")</f>
        <v/>
      </c>
      <c r="Q1097" s="28" t="str">
        <f>IFERROR(VLOOKUP(P1097,Back!M:N,2,0),"")</f>
        <v/>
      </c>
      <c r="R1097" s="27" t="str">
        <f>IF(N1097="Si",IFERROR(VLOOKUP(F1097,'TD Cumpl'!B:AB,27,0),"No Aplica"),"No Aplica")</f>
        <v>No Aplica</v>
      </c>
      <c r="S1097" s="38">
        <v>1</v>
      </c>
      <c r="T1097" s="36">
        <v>151571</v>
      </c>
      <c r="U1097" s="26">
        <v>0</v>
      </c>
      <c r="V1097" s="37">
        <v>0</v>
      </c>
      <c r="W1097" s="19">
        <v>0</v>
      </c>
      <c r="X1097" s="37">
        <v>0</v>
      </c>
      <c r="Y1097" s="46">
        <f t="shared" si="36"/>
        <v>168023</v>
      </c>
    </row>
    <row r="1098" spans="1:26" x14ac:dyDescent="0.25">
      <c r="A1098" s="20">
        <f>+VLOOKUP(D1098,Back!Q:R,2,0)</f>
        <v>12</v>
      </c>
      <c r="B1098" s="20" t="str">
        <f t="shared" si="35"/>
        <v>2017 DIC</v>
      </c>
      <c r="C1098" s="30">
        <v>2017</v>
      </c>
      <c r="D1098" s="30" t="s">
        <v>187</v>
      </c>
      <c r="E1098" s="30" t="s">
        <v>12</v>
      </c>
      <c r="F1098" s="30"/>
      <c r="G1098" s="30"/>
      <c r="H1098" s="32">
        <v>134285</v>
      </c>
      <c r="I1098" s="32">
        <v>0</v>
      </c>
      <c r="J1098" s="32">
        <v>134285</v>
      </c>
      <c r="K1098" s="33">
        <v>0</v>
      </c>
      <c r="L1098" s="33"/>
      <c r="M1098" s="34"/>
      <c r="N1098" s="209" t="str">
        <f>IFERROR(VLOOKUP(F1098,Back!C:F,4,0),"NO")</f>
        <v>NO</v>
      </c>
      <c r="O1098" s="26">
        <v>24</v>
      </c>
      <c r="P1098" s="28" t="str">
        <f>IFERROR(VLOOKUP(F1098,Back!C:E,3,0),"")</f>
        <v/>
      </c>
      <c r="Q1098" s="28" t="str">
        <f>IFERROR(VLOOKUP(P1098,Back!M:N,2,0),"")</f>
        <v/>
      </c>
      <c r="R1098" s="27" t="str">
        <f>IF(N1098="Si",IFERROR(VLOOKUP(F1098,'TD Cumpl'!B:AB,27,0),"No Aplica"),"No Aplica")</f>
        <v>No Aplica</v>
      </c>
      <c r="S1098" s="38">
        <v>0</v>
      </c>
      <c r="T1098" s="36">
        <v>0</v>
      </c>
      <c r="U1098" s="26">
        <v>0</v>
      </c>
      <c r="V1098" s="37">
        <v>0</v>
      </c>
      <c r="W1098" s="19">
        <v>1</v>
      </c>
      <c r="X1098" s="37">
        <v>134285</v>
      </c>
      <c r="Y1098" s="46">
        <f t="shared" si="36"/>
        <v>0</v>
      </c>
    </row>
    <row r="1099" spans="1:26" x14ac:dyDescent="0.25">
      <c r="A1099" s="20">
        <f>+VLOOKUP(D1099,Back!Q:R,2,0)</f>
        <v>1</v>
      </c>
      <c r="B1099" s="20" t="str">
        <f t="shared" si="35"/>
        <v>2018 ENE</v>
      </c>
      <c r="C1099" s="30">
        <v>2018</v>
      </c>
      <c r="D1099" s="30" t="s">
        <v>122</v>
      </c>
      <c r="E1099" s="30" t="s">
        <v>9</v>
      </c>
      <c r="F1099" s="30">
        <v>43169964</v>
      </c>
      <c r="G1099" s="30" t="s">
        <v>155</v>
      </c>
      <c r="H1099" s="32">
        <v>17269335</v>
      </c>
      <c r="I1099" s="32">
        <v>716000</v>
      </c>
      <c r="J1099" s="32">
        <v>3005844</v>
      </c>
      <c r="K1099" s="33">
        <v>13547491</v>
      </c>
      <c r="L1099" s="33">
        <v>9800000</v>
      </c>
      <c r="M1099" s="34">
        <v>1.3823970408163266</v>
      </c>
      <c r="N1099" s="209" t="str">
        <f>IFERROR(VLOOKUP(F1099,Back!C:F,4,0),"NO")</f>
        <v>Si</v>
      </c>
      <c r="O1099" s="26">
        <v>25</v>
      </c>
      <c r="P1099" s="28" t="str">
        <f>IFERROR(VLOOKUP(F1099,Back!C:E,3,0),"")</f>
        <v>IPS Pto De Vista Molinos</v>
      </c>
      <c r="Q1099" s="28" t="str">
        <f>IFERROR(VLOOKUP(P1099,Back!M:N,2,0),"")</f>
        <v>Antioquia</v>
      </c>
      <c r="R1099" s="27" t="str">
        <f>IF(N1099="Si",IFERROR(VLOOKUP(F1099,'TD Cumpl'!B:AB,27,0),"No Aplica"),"No Aplica")</f>
        <v>Cumple</v>
      </c>
      <c r="S1099" s="38">
        <v>31</v>
      </c>
      <c r="T1099" s="36">
        <v>3736764</v>
      </c>
      <c r="U1099" s="26">
        <v>80</v>
      </c>
      <c r="V1099" s="37">
        <v>8539208</v>
      </c>
      <c r="W1099" s="19">
        <v>32</v>
      </c>
      <c r="X1099" s="37">
        <v>3005844</v>
      </c>
      <c r="Y1099" s="46">
        <f t="shared" si="36"/>
        <v>1987519</v>
      </c>
      <c r="Z1099" s="19" t="s">
        <v>317</v>
      </c>
    </row>
    <row r="1100" spans="1:26" x14ac:dyDescent="0.25">
      <c r="A1100" s="20">
        <f>+VLOOKUP(D1100,Back!Q:R,2,0)</f>
        <v>1</v>
      </c>
      <c r="B1100" s="20" t="str">
        <f t="shared" si="35"/>
        <v>2018 ENE</v>
      </c>
      <c r="C1100" s="30">
        <v>2018</v>
      </c>
      <c r="D1100" s="30" t="s">
        <v>122</v>
      </c>
      <c r="E1100" s="30" t="s">
        <v>11</v>
      </c>
      <c r="F1100" s="30">
        <v>43253531</v>
      </c>
      <c r="G1100" s="30" t="s">
        <v>39</v>
      </c>
      <c r="H1100" s="32">
        <v>61297489</v>
      </c>
      <c r="I1100" s="32">
        <v>273600</v>
      </c>
      <c r="J1100" s="32">
        <v>14362717</v>
      </c>
      <c r="K1100" s="33">
        <v>46661172</v>
      </c>
      <c r="L1100" s="33">
        <v>35000000</v>
      </c>
      <c r="M1100" s="34">
        <v>1.3331763428571428</v>
      </c>
      <c r="N1100" s="209" t="str">
        <f>IFERROR(VLOOKUP(F1100,Back!C:F,4,0),"NO")</f>
        <v>Si</v>
      </c>
      <c r="O1100" s="26">
        <v>25</v>
      </c>
      <c r="P1100" s="28" t="str">
        <f>IFERROR(VLOOKUP(F1100,Back!C:E,3,0),"")</f>
        <v>IPS Punto de Vista Bello</v>
      </c>
      <c r="Q1100" s="28" t="str">
        <f>IFERROR(VLOOKUP(P1100,Back!M:N,2,0),"")</f>
        <v>Antioquia</v>
      </c>
      <c r="R1100" s="27" t="str">
        <f>IF(N1100="Si",IFERROR(VLOOKUP(F1100,'TD Cumpl'!B:AB,27,0),"No Aplica"),"No Aplica")</f>
        <v>Cumple</v>
      </c>
      <c r="S1100" s="38">
        <v>105</v>
      </c>
      <c r="T1100" s="36">
        <v>8964456</v>
      </c>
      <c r="U1100" s="26">
        <v>256</v>
      </c>
      <c r="V1100" s="37">
        <v>30393569</v>
      </c>
      <c r="W1100" s="19">
        <v>159</v>
      </c>
      <c r="X1100" s="37">
        <v>14362717</v>
      </c>
      <c r="Y1100" s="46">
        <f t="shared" si="36"/>
        <v>7576747</v>
      </c>
      <c r="Z1100" s="19" t="s">
        <v>318</v>
      </c>
    </row>
    <row r="1101" spans="1:26" x14ac:dyDescent="0.25">
      <c r="A1101" s="20">
        <f>+VLOOKUP(D1101,Back!Q:R,2,0)</f>
        <v>1</v>
      </c>
      <c r="B1101" s="20" t="str">
        <f t="shared" si="35"/>
        <v>2018 ENE</v>
      </c>
      <c r="C1101" s="30">
        <v>2018</v>
      </c>
      <c r="D1101" s="30" t="s">
        <v>122</v>
      </c>
      <c r="E1101" s="30" t="s">
        <v>66</v>
      </c>
      <c r="F1101" s="30">
        <v>3438422</v>
      </c>
      <c r="G1101" s="30" t="s">
        <v>71</v>
      </c>
      <c r="H1101" s="32">
        <v>60743546</v>
      </c>
      <c r="I1101" s="32">
        <v>1058000</v>
      </c>
      <c r="J1101" s="32">
        <v>12854659</v>
      </c>
      <c r="K1101" s="33">
        <v>46830887</v>
      </c>
      <c r="L1101" s="33">
        <v>44000000</v>
      </c>
      <c r="M1101" s="34">
        <v>1.064338340909091</v>
      </c>
      <c r="N1101" s="209" t="str">
        <f>IFERROR(VLOOKUP(F1101,Back!C:F,4,0),"NO")</f>
        <v>Si</v>
      </c>
      <c r="O1101" s="26">
        <v>25</v>
      </c>
      <c r="P1101" s="28" t="str">
        <f>IFERROR(VLOOKUP(F1101,Back!C:E,3,0),"")</f>
        <v>IPS Pto De Vista Punto Clave</v>
      </c>
      <c r="Q1101" s="28" t="str">
        <f>IFERROR(VLOOKUP(P1101,Back!M:N,2,0),"")</f>
        <v>Antioquia</v>
      </c>
      <c r="R1101" s="27" t="str">
        <f>IF(N1101="Si",IFERROR(VLOOKUP(F1101,'TD Cumpl'!B:AB,27,0),"No Aplica"),"No Aplica")</f>
        <v>Fluctúa</v>
      </c>
      <c r="S1101" s="38">
        <v>84</v>
      </c>
      <c r="T1101" s="36">
        <v>9695862</v>
      </c>
      <c r="U1101" s="26">
        <v>196</v>
      </c>
      <c r="V1101" s="37">
        <v>29749174</v>
      </c>
      <c r="W1101" s="19">
        <v>138</v>
      </c>
      <c r="X1101" s="37">
        <v>12854659</v>
      </c>
      <c r="Y1101" s="46">
        <f t="shared" si="36"/>
        <v>8443851</v>
      </c>
      <c r="Z1101" s="19" t="s">
        <v>318</v>
      </c>
    </row>
    <row r="1102" spans="1:26" x14ac:dyDescent="0.25">
      <c r="A1102" s="20">
        <f>+VLOOKUP(D1102,Back!Q:R,2,0)</f>
        <v>1</v>
      </c>
      <c r="B1102" s="20" t="str">
        <f t="shared" si="35"/>
        <v>2018 ENE</v>
      </c>
      <c r="C1102" s="30">
        <v>2018</v>
      </c>
      <c r="D1102" s="30" t="s">
        <v>122</v>
      </c>
      <c r="E1102" s="30" t="s">
        <v>184</v>
      </c>
      <c r="F1102" s="30">
        <v>43906785</v>
      </c>
      <c r="G1102" s="30" t="s">
        <v>188</v>
      </c>
      <c r="H1102" s="32">
        <v>34369462</v>
      </c>
      <c r="I1102" s="32">
        <v>440000</v>
      </c>
      <c r="J1102" s="32">
        <v>8402389</v>
      </c>
      <c r="K1102" s="33">
        <v>25527073</v>
      </c>
      <c r="L1102" s="33">
        <v>42000000</v>
      </c>
      <c r="M1102" s="34">
        <v>0.60778745238095233</v>
      </c>
      <c r="N1102" s="209" t="str">
        <f>IFERROR(VLOOKUP(F1102,Back!C:F,4,0),"NO")</f>
        <v>NO</v>
      </c>
      <c r="O1102" s="26">
        <v>25</v>
      </c>
      <c r="P1102" s="28" t="str">
        <f>IFERROR(VLOOKUP(F1102,Back!C:E,3,0),"")</f>
        <v/>
      </c>
      <c r="Q1102" s="28" t="str">
        <f>IFERROR(VLOOKUP(P1102,Back!M:N,2,0),"")</f>
        <v/>
      </c>
      <c r="R1102" s="27" t="str">
        <f>IF(N1102="Si",IFERROR(VLOOKUP(F1102,'TD Cumpl'!B:AB,27,0),"No Aplica"),"No Aplica")</f>
        <v>No Aplica</v>
      </c>
      <c r="S1102" s="38">
        <v>51</v>
      </c>
      <c r="T1102" s="36">
        <v>5887141</v>
      </c>
      <c r="U1102" s="26">
        <v>144</v>
      </c>
      <c r="V1102" s="37">
        <v>16615804</v>
      </c>
      <c r="W1102" s="19">
        <v>87</v>
      </c>
      <c r="X1102" s="37">
        <v>8402389</v>
      </c>
      <c r="Y1102" s="46">
        <f t="shared" si="36"/>
        <v>3464128</v>
      </c>
    </row>
    <row r="1103" spans="1:26" x14ac:dyDescent="0.25">
      <c r="A1103" s="20">
        <f>+VLOOKUP(D1103,Back!Q:R,2,0)</f>
        <v>1</v>
      </c>
      <c r="B1103" s="20" t="str">
        <f t="shared" si="35"/>
        <v>2018 ENE</v>
      </c>
      <c r="C1103" s="30">
        <v>2018</v>
      </c>
      <c r="D1103" s="30" t="s">
        <v>122</v>
      </c>
      <c r="E1103" s="30" t="s">
        <v>6</v>
      </c>
      <c r="F1103" s="30">
        <v>43821410</v>
      </c>
      <c r="G1103" s="30" t="s">
        <v>40</v>
      </c>
      <c r="H1103" s="32">
        <v>83994476</v>
      </c>
      <c r="I1103" s="32">
        <v>960000</v>
      </c>
      <c r="J1103" s="32">
        <v>14690675</v>
      </c>
      <c r="K1103" s="33">
        <v>68343801</v>
      </c>
      <c r="L1103" s="38">
        <v>44000000</v>
      </c>
      <c r="M1103" s="34">
        <v>1.5532682045454544</v>
      </c>
      <c r="N1103" s="209" t="str">
        <f>IFERROR(VLOOKUP(F1103,Back!C:F,4,0),"NO")</f>
        <v>Si</v>
      </c>
      <c r="O1103" s="60">
        <v>25</v>
      </c>
      <c r="P1103" s="28" t="str">
        <f>IFERROR(VLOOKUP(F1103,Back!C:E,3,0),"")</f>
        <v>IPS Pto De Vista Unicentro</v>
      </c>
      <c r="Q1103" s="28" t="str">
        <f>IFERROR(VLOOKUP(P1103,Back!M:N,2,0),"")</f>
        <v>Antioquia</v>
      </c>
      <c r="R1103" s="27" t="str">
        <f>IF(N1103="Si",IFERROR(VLOOKUP(F1103,'TD Cumpl'!B:AB,27,0),"No Aplica"),"No Aplica")</f>
        <v>Siempre Cumple</v>
      </c>
      <c r="S1103" s="38">
        <v>128</v>
      </c>
      <c r="T1103" s="46">
        <v>15496805</v>
      </c>
      <c r="U1103" s="38">
        <v>297</v>
      </c>
      <c r="V1103" s="46">
        <v>44542364</v>
      </c>
      <c r="W1103" s="38">
        <v>157</v>
      </c>
      <c r="X1103" s="46">
        <v>14650975</v>
      </c>
      <c r="Y1103" s="46">
        <f t="shared" si="36"/>
        <v>9304332</v>
      </c>
      <c r="Z1103" s="60" t="s">
        <v>318</v>
      </c>
    </row>
    <row r="1104" spans="1:26" x14ac:dyDescent="0.25">
      <c r="A1104" s="20">
        <f>+VLOOKUP(D1104,Back!Q:R,2,0)</f>
        <v>1</v>
      </c>
      <c r="B1104" s="20" t="str">
        <f t="shared" si="35"/>
        <v>2018 ENE</v>
      </c>
      <c r="C1104" s="30">
        <v>2018</v>
      </c>
      <c r="D1104" s="30" t="s">
        <v>122</v>
      </c>
      <c r="E1104" s="30" t="s">
        <v>84</v>
      </c>
      <c r="F1104" s="30">
        <v>1020736461</v>
      </c>
      <c r="G1104" s="30" t="s">
        <v>156</v>
      </c>
      <c r="H1104" s="32">
        <v>59477126</v>
      </c>
      <c r="I1104" s="32">
        <v>968000</v>
      </c>
      <c r="J1104" s="32">
        <v>8590067</v>
      </c>
      <c r="K1104" s="33">
        <v>49919059</v>
      </c>
      <c r="L1104" s="33">
        <v>28000000</v>
      </c>
      <c r="M1104" s="34">
        <v>1.7828235357142856</v>
      </c>
      <c r="N1104" s="209" t="str">
        <f>IFERROR(VLOOKUP(F1104,Back!C:F,4,0),"NO")</f>
        <v>Si</v>
      </c>
      <c r="O1104" s="26">
        <v>25</v>
      </c>
      <c r="P1104" s="28" t="str">
        <f>IFERROR(VLOOKUP(F1104,Back!C:E,3,0),"")</f>
        <v>IPS Pto De Vista Santa Bárbara</v>
      </c>
      <c r="Q1104" s="28" t="str">
        <f>IFERROR(VLOOKUP(P1104,Back!M:N,2,0),"")</f>
        <v>Centro</v>
      </c>
      <c r="R1104" s="27" t="str">
        <f>IF(N1104="Si",IFERROR(VLOOKUP(F1104,'TD Cumpl'!B:AB,27,0),"No Aplica"),"No Aplica")</f>
        <v>Siempre Cumple</v>
      </c>
      <c r="S1104" s="38">
        <v>89</v>
      </c>
      <c r="T1104" s="36">
        <v>10192554</v>
      </c>
      <c r="U1104" s="26">
        <v>240</v>
      </c>
      <c r="V1104" s="37">
        <v>36365599</v>
      </c>
      <c r="W1104" s="19">
        <v>124</v>
      </c>
      <c r="X1104" s="37">
        <v>8590067</v>
      </c>
      <c r="Y1104" s="46">
        <f t="shared" si="36"/>
        <v>4328906</v>
      </c>
      <c r="Z1104" s="19" t="s">
        <v>318</v>
      </c>
    </row>
    <row r="1105" spans="1:26" x14ac:dyDescent="0.25">
      <c r="A1105" s="20">
        <f>+VLOOKUP(D1105,Back!Q:R,2,0)</f>
        <v>1</v>
      </c>
      <c r="B1105" s="20" t="str">
        <f t="shared" si="35"/>
        <v>2018 ENE</v>
      </c>
      <c r="C1105" s="30">
        <v>2018</v>
      </c>
      <c r="D1105" s="30" t="s">
        <v>122</v>
      </c>
      <c r="E1105" s="30" t="s">
        <v>18</v>
      </c>
      <c r="F1105" s="30">
        <v>39442617</v>
      </c>
      <c r="G1105" s="30" t="s">
        <v>41</v>
      </c>
      <c r="H1105" s="32">
        <v>23318843</v>
      </c>
      <c r="I1105" s="32">
        <v>0</v>
      </c>
      <c r="J1105" s="32">
        <v>2788527</v>
      </c>
      <c r="K1105" s="33">
        <v>20530316</v>
      </c>
      <c r="L1105" s="33">
        <v>20000000</v>
      </c>
      <c r="M1105" s="34">
        <v>1.0265158000000001</v>
      </c>
      <c r="N1105" s="209" t="str">
        <f>IFERROR(VLOOKUP(F1105,Back!C:F,4,0),"NO")</f>
        <v>Si</v>
      </c>
      <c r="O1105" s="26">
        <v>25</v>
      </c>
      <c r="P1105" s="28" t="str">
        <f>IFERROR(VLOOKUP(F1105,Back!C:E,3,0),"")</f>
        <v>IPS Pto De Vista San Diego</v>
      </c>
      <c r="Q1105" s="28" t="str">
        <f>IFERROR(VLOOKUP(P1105,Back!M:N,2,0),"")</f>
        <v>Antioquia</v>
      </c>
      <c r="R1105" s="27" t="str">
        <f>IF(N1105="Si",IFERROR(VLOOKUP(F1105,'TD Cumpl'!B:AB,27,0),"No Aplica"),"No Aplica")</f>
        <v>Cumple</v>
      </c>
      <c r="S1105" s="38">
        <v>29</v>
      </c>
      <c r="T1105" s="36">
        <v>5761601</v>
      </c>
      <c r="U1105" s="26">
        <v>72</v>
      </c>
      <c r="V1105" s="37">
        <v>10271366</v>
      </c>
      <c r="W1105" s="19">
        <v>35</v>
      </c>
      <c r="X1105" s="37">
        <v>2788527</v>
      </c>
      <c r="Y1105" s="46">
        <f t="shared" si="36"/>
        <v>4497349</v>
      </c>
      <c r="Z1105" s="19" t="s">
        <v>318</v>
      </c>
    </row>
    <row r="1106" spans="1:26" x14ac:dyDescent="0.25">
      <c r="A1106" s="20">
        <f>+VLOOKUP(D1106,Back!Q:R,2,0)</f>
        <v>1</v>
      </c>
      <c r="B1106" s="20" t="str">
        <f t="shared" si="35"/>
        <v>2018 ENE</v>
      </c>
      <c r="C1106" s="30">
        <v>2018</v>
      </c>
      <c r="D1106" s="30" t="s">
        <v>122</v>
      </c>
      <c r="E1106" s="30" t="s">
        <v>56</v>
      </c>
      <c r="F1106" s="30">
        <v>43971430</v>
      </c>
      <c r="G1106" s="30" t="s">
        <v>142</v>
      </c>
      <c r="H1106" s="32">
        <v>63959830</v>
      </c>
      <c r="I1106" s="32">
        <v>1980000</v>
      </c>
      <c r="J1106" s="32">
        <v>16625981</v>
      </c>
      <c r="K1106" s="33">
        <v>45353849</v>
      </c>
      <c r="L1106" s="33">
        <v>42000000</v>
      </c>
      <c r="M1106" s="34">
        <v>1.0798535476190476</v>
      </c>
      <c r="N1106" s="209" t="str">
        <f>IFERROR(VLOOKUP(F1106,Back!C:F,4,0),"NO")</f>
        <v>Si</v>
      </c>
      <c r="O1106" s="26">
        <v>25</v>
      </c>
      <c r="P1106" s="28" t="str">
        <f>IFERROR(VLOOKUP(F1106,Back!C:E,3,0),"")</f>
        <v>IPS Pto De Vista Centro</v>
      </c>
      <c r="Q1106" s="28" t="str">
        <f>IFERROR(VLOOKUP(P1106,Back!M:N,2,0),"")</f>
        <v>Antioquia</v>
      </c>
      <c r="R1106" s="27" t="str">
        <f>IF(N1106="Si",IFERROR(VLOOKUP(F1106,'TD Cumpl'!B:AB,27,0),"No Aplica"),"No Aplica")</f>
        <v>Siempre Cumple</v>
      </c>
      <c r="S1106" s="38">
        <v>110</v>
      </c>
      <c r="T1106" s="36">
        <v>11042155</v>
      </c>
      <c r="U1106" s="26">
        <v>276</v>
      </c>
      <c r="V1106" s="37">
        <v>27542867</v>
      </c>
      <c r="W1106" s="19">
        <v>176</v>
      </c>
      <c r="X1106" s="37">
        <v>16625981</v>
      </c>
      <c r="Y1106" s="46">
        <f t="shared" si="36"/>
        <v>8748827</v>
      </c>
      <c r="Z1106" s="19" t="s">
        <v>318</v>
      </c>
    </row>
    <row r="1107" spans="1:26" x14ac:dyDescent="0.25">
      <c r="A1107" s="20">
        <f>+VLOOKUP(D1107,Back!Q:R,2,0)</f>
        <v>1</v>
      </c>
      <c r="B1107" s="20" t="str">
        <f t="shared" si="35"/>
        <v>2018 ENE</v>
      </c>
      <c r="C1107" s="30">
        <v>2018</v>
      </c>
      <c r="D1107" s="30" t="s">
        <v>122</v>
      </c>
      <c r="E1107" s="30" t="s">
        <v>102</v>
      </c>
      <c r="F1107" s="30">
        <v>79850984</v>
      </c>
      <c r="G1107" s="30" t="s">
        <v>106</v>
      </c>
      <c r="H1107" s="32">
        <v>37552109</v>
      </c>
      <c r="I1107" s="32">
        <v>1408000</v>
      </c>
      <c r="J1107" s="32">
        <v>6518868</v>
      </c>
      <c r="K1107" s="33">
        <v>29625241</v>
      </c>
      <c r="L1107" s="33">
        <v>28000000</v>
      </c>
      <c r="M1107" s="34">
        <v>1.0580443214285715</v>
      </c>
      <c r="N1107" s="209" t="str">
        <f>IFERROR(VLOOKUP(F1107,Back!C:F,4,0),"NO")</f>
        <v>Si</v>
      </c>
      <c r="O1107" s="26">
        <v>25</v>
      </c>
      <c r="P1107" s="28" t="str">
        <f>IFERROR(VLOOKUP(F1107,Back!C:E,3,0),"")</f>
        <v>IPS Pto De Vista SSura Clle100</v>
      </c>
      <c r="Q1107" s="28" t="str">
        <f>IFERROR(VLOOKUP(P1107,Back!M:N,2,0),"")</f>
        <v>Centro</v>
      </c>
      <c r="R1107" s="27" t="str">
        <f>IF(N1107="Si",IFERROR(VLOOKUP(F1107,'TD Cumpl'!B:AB,27,0),"No Aplica"),"No Aplica")</f>
        <v>Fluctúa</v>
      </c>
      <c r="S1107" s="38">
        <v>67</v>
      </c>
      <c r="T1107" s="36">
        <v>6483868</v>
      </c>
      <c r="U1107" s="26">
        <v>198</v>
      </c>
      <c r="V1107" s="37">
        <v>21613657</v>
      </c>
      <c r="W1107" s="19">
        <v>89</v>
      </c>
      <c r="X1107" s="37">
        <v>6518868</v>
      </c>
      <c r="Y1107" s="46">
        <f t="shared" si="36"/>
        <v>2935716</v>
      </c>
      <c r="Z1107" s="19" t="s">
        <v>318</v>
      </c>
    </row>
    <row r="1108" spans="1:26" x14ac:dyDescent="0.25">
      <c r="A1108" s="20">
        <f>+VLOOKUP(D1108,Back!Q:R,2,0)</f>
        <v>1</v>
      </c>
      <c r="B1108" s="20" t="str">
        <f t="shared" si="35"/>
        <v>2018 ENE</v>
      </c>
      <c r="C1108" s="30">
        <v>2018</v>
      </c>
      <c r="D1108" s="30" t="s">
        <v>122</v>
      </c>
      <c r="E1108" s="30" t="s">
        <v>166</v>
      </c>
      <c r="F1108" s="30">
        <v>1020451288</v>
      </c>
      <c r="G1108" s="30" t="s">
        <v>167</v>
      </c>
      <c r="H1108" s="32">
        <v>58791171</v>
      </c>
      <c r="I1108" s="32">
        <v>304000</v>
      </c>
      <c r="J1108" s="32">
        <v>11636999</v>
      </c>
      <c r="K1108" s="33">
        <v>46850172</v>
      </c>
      <c r="L1108" s="33">
        <v>44000000</v>
      </c>
      <c r="M1108" s="34">
        <v>1.0647766363636364</v>
      </c>
      <c r="N1108" s="209" t="str">
        <f>IFERROR(VLOOKUP(F1108,Back!C:F,4,0),"NO")</f>
        <v>Si</v>
      </c>
      <c r="O1108" s="26">
        <v>25</v>
      </c>
      <c r="P1108" s="28" t="str">
        <f>IFERROR(VLOOKUP(F1108,Back!C:E,3,0),"")</f>
        <v>IPS Pto De Vista Punto Clave</v>
      </c>
      <c r="Q1108" s="28" t="str">
        <f>IFERROR(VLOOKUP(P1108,Back!M:N,2,0),"")</f>
        <v>Antioquia</v>
      </c>
      <c r="R1108" s="27" t="str">
        <f>IF(N1108="Si",IFERROR(VLOOKUP(F1108,'TD Cumpl'!B:AB,27,0),"No Aplica"),"No Aplica")</f>
        <v>Cumple</v>
      </c>
      <c r="S1108" s="38">
        <v>96</v>
      </c>
      <c r="T1108" s="36">
        <v>11876230</v>
      </c>
      <c r="U1108" s="26">
        <v>252</v>
      </c>
      <c r="V1108" s="37">
        <v>29357337</v>
      </c>
      <c r="W1108" s="19">
        <v>136</v>
      </c>
      <c r="X1108" s="37">
        <v>11636999</v>
      </c>
      <c r="Y1108" s="46">
        <f t="shared" si="36"/>
        <v>5920605</v>
      </c>
      <c r="Z1108" s="19" t="s">
        <v>318</v>
      </c>
    </row>
    <row r="1109" spans="1:26" x14ac:dyDescent="0.25">
      <c r="A1109" s="20">
        <f>+VLOOKUP(D1109,Back!Q:R,2,0)</f>
        <v>1</v>
      </c>
      <c r="B1109" s="20" t="str">
        <f t="shared" si="35"/>
        <v>2018 ENE</v>
      </c>
      <c r="C1109" s="30">
        <v>2018</v>
      </c>
      <c r="D1109" s="30" t="s">
        <v>122</v>
      </c>
      <c r="E1109" s="30" t="s">
        <v>147</v>
      </c>
      <c r="F1109" s="30">
        <v>31309227</v>
      </c>
      <c r="G1109" s="30" t="s">
        <v>148</v>
      </c>
      <c r="H1109" s="32">
        <v>25906256</v>
      </c>
      <c r="I1109" s="32">
        <v>0</v>
      </c>
      <c r="J1109" s="32">
        <v>8142272</v>
      </c>
      <c r="K1109" s="33">
        <v>17763984</v>
      </c>
      <c r="L1109" s="33">
        <v>30000000</v>
      </c>
      <c r="M1109" s="34">
        <v>0.59213280000000001</v>
      </c>
      <c r="N1109" s="209" t="str">
        <f>IFERROR(VLOOKUP(F1109,Back!C:F,4,0),"NO")</f>
        <v>No</v>
      </c>
      <c r="O1109" s="26">
        <v>25</v>
      </c>
      <c r="P1109" s="28" t="str">
        <f>IFERROR(VLOOKUP(F1109,Back!C:E,3,0),"")</f>
        <v/>
      </c>
      <c r="Q1109" s="28" t="str">
        <f>IFERROR(VLOOKUP(P1109,Back!M:N,2,0),"")</f>
        <v/>
      </c>
      <c r="R1109" s="27" t="str">
        <f>IF(N1109="Si",IFERROR(VLOOKUP(F1109,'TD Cumpl'!B:AB,27,0),"No Aplica"),"No Aplica")</f>
        <v>No Aplica</v>
      </c>
      <c r="S1109" s="38">
        <v>31</v>
      </c>
      <c r="T1109" s="36">
        <v>2943935</v>
      </c>
      <c r="U1109" s="26">
        <v>144</v>
      </c>
      <c r="V1109" s="37">
        <v>10698117</v>
      </c>
      <c r="W1109" s="19">
        <v>88</v>
      </c>
      <c r="X1109" s="37">
        <v>8142272</v>
      </c>
      <c r="Y1109" s="46">
        <f t="shared" si="36"/>
        <v>4121932</v>
      </c>
    </row>
    <row r="1110" spans="1:26" x14ac:dyDescent="0.25">
      <c r="A1110" s="20">
        <f>+VLOOKUP(D1110,Back!Q:R,2,0)</f>
        <v>1</v>
      </c>
      <c r="B1110" s="20" t="str">
        <f t="shared" si="35"/>
        <v>2018 ENE</v>
      </c>
      <c r="C1110" s="30">
        <v>2018</v>
      </c>
      <c r="D1110" s="30" t="s">
        <v>122</v>
      </c>
      <c r="E1110" s="30" t="s">
        <v>108</v>
      </c>
      <c r="F1110" s="30">
        <v>1020443426</v>
      </c>
      <c r="G1110" s="30" t="s">
        <v>109</v>
      </c>
      <c r="H1110" s="32">
        <v>32254707</v>
      </c>
      <c r="I1110" s="32">
        <v>1705400</v>
      </c>
      <c r="J1110" s="32">
        <v>10175486</v>
      </c>
      <c r="K1110" s="33">
        <v>20373821</v>
      </c>
      <c r="L1110" s="33">
        <v>42000000</v>
      </c>
      <c r="M1110" s="34">
        <v>0.4850909761904762</v>
      </c>
      <c r="N1110" s="209" t="str">
        <f>IFERROR(VLOOKUP(F1110,Back!C:F,4,0),"NO")</f>
        <v>Si</v>
      </c>
      <c r="O1110" s="26">
        <v>25</v>
      </c>
      <c r="P1110" s="28" t="str">
        <f>IFERROR(VLOOKUP(F1110,Back!C:E,3,0),"")</f>
        <v>IPS Pto De Vista San Diego</v>
      </c>
      <c r="Q1110" s="28" t="str">
        <f>IFERROR(VLOOKUP(P1110,Back!M:N,2,0),"")</f>
        <v>Antioquia</v>
      </c>
      <c r="R1110" s="27" t="str">
        <f>IF(N1110="Si",IFERROR(VLOOKUP(F1110,'TD Cumpl'!B:AB,27,0),"No Aplica"),"No Aplica")</f>
        <v>Fluctúa</v>
      </c>
      <c r="S1110" s="38">
        <v>43</v>
      </c>
      <c r="T1110" s="36">
        <v>3895972</v>
      </c>
      <c r="U1110" s="26">
        <v>146</v>
      </c>
      <c r="V1110" s="37">
        <v>13681434</v>
      </c>
      <c r="W1110" s="19">
        <v>106</v>
      </c>
      <c r="X1110" s="37">
        <v>10175486</v>
      </c>
      <c r="Y1110" s="46">
        <f t="shared" si="36"/>
        <v>4501815</v>
      </c>
      <c r="Z1110" s="19" t="s">
        <v>318</v>
      </c>
    </row>
    <row r="1111" spans="1:26" x14ac:dyDescent="0.25">
      <c r="A1111" s="20">
        <f>+VLOOKUP(D1111,Back!Q:R,2,0)</f>
        <v>1</v>
      </c>
      <c r="B1111" s="20" t="str">
        <f t="shared" si="35"/>
        <v>2018 ENE</v>
      </c>
      <c r="C1111" s="30">
        <v>2018</v>
      </c>
      <c r="D1111" s="30" t="s">
        <v>122</v>
      </c>
      <c r="E1111" s="30" t="s">
        <v>34</v>
      </c>
      <c r="F1111" s="30">
        <v>43554403</v>
      </c>
      <c r="G1111" s="30" t="s">
        <v>35</v>
      </c>
      <c r="H1111" s="32">
        <v>76531014</v>
      </c>
      <c r="I1111" s="32">
        <v>852000</v>
      </c>
      <c r="J1111" s="32">
        <v>17738995</v>
      </c>
      <c r="K1111" s="33">
        <v>57940019</v>
      </c>
      <c r="L1111" s="33">
        <v>42000000</v>
      </c>
      <c r="M1111" s="34">
        <v>1.3795242619047619</v>
      </c>
      <c r="N1111" s="209" t="str">
        <f>IFERROR(VLOOKUP(F1111,Back!C:F,4,0),"NO")</f>
        <v>Si</v>
      </c>
      <c r="O1111" s="26">
        <v>25</v>
      </c>
      <c r="P1111" s="28" t="str">
        <f>IFERROR(VLOOKUP(F1111,Back!C:E,3,0),"")</f>
        <v>IPS Pto De Vista Centro</v>
      </c>
      <c r="Q1111" s="28" t="str">
        <f>IFERROR(VLOOKUP(P1111,Back!M:N,2,0),"")</f>
        <v>Antioquia</v>
      </c>
      <c r="R1111" s="27" t="str">
        <f>IF(N1111="Si",IFERROR(VLOOKUP(F1111,'TD Cumpl'!B:AB,27,0),"No Aplica"),"No Aplica")</f>
        <v>Siempre Cumple</v>
      </c>
      <c r="S1111" s="38">
        <v>105</v>
      </c>
      <c r="T1111" s="36">
        <v>13182111</v>
      </c>
      <c r="U1111" s="26">
        <v>281</v>
      </c>
      <c r="V1111" s="37">
        <v>37750781</v>
      </c>
      <c r="W1111" s="19">
        <v>178</v>
      </c>
      <c r="X1111" s="37">
        <v>17738995</v>
      </c>
      <c r="Y1111" s="46">
        <f t="shared" si="36"/>
        <v>7859127</v>
      </c>
      <c r="Z1111" s="19" t="s">
        <v>318</v>
      </c>
    </row>
    <row r="1112" spans="1:26" x14ac:dyDescent="0.25">
      <c r="A1112" s="20">
        <f>+VLOOKUP(D1112,Back!Q:R,2,0)</f>
        <v>1</v>
      </c>
      <c r="B1112" s="20" t="str">
        <f t="shared" si="35"/>
        <v>2018 ENE</v>
      </c>
      <c r="C1112" s="30">
        <v>2018</v>
      </c>
      <c r="D1112" s="30" t="s">
        <v>122</v>
      </c>
      <c r="E1112" s="30" t="s">
        <v>92</v>
      </c>
      <c r="F1112" s="30">
        <v>1017167720</v>
      </c>
      <c r="G1112" s="30" t="s">
        <v>96</v>
      </c>
      <c r="H1112" s="32">
        <v>62472955</v>
      </c>
      <c r="I1112" s="32">
        <v>304000</v>
      </c>
      <c r="J1112" s="32">
        <v>12349191</v>
      </c>
      <c r="K1112" s="33">
        <v>49819764</v>
      </c>
      <c r="L1112" s="33">
        <v>44000000</v>
      </c>
      <c r="M1112" s="34">
        <v>1.1322673636363636</v>
      </c>
      <c r="N1112" s="209" t="str">
        <f>IFERROR(VLOOKUP(F1112,Back!C:F,4,0),"NO")</f>
        <v>Si</v>
      </c>
      <c r="O1112" s="26">
        <v>25</v>
      </c>
      <c r="P1112" s="28" t="str">
        <f>IFERROR(VLOOKUP(F1112,Back!C:E,3,0),"")</f>
        <v>IPS Pto De Vista Punto Clave</v>
      </c>
      <c r="Q1112" s="28" t="str">
        <f>IFERROR(VLOOKUP(P1112,Back!M:N,2,0),"")</f>
        <v>Antioquia</v>
      </c>
      <c r="R1112" s="27" t="str">
        <f>IF(N1112="Si",IFERROR(VLOOKUP(F1112,'TD Cumpl'!B:AB,27,0),"No Aplica"),"No Aplica")</f>
        <v>Cumple</v>
      </c>
      <c r="S1112" s="38">
        <v>110</v>
      </c>
      <c r="T1112" s="36">
        <v>12051967</v>
      </c>
      <c r="U1112" s="26">
        <v>256</v>
      </c>
      <c r="V1112" s="37">
        <v>30714148</v>
      </c>
      <c r="W1112" s="19">
        <v>137</v>
      </c>
      <c r="X1112" s="37">
        <v>12349191</v>
      </c>
      <c r="Y1112" s="46">
        <f t="shared" si="36"/>
        <v>7357649</v>
      </c>
      <c r="Z1112" s="19" t="s">
        <v>318</v>
      </c>
    </row>
    <row r="1113" spans="1:26" x14ac:dyDescent="0.25">
      <c r="A1113" s="20">
        <f>+VLOOKUP(D1113,Back!Q:R,2,0)</f>
        <v>1</v>
      </c>
      <c r="B1113" s="20" t="str">
        <f t="shared" si="35"/>
        <v>2018 ENE</v>
      </c>
      <c r="C1113" s="30">
        <v>2018</v>
      </c>
      <c r="D1113" s="30" t="s">
        <v>122</v>
      </c>
      <c r="E1113" s="30" t="s">
        <v>3</v>
      </c>
      <c r="F1113" s="30">
        <v>52725011</v>
      </c>
      <c r="G1113" s="30" t="s">
        <v>42</v>
      </c>
      <c r="H1113" s="32">
        <v>35457950</v>
      </c>
      <c r="I1113" s="32">
        <v>1042000</v>
      </c>
      <c r="J1113" s="32">
        <v>7162901</v>
      </c>
      <c r="K1113" s="33">
        <v>27253049</v>
      </c>
      <c r="L1113" s="33">
        <v>25000000</v>
      </c>
      <c r="M1113" s="34">
        <v>1.0901219600000001</v>
      </c>
      <c r="N1113" s="209" t="str">
        <f>IFERROR(VLOOKUP(F1113,Back!C:F,4,0),"NO")</f>
        <v>Si</v>
      </c>
      <c r="O1113" s="26">
        <v>25</v>
      </c>
      <c r="P1113" s="28" t="str">
        <f>IFERROR(VLOOKUP(F1113,Back!C:E,3,0),"")</f>
        <v>IPS Pto De Vista Olaya</v>
      </c>
      <c r="Q1113" s="28" t="str">
        <f>IFERROR(VLOOKUP(P1113,Back!M:N,2,0),"")</f>
        <v>Centro</v>
      </c>
      <c r="R1113" s="27" t="str">
        <f>IF(N1113="Si",IFERROR(VLOOKUP(F1113,'TD Cumpl'!B:AB,27,0),"No Aplica"),"No Aplica")</f>
        <v>Fluctúa</v>
      </c>
      <c r="S1113" s="38">
        <v>87</v>
      </c>
      <c r="T1113" s="36">
        <v>5053807</v>
      </c>
      <c r="U1113" s="26">
        <v>218</v>
      </c>
      <c r="V1113" s="37">
        <v>20185442</v>
      </c>
      <c r="W1113" s="19">
        <v>108</v>
      </c>
      <c r="X1113" s="37">
        <v>7162901</v>
      </c>
      <c r="Y1113" s="46">
        <f t="shared" si="36"/>
        <v>3055800</v>
      </c>
      <c r="Z1113" s="19" t="s">
        <v>318</v>
      </c>
    </row>
    <row r="1114" spans="1:26" x14ac:dyDescent="0.25">
      <c r="A1114" s="20">
        <f>+VLOOKUP(D1114,Back!Q:R,2,0)</f>
        <v>1</v>
      </c>
      <c r="B1114" s="20" t="str">
        <f t="shared" si="35"/>
        <v>2018 ENE</v>
      </c>
      <c r="C1114" s="30">
        <v>2018</v>
      </c>
      <c r="D1114" s="30" t="s">
        <v>122</v>
      </c>
      <c r="E1114" s="30" t="s">
        <v>25</v>
      </c>
      <c r="F1114" s="30">
        <v>1040030764</v>
      </c>
      <c r="G1114" s="30" t="s">
        <v>43</v>
      </c>
      <c r="H1114" s="32">
        <v>58474859</v>
      </c>
      <c r="I1114" s="32">
        <v>3762400</v>
      </c>
      <c r="J1114" s="32">
        <v>13481465</v>
      </c>
      <c r="K1114" s="33">
        <v>41230994</v>
      </c>
      <c r="L1114" s="33">
        <v>35000000</v>
      </c>
      <c r="M1114" s="34">
        <v>1.1780284000000001</v>
      </c>
      <c r="N1114" s="209" t="str">
        <f>IFERROR(VLOOKUP(F1114,Back!C:F,4,0),"NO")</f>
        <v>Si</v>
      </c>
      <c r="O1114" s="26">
        <v>25</v>
      </c>
      <c r="P1114" s="28" t="str">
        <f>IFERROR(VLOOKUP(F1114,Back!C:E,3,0),"")</f>
        <v>IPS Pto De Vista Rionegro</v>
      </c>
      <c r="Q1114" s="28" t="str">
        <f>IFERROR(VLOOKUP(P1114,Back!M:N,2,0),"")</f>
        <v>Antioquia</v>
      </c>
      <c r="R1114" s="27" t="str">
        <f>IF(N1114="Si",IFERROR(VLOOKUP(F1114,'TD Cumpl'!B:AB,27,0),"No Aplica"),"No Aplica")</f>
        <v>Cumple</v>
      </c>
      <c r="S1114" s="38">
        <v>97</v>
      </c>
      <c r="T1114" s="36">
        <v>10771133</v>
      </c>
      <c r="U1114" s="26">
        <v>229</v>
      </c>
      <c r="V1114" s="37">
        <v>27174750</v>
      </c>
      <c r="W1114" s="19">
        <v>148</v>
      </c>
      <c r="X1114" s="37">
        <v>13481465</v>
      </c>
      <c r="Y1114" s="46">
        <f t="shared" si="36"/>
        <v>7047511</v>
      </c>
      <c r="Z1114" s="19" t="s">
        <v>318</v>
      </c>
    </row>
    <row r="1115" spans="1:26" x14ac:dyDescent="0.25">
      <c r="A1115" s="20">
        <f>+VLOOKUP(D1115,Back!Q:R,2,0)</f>
        <v>1</v>
      </c>
      <c r="B1115" s="20" t="str">
        <f t="shared" si="35"/>
        <v>2018 ENE</v>
      </c>
      <c r="C1115" s="30">
        <v>2018</v>
      </c>
      <c r="D1115" s="30" t="s">
        <v>122</v>
      </c>
      <c r="E1115" s="30" t="s">
        <v>22</v>
      </c>
      <c r="F1115" s="30">
        <v>42164020</v>
      </c>
      <c r="G1115" s="30" t="s">
        <v>105</v>
      </c>
      <c r="H1115" s="32">
        <v>76461640</v>
      </c>
      <c r="I1115" s="32">
        <v>2512000</v>
      </c>
      <c r="J1115" s="32">
        <v>13521697</v>
      </c>
      <c r="K1115" s="33">
        <v>60427943</v>
      </c>
      <c r="L1115" s="33">
        <v>44000000</v>
      </c>
      <c r="M1115" s="34">
        <v>1.3733623409090909</v>
      </c>
      <c r="N1115" s="209" t="str">
        <f>IFERROR(VLOOKUP(F1115,Back!C:F,4,0),"NO")</f>
        <v>Si</v>
      </c>
      <c r="O1115" s="26">
        <v>25</v>
      </c>
      <c r="P1115" s="28" t="str">
        <f>IFERROR(VLOOKUP(F1115,Back!C:E,3,0),"")</f>
        <v>IPS Pto De Vista Molinos</v>
      </c>
      <c r="Q1115" s="28" t="str">
        <f>IFERROR(VLOOKUP(P1115,Back!M:N,2,0),"")</f>
        <v>Antioquia</v>
      </c>
      <c r="R1115" s="27" t="str">
        <f>IF(N1115="Si",IFERROR(VLOOKUP(F1115,'TD Cumpl'!B:AB,27,0),"No Aplica"),"No Aplica")</f>
        <v>Siempre Cumple</v>
      </c>
      <c r="S1115" s="38">
        <v>113</v>
      </c>
      <c r="T1115" s="36">
        <v>11949711</v>
      </c>
      <c r="U1115" s="26">
        <v>318</v>
      </c>
      <c r="V1115" s="37">
        <v>41649046</v>
      </c>
      <c r="W1115" s="19">
        <v>149</v>
      </c>
      <c r="X1115" s="37">
        <v>13521697</v>
      </c>
      <c r="Y1115" s="46">
        <f t="shared" si="36"/>
        <v>9341186</v>
      </c>
    </row>
    <row r="1116" spans="1:26" x14ac:dyDescent="0.25">
      <c r="A1116" s="20">
        <f>+VLOOKUP(D1116,Back!Q:R,2,0)</f>
        <v>1</v>
      </c>
      <c r="B1116" s="20" t="str">
        <f t="shared" si="35"/>
        <v>2018 ENE</v>
      </c>
      <c r="C1116" s="30">
        <v>2018</v>
      </c>
      <c r="D1116" s="30" t="s">
        <v>122</v>
      </c>
      <c r="E1116" s="30" t="s">
        <v>21</v>
      </c>
      <c r="F1116" s="30">
        <v>1035417626</v>
      </c>
      <c r="G1116" s="30" t="s">
        <v>80</v>
      </c>
      <c r="H1116" s="32">
        <v>75021196</v>
      </c>
      <c r="I1116" s="32">
        <v>744000</v>
      </c>
      <c r="J1116" s="32">
        <v>17693092</v>
      </c>
      <c r="K1116" s="33">
        <v>56584104</v>
      </c>
      <c r="L1116" s="33">
        <v>44000000</v>
      </c>
      <c r="M1116" s="34">
        <v>1.2860023636363636</v>
      </c>
      <c r="N1116" s="209" t="str">
        <f>IFERROR(VLOOKUP(F1116,Back!C:F,4,0),"NO")</f>
        <v>Si</v>
      </c>
      <c r="O1116" s="26">
        <v>25</v>
      </c>
      <c r="P1116" s="28" t="str">
        <f>IFERROR(VLOOKUP(F1116,Back!C:E,3,0),"")</f>
        <v>IPS Pto De Vista Unicentro</v>
      </c>
      <c r="Q1116" s="28" t="str">
        <f>IFERROR(VLOOKUP(P1116,Back!M:N,2,0),"")</f>
        <v>Antioquia</v>
      </c>
      <c r="R1116" s="27" t="str">
        <f>IF(N1116="Si",IFERROR(VLOOKUP(F1116,'TD Cumpl'!B:AB,27,0),"No Aplica"),"No Aplica")</f>
        <v>Cumple</v>
      </c>
      <c r="S1116" s="38">
        <v>99</v>
      </c>
      <c r="T1116" s="36">
        <v>12616203</v>
      </c>
      <c r="U1116" s="26">
        <v>280</v>
      </c>
      <c r="V1116" s="37">
        <v>36275252</v>
      </c>
      <c r="W1116" s="19">
        <v>176</v>
      </c>
      <c r="X1116" s="37">
        <v>17693092</v>
      </c>
      <c r="Y1116" s="46">
        <f t="shared" si="36"/>
        <v>8436649</v>
      </c>
      <c r="Z1116" s="19" t="s">
        <v>318</v>
      </c>
    </row>
    <row r="1117" spans="1:26" x14ac:dyDescent="0.25">
      <c r="A1117" s="20">
        <f>+VLOOKUP(D1117,Back!Q:R,2,0)</f>
        <v>1</v>
      </c>
      <c r="B1117" s="20" t="str">
        <f t="shared" si="35"/>
        <v>2018 ENE</v>
      </c>
      <c r="C1117" s="30">
        <v>2018</v>
      </c>
      <c r="D1117" s="30" t="s">
        <v>122</v>
      </c>
      <c r="E1117" s="30" t="s">
        <v>81</v>
      </c>
      <c r="F1117" s="30">
        <v>1017200970</v>
      </c>
      <c r="G1117" s="30" t="s">
        <v>82</v>
      </c>
      <c r="H1117" s="32">
        <v>47939661</v>
      </c>
      <c r="I1117" s="32">
        <v>412000</v>
      </c>
      <c r="J1117" s="32">
        <v>10240435</v>
      </c>
      <c r="K1117" s="33">
        <v>37287226</v>
      </c>
      <c r="L1117" s="33">
        <v>36000000</v>
      </c>
      <c r="M1117" s="34">
        <v>1.0357562777777778</v>
      </c>
      <c r="N1117" s="209" t="str">
        <f>IFERROR(VLOOKUP(F1117,Back!C:F,4,0),"NO")</f>
        <v>Si</v>
      </c>
      <c r="O1117" s="26">
        <v>25</v>
      </c>
      <c r="P1117" s="28" t="str">
        <f>IFERROR(VLOOKUP(F1117,Back!C:E,3,0),"")</f>
        <v>IPS Pto De Vista San Diego</v>
      </c>
      <c r="Q1117" s="28" t="str">
        <f>IFERROR(VLOOKUP(P1117,Back!M:N,2,0),"")</f>
        <v>Antioquia</v>
      </c>
      <c r="R1117" s="27" t="str">
        <f>IF(N1117="Si",IFERROR(VLOOKUP(F1117,'TD Cumpl'!B:AB,27,0),"No Aplica"),"No Aplica")</f>
        <v>Cumple</v>
      </c>
      <c r="S1117" s="38">
        <v>83</v>
      </c>
      <c r="T1117" s="36">
        <v>9983756</v>
      </c>
      <c r="U1117" s="26">
        <v>174</v>
      </c>
      <c r="V1117" s="37">
        <v>20996211</v>
      </c>
      <c r="W1117" s="19">
        <v>113</v>
      </c>
      <c r="X1117" s="37">
        <v>10240435</v>
      </c>
      <c r="Y1117" s="46">
        <f t="shared" si="36"/>
        <v>6719259</v>
      </c>
      <c r="Z1117" s="19" t="s">
        <v>318</v>
      </c>
    </row>
    <row r="1118" spans="1:26" x14ac:dyDescent="0.25">
      <c r="A1118" s="20">
        <f>+VLOOKUP(D1118,Back!Q:R,2,0)</f>
        <v>1</v>
      </c>
      <c r="B1118" s="20" t="str">
        <f t="shared" si="35"/>
        <v>2018 ENE</v>
      </c>
      <c r="C1118" s="30">
        <v>2018</v>
      </c>
      <c r="D1118" s="30" t="s">
        <v>122</v>
      </c>
      <c r="E1118" s="30" t="s">
        <v>57</v>
      </c>
      <c r="F1118" s="30">
        <v>43874518</v>
      </c>
      <c r="G1118" s="30" t="s">
        <v>60</v>
      </c>
      <c r="H1118" s="32">
        <v>64212459</v>
      </c>
      <c r="I1118" s="32">
        <v>890000</v>
      </c>
      <c r="J1118" s="32">
        <v>11834200</v>
      </c>
      <c r="K1118" s="33">
        <v>51488259</v>
      </c>
      <c r="L1118" s="33">
        <v>44000000</v>
      </c>
      <c r="M1118" s="34">
        <v>1.1701877045454545</v>
      </c>
      <c r="N1118" s="209" t="str">
        <f>IFERROR(VLOOKUP(F1118,Back!C:F,4,0),"NO")</f>
        <v>Si</v>
      </c>
      <c r="O1118" s="26">
        <v>25</v>
      </c>
      <c r="P1118" s="28" t="str">
        <f>IFERROR(VLOOKUP(F1118,Back!C:E,3,0),"")</f>
        <v>IPS Pto De Vista Punto Clave</v>
      </c>
      <c r="Q1118" s="28" t="str">
        <f>IFERROR(VLOOKUP(P1118,Back!M:N,2,0),"")</f>
        <v>Antioquia</v>
      </c>
      <c r="R1118" s="27" t="str">
        <f>IF(N1118="Si",IFERROR(VLOOKUP(F1118,'TD Cumpl'!B:AB,27,0),"No Aplica"),"No Aplica")</f>
        <v>Fluctúa</v>
      </c>
      <c r="S1118" s="38">
        <v>107</v>
      </c>
      <c r="T1118" s="36">
        <v>11882724</v>
      </c>
      <c r="U1118" s="26">
        <v>320</v>
      </c>
      <c r="V1118" s="37">
        <v>33905055</v>
      </c>
      <c r="W1118" s="19">
        <v>137</v>
      </c>
      <c r="X1118" s="37">
        <v>11834200</v>
      </c>
      <c r="Y1118" s="46">
        <f t="shared" si="36"/>
        <v>6590480</v>
      </c>
      <c r="Z1118" s="19" t="s">
        <v>318</v>
      </c>
    </row>
    <row r="1119" spans="1:26" x14ac:dyDescent="0.25">
      <c r="A1119" s="20">
        <f>+VLOOKUP(D1119,Back!Q:R,2,0)</f>
        <v>1</v>
      </c>
      <c r="B1119" s="20" t="str">
        <f t="shared" si="35"/>
        <v>2018 ENE</v>
      </c>
      <c r="C1119" s="30">
        <v>2018</v>
      </c>
      <c r="D1119" s="30" t="s">
        <v>122</v>
      </c>
      <c r="E1119" s="30" t="s">
        <v>101</v>
      </c>
      <c r="F1119" s="30">
        <v>21428423</v>
      </c>
      <c r="G1119" s="30" t="s">
        <v>154</v>
      </c>
      <c r="H1119" s="32">
        <v>57205580</v>
      </c>
      <c r="I1119" s="32">
        <v>836000</v>
      </c>
      <c r="J1119" s="32">
        <v>12301148</v>
      </c>
      <c r="K1119" s="33">
        <v>44068432</v>
      </c>
      <c r="L1119" s="33">
        <v>42000000</v>
      </c>
      <c r="M1119" s="34">
        <v>1.0492483809523809</v>
      </c>
      <c r="N1119" s="209" t="str">
        <f>IFERROR(VLOOKUP(F1119,Back!C:F,4,0),"NO")</f>
        <v>Si</v>
      </c>
      <c r="O1119" s="26">
        <v>25</v>
      </c>
      <c r="P1119" s="28" t="str">
        <f>IFERROR(VLOOKUP(F1119,Back!C:E,3,0),"")</f>
        <v>IPS Pto De Vista Centro</v>
      </c>
      <c r="Q1119" s="28" t="str">
        <f>IFERROR(VLOOKUP(P1119,Back!M:N,2,0),"")</f>
        <v>Antioquia</v>
      </c>
      <c r="R1119" s="27" t="str">
        <f>IF(N1119="Si",IFERROR(VLOOKUP(F1119,'TD Cumpl'!B:AB,27,0),"No Aplica"),"No Aplica")</f>
        <v>Fluctúa</v>
      </c>
      <c r="S1119" s="38">
        <v>119</v>
      </c>
      <c r="T1119" s="36">
        <v>11313459</v>
      </c>
      <c r="U1119" s="26">
        <v>296</v>
      </c>
      <c r="V1119" s="37">
        <v>26728412</v>
      </c>
      <c r="W1119" s="19">
        <v>133</v>
      </c>
      <c r="X1119" s="37">
        <v>12301148</v>
      </c>
      <c r="Y1119" s="46">
        <f t="shared" si="36"/>
        <v>6862561</v>
      </c>
      <c r="Z1119" s="19" t="s">
        <v>318</v>
      </c>
    </row>
    <row r="1120" spans="1:26" x14ac:dyDescent="0.25">
      <c r="A1120" s="20">
        <f>+VLOOKUP(D1120,Back!Q:R,2,0)</f>
        <v>1</v>
      </c>
      <c r="B1120" s="20" t="str">
        <f t="shared" si="35"/>
        <v>2018 ENE</v>
      </c>
      <c r="C1120" s="30">
        <v>2018</v>
      </c>
      <c r="D1120" s="30" t="s">
        <v>122</v>
      </c>
      <c r="E1120" s="30" t="s">
        <v>91</v>
      </c>
      <c r="F1120" s="30">
        <v>43114534</v>
      </c>
      <c r="G1120" s="30" t="s">
        <v>95</v>
      </c>
      <c r="H1120" s="32">
        <v>57412400</v>
      </c>
      <c r="I1120" s="32">
        <v>1442000</v>
      </c>
      <c r="J1120" s="32">
        <v>12946572</v>
      </c>
      <c r="K1120" s="33">
        <v>43023828</v>
      </c>
      <c r="L1120" s="33">
        <v>36000000</v>
      </c>
      <c r="M1120" s="34">
        <v>1.1951063333333334</v>
      </c>
      <c r="N1120" s="209" t="str">
        <f>IFERROR(VLOOKUP(F1120,Back!C:F,4,0),"NO")</f>
        <v>No</v>
      </c>
      <c r="O1120" s="26">
        <v>25</v>
      </c>
      <c r="P1120" s="28" t="str">
        <f>IFERROR(VLOOKUP(F1120,Back!C:E,3,0),"")</f>
        <v>IPS Pto De Vista San Diego</v>
      </c>
      <c r="Q1120" s="28" t="str">
        <f>IFERROR(VLOOKUP(P1120,Back!M:N,2,0),"")</f>
        <v>Antioquia</v>
      </c>
      <c r="R1120" s="27" t="str">
        <f>IF(N1120="Si",IFERROR(VLOOKUP(F1120,'TD Cumpl'!B:AB,27,0),"No Aplica"),"No Aplica")</f>
        <v>No Aplica</v>
      </c>
      <c r="S1120" s="38">
        <v>103</v>
      </c>
      <c r="T1120" s="36">
        <v>11565674</v>
      </c>
      <c r="U1120" s="26">
        <v>254</v>
      </c>
      <c r="V1120" s="37">
        <v>27247266</v>
      </c>
      <c r="W1120" s="19">
        <v>143</v>
      </c>
      <c r="X1120" s="37">
        <v>12946572</v>
      </c>
      <c r="Y1120" s="46">
        <f t="shared" si="36"/>
        <v>5652888</v>
      </c>
    </row>
    <row r="1121" spans="1:26" x14ac:dyDescent="0.25">
      <c r="A1121" s="20">
        <f>+VLOOKUP(D1121,Back!Q:R,2,0)</f>
        <v>1</v>
      </c>
      <c r="B1121" s="20" t="str">
        <f t="shared" si="35"/>
        <v>2018 ENE</v>
      </c>
      <c r="C1121" s="30">
        <v>2018</v>
      </c>
      <c r="D1121" s="30" t="s">
        <v>122</v>
      </c>
      <c r="E1121" s="30" t="s">
        <v>2</v>
      </c>
      <c r="F1121" s="30">
        <v>52260671</v>
      </c>
      <c r="G1121" s="30" t="s">
        <v>26</v>
      </c>
      <c r="H1121" s="32">
        <v>39958959</v>
      </c>
      <c r="I1121" s="32">
        <v>823400</v>
      </c>
      <c r="J1121" s="32">
        <v>7374226</v>
      </c>
      <c r="K1121" s="33">
        <v>31761333</v>
      </c>
      <c r="L1121" s="33">
        <v>28000000</v>
      </c>
      <c r="M1121" s="34">
        <v>1.1343333214285714</v>
      </c>
      <c r="N1121" s="209" t="str">
        <f>IFERROR(VLOOKUP(F1121,Back!C:F,4,0),"NO")</f>
        <v>Si</v>
      </c>
      <c r="O1121" s="26">
        <v>25</v>
      </c>
      <c r="P1121" s="28" t="str">
        <f>IFERROR(VLOOKUP(F1121,Back!C:E,3,0),"")</f>
        <v>IPS Pto De Vista Santa Bárbara</v>
      </c>
      <c r="Q1121" s="28" t="str">
        <f>IFERROR(VLOOKUP(P1121,Back!M:N,2,0),"")</f>
        <v>Centro</v>
      </c>
      <c r="R1121" s="27" t="str">
        <f>IF(N1121="Si",IFERROR(VLOOKUP(F1121,'TD Cumpl'!B:AB,27,0),"No Aplica"),"No Aplica")</f>
        <v>Siempre Cumple</v>
      </c>
      <c r="S1121" s="38">
        <v>73</v>
      </c>
      <c r="T1121" s="36">
        <v>7071336</v>
      </c>
      <c r="U1121" s="26">
        <v>196</v>
      </c>
      <c r="V1121" s="37">
        <v>22477081</v>
      </c>
      <c r="W1121" s="19">
        <v>99</v>
      </c>
      <c r="X1121" s="37">
        <v>7374226</v>
      </c>
      <c r="Y1121" s="46">
        <f t="shared" si="36"/>
        <v>3036316</v>
      </c>
      <c r="Z1121" s="19" t="s">
        <v>318</v>
      </c>
    </row>
    <row r="1122" spans="1:26" x14ac:dyDescent="0.25">
      <c r="A1122" s="20">
        <f>+VLOOKUP(D1122,Back!Q:R,2,0)</f>
        <v>1</v>
      </c>
      <c r="B1122" s="20" t="str">
        <f t="shared" si="35"/>
        <v>2018 ENE</v>
      </c>
      <c r="C1122" s="30">
        <v>2018</v>
      </c>
      <c r="D1122" s="30" t="s">
        <v>122</v>
      </c>
      <c r="E1122" s="30" t="s">
        <v>37</v>
      </c>
      <c r="F1122" s="30">
        <v>1036779770</v>
      </c>
      <c r="G1122" s="30" t="s">
        <v>52</v>
      </c>
      <c r="H1122" s="32">
        <v>54056154</v>
      </c>
      <c r="I1122" s="32">
        <v>4048000</v>
      </c>
      <c r="J1122" s="32">
        <v>10305133</v>
      </c>
      <c r="K1122" s="33">
        <v>39703021</v>
      </c>
      <c r="L1122" s="33">
        <v>35000000</v>
      </c>
      <c r="M1122" s="34">
        <v>1.1343720285714285</v>
      </c>
      <c r="N1122" s="209" t="str">
        <f>IFERROR(VLOOKUP(F1122,Back!C:F,4,0),"NO")</f>
        <v>No</v>
      </c>
      <c r="O1122" s="26">
        <v>25</v>
      </c>
      <c r="P1122" s="28" t="str">
        <f>IFERROR(VLOOKUP(F1122,Back!C:E,3,0),"")</f>
        <v>IPS Pto De Vista Rionegro</v>
      </c>
      <c r="Q1122" s="28" t="str">
        <f>IFERROR(VLOOKUP(P1122,Back!M:N,2,0),"")</f>
        <v>Antioquia</v>
      </c>
      <c r="R1122" s="27" t="str">
        <f>IF(N1122="Si",IFERROR(VLOOKUP(F1122,'TD Cumpl'!B:AB,27,0),"No Aplica"),"No Aplica")</f>
        <v>No Aplica</v>
      </c>
      <c r="S1122" s="38">
        <v>94</v>
      </c>
      <c r="T1122" s="36">
        <v>10015735</v>
      </c>
      <c r="U1122" s="26">
        <v>237</v>
      </c>
      <c r="V1122" s="37">
        <v>25965291</v>
      </c>
      <c r="W1122" s="19">
        <v>118</v>
      </c>
      <c r="X1122" s="37">
        <v>10305133</v>
      </c>
      <c r="Y1122" s="46">
        <f t="shared" si="36"/>
        <v>7769995</v>
      </c>
    </row>
    <row r="1123" spans="1:26" x14ac:dyDescent="0.25">
      <c r="A1123" s="20">
        <f>+VLOOKUP(D1123,Back!Q:R,2,0)</f>
        <v>1</v>
      </c>
      <c r="B1123" s="20" t="str">
        <f t="shared" si="35"/>
        <v>2018 ENE</v>
      </c>
      <c r="C1123" s="30">
        <v>2018</v>
      </c>
      <c r="D1123" s="30" t="s">
        <v>122</v>
      </c>
      <c r="E1123" s="30" t="s">
        <v>64</v>
      </c>
      <c r="F1123" s="30">
        <v>1036598360</v>
      </c>
      <c r="G1123" s="30" t="s">
        <v>146</v>
      </c>
      <c r="H1123" s="32">
        <v>60365766</v>
      </c>
      <c r="I1123" s="32">
        <v>552000</v>
      </c>
      <c r="J1123" s="32">
        <v>13711622</v>
      </c>
      <c r="K1123" s="33">
        <v>46102144</v>
      </c>
      <c r="L1123" s="33">
        <v>44000000</v>
      </c>
      <c r="M1123" s="34">
        <v>1.047776</v>
      </c>
      <c r="N1123" s="209" t="str">
        <f>IFERROR(VLOOKUP(F1123,Back!C:F,4,0),"NO")</f>
        <v>Si</v>
      </c>
      <c r="O1123" s="26">
        <v>25</v>
      </c>
      <c r="P1123" s="28" t="str">
        <f>IFERROR(VLOOKUP(F1123,Back!C:E,3,0),"")</f>
        <v>IPS Pto De Vista Punto Clave</v>
      </c>
      <c r="Q1123" s="28" t="str">
        <f>IFERROR(VLOOKUP(P1123,Back!M:N,2,0),"")</f>
        <v>Antioquia</v>
      </c>
      <c r="R1123" s="27" t="str">
        <f>IF(N1123="Si",IFERROR(VLOOKUP(F1123,'TD Cumpl'!B:AB,27,0),"No Aplica"),"No Aplica")</f>
        <v>Fluctúa</v>
      </c>
      <c r="S1123" s="38">
        <v>88</v>
      </c>
      <c r="T1123" s="36">
        <v>10293966</v>
      </c>
      <c r="U1123" s="26">
        <v>243</v>
      </c>
      <c r="V1123" s="37">
        <v>30943681</v>
      </c>
      <c r="W1123" s="19">
        <v>150</v>
      </c>
      <c r="X1123" s="37">
        <v>13711622</v>
      </c>
      <c r="Y1123" s="46">
        <f t="shared" si="36"/>
        <v>5416497</v>
      </c>
      <c r="Z1123" s="19" t="s">
        <v>318</v>
      </c>
    </row>
    <row r="1124" spans="1:26" x14ac:dyDescent="0.25">
      <c r="A1124" s="20">
        <f>+VLOOKUP(D1124,Back!Q:R,2,0)</f>
        <v>1</v>
      </c>
      <c r="B1124" s="20" t="str">
        <f t="shared" si="35"/>
        <v>2018 ENE</v>
      </c>
      <c r="C1124" s="30">
        <v>2018</v>
      </c>
      <c r="D1124" s="30" t="s">
        <v>122</v>
      </c>
      <c r="E1124" s="30" t="s">
        <v>20</v>
      </c>
      <c r="F1124" s="30">
        <v>1017141451</v>
      </c>
      <c r="G1124" s="30" t="s">
        <v>44</v>
      </c>
      <c r="H1124" s="32">
        <v>69253490</v>
      </c>
      <c r="I1124" s="32">
        <v>1698000</v>
      </c>
      <c r="J1124" s="32">
        <v>13695998</v>
      </c>
      <c r="K1124" s="33">
        <v>53859492</v>
      </c>
      <c r="L1124" s="33">
        <v>44000000</v>
      </c>
      <c r="M1124" s="34">
        <v>1.2240793636363636</v>
      </c>
      <c r="N1124" s="209" t="str">
        <f>IFERROR(VLOOKUP(F1124,Back!C:F,4,0),"NO")</f>
        <v>Si</v>
      </c>
      <c r="O1124" s="26">
        <v>25</v>
      </c>
      <c r="P1124" s="28" t="str">
        <f>IFERROR(VLOOKUP(F1124,Back!C:E,3,0),"")</f>
        <v>IPS Pto De Vista Molinos</v>
      </c>
      <c r="Q1124" s="28" t="str">
        <f>IFERROR(VLOOKUP(P1124,Back!M:N,2,0),"")</f>
        <v>Antioquia</v>
      </c>
      <c r="R1124" s="27" t="str">
        <f>IF(N1124="Si",IFERROR(VLOOKUP(F1124,'TD Cumpl'!B:AB,27,0),"No Aplica"),"No Aplica")</f>
        <v>Siempre Cumple</v>
      </c>
      <c r="S1124" s="38">
        <v>104</v>
      </c>
      <c r="T1124" s="36">
        <v>13205299</v>
      </c>
      <c r="U1124" s="26">
        <v>286</v>
      </c>
      <c r="V1124" s="37">
        <v>32582286</v>
      </c>
      <c r="W1124" s="19">
        <v>137</v>
      </c>
      <c r="X1124" s="37">
        <v>13151798</v>
      </c>
      <c r="Y1124" s="46">
        <f t="shared" si="36"/>
        <v>10314107</v>
      </c>
      <c r="Z1124" s="19" t="s">
        <v>318</v>
      </c>
    </row>
    <row r="1125" spans="1:26" x14ac:dyDescent="0.25">
      <c r="A1125" s="20">
        <f>+VLOOKUP(D1125,Back!Q:R,2,0)</f>
        <v>1</v>
      </c>
      <c r="B1125" s="20" t="str">
        <f t="shared" si="35"/>
        <v>2018 ENE</v>
      </c>
      <c r="C1125" s="30">
        <v>2018</v>
      </c>
      <c r="D1125" s="30" t="s">
        <v>122</v>
      </c>
      <c r="E1125" s="30" t="s">
        <v>38</v>
      </c>
      <c r="F1125" s="30">
        <v>43745192</v>
      </c>
      <c r="G1125" s="30" t="s">
        <v>45</v>
      </c>
      <c r="H1125" s="32">
        <v>15302294</v>
      </c>
      <c r="I1125" s="32">
        <v>0</v>
      </c>
      <c r="J1125" s="32">
        <v>1363715</v>
      </c>
      <c r="K1125" s="33">
        <v>13938579</v>
      </c>
      <c r="L1125" s="33">
        <v>6000000</v>
      </c>
      <c r="M1125" s="34">
        <v>2.3230965000000001</v>
      </c>
      <c r="N1125" s="209" t="str">
        <f>IFERROR(VLOOKUP(F1125,Back!C:F,4,0),"NO")</f>
        <v>Si</v>
      </c>
      <c r="O1125" s="26">
        <v>25</v>
      </c>
      <c r="P1125" s="28" t="str">
        <f>IFERROR(VLOOKUP(F1125,Back!C:E,3,0),"")</f>
        <v>IPS Punto de Vista Mayorca</v>
      </c>
      <c r="Q1125" s="28" t="str">
        <f>IFERROR(VLOOKUP(P1125,Back!M:N,2,0),"")</f>
        <v>Antioquia</v>
      </c>
      <c r="R1125" s="27" t="str">
        <f>IF(N1125="Si",IFERROR(VLOOKUP(F1125,'TD Cumpl'!B:AB,27,0),"No Aplica"),"No Aplica")</f>
        <v>Cumple</v>
      </c>
      <c r="S1125" s="38">
        <v>25</v>
      </c>
      <c r="T1125" s="36">
        <v>4290900</v>
      </c>
      <c r="U1125" s="26">
        <v>79</v>
      </c>
      <c r="V1125" s="37">
        <v>8467321</v>
      </c>
      <c r="W1125" s="19">
        <v>27</v>
      </c>
      <c r="X1125" s="37">
        <v>1363715</v>
      </c>
      <c r="Y1125" s="46">
        <f t="shared" si="36"/>
        <v>1180358</v>
      </c>
      <c r="Z1125" s="19" t="s">
        <v>317</v>
      </c>
    </row>
    <row r="1126" spans="1:26" x14ac:dyDescent="0.25">
      <c r="A1126" s="20">
        <f>+VLOOKUP(D1126,Back!Q:R,2,0)</f>
        <v>1</v>
      </c>
      <c r="B1126" s="20" t="str">
        <f t="shared" si="35"/>
        <v>2018 ENE</v>
      </c>
      <c r="C1126" s="30">
        <v>2018</v>
      </c>
      <c r="D1126" s="30" t="s">
        <v>122</v>
      </c>
      <c r="E1126" s="30" t="s">
        <v>13</v>
      </c>
      <c r="F1126" s="30">
        <v>43866877</v>
      </c>
      <c r="G1126" s="30" t="s">
        <v>46</v>
      </c>
      <c r="H1126" s="32">
        <v>69460373</v>
      </c>
      <c r="I1126" s="32">
        <v>1367000</v>
      </c>
      <c r="J1126" s="32">
        <v>16490198</v>
      </c>
      <c r="K1126" s="33">
        <v>51603175</v>
      </c>
      <c r="L1126" s="33">
        <v>42000000</v>
      </c>
      <c r="M1126" s="34">
        <v>1.2286470238095237</v>
      </c>
      <c r="N1126" s="209" t="str">
        <f>IFERROR(VLOOKUP(F1126,Back!C:F,4,0),"NO")</f>
        <v>Si</v>
      </c>
      <c r="O1126" s="26">
        <v>25</v>
      </c>
      <c r="P1126" s="28" t="str">
        <f>IFERROR(VLOOKUP(F1126,Back!C:E,3,0),"")</f>
        <v>IPS Pto De Vista Centro</v>
      </c>
      <c r="Q1126" s="28" t="str">
        <f>IFERROR(VLOOKUP(P1126,Back!M:N,2,0),"")</f>
        <v>Antioquia</v>
      </c>
      <c r="R1126" s="27" t="str">
        <f>IF(N1126="Si",IFERROR(VLOOKUP(F1126,'TD Cumpl'!B:AB,27,0),"No Aplica"),"No Aplica")</f>
        <v>Siempre Cumple</v>
      </c>
      <c r="S1126" s="38">
        <v>110</v>
      </c>
      <c r="T1126" s="36">
        <v>14610878</v>
      </c>
      <c r="U1126" s="26">
        <v>264</v>
      </c>
      <c r="V1126" s="37">
        <v>30980299</v>
      </c>
      <c r="W1126" s="19">
        <v>169</v>
      </c>
      <c r="X1126" s="37">
        <v>16490198</v>
      </c>
      <c r="Y1126" s="46">
        <f t="shared" si="36"/>
        <v>7378998</v>
      </c>
      <c r="Z1126" s="19" t="s">
        <v>318</v>
      </c>
    </row>
    <row r="1127" spans="1:26" x14ac:dyDescent="0.25">
      <c r="A1127" s="20">
        <f>+VLOOKUP(D1127,Back!Q:R,2,0)</f>
        <v>1</v>
      </c>
      <c r="B1127" s="20" t="str">
        <f t="shared" si="35"/>
        <v>2018 ENE</v>
      </c>
      <c r="C1127" s="30">
        <v>2018</v>
      </c>
      <c r="D1127" s="30" t="s">
        <v>122</v>
      </c>
      <c r="E1127" s="30" t="s">
        <v>17</v>
      </c>
      <c r="F1127" s="30">
        <v>43113640</v>
      </c>
      <c r="G1127" s="30" t="s">
        <v>47</v>
      </c>
      <c r="H1127" s="32">
        <v>56265048</v>
      </c>
      <c r="I1127" s="32">
        <v>838000</v>
      </c>
      <c r="J1127" s="32">
        <v>12188691</v>
      </c>
      <c r="K1127" s="33">
        <v>43238357</v>
      </c>
      <c r="L1127" s="33">
        <v>36000000</v>
      </c>
      <c r="M1127" s="34">
        <v>1.2010654722222223</v>
      </c>
      <c r="N1127" s="209" t="str">
        <f>IFERROR(VLOOKUP(F1127,Back!C:F,4,0),"NO")</f>
        <v>Si</v>
      </c>
      <c r="O1127" s="26">
        <v>25</v>
      </c>
      <c r="P1127" s="28" t="str">
        <f>IFERROR(VLOOKUP(F1127,Back!C:E,3,0),"")</f>
        <v>IPS Pto De Vista San Diego</v>
      </c>
      <c r="Q1127" s="28" t="str">
        <f>IFERROR(VLOOKUP(P1127,Back!M:N,2,0),"")</f>
        <v>Antioquia</v>
      </c>
      <c r="R1127" s="27" t="str">
        <f>IF(N1127="Si",IFERROR(VLOOKUP(F1127,'TD Cumpl'!B:AB,27,0),"No Aplica"),"No Aplica")</f>
        <v>Cumple</v>
      </c>
      <c r="S1127" s="38">
        <v>88</v>
      </c>
      <c r="T1127" s="36">
        <v>9112079</v>
      </c>
      <c r="U1127" s="26">
        <v>241</v>
      </c>
      <c r="V1127" s="37">
        <v>31460625</v>
      </c>
      <c r="W1127" s="19">
        <v>124</v>
      </c>
      <c r="X1127" s="37">
        <v>12188691</v>
      </c>
      <c r="Y1127" s="46">
        <f t="shared" si="36"/>
        <v>3503653</v>
      </c>
      <c r="Z1127" s="19" t="s">
        <v>318</v>
      </c>
    </row>
    <row r="1128" spans="1:26" x14ac:dyDescent="0.25">
      <c r="A1128" s="20">
        <f>+VLOOKUP(D1128,Back!Q:R,2,0)</f>
        <v>1</v>
      </c>
      <c r="B1128" s="20" t="str">
        <f t="shared" si="35"/>
        <v>2018 ENE</v>
      </c>
      <c r="C1128" s="30">
        <v>2018</v>
      </c>
      <c r="D1128" s="30" t="s">
        <v>122</v>
      </c>
      <c r="E1128" s="30" t="s">
        <v>24</v>
      </c>
      <c r="F1128" s="30">
        <v>39448823</v>
      </c>
      <c r="G1128" s="30" t="s">
        <v>48</v>
      </c>
      <c r="H1128" s="32">
        <v>58503860</v>
      </c>
      <c r="I1128" s="32">
        <v>1748400</v>
      </c>
      <c r="J1128" s="32">
        <v>8704737</v>
      </c>
      <c r="K1128" s="33">
        <v>48050723</v>
      </c>
      <c r="L1128" s="33">
        <v>19600000</v>
      </c>
      <c r="M1128" s="34">
        <v>2.4515674999999999</v>
      </c>
      <c r="N1128" s="209" t="str">
        <f>IFERROR(VLOOKUP(F1128,Back!C:F,4,0),"NO")</f>
        <v>Si</v>
      </c>
      <c r="O1128" s="26">
        <v>25</v>
      </c>
      <c r="P1128" s="28" t="str">
        <f>IFERROR(VLOOKUP(F1128,Back!C:E,3,0),"")</f>
        <v>IPS Pto De Vista Rionegro</v>
      </c>
      <c r="Q1128" s="28" t="str">
        <f>IFERROR(VLOOKUP(P1128,Back!M:N,2,0),"")</f>
        <v>Antioquia</v>
      </c>
      <c r="R1128" s="27" t="str">
        <f>IF(N1128="Si",IFERROR(VLOOKUP(F1128,'TD Cumpl'!B:AB,27,0),"No Aplica"),"No Aplica")</f>
        <v>Siempre Cumple</v>
      </c>
      <c r="S1128" s="38">
        <v>102</v>
      </c>
      <c r="T1128" s="36">
        <v>12210967</v>
      </c>
      <c r="U1128" s="26">
        <v>260</v>
      </c>
      <c r="V1128" s="37">
        <v>32703231</v>
      </c>
      <c r="W1128" s="19">
        <v>108</v>
      </c>
      <c r="X1128" s="37">
        <v>8704737</v>
      </c>
      <c r="Y1128" s="46">
        <f t="shared" si="36"/>
        <v>4884925</v>
      </c>
      <c r="Z1128" s="19" t="s">
        <v>317</v>
      </c>
    </row>
    <row r="1129" spans="1:26" x14ac:dyDescent="0.25">
      <c r="A1129" s="20">
        <f>+VLOOKUP(D1129,Back!Q:R,2,0)</f>
        <v>1</v>
      </c>
      <c r="B1129" s="20" t="str">
        <f t="shared" si="35"/>
        <v>2018 ENE</v>
      </c>
      <c r="C1129" s="30">
        <v>2018</v>
      </c>
      <c r="D1129" s="30" t="s">
        <v>122</v>
      </c>
      <c r="E1129" s="30" t="s">
        <v>23</v>
      </c>
      <c r="F1129" s="30">
        <v>43907427</v>
      </c>
      <c r="G1129" s="30" t="s">
        <v>144</v>
      </c>
      <c r="H1129" s="32">
        <v>22923440</v>
      </c>
      <c r="I1129" s="32">
        <v>0</v>
      </c>
      <c r="J1129" s="32">
        <v>1805839</v>
      </c>
      <c r="K1129" s="33">
        <v>21117601</v>
      </c>
      <c r="L1129" s="33">
        <v>17600000</v>
      </c>
      <c r="M1129" s="34">
        <v>1.1998636931818183</v>
      </c>
      <c r="N1129" s="209" t="str">
        <f>IFERROR(VLOOKUP(F1129,Back!C:F,4,0),"NO")</f>
        <v>Si</v>
      </c>
      <c r="O1129" s="26">
        <v>25</v>
      </c>
      <c r="P1129" s="28" t="str">
        <f>IFERROR(VLOOKUP(F1129,Back!C:E,3,0),"")</f>
        <v>IPS Pto De Vista Industriales</v>
      </c>
      <c r="Q1129" s="28" t="str">
        <f>IFERROR(VLOOKUP(P1129,Back!M:N,2,0),"")</f>
        <v>Antioquia</v>
      </c>
      <c r="R1129" s="27" t="str">
        <f>IF(N1129="Si",IFERROR(VLOOKUP(F1129,'TD Cumpl'!B:AB,27,0),"No Aplica"),"No Aplica")</f>
        <v>Siempre Cumple</v>
      </c>
      <c r="S1129" s="38">
        <v>22</v>
      </c>
      <c r="T1129" s="36">
        <v>4745110</v>
      </c>
      <c r="U1129" s="26">
        <v>76</v>
      </c>
      <c r="V1129" s="37">
        <v>14264762</v>
      </c>
      <c r="W1129" s="19">
        <v>20</v>
      </c>
      <c r="X1129" s="37">
        <v>1805839</v>
      </c>
      <c r="Y1129" s="46">
        <f t="shared" si="36"/>
        <v>2107729</v>
      </c>
      <c r="Z1129" s="19" t="s">
        <v>319</v>
      </c>
    </row>
    <row r="1130" spans="1:26" x14ac:dyDescent="0.25">
      <c r="A1130" s="20">
        <f>+VLOOKUP(D1130,Back!Q:R,2,0)</f>
        <v>1</v>
      </c>
      <c r="B1130" s="20" t="str">
        <f t="shared" si="35"/>
        <v>2018 ENE</v>
      </c>
      <c r="C1130" s="30">
        <v>2018</v>
      </c>
      <c r="D1130" s="30" t="s">
        <v>122</v>
      </c>
      <c r="E1130" s="30" t="s">
        <v>181</v>
      </c>
      <c r="F1130" s="30">
        <v>32183069</v>
      </c>
      <c r="G1130" s="30" t="s">
        <v>182</v>
      </c>
      <c r="H1130" s="32">
        <v>40163309</v>
      </c>
      <c r="I1130" s="32">
        <v>866000</v>
      </c>
      <c r="J1130" s="32">
        <v>11986675</v>
      </c>
      <c r="K1130" s="33">
        <v>27310634</v>
      </c>
      <c r="L1130" s="33">
        <v>22000000</v>
      </c>
      <c r="M1130" s="34">
        <v>1.2413924545454544</v>
      </c>
      <c r="N1130" s="209" t="str">
        <f>IFERROR(VLOOKUP(F1130,Back!C:F,4,0),"NO")</f>
        <v>Si</v>
      </c>
      <c r="O1130" s="26">
        <v>25</v>
      </c>
      <c r="P1130" s="28" t="str">
        <f>IFERROR(VLOOKUP(F1130,Back!C:E,3,0),"")</f>
        <v>IPS Pto De Vista Molinos</v>
      </c>
      <c r="Q1130" s="28" t="str">
        <f>IFERROR(VLOOKUP(P1130,Back!M:N,2,0),"")</f>
        <v>Antioquia</v>
      </c>
      <c r="R1130" s="27" t="str">
        <f>IF(N1130="Si",IFERROR(VLOOKUP(F1130,'TD Cumpl'!B:AB,27,0),"No Aplica"),"No Aplica")</f>
        <v>No Cumple</v>
      </c>
      <c r="S1130" s="38">
        <v>71</v>
      </c>
      <c r="T1130" s="36">
        <v>6601958</v>
      </c>
      <c r="U1130" s="26">
        <v>174</v>
      </c>
      <c r="V1130" s="37">
        <v>17023595</v>
      </c>
      <c r="W1130" s="19">
        <v>121</v>
      </c>
      <c r="X1130" s="37">
        <v>11986675</v>
      </c>
      <c r="Y1130" s="46">
        <f t="shared" si="36"/>
        <v>4551081</v>
      </c>
      <c r="Z1130" s="19" t="s">
        <v>318</v>
      </c>
    </row>
    <row r="1131" spans="1:26" x14ac:dyDescent="0.25">
      <c r="A1131" s="20">
        <f>+VLOOKUP(D1131,Back!Q:R,2,0)</f>
        <v>1</v>
      </c>
      <c r="B1131" s="20" t="str">
        <f t="shared" si="35"/>
        <v>2018 ENE</v>
      </c>
      <c r="C1131" s="30">
        <v>2018</v>
      </c>
      <c r="D1131" s="30" t="s">
        <v>122</v>
      </c>
      <c r="E1131" s="30" t="s">
        <v>88</v>
      </c>
      <c r="F1131" s="30">
        <v>31445278</v>
      </c>
      <c r="G1131" s="30" t="s">
        <v>93</v>
      </c>
      <c r="H1131" s="32">
        <v>38004568</v>
      </c>
      <c r="I1131" s="32">
        <v>0</v>
      </c>
      <c r="J1131" s="32">
        <v>8804602</v>
      </c>
      <c r="K1131" s="33">
        <v>29199966</v>
      </c>
      <c r="L1131" s="33">
        <v>30000000</v>
      </c>
      <c r="M1131" s="34">
        <v>0.97333219999999998</v>
      </c>
      <c r="N1131" s="209" t="str">
        <f>IFERROR(VLOOKUP(F1131,Back!C:F,4,0),"NO")</f>
        <v>Si</v>
      </c>
      <c r="O1131" s="26">
        <v>25</v>
      </c>
      <c r="P1131" s="28" t="str">
        <f>IFERROR(VLOOKUP(F1131,Back!C:E,3,0),"")</f>
        <v>Punto de Vista Tequendama</v>
      </c>
      <c r="Q1131" s="28" t="str">
        <f>IFERROR(VLOOKUP(P1131,Back!M:N,2,0),"")</f>
        <v>Occidente</v>
      </c>
      <c r="R1131" s="27" t="str">
        <f>IF(N1131="Si",IFERROR(VLOOKUP(F1131,'TD Cumpl'!B:AB,27,0),"No Aplica"),"No Aplica")</f>
        <v>Cumple</v>
      </c>
      <c r="S1131" s="38">
        <v>64</v>
      </c>
      <c r="T1131" s="36">
        <v>5591158</v>
      </c>
      <c r="U1131" s="26">
        <v>266</v>
      </c>
      <c r="V1131" s="37">
        <v>21033743</v>
      </c>
      <c r="W1131" s="19">
        <v>100</v>
      </c>
      <c r="X1131" s="37">
        <v>8804602</v>
      </c>
      <c r="Y1131" s="46">
        <f t="shared" si="36"/>
        <v>2575065</v>
      </c>
      <c r="Z1131" s="19" t="s">
        <v>318</v>
      </c>
    </row>
    <row r="1132" spans="1:26" x14ac:dyDescent="0.25">
      <c r="A1132" s="20">
        <f>+VLOOKUP(D1132,Back!Q:R,2,0)</f>
        <v>1</v>
      </c>
      <c r="B1132" s="20" t="str">
        <f t="shared" si="35"/>
        <v>2018 ENE</v>
      </c>
      <c r="C1132" s="30">
        <v>2018</v>
      </c>
      <c r="D1132" s="30" t="s">
        <v>122</v>
      </c>
      <c r="E1132" s="30" t="s">
        <v>62</v>
      </c>
      <c r="F1132" s="30">
        <v>32256379</v>
      </c>
      <c r="G1132" s="30" t="s">
        <v>61</v>
      </c>
      <c r="H1132" s="32">
        <v>19993749</v>
      </c>
      <c r="I1132" s="32">
        <v>0</v>
      </c>
      <c r="J1132" s="32">
        <v>2946031</v>
      </c>
      <c r="K1132" s="33">
        <v>17047718</v>
      </c>
      <c r="L1132" s="33">
        <v>28000000</v>
      </c>
      <c r="M1132" s="34">
        <v>0.60884707142857142</v>
      </c>
      <c r="N1132" s="209" t="str">
        <f>IFERROR(VLOOKUP(F1132,Back!C:F,4,0),"NO")</f>
        <v>Si</v>
      </c>
      <c r="O1132" s="26">
        <v>25</v>
      </c>
      <c r="P1132" s="28" t="str">
        <f>IFERROR(VLOOKUP(F1132,Back!C:E,3,0),"")</f>
        <v>Ferias Empresariales Antioquia</v>
      </c>
      <c r="Q1132" s="28" t="str">
        <f>IFERROR(VLOOKUP(P1132,Back!M:N,2,0),"")</f>
        <v>Antioquia</v>
      </c>
      <c r="R1132" s="27" t="str">
        <f>IF(N1132="Si",IFERROR(VLOOKUP(F1132,'TD Cumpl'!B:AB,27,0),"No Aplica"),"No Aplica")</f>
        <v>Fluctúa</v>
      </c>
      <c r="S1132" s="38">
        <v>18</v>
      </c>
      <c r="T1132" s="36">
        <v>2854592</v>
      </c>
      <c r="U1132" s="26">
        <v>66</v>
      </c>
      <c r="V1132" s="37">
        <v>10087413</v>
      </c>
      <c r="W1132" s="19">
        <v>38</v>
      </c>
      <c r="X1132" s="37">
        <v>2946031</v>
      </c>
      <c r="Y1132" s="46">
        <f t="shared" si="36"/>
        <v>4105713</v>
      </c>
      <c r="Z1132" s="51" t="s">
        <v>319</v>
      </c>
    </row>
    <row r="1133" spans="1:26" x14ac:dyDescent="0.25">
      <c r="A1133" s="20">
        <f>+VLOOKUP(D1133,Back!Q:R,2,0)</f>
        <v>1</v>
      </c>
      <c r="B1133" s="20" t="str">
        <f t="shared" si="35"/>
        <v>2018 ENE</v>
      </c>
      <c r="C1133" s="30">
        <v>2018</v>
      </c>
      <c r="D1133" s="30" t="s">
        <v>122</v>
      </c>
      <c r="E1133" s="30" t="s">
        <v>4</v>
      </c>
      <c r="F1133" s="30">
        <v>79701425</v>
      </c>
      <c r="G1133" s="30" t="s">
        <v>27</v>
      </c>
      <c r="H1133" s="32">
        <v>26263354</v>
      </c>
      <c r="I1133" s="32">
        <v>625400</v>
      </c>
      <c r="J1133" s="32">
        <v>5246424</v>
      </c>
      <c r="K1133" s="33">
        <v>20391530</v>
      </c>
      <c r="L1133" s="33">
        <v>20000000</v>
      </c>
      <c r="M1133" s="34">
        <v>1.0195765000000001</v>
      </c>
      <c r="N1133" s="209" t="str">
        <f>IFERROR(VLOOKUP(F1133,Back!C:F,4,0),"NO")</f>
        <v>No</v>
      </c>
      <c r="O1133" s="26">
        <v>25</v>
      </c>
      <c r="P1133" s="28" t="str">
        <f>IFERROR(VLOOKUP(F1133,Back!C:E,3,0),"")</f>
        <v>IPS Pto De Vista Olaya</v>
      </c>
      <c r="Q1133" s="28" t="str">
        <f>IFERROR(VLOOKUP(P1133,Back!M:N,2,0),"")</f>
        <v>Centro</v>
      </c>
      <c r="R1133" s="27" t="str">
        <f>IF(N1133="Si",IFERROR(VLOOKUP(F1133,'TD Cumpl'!B:AB,27,0),"No Aplica"),"No Aplica")</f>
        <v>No Aplica</v>
      </c>
      <c r="S1133" s="38">
        <v>64</v>
      </c>
      <c r="T1133" s="36">
        <v>4435956</v>
      </c>
      <c r="U1133" s="26">
        <v>170</v>
      </c>
      <c r="V1133" s="37">
        <v>14477540</v>
      </c>
      <c r="W1133" s="19">
        <v>77</v>
      </c>
      <c r="X1133" s="37">
        <v>5246424</v>
      </c>
      <c r="Y1133" s="46">
        <f t="shared" si="36"/>
        <v>2103434</v>
      </c>
    </row>
    <row r="1134" spans="1:26" x14ac:dyDescent="0.25">
      <c r="A1134" s="20">
        <f>+VLOOKUP(D1134,Back!Q:R,2,0)</f>
        <v>1</v>
      </c>
      <c r="B1134" s="20" t="str">
        <f t="shared" si="35"/>
        <v>2018 ENE</v>
      </c>
      <c r="C1134" s="30">
        <v>2018</v>
      </c>
      <c r="D1134" s="30" t="s">
        <v>122</v>
      </c>
      <c r="E1134" s="30" t="s">
        <v>5</v>
      </c>
      <c r="F1134" s="30">
        <v>34542470</v>
      </c>
      <c r="G1134" s="30" t="s">
        <v>28</v>
      </c>
      <c r="H1134" s="32">
        <v>32007710</v>
      </c>
      <c r="I1134" s="32">
        <v>927000</v>
      </c>
      <c r="J1134" s="32">
        <v>4497745</v>
      </c>
      <c r="K1134" s="33">
        <v>26582965</v>
      </c>
      <c r="L1134" s="33">
        <v>33600000</v>
      </c>
      <c r="M1134" s="34">
        <v>0.79115967261904763</v>
      </c>
      <c r="N1134" s="209" t="str">
        <f>IFERROR(VLOOKUP(F1134,Back!C:F,4,0),"NO")</f>
        <v>Si</v>
      </c>
      <c r="O1134" s="26">
        <v>25</v>
      </c>
      <c r="P1134" s="28" t="str">
        <f>IFERROR(VLOOKUP(F1134,Back!C:E,3,0),"")</f>
        <v>Optica Salud Sura Chipichape</v>
      </c>
      <c r="Q1134" s="28" t="str">
        <f>IFERROR(VLOOKUP(P1134,Back!M:N,2,0),"")</f>
        <v>Occidente</v>
      </c>
      <c r="R1134" s="27" t="str">
        <f>IF(N1134="Si",IFERROR(VLOOKUP(F1134,'TD Cumpl'!B:AB,27,0),"No Aplica"),"No Aplica")</f>
        <v>Siempre Cumple</v>
      </c>
      <c r="S1134" s="38">
        <v>44</v>
      </c>
      <c r="T1134" s="36">
        <v>6465944</v>
      </c>
      <c r="U1134" s="26">
        <v>160</v>
      </c>
      <c r="V1134" s="37">
        <v>17934637</v>
      </c>
      <c r="W1134" s="19">
        <v>51</v>
      </c>
      <c r="X1134" s="37">
        <v>4497745</v>
      </c>
      <c r="Y1134" s="46">
        <f t="shared" si="36"/>
        <v>3109384</v>
      </c>
      <c r="Z1134" s="19" t="s">
        <v>319</v>
      </c>
    </row>
    <row r="1135" spans="1:26" x14ac:dyDescent="0.25">
      <c r="A1135" s="20">
        <f>+VLOOKUP(D1135,Back!Q:R,2,0)</f>
        <v>1</v>
      </c>
      <c r="B1135" s="20" t="str">
        <f t="shared" si="35"/>
        <v>2018 ENE</v>
      </c>
      <c r="C1135" s="30">
        <v>2018</v>
      </c>
      <c r="D1135" s="30" t="s">
        <v>122</v>
      </c>
      <c r="E1135" s="30" t="s">
        <v>103</v>
      </c>
      <c r="F1135" s="30">
        <v>1020409789</v>
      </c>
      <c r="G1135" s="30" t="s">
        <v>145</v>
      </c>
      <c r="H1135" s="32">
        <v>77956760</v>
      </c>
      <c r="I1135" s="32">
        <v>1264000</v>
      </c>
      <c r="J1135" s="32">
        <v>13380457</v>
      </c>
      <c r="K1135" s="33">
        <v>63312303</v>
      </c>
      <c r="L1135" s="33">
        <v>44000000</v>
      </c>
      <c r="M1135" s="34">
        <v>1.4389159772727274</v>
      </c>
      <c r="N1135" s="209" t="str">
        <f>IFERROR(VLOOKUP(F1135,Back!C:F,4,0),"NO")</f>
        <v>Si</v>
      </c>
      <c r="O1135" s="26">
        <v>25</v>
      </c>
      <c r="P1135" s="28" t="str">
        <f>IFERROR(VLOOKUP(F1135,Back!C:E,3,0),"")</f>
        <v>IPS Pto De Vista Molinos</v>
      </c>
      <c r="Q1135" s="28" t="str">
        <f>IFERROR(VLOOKUP(P1135,Back!M:N,2,0),"")</f>
        <v>Antioquia</v>
      </c>
      <c r="R1135" s="27" t="str">
        <f>IF(N1135="Si",IFERROR(VLOOKUP(F1135,'TD Cumpl'!B:AB,27,0),"No Aplica"),"No Aplica")</f>
        <v>Cumple</v>
      </c>
      <c r="S1135" s="38">
        <v>134</v>
      </c>
      <c r="T1135" s="36">
        <v>16391426</v>
      </c>
      <c r="U1135" s="26">
        <v>324</v>
      </c>
      <c r="V1135" s="37">
        <v>40722401</v>
      </c>
      <c r="W1135" s="19">
        <v>151</v>
      </c>
      <c r="X1135" s="37">
        <v>13380457</v>
      </c>
      <c r="Y1135" s="46">
        <f t="shared" si="36"/>
        <v>7462476</v>
      </c>
      <c r="Z1135" s="19" t="s">
        <v>318</v>
      </c>
    </row>
    <row r="1136" spans="1:26" x14ac:dyDescent="0.25">
      <c r="A1136" s="20">
        <f>+VLOOKUP(D1136,Back!Q:R,2,0)</f>
        <v>1</v>
      </c>
      <c r="B1136" s="20" t="str">
        <f t="shared" si="35"/>
        <v>2018 ENE</v>
      </c>
      <c r="C1136" s="30">
        <v>2018</v>
      </c>
      <c r="D1136" s="30" t="s">
        <v>122</v>
      </c>
      <c r="E1136" s="30" t="s">
        <v>149</v>
      </c>
      <c r="F1136" s="30">
        <v>1130597373</v>
      </c>
      <c r="G1136" s="30" t="s">
        <v>150</v>
      </c>
      <c r="H1136" s="32">
        <v>25398145</v>
      </c>
      <c r="I1136" s="32">
        <v>203040</v>
      </c>
      <c r="J1136" s="32">
        <v>6029236</v>
      </c>
      <c r="K1136" s="33">
        <v>19165869</v>
      </c>
      <c r="L1136" s="33">
        <v>30200000</v>
      </c>
      <c r="M1136" s="34">
        <v>0.63463142384105964</v>
      </c>
      <c r="N1136" s="209" t="str">
        <f>IFERROR(VLOOKUP(F1136,Back!C:F,4,0),"NO")</f>
        <v>Si</v>
      </c>
      <c r="O1136" s="26">
        <v>25</v>
      </c>
      <c r="P1136" s="28" t="str">
        <f>IFERROR(VLOOKUP(F1136,Back!C:E,3,0),"")</f>
        <v>Punto de Vista Cali Norte</v>
      </c>
      <c r="Q1136" s="28" t="str">
        <f>IFERROR(VLOOKUP(P1136,Back!M:N,2,0),"")</f>
        <v>Occidente</v>
      </c>
      <c r="R1136" s="27" t="str">
        <f>IF(N1136="Si",IFERROR(VLOOKUP(F1136,'TD Cumpl'!B:AB,27,0),"No Aplica"),"No Aplica")</f>
        <v>Fluctúa</v>
      </c>
      <c r="S1136" s="38">
        <v>41</v>
      </c>
      <c r="T1136" s="36">
        <v>4621718</v>
      </c>
      <c r="U1136" s="26">
        <v>130</v>
      </c>
      <c r="V1136" s="37">
        <v>11884865</v>
      </c>
      <c r="W1136" s="19">
        <v>65</v>
      </c>
      <c r="X1136" s="37">
        <v>6029236</v>
      </c>
      <c r="Y1136" s="46">
        <f t="shared" si="36"/>
        <v>2862326</v>
      </c>
      <c r="Z1136" s="19" t="s">
        <v>318</v>
      </c>
    </row>
    <row r="1137" spans="1:26" x14ac:dyDescent="0.25">
      <c r="A1137" s="20">
        <f>+VLOOKUP(D1137,Back!Q:R,2,0)</f>
        <v>1</v>
      </c>
      <c r="B1137" s="20" t="str">
        <f t="shared" si="35"/>
        <v>2018 ENE</v>
      </c>
      <c r="C1137" s="30">
        <v>2018</v>
      </c>
      <c r="D1137" s="30" t="s">
        <v>122</v>
      </c>
      <c r="E1137" s="30" t="s">
        <v>7</v>
      </c>
      <c r="F1137" s="30">
        <v>43745952</v>
      </c>
      <c r="G1137" s="30" t="s">
        <v>50</v>
      </c>
      <c r="H1137" s="32">
        <v>96204575</v>
      </c>
      <c r="I1137" s="32">
        <v>2500000</v>
      </c>
      <c r="J1137" s="32">
        <v>19086981</v>
      </c>
      <c r="K1137" s="33">
        <v>74617594</v>
      </c>
      <c r="L1137" s="33">
        <v>44000000</v>
      </c>
      <c r="M1137" s="34">
        <v>1.6958544090909091</v>
      </c>
      <c r="N1137" s="209" t="str">
        <f>IFERROR(VLOOKUP(F1137,Back!C:F,4,0),"NO")</f>
        <v>Si</v>
      </c>
      <c r="O1137" s="26">
        <v>25</v>
      </c>
      <c r="P1137" s="28" t="str">
        <f>IFERROR(VLOOKUP(F1137,Back!C:E,3,0),"")</f>
        <v>IPS Pto De Vista Unicentro</v>
      </c>
      <c r="Q1137" s="28" t="str">
        <f>IFERROR(VLOOKUP(P1137,Back!M:N,2,0),"")</f>
        <v>Antioquia</v>
      </c>
      <c r="R1137" s="27" t="str">
        <f>IF(N1137="Si",IFERROR(VLOOKUP(F1137,'TD Cumpl'!B:AB,27,0),"No Aplica"),"No Aplica")</f>
        <v>Siempre Cumple</v>
      </c>
      <c r="S1137" s="38">
        <v>138</v>
      </c>
      <c r="T1137" s="36">
        <v>16401583</v>
      </c>
      <c r="U1137" s="26">
        <v>321</v>
      </c>
      <c r="V1137" s="37">
        <v>50118535</v>
      </c>
      <c r="W1137" s="19">
        <v>201</v>
      </c>
      <c r="X1137" s="37">
        <v>19086981</v>
      </c>
      <c r="Y1137" s="46">
        <f t="shared" si="36"/>
        <v>10597476</v>
      </c>
      <c r="Z1137" s="19" t="s">
        <v>318</v>
      </c>
    </row>
    <row r="1138" spans="1:26" x14ac:dyDescent="0.25">
      <c r="A1138" s="20">
        <f>+VLOOKUP(D1138,Back!Q:R,2,0)</f>
        <v>1</v>
      </c>
      <c r="B1138" s="20" t="str">
        <f t="shared" si="35"/>
        <v>2018 ENE</v>
      </c>
      <c r="C1138" s="30">
        <v>2018</v>
      </c>
      <c r="D1138" s="30" t="s">
        <v>122</v>
      </c>
      <c r="E1138" s="30" t="s">
        <v>169</v>
      </c>
      <c r="F1138" s="30">
        <v>66857504</v>
      </c>
      <c r="G1138" s="30" t="s">
        <v>170</v>
      </c>
      <c r="H1138" s="32">
        <v>5824860</v>
      </c>
      <c r="I1138" s="32">
        <v>0</v>
      </c>
      <c r="J1138" s="32">
        <v>1913160</v>
      </c>
      <c r="K1138" s="33">
        <v>3911700</v>
      </c>
      <c r="L1138" s="33">
        <v>2400000</v>
      </c>
      <c r="M1138" s="34">
        <v>1.629875</v>
      </c>
      <c r="N1138" s="209" t="str">
        <f>IFERROR(VLOOKUP(F1138,Back!C:F,4,0),"NO")</f>
        <v>No</v>
      </c>
      <c r="O1138" s="26">
        <v>25</v>
      </c>
      <c r="P1138" s="28" t="str">
        <f>IFERROR(VLOOKUP(F1138,Back!C:E,3,0),"")</f>
        <v/>
      </c>
      <c r="Q1138" s="28" t="str">
        <f>IFERROR(VLOOKUP(P1138,Back!M:N,2,0),"")</f>
        <v/>
      </c>
      <c r="R1138" s="27" t="str">
        <f>IF(N1138="Si",IFERROR(VLOOKUP(F1138,'TD Cumpl'!B:AB,27,0),"No Aplica"),"No Aplica")</f>
        <v>No Aplica</v>
      </c>
      <c r="S1138" s="38">
        <v>9</v>
      </c>
      <c r="T1138" s="36">
        <v>695212</v>
      </c>
      <c r="U1138" s="26">
        <v>46</v>
      </c>
      <c r="V1138" s="37">
        <v>2692485</v>
      </c>
      <c r="W1138" s="19">
        <v>23</v>
      </c>
      <c r="X1138" s="37">
        <v>1913160</v>
      </c>
      <c r="Y1138" s="46">
        <f t="shared" si="36"/>
        <v>524003</v>
      </c>
    </row>
    <row r="1139" spans="1:26" x14ac:dyDescent="0.25">
      <c r="A1139" s="20">
        <f>+VLOOKUP(D1139,Back!Q:R,2,0)</f>
        <v>1</v>
      </c>
      <c r="B1139" s="20" t="str">
        <f t="shared" si="35"/>
        <v>2018 ENE</v>
      </c>
      <c r="C1139" s="30">
        <v>2018</v>
      </c>
      <c r="D1139" s="30" t="s">
        <v>122</v>
      </c>
      <c r="E1139" s="30" t="s">
        <v>177</v>
      </c>
      <c r="F1139" s="30">
        <v>1035913369</v>
      </c>
      <c r="G1139" s="30" t="s">
        <v>183</v>
      </c>
      <c r="H1139" s="32">
        <v>25401781</v>
      </c>
      <c r="I1139" s="32">
        <v>1306000</v>
      </c>
      <c r="J1139" s="32">
        <v>5633122</v>
      </c>
      <c r="K1139" s="33">
        <v>18462659</v>
      </c>
      <c r="L1139" s="33">
        <v>42000000</v>
      </c>
      <c r="M1139" s="34">
        <v>0.43958711904761905</v>
      </c>
      <c r="N1139" s="209" t="str">
        <f>IFERROR(VLOOKUP(F1139,Back!C:F,4,0),"NO")</f>
        <v>Si</v>
      </c>
      <c r="O1139" s="26">
        <v>25</v>
      </c>
      <c r="P1139" s="28" t="str">
        <f>IFERROR(VLOOKUP(F1139,Back!C:E,3,0),"")</f>
        <v>IPS Pto De Vista Centro</v>
      </c>
      <c r="Q1139" s="28" t="str">
        <f>IFERROR(VLOOKUP(P1139,Back!M:N,2,0),"")</f>
        <v>Antioquia</v>
      </c>
      <c r="R1139" s="27" t="str">
        <f>IF(N1139="Si",IFERROR(VLOOKUP(F1139,'TD Cumpl'!B:AB,27,0),"No Aplica"),"No Aplica")</f>
        <v>Fluctúa</v>
      </c>
      <c r="S1139" s="38">
        <v>45</v>
      </c>
      <c r="T1139" s="36">
        <v>4659398</v>
      </c>
      <c r="U1139" s="26">
        <v>102</v>
      </c>
      <c r="V1139" s="37">
        <v>10186236</v>
      </c>
      <c r="W1139" s="19">
        <v>69</v>
      </c>
      <c r="X1139" s="37">
        <v>5633122</v>
      </c>
      <c r="Y1139" s="46">
        <f t="shared" si="36"/>
        <v>4923025</v>
      </c>
      <c r="Z1139" s="19" t="s">
        <v>318</v>
      </c>
    </row>
    <row r="1140" spans="1:26" x14ac:dyDescent="0.25">
      <c r="A1140" s="20">
        <f>+VLOOKUP(D1140,Back!Q:R,2,0)</f>
        <v>1</v>
      </c>
      <c r="B1140" s="20" t="str">
        <f t="shared" si="35"/>
        <v>2018 ENE</v>
      </c>
      <c r="C1140" s="30">
        <v>2018</v>
      </c>
      <c r="D1140" s="30" t="s">
        <v>122</v>
      </c>
      <c r="E1140" s="30" t="s">
        <v>90</v>
      </c>
      <c r="F1140" s="30">
        <v>1020419011</v>
      </c>
      <c r="G1140" s="30" t="s">
        <v>97</v>
      </c>
      <c r="H1140" s="32">
        <v>68451621</v>
      </c>
      <c r="I1140" s="32">
        <v>1077200</v>
      </c>
      <c r="J1140" s="32">
        <v>18184222</v>
      </c>
      <c r="K1140" s="33">
        <v>49190199</v>
      </c>
      <c r="L1140" s="33">
        <v>44000000</v>
      </c>
      <c r="M1140" s="34">
        <v>1.1179590681818181</v>
      </c>
      <c r="N1140" s="209" t="str">
        <f>IFERROR(VLOOKUP(F1140,Back!C:F,4,0),"NO")</f>
        <v>Si</v>
      </c>
      <c r="O1140" s="26">
        <v>25</v>
      </c>
      <c r="P1140" s="28" t="str">
        <f>IFERROR(VLOOKUP(F1140,Back!C:E,3,0),"")</f>
        <v>IPS Pto De Vista Punto Clave</v>
      </c>
      <c r="Q1140" s="28" t="str">
        <f>IFERROR(VLOOKUP(P1140,Back!M:N,2,0),"")</f>
        <v>Antioquia</v>
      </c>
      <c r="R1140" s="27" t="str">
        <f>IF(N1140="Si",IFERROR(VLOOKUP(F1140,'TD Cumpl'!B:AB,27,0),"No Aplica"),"No Aplica")</f>
        <v>Cumple</v>
      </c>
      <c r="S1140" s="38">
        <v>117</v>
      </c>
      <c r="T1140" s="36">
        <v>13016283</v>
      </c>
      <c r="U1140" s="26">
        <v>276</v>
      </c>
      <c r="V1140" s="37">
        <v>29591966</v>
      </c>
      <c r="W1140" s="19">
        <v>184</v>
      </c>
      <c r="X1140" s="37">
        <v>18184222</v>
      </c>
      <c r="Y1140" s="46">
        <f t="shared" si="36"/>
        <v>7659150</v>
      </c>
      <c r="Z1140" s="19" t="s">
        <v>318</v>
      </c>
    </row>
    <row r="1141" spans="1:26" x14ac:dyDescent="0.25">
      <c r="A1141" s="20">
        <f>+VLOOKUP(D1141,Back!Q:R,2,0)</f>
        <v>1</v>
      </c>
      <c r="B1141" s="20" t="str">
        <f t="shared" si="35"/>
        <v>2018 ENE</v>
      </c>
      <c r="C1141" s="30">
        <v>2018</v>
      </c>
      <c r="D1141" s="30" t="s">
        <v>122</v>
      </c>
      <c r="E1141" s="30" t="s">
        <v>121</v>
      </c>
      <c r="F1141" s="30">
        <v>21982241</v>
      </c>
      <c r="G1141" s="30" t="s">
        <v>143</v>
      </c>
      <c r="H1141" s="32">
        <v>55056616</v>
      </c>
      <c r="I1141" s="32">
        <v>618000</v>
      </c>
      <c r="J1141" s="32">
        <v>12829728</v>
      </c>
      <c r="K1141" s="33">
        <v>41608888</v>
      </c>
      <c r="L1141" s="33">
        <v>35000000</v>
      </c>
      <c r="M1141" s="34">
        <v>1.1888253714285715</v>
      </c>
      <c r="N1141" s="209" t="str">
        <f>IFERROR(VLOOKUP(F1141,Back!C:F,4,0),"NO")</f>
        <v>Si</v>
      </c>
      <c r="O1141" s="26">
        <v>25</v>
      </c>
      <c r="P1141" s="28" t="str">
        <f>IFERROR(VLOOKUP(F1141,Back!C:E,3,0),"")</f>
        <v>IPS Punto de Vista Bello</v>
      </c>
      <c r="Q1141" s="28" t="str">
        <f>IFERROR(VLOOKUP(P1141,Back!M:N,2,0),"")</f>
        <v>Antioquia</v>
      </c>
      <c r="R1141" s="27" t="str">
        <f>IF(N1141="Si",IFERROR(VLOOKUP(F1141,'TD Cumpl'!B:AB,27,0),"No Aplica"),"No Aplica")</f>
        <v>Fluctúa</v>
      </c>
      <c r="S1141" s="38">
        <v>102</v>
      </c>
      <c r="T1141" s="36">
        <v>9162426</v>
      </c>
      <c r="U1141" s="26">
        <v>288</v>
      </c>
      <c r="V1141" s="37">
        <v>27142867</v>
      </c>
      <c r="W1141" s="19">
        <v>147</v>
      </c>
      <c r="X1141" s="37">
        <v>12829728</v>
      </c>
      <c r="Y1141" s="46">
        <f t="shared" si="36"/>
        <v>5921595</v>
      </c>
      <c r="Z1141" s="19" t="s">
        <v>318</v>
      </c>
    </row>
    <row r="1142" spans="1:26" x14ac:dyDescent="0.25">
      <c r="A1142" s="20">
        <f>+VLOOKUP(D1142,Back!Q:R,2,0)</f>
        <v>1</v>
      </c>
      <c r="B1142" s="20" t="str">
        <f t="shared" si="35"/>
        <v>2018 ENE</v>
      </c>
      <c r="C1142" s="30">
        <v>2018</v>
      </c>
      <c r="D1142" s="30" t="s">
        <v>122</v>
      </c>
      <c r="E1142" s="30" t="s">
        <v>117</v>
      </c>
      <c r="F1142" s="30">
        <v>1020419615</v>
      </c>
      <c r="G1142" s="30" t="s">
        <v>118</v>
      </c>
      <c r="H1142" s="32">
        <v>74835445</v>
      </c>
      <c r="I1142" s="32">
        <v>1732000</v>
      </c>
      <c r="J1142" s="32">
        <v>17592084</v>
      </c>
      <c r="K1142" s="33">
        <v>55511361</v>
      </c>
      <c r="L1142" s="33">
        <v>44000000</v>
      </c>
      <c r="M1142" s="34">
        <v>1.2616218409090909</v>
      </c>
      <c r="N1142" s="209" t="str">
        <f>IFERROR(VLOOKUP(F1142,Back!C:F,4,0),"NO")</f>
        <v>Si</v>
      </c>
      <c r="O1142" s="26">
        <v>25</v>
      </c>
      <c r="P1142" s="28" t="str">
        <f>IFERROR(VLOOKUP(F1142,Back!C:E,3,0),"")</f>
        <v>IPS Pto De Vista Punto Clave</v>
      </c>
      <c r="Q1142" s="28" t="str">
        <f>IFERROR(VLOOKUP(P1142,Back!M:N,2,0),"")</f>
        <v>Antioquia</v>
      </c>
      <c r="R1142" s="27" t="str">
        <f>IF(N1142="Si",IFERROR(VLOOKUP(F1142,'TD Cumpl'!B:AB,27,0),"No Aplica"),"No Aplica")</f>
        <v>Cumple</v>
      </c>
      <c r="S1142" s="38">
        <v>118</v>
      </c>
      <c r="T1142" s="36">
        <v>12405613</v>
      </c>
      <c r="U1142" s="26">
        <v>324</v>
      </c>
      <c r="V1142" s="37">
        <v>35239941</v>
      </c>
      <c r="W1142" s="19">
        <v>180</v>
      </c>
      <c r="X1142" s="37">
        <v>17592084</v>
      </c>
      <c r="Y1142" s="46">
        <f t="shared" si="36"/>
        <v>9597807</v>
      </c>
      <c r="Z1142" s="19" t="s">
        <v>318</v>
      </c>
    </row>
    <row r="1143" spans="1:26" x14ac:dyDescent="0.25">
      <c r="A1143" s="20">
        <f>+VLOOKUP(D1143,Back!Q:R,2,0)</f>
        <v>1</v>
      </c>
      <c r="B1143" s="20" t="str">
        <f t="shared" si="35"/>
        <v>2018 ENE</v>
      </c>
      <c r="C1143" s="30">
        <v>2018</v>
      </c>
      <c r="D1143" s="30" t="s">
        <v>122</v>
      </c>
      <c r="E1143" s="30" t="s">
        <v>8</v>
      </c>
      <c r="F1143" s="30">
        <v>43259130</v>
      </c>
      <c r="G1143" s="30" t="s">
        <v>51</v>
      </c>
      <c r="H1143" s="32">
        <v>70521704</v>
      </c>
      <c r="I1143" s="32">
        <v>632000</v>
      </c>
      <c r="J1143" s="32">
        <v>17034079</v>
      </c>
      <c r="K1143" s="33">
        <v>52855625</v>
      </c>
      <c r="L1143" s="33">
        <v>44000000</v>
      </c>
      <c r="M1143" s="34">
        <v>1.2012642045454545</v>
      </c>
      <c r="N1143" s="209" t="str">
        <f>IFERROR(VLOOKUP(F1143,Back!C:F,4,0),"NO")</f>
        <v>Si</v>
      </c>
      <c r="O1143" s="26">
        <v>25</v>
      </c>
      <c r="P1143" s="28" t="str">
        <f>IFERROR(VLOOKUP(F1143,Back!C:E,3,0),"")</f>
        <v>IPS Pto De Vista Molinos</v>
      </c>
      <c r="Q1143" s="28" t="str">
        <f>IFERROR(VLOOKUP(P1143,Back!M:N,2,0),"")</f>
        <v>Antioquia</v>
      </c>
      <c r="R1143" s="27" t="str">
        <f>IF(N1143="Si",IFERROR(VLOOKUP(F1143,'TD Cumpl'!B:AB,27,0),"No Aplica"),"No Aplica")</f>
        <v>Fluctúa</v>
      </c>
      <c r="S1143" s="38">
        <v>112</v>
      </c>
      <c r="T1143" s="36">
        <v>12834316</v>
      </c>
      <c r="U1143" s="26">
        <v>336</v>
      </c>
      <c r="V1143" s="37">
        <v>34281487</v>
      </c>
      <c r="W1143" s="19">
        <v>186</v>
      </c>
      <c r="X1143" s="37">
        <v>17034079</v>
      </c>
      <c r="Y1143" s="46">
        <f t="shared" si="36"/>
        <v>6371822</v>
      </c>
      <c r="Z1143" s="19" t="s">
        <v>318</v>
      </c>
    </row>
    <row r="1144" spans="1:26" x14ac:dyDescent="0.25">
      <c r="A1144" s="20">
        <f>+VLOOKUP(D1144,Back!Q:R,2,0)</f>
        <v>1</v>
      </c>
      <c r="B1144" s="20" t="str">
        <f t="shared" si="35"/>
        <v>2018 ENE</v>
      </c>
      <c r="C1144" s="30">
        <v>2018</v>
      </c>
      <c r="D1144" s="30" t="s">
        <v>122</v>
      </c>
      <c r="E1144" s="30" t="s">
        <v>83</v>
      </c>
      <c r="F1144" s="30"/>
      <c r="G1144" s="30"/>
      <c r="H1144" s="32">
        <v>942404</v>
      </c>
      <c r="I1144" s="32">
        <v>0</v>
      </c>
      <c r="J1144" s="32">
        <v>0</v>
      </c>
      <c r="K1144" s="33">
        <v>942404</v>
      </c>
      <c r="L1144" s="33"/>
      <c r="M1144" s="34"/>
      <c r="N1144" s="209" t="str">
        <f>IFERROR(VLOOKUP(F1144,Back!C:F,4,0),"NO")</f>
        <v>NO</v>
      </c>
      <c r="O1144" s="26">
        <v>25</v>
      </c>
      <c r="P1144" s="28" t="str">
        <f>IFERROR(VLOOKUP(F1144,Back!C:E,3,0),"")</f>
        <v/>
      </c>
      <c r="Q1144" s="28" t="str">
        <f>IFERROR(VLOOKUP(P1144,Back!M:N,2,0),"")</f>
        <v/>
      </c>
      <c r="R1144" s="27" t="str">
        <f>IF(N1144="Si",IFERROR(VLOOKUP(F1144,'TD Cumpl'!B:AB,27,0),"No Aplica"),"No Aplica")</f>
        <v>No Aplica</v>
      </c>
      <c r="S1144" s="38">
        <v>1</v>
      </c>
      <c r="T1144" s="36">
        <v>140689</v>
      </c>
      <c r="U1144" s="26">
        <v>2</v>
      </c>
      <c r="V1144" s="37">
        <v>801715</v>
      </c>
      <c r="W1144" s="19">
        <v>0</v>
      </c>
      <c r="X1144" s="37">
        <v>0</v>
      </c>
      <c r="Y1144" s="46">
        <f t="shared" si="36"/>
        <v>0</v>
      </c>
    </row>
    <row r="1145" spans="1:26" x14ac:dyDescent="0.25">
      <c r="A1145" s="20">
        <f>+VLOOKUP(D1145,Back!Q:R,2,0)</f>
        <v>1</v>
      </c>
      <c r="B1145" s="20" t="str">
        <f t="shared" si="35"/>
        <v>2018 ENE</v>
      </c>
      <c r="C1145" s="30">
        <v>2018</v>
      </c>
      <c r="D1145" s="30" t="s">
        <v>122</v>
      </c>
      <c r="E1145" s="30" t="s">
        <v>189</v>
      </c>
      <c r="F1145" s="30"/>
      <c r="G1145" s="30"/>
      <c r="H1145" s="32">
        <v>94800</v>
      </c>
      <c r="I1145" s="32">
        <v>0</v>
      </c>
      <c r="J1145" s="32">
        <v>94800</v>
      </c>
      <c r="K1145" s="33">
        <v>0</v>
      </c>
      <c r="L1145" s="33"/>
      <c r="M1145" s="34"/>
      <c r="N1145" s="209" t="str">
        <f>IFERROR(VLOOKUP(F1145,Back!C:F,4,0),"NO")</f>
        <v>NO</v>
      </c>
      <c r="O1145" s="26">
        <v>25</v>
      </c>
      <c r="P1145" s="28" t="str">
        <f>IFERROR(VLOOKUP(F1145,Back!C:E,3,0),"")</f>
        <v/>
      </c>
      <c r="Q1145" s="28" t="str">
        <f>IFERROR(VLOOKUP(P1145,Back!M:N,2,0),"")</f>
        <v/>
      </c>
      <c r="R1145" s="27" t="str">
        <f>IF(N1145="Si",IFERROR(VLOOKUP(F1145,'TD Cumpl'!B:AB,27,0),"No Aplica"),"No Aplica")</f>
        <v>No Aplica</v>
      </c>
      <c r="S1145" s="38">
        <v>0</v>
      </c>
      <c r="T1145" s="36">
        <v>0</v>
      </c>
      <c r="U1145" s="26">
        <v>0</v>
      </c>
      <c r="V1145" s="37">
        <v>0</v>
      </c>
      <c r="W1145" s="19">
        <v>0</v>
      </c>
      <c r="X1145" s="37">
        <v>0</v>
      </c>
      <c r="Y1145" s="46">
        <f t="shared" si="36"/>
        <v>94800</v>
      </c>
    </row>
    <row r="1146" spans="1:26" x14ac:dyDescent="0.25">
      <c r="A1146" s="20">
        <f>+VLOOKUP(D1146,Back!Q:R,2,0)</f>
        <v>1</v>
      </c>
      <c r="B1146" s="20" t="str">
        <f t="shared" si="35"/>
        <v>2018 ENE</v>
      </c>
      <c r="C1146" s="30">
        <v>2018</v>
      </c>
      <c r="D1146" s="30" t="s">
        <v>122</v>
      </c>
      <c r="E1146" s="30" t="s">
        <v>59</v>
      </c>
      <c r="F1146" s="30"/>
      <c r="G1146" s="30"/>
      <c r="H1146" s="32">
        <v>1001795</v>
      </c>
      <c r="I1146" s="32">
        <v>0</v>
      </c>
      <c r="J1146" s="32">
        <v>0</v>
      </c>
      <c r="K1146" s="33">
        <v>1001795</v>
      </c>
      <c r="L1146" s="33"/>
      <c r="M1146" s="34"/>
      <c r="N1146" s="209" t="str">
        <f>IFERROR(VLOOKUP(F1146,Back!C:F,4,0),"NO")</f>
        <v>NO</v>
      </c>
      <c r="O1146" s="26">
        <v>25</v>
      </c>
      <c r="P1146" s="28" t="str">
        <f>IFERROR(VLOOKUP(F1146,Back!C:E,3,0),"")</f>
        <v/>
      </c>
      <c r="Q1146" s="28" t="str">
        <f>IFERROR(VLOOKUP(P1146,Back!M:N,2,0),"")</f>
        <v/>
      </c>
      <c r="R1146" s="27" t="str">
        <f>IF(N1146="Si",IFERROR(VLOOKUP(F1146,'TD Cumpl'!B:AB,27,0),"No Aplica"),"No Aplica")</f>
        <v>No Aplica</v>
      </c>
      <c r="S1146" s="38">
        <v>2</v>
      </c>
      <c r="T1146" s="36">
        <v>147345</v>
      </c>
      <c r="U1146" s="26">
        <v>4</v>
      </c>
      <c r="V1146" s="37">
        <v>854450</v>
      </c>
      <c r="W1146" s="19">
        <v>0</v>
      </c>
      <c r="X1146" s="37">
        <v>0</v>
      </c>
      <c r="Y1146" s="46">
        <f t="shared" si="36"/>
        <v>0</v>
      </c>
    </row>
    <row r="1147" spans="1:26" x14ac:dyDescent="0.25">
      <c r="A1147" s="20">
        <f>+VLOOKUP(D1147,Back!Q:R,2,0)</f>
        <v>1</v>
      </c>
      <c r="B1147" s="20" t="str">
        <f t="shared" si="35"/>
        <v>2018 ENE</v>
      </c>
      <c r="C1147" s="30">
        <v>2018</v>
      </c>
      <c r="D1147" s="30" t="s">
        <v>122</v>
      </c>
      <c r="E1147" s="30" t="s">
        <v>159</v>
      </c>
      <c r="F1147" s="30"/>
      <c r="G1147" s="30"/>
      <c r="H1147" s="32">
        <v>281200</v>
      </c>
      <c r="I1147" s="32">
        <v>0</v>
      </c>
      <c r="J1147" s="32">
        <v>281200</v>
      </c>
      <c r="K1147" s="33">
        <v>0</v>
      </c>
      <c r="L1147" s="33"/>
      <c r="M1147" s="34"/>
      <c r="N1147" s="209" t="str">
        <f>IFERROR(VLOOKUP(F1147,Back!C:F,4,0),"NO")</f>
        <v>NO</v>
      </c>
      <c r="O1147" s="26">
        <v>25</v>
      </c>
      <c r="P1147" s="28" t="str">
        <f>IFERROR(VLOOKUP(F1147,Back!C:E,3,0),"")</f>
        <v/>
      </c>
      <c r="Q1147" s="28" t="str">
        <f>IFERROR(VLOOKUP(P1147,Back!M:N,2,0),"")</f>
        <v/>
      </c>
      <c r="R1147" s="27" t="str">
        <f>IF(N1147="Si",IFERROR(VLOOKUP(F1147,'TD Cumpl'!B:AB,27,0),"No Aplica"),"No Aplica")</f>
        <v>No Aplica</v>
      </c>
      <c r="S1147" s="38">
        <v>0</v>
      </c>
      <c r="T1147" s="36">
        <v>0</v>
      </c>
      <c r="U1147" s="26">
        <v>0</v>
      </c>
      <c r="V1147" s="37">
        <v>0</v>
      </c>
      <c r="W1147" s="19">
        <v>0</v>
      </c>
      <c r="X1147" s="37">
        <v>0</v>
      </c>
      <c r="Y1147" s="46">
        <f t="shared" si="36"/>
        <v>281200</v>
      </c>
    </row>
    <row r="1148" spans="1:26" x14ac:dyDescent="0.25">
      <c r="A1148" s="20">
        <f>+VLOOKUP(D1148,Back!Q:R,2,0)</f>
        <v>1</v>
      </c>
      <c r="B1148" s="20" t="str">
        <f t="shared" si="35"/>
        <v>2018 ENE</v>
      </c>
      <c r="C1148" s="30">
        <v>2018</v>
      </c>
      <c r="D1148" s="30" t="s">
        <v>122</v>
      </c>
      <c r="E1148" s="30" t="s">
        <v>119</v>
      </c>
      <c r="F1148" s="30"/>
      <c r="G1148" s="30"/>
      <c r="H1148" s="32">
        <v>14696700</v>
      </c>
      <c r="I1148" s="32">
        <v>0</v>
      </c>
      <c r="J1148" s="32">
        <v>3988853</v>
      </c>
      <c r="K1148" s="33">
        <v>10707847</v>
      </c>
      <c r="L1148" s="33"/>
      <c r="M1148" s="34"/>
      <c r="N1148" s="209" t="str">
        <f>IFERROR(VLOOKUP(F1148,Back!C:F,4,0),"NO")</f>
        <v>NO</v>
      </c>
      <c r="O1148" s="26">
        <v>25</v>
      </c>
      <c r="P1148" s="28" t="str">
        <f>IFERROR(VLOOKUP(F1148,Back!C:E,3,0),"")</f>
        <v/>
      </c>
      <c r="Q1148" s="28" t="str">
        <f>IFERROR(VLOOKUP(P1148,Back!M:N,2,0),"")</f>
        <v/>
      </c>
      <c r="R1148" s="27" t="str">
        <f>IF(N1148="Si",IFERROR(VLOOKUP(F1148,'TD Cumpl'!B:AB,27,0),"No Aplica"),"No Aplica")</f>
        <v>No Aplica</v>
      </c>
      <c r="S1148" s="38">
        <v>18</v>
      </c>
      <c r="T1148" s="36">
        <v>2261888</v>
      </c>
      <c r="U1148" s="26">
        <v>52</v>
      </c>
      <c r="V1148" s="37">
        <v>8093416</v>
      </c>
      <c r="W1148" s="19">
        <v>53</v>
      </c>
      <c r="X1148" s="37">
        <v>3988853</v>
      </c>
      <c r="Y1148" s="46">
        <f t="shared" si="36"/>
        <v>352543</v>
      </c>
    </row>
    <row r="1149" spans="1:26" x14ac:dyDescent="0.25">
      <c r="A1149" s="20">
        <f>+VLOOKUP(D1149,Back!Q:R,2,0)</f>
        <v>1</v>
      </c>
      <c r="B1149" s="20" t="str">
        <f t="shared" si="35"/>
        <v>2018 ENE</v>
      </c>
      <c r="C1149" s="30">
        <v>2018</v>
      </c>
      <c r="D1149" s="30" t="s">
        <v>122</v>
      </c>
      <c r="E1149" s="30" t="s">
        <v>33</v>
      </c>
      <c r="F1149" s="30"/>
      <c r="G1149" s="30"/>
      <c r="H1149" s="32">
        <v>12629460</v>
      </c>
      <c r="I1149" s="32">
        <v>0</v>
      </c>
      <c r="J1149" s="32">
        <v>0</v>
      </c>
      <c r="K1149" s="33">
        <v>12629460</v>
      </c>
      <c r="L1149" s="33"/>
      <c r="M1149" s="34"/>
      <c r="N1149" s="209" t="str">
        <f>IFERROR(VLOOKUP(F1149,Back!C:F,4,0),"NO")</f>
        <v>NO</v>
      </c>
      <c r="O1149" s="26">
        <v>25</v>
      </c>
      <c r="P1149" s="28" t="str">
        <f>IFERROR(VLOOKUP(F1149,Back!C:E,3,0),"")</f>
        <v/>
      </c>
      <c r="Q1149" s="28" t="str">
        <f>IFERROR(VLOOKUP(P1149,Back!M:N,2,0),"")</f>
        <v/>
      </c>
      <c r="R1149" s="27" t="str">
        <f>IF(N1149="Si",IFERROR(VLOOKUP(F1149,'TD Cumpl'!B:AB,27,0),"No Aplica"),"No Aplica")</f>
        <v>No Aplica</v>
      </c>
      <c r="S1149" s="38">
        <v>1</v>
      </c>
      <c r="T1149" s="36">
        <v>86897</v>
      </c>
      <c r="U1149" s="26">
        <v>2</v>
      </c>
      <c r="V1149" s="37">
        <v>119250</v>
      </c>
      <c r="W1149" s="19">
        <v>0</v>
      </c>
      <c r="X1149" s="37">
        <v>0</v>
      </c>
      <c r="Y1149" s="46">
        <f t="shared" si="36"/>
        <v>12423313</v>
      </c>
    </row>
    <row r="1150" spans="1:26" x14ac:dyDescent="0.25">
      <c r="A1150" s="20">
        <f>+VLOOKUP(D1150,Back!Q:R,2,0)</f>
        <v>1</v>
      </c>
      <c r="B1150" s="20" t="str">
        <f t="shared" si="35"/>
        <v>2018 ENE</v>
      </c>
      <c r="C1150" s="30">
        <v>2018</v>
      </c>
      <c r="D1150" s="30" t="s">
        <v>122</v>
      </c>
      <c r="E1150" s="30" t="s">
        <v>111</v>
      </c>
      <c r="F1150" s="30"/>
      <c r="G1150" s="30"/>
      <c r="H1150" s="32">
        <v>72600</v>
      </c>
      <c r="I1150" s="32">
        <v>0</v>
      </c>
      <c r="J1150" s="32">
        <v>72600</v>
      </c>
      <c r="K1150" s="33">
        <v>0</v>
      </c>
      <c r="L1150" s="33"/>
      <c r="M1150" s="34"/>
      <c r="N1150" s="209" t="str">
        <f>IFERROR(VLOOKUP(F1150,Back!C:F,4,0),"NO")</f>
        <v>NO</v>
      </c>
      <c r="O1150" s="26">
        <v>25</v>
      </c>
      <c r="P1150" s="28" t="str">
        <f>IFERROR(VLOOKUP(F1150,Back!C:E,3,0),"")</f>
        <v/>
      </c>
      <c r="Q1150" s="28" t="str">
        <f>IFERROR(VLOOKUP(P1150,Back!M:N,2,0),"")</f>
        <v/>
      </c>
      <c r="R1150" s="27" t="str">
        <f>IF(N1150="Si",IFERROR(VLOOKUP(F1150,'TD Cumpl'!B:AB,27,0),"No Aplica"),"No Aplica")</f>
        <v>No Aplica</v>
      </c>
      <c r="S1150" s="38">
        <v>0</v>
      </c>
      <c r="T1150" s="36">
        <v>0</v>
      </c>
      <c r="U1150" s="26">
        <v>0</v>
      </c>
      <c r="V1150" s="37">
        <v>0</v>
      </c>
      <c r="W1150" s="19">
        <v>0</v>
      </c>
      <c r="X1150" s="37">
        <v>0</v>
      </c>
      <c r="Y1150" s="46">
        <f t="shared" si="36"/>
        <v>72600</v>
      </c>
    </row>
    <row r="1151" spans="1:26" x14ac:dyDescent="0.25">
      <c r="A1151" s="20">
        <f>+VLOOKUP(D1151,Back!Q:R,2,0)</f>
        <v>1</v>
      </c>
      <c r="B1151" s="20" t="str">
        <f t="shared" ref="B1151:B1214" si="37">MID(UPPER(C1151&amp;" "&amp;D1151),1,8)</f>
        <v>2018 ENE</v>
      </c>
      <c r="C1151" s="30">
        <v>2018</v>
      </c>
      <c r="D1151" s="30" t="s">
        <v>122</v>
      </c>
      <c r="E1151" s="30" t="s">
        <v>190</v>
      </c>
      <c r="F1151" s="30"/>
      <c r="G1151" s="30"/>
      <c r="H1151" s="32">
        <v>43870</v>
      </c>
      <c r="I1151" s="32">
        <v>0</v>
      </c>
      <c r="J1151" s="32">
        <v>43870</v>
      </c>
      <c r="K1151" s="33">
        <v>0</v>
      </c>
      <c r="L1151" s="33"/>
      <c r="M1151" s="34"/>
      <c r="N1151" s="209" t="str">
        <f>IFERROR(VLOOKUP(F1151,Back!C:F,4,0),"NO")</f>
        <v>NO</v>
      </c>
      <c r="O1151" s="26">
        <v>25</v>
      </c>
      <c r="P1151" s="28" t="str">
        <f>IFERROR(VLOOKUP(F1151,Back!C:E,3,0),"")</f>
        <v/>
      </c>
      <c r="Q1151" s="28" t="str">
        <f>IFERROR(VLOOKUP(P1151,Back!M:N,2,0),"")</f>
        <v/>
      </c>
      <c r="R1151" s="27" t="str">
        <f>IF(N1151="Si",IFERROR(VLOOKUP(F1151,'TD Cumpl'!B:AB,27,0),"No Aplica"),"No Aplica")</f>
        <v>No Aplica</v>
      </c>
      <c r="S1151" s="38">
        <v>0</v>
      </c>
      <c r="T1151" s="36">
        <v>0</v>
      </c>
      <c r="U1151" s="26">
        <v>0</v>
      </c>
      <c r="V1151" s="37">
        <v>0</v>
      </c>
      <c r="W1151" s="19">
        <v>1</v>
      </c>
      <c r="X1151" s="37">
        <v>43870</v>
      </c>
      <c r="Y1151" s="46">
        <f t="shared" si="36"/>
        <v>0</v>
      </c>
    </row>
    <row r="1152" spans="1:26" x14ac:dyDescent="0.25">
      <c r="A1152" s="20">
        <f>+VLOOKUP(D1152,Back!Q:R,2,0)</f>
        <v>1</v>
      </c>
      <c r="B1152" s="20" t="str">
        <f t="shared" si="37"/>
        <v>2018 ENE</v>
      </c>
      <c r="C1152" s="30">
        <v>2018</v>
      </c>
      <c r="D1152" s="30" t="s">
        <v>122</v>
      </c>
      <c r="E1152" s="30" t="s">
        <v>191</v>
      </c>
      <c r="F1152" s="30"/>
      <c r="G1152" s="30"/>
      <c r="H1152" s="32">
        <v>43870</v>
      </c>
      <c r="I1152" s="32">
        <v>0</v>
      </c>
      <c r="J1152" s="32">
        <v>43870</v>
      </c>
      <c r="K1152" s="33">
        <v>0</v>
      </c>
      <c r="L1152" s="33"/>
      <c r="M1152" s="34"/>
      <c r="N1152" s="209" t="str">
        <f>IFERROR(VLOOKUP(F1152,Back!C:F,4,0),"NO")</f>
        <v>NO</v>
      </c>
      <c r="O1152" s="26">
        <v>25</v>
      </c>
      <c r="P1152" s="28" t="str">
        <f>IFERROR(VLOOKUP(F1152,Back!C:E,3,0),"")</f>
        <v/>
      </c>
      <c r="Q1152" s="28" t="str">
        <f>IFERROR(VLOOKUP(P1152,Back!M:N,2,0),"")</f>
        <v/>
      </c>
      <c r="R1152" s="27" t="str">
        <f>IF(N1152="Si",IFERROR(VLOOKUP(F1152,'TD Cumpl'!B:AB,27,0),"No Aplica"),"No Aplica")</f>
        <v>No Aplica</v>
      </c>
      <c r="S1152" s="38">
        <v>0</v>
      </c>
      <c r="T1152" s="36">
        <v>0</v>
      </c>
      <c r="U1152" s="26">
        <v>0</v>
      </c>
      <c r="V1152" s="37">
        <v>0</v>
      </c>
      <c r="W1152" s="19">
        <v>1</v>
      </c>
      <c r="X1152" s="37">
        <v>43870</v>
      </c>
      <c r="Y1152" s="46">
        <f t="shared" si="36"/>
        <v>0</v>
      </c>
    </row>
    <row r="1153" spans="1:26" x14ac:dyDescent="0.25">
      <c r="A1153" s="20">
        <f>+VLOOKUP(D1153,Back!Q:R,2,0)</f>
        <v>1</v>
      </c>
      <c r="B1153" s="20" t="str">
        <f t="shared" si="37"/>
        <v>2018 ENE</v>
      </c>
      <c r="C1153" s="30">
        <v>2018</v>
      </c>
      <c r="D1153" s="30" t="s">
        <v>122</v>
      </c>
      <c r="E1153" s="30" t="s">
        <v>19</v>
      </c>
      <c r="F1153" s="30"/>
      <c r="G1153" s="30"/>
      <c r="H1153" s="32">
        <v>43870</v>
      </c>
      <c r="I1153" s="32">
        <v>0</v>
      </c>
      <c r="J1153" s="32">
        <v>43870</v>
      </c>
      <c r="K1153" s="33">
        <v>0</v>
      </c>
      <c r="L1153" s="33"/>
      <c r="M1153" s="34"/>
      <c r="N1153" s="209" t="str">
        <f>IFERROR(VLOOKUP(F1153,Back!C:F,4,0),"NO")</f>
        <v>NO</v>
      </c>
      <c r="O1153" s="26">
        <v>25</v>
      </c>
      <c r="P1153" s="28" t="str">
        <f>IFERROR(VLOOKUP(F1153,Back!C:E,3,0),"")</f>
        <v/>
      </c>
      <c r="Q1153" s="28" t="str">
        <f>IFERROR(VLOOKUP(P1153,Back!M:N,2,0),"")</f>
        <v/>
      </c>
      <c r="R1153" s="27" t="str">
        <f>IF(N1153="Si",IFERROR(VLOOKUP(F1153,'TD Cumpl'!B:AB,27,0),"No Aplica"),"No Aplica")</f>
        <v>No Aplica</v>
      </c>
      <c r="S1153" s="38">
        <v>0</v>
      </c>
      <c r="T1153" s="36">
        <v>0</v>
      </c>
      <c r="U1153" s="26">
        <v>0</v>
      </c>
      <c r="V1153" s="37">
        <v>0</v>
      </c>
      <c r="W1153" s="19">
        <v>1</v>
      </c>
      <c r="X1153" s="37">
        <v>43870</v>
      </c>
      <c r="Y1153" s="46">
        <f t="shared" ref="Y1153:Y1216" si="38">+H1153-X1153-V1153-T1153</f>
        <v>0</v>
      </c>
    </row>
    <row r="1154" spans="1:26" x14ac:dyDescent="0.25">
      <c r="A1154" s="20">
        <f>+VLOOKUP(D1154,Back!Q:R,2,0)</f>
        <v>1</v>
      </c>
      <c r="B1154" s="20" t="str">
        <f t="shared" si="37"/>
        <v>2018 ENE</v>
      </c>
      <c r="C1154" s="30">
        <v>2018</v>
      </c>
      <c r="D1154" s="30" t="s">
        <v>122</v>
      </c>
      <c r="E1154" s="30" t="s">
        <v>12</v>
      </c>
      <c r="F1154" s="30"/>
      <c r="G1154" s="30"/>
      <c r="H1154" s="32">
        <v>178155</v>
      </c>
      <c r="I1154" s="32">
        <v>0</v>
      </c>
      <c r="J1154" s="32">
        <v>178155</v>
      </c>
      <c r="K1154" s="33">
        <v>0</v>
      </c>
      <c r="L1154" s="33"/>
      <c r="M1154" s="34"/>
      <c r="N1154" s="209" t="str">
        <f>IFERROR(VLOOKUP(F1154,Back!C:F,4,0),"NO")</f>
        <v>NO</v>
      </c>
      <c r="O1154" s="26">
        <v>25</v>
      </c>
      <c r="P1154" s="28" t="str">
        <f>IFERROR(VLOOKUP(F1154,Back!C:E,3,0),"")</f>
        <v/>
      </c>
      <c r="Q1154" s="28" t="str">
        <f>IFERROR(VLOOKUP(P1154,Back!M:N,2,0),"")</f>
        <v/>
      </c>
      <c r="R1154" s="27" t="str">
        <f>IF(N1154="Si",IFERROR(VLOOKUP(F1154,'TD Cumpl'!B:AB,27,0),"No Aplica"),"No Aplica")</f>
        <v>No Aplica</v>
      </c>
      <c r="S1154" s="38">
        <v>0</v>
      </c>
      <c r="T1154" s="36">
        <v>0</v>
      </c>
      <c r="U1154" s="26">
        <v>0</v>
      </c>
      <c r="V1154" s="37">
        <v>0</v>
      </c>
      <c r="W1154" s="19">
        <v>2</v>
      </c>
      <c r="X1154" s="37">
        <v>178155</v>
      </c>
      <c r="Y1154" s="46">
        <f t="shared" si="38"/>
        <v>0</v>
      </c>
    </row>
    <row r="1155" spans="1:26" x14ac:dyDescent="0.25">
      <c r="A1155" s="20">
        <f>+VLOOKUP(D1155,Back!Q:R,2,0)</f>
        <v>1</v>
      </c>
      <c r="B1155" s="20" t="str">
        <f t="shared" si="37"/>
        <v>2018 ENE</v>
      </c>
      <c r="C1155" s="30">
        <v>2018</v>
      </c>
      <c r="D1155" s="30" t="s">
        <v>122</v>
      </c>
      <c r="E1155" s="30" t="s">
        <v>192</v>
      </c>
      <c r="F1155" s="30"/>
      <c r="G1155" s="30"/>
      <c r="H1155" s="32">
        <v>43870</v>
      </c>
      <c r="I1155" s="32">
        <v>0</v>
      </c>
      <c r="J1155" s="32">
        <v>43870</v>
      </c>
      <c r="K1155" s="33">
        <v>0</v>
      </c>
      <c r="L1155" s="33"/>
      <c r="M1155" s="34"/>
      <c r="N1155" s="209" t="str">
        <f>IFERROR(VLOOKUP(F1155,Back!C:F,4,0),"NO")</f>
        <v>NO</v>
      </c>
      <c r="O1155" s="26">
        <v>25</v>
      </c>
      <c r="P1155" s="28" t="str">
        <f>IFERROR(VLOOKUP(F1155,Back!C:E,3,0),"")</f>
        <v/>
      </c>
      <c r="Q1155" s="28" t="str">
        <f>IFERROR(VLOOKUP(P1155,Back!M:N,2,0),"")</f>
        <v/>
      </c>
      <c r="R1155" s="27" t="str">
        <f>IF(N1155="Si",IFERROR(VLOOKUP(F1155,'TD Cumpl'!B:AB,27,0),"No Aplica"),"No Aplica")</f>
        <v>No Aplica</v>
      </c>
      <c r="S1155" s="38">
        <v>0</v>
      </c>
      <c r="T1155" s="36">
        <v>0</v>
      </c>
      <c r="U1155" s="26">
        <v>0</v>
      </c>
      <c r="V1155" s="37">
        <v>0</v>
      </c>
      <c r="W1155" s="19">
        <v>1</v>
      </c>
      <c r="X1155" s="37">
        <v>43870</v>
      </c>
      <c r="Y1155" s="46">
        <f t="shared" si="38"/>
        <v>0</v>
      </c>
    </row>
    <row r="1156" spans="1:26" x14ac:dyDescent="0.25">
      <c r="A1156" s="20">
        <f>+VLOOKUP(D1156,Back!Q:R,2,0)</f>
        <v>1</v>
      </c>
      <c r="B1156" s="20" t="str">
        <f t="shared" si="37"/>
        <v>2018 ENE</v>
      </c>
      <c r="C1156" s="30">
        <v>2018</v>
      </c>
      <c r="D1156" s="30" t="s">
        <v>122</v>
      </c>
      <c r="E1156" s="30" t="s">
        <v>87</v>
      </c>
      <c r="F1156" s="30"/>
      <c r="G1156" s="30"/>
      <c r="H1156" s="32">
        <v>-134285</v>
      </c>
      <c r="I1156" s="32">
        <v>0</v>
      </c>
      <c r="J1156" s="32">
        <v>0</v>
      </c>
      <c r="K1156" s="33">
        <v>-134285</v>
      </c>
      <c r="L1156" s="33"/>
      <c r="M1156" s="34"/>
      <c r="N1156" s="209" t="str">
        <f>IFERROR(VLOOKUP(F1156,Back!C:F,4,0),"NO")</f>
        <v>NO</v>
      </c>
      <c r="O1156" s="26">
        <v>25</v>
      </c>
      <c r="P1156" s="28" t="str">
        <f>IFERROR(VLOOKUP(F1156,Back!C:E,3,0),"")</f>
        <v/>
      </c>
      <c r="Q1156" s="28" t="str">
        <f>IFERROR(VLOOKUP(P1156,Back!M:N,2,0),"")</f>
        <v/>
      </c>
      <c r="R1156" s="27" t="str">
        <f>IF(N1156="Si",IFERROR(VLOOKUP(F1156,'TD Cumpl'!B:AB,27,0),"No Aplica"),"No Aplica")</f>
        <v>No Aplica</v>
      </c>
      <c r="S1156" s="38">
        <v>0</v>
      </c>
      <c r="T1156" s="36">
        <v>0</v>
      </c>
      <c r="U1156" s="26">
        <v>0</v>
      </c>
      <c r="V1156" s="37">
        <v>0</v>
      </c>
      <c r="W1156" s="19">
        <v>0</v>
      </c>
      <c r="X1156" s="37">
        <v>0</v>
      </c>
      <c r="Y1156" s="46">
        <f t="shared" si="38"/>
        <v>-134285</v>
      </c>
    </row>
    <row r="1157" spans="1:26" x14ac:dyDescent="0.25">
      <c r="A1157" s="20">
        <f>+VLOOKUP(D1157,Back!Q:R,2,0)</f>
        <v>2</v>
      </c>
      <c r="B1157" s="20" t="str">
        <f t="shared" si="37"/>
        <v>2018 FEB</v>
      </c>
      <c r="C1157" s="30">
        <v>2018</v>
      </c>
      <c r="D1157" s="30" t="s">
        <v>138</v>
      </c>
      <c r="E1157" s="30" t="s">
        <v>3</v>
      </c>
      <c r="F1157" s="30">
        <v>52725011</v>
      </c>
      <c r="G1157" s="30" t="s">
        <v>42</v>
      </c>
      <c r="H1157" s="32">
        <v>37508923</v>
      </c>
      <c r="I1157" s="32">
        <v>880000</v>
      </c>
      <c r="J1157" s="32">
        <v>7353040</v>
      </c>
      <c r="K1157" s="33">
        <v>29275883</v>
      </c>
      <c r="L1157" s="33">
        <v>25000008</v>
      </c>
      <c r="M1157" s="34">
        <v>1.1710349452688176</v>
      </c>
      <c r="N1157" s="209" t="str">
        <f>IFERROR(VLOOKUP(F1157,Back!C:F,4,0),"NO")</f>
        <v>Si</v>
      </c>
      <c r="O1157" s="26">
        <v>24</v>
      </c>
      <c r="P1157" s="28" t="str">
        <f>IFERROR(VLOOKUP(F1157,Back!C:E,3,0),"")</f>
        <v>IPS Pto De Vista Olaya</v>
      </c>
      <c r="Q1157" s="28" t="str">
        <f>IFERROR(VLOOKUP(P1157,Back!M:N,2,0),"")</f>
        <v>Centro</v>
      </c>
      <c r="R1157" s="27" t="str">
        <f>IF(N1157="Si",IFERROR(VLOOKUP(F1157,'TD Cumpl'!B:AB,27,0),"No Aplica"),"No Aplica")</f>
        <v>Fluctúa</v>
      </c>
      <c r="S1157" s="38">
        <v>91</v>
      </c>
      <c r="T1157" s="36">
        <v>6236617</v>
      </c>
      <c r="U1157" s="26">
        <v>226</v>
      </c>
      <c r="V1157" s="37">
        <v>21079498</v>
      </c>
      <c r="W1157" s="19">
        <v>97</v>
      </c>
      <c r="X1157" s="37">
        <v>7353040</v>
      </c>
      <c r="Y1157" s="46">
        <f t="shared" si="38"/>
        <v>2839768</v>
      </c>
      <c r="Z1157" s="19" t="s">
        <v>318</v>
      </c>
    </row>
    <row r="1158" spans="1:26" x14ac:dyDescent="0.25">
      <c r="A1158" s="20">
        <f>+VLOOKUP(D1158,Back!Q:R,2,0)</f>
        <v>2</v>
      </c>
      <c r="B1158" s="20" t="str">
        <f t="shared" si="37"/>
        <v>2018 FEB</v>
      </c>
      <c r="C1158" s="30">
        <v>2018</v>
      </c>
      <c r="D1158" s="30" t="s">
        <v>138</v>
      </c>
      <c r="E1158" s="30" t="s">
        <v>4</v>
      </c>
      <c r="F1158" s="30">
        <v>79701425</v>
      </c>
      <c r="G1158" s="30" t="s">
        <v>27</v>
      </c>
      <c r="H1158" s="32">
        <v>33381675</v>
      </c>
      <c r="I1158" s="32">
        <v>1032800</v>
      </c>
      <c r="J1158" s="32">
        <v>6493937</v>
      </c>
      <c r="K1158" s="33">
        <v>25854938</v>
      </c>
      <c r="L1158" s="33">
        <v>25000008</v>
      </c>
      <c r="M1158" s="34">
        <v>1.0341971890568995</v>
      </c>
      <c r="N1158" s="209" t="str">
        <f>IFERROR(VLOOKUP(F1158,Back!C:F,4,0),"NO")</f>
        <v>No</v>
      </c>
      <c r="O1158" s="26">
        <v>24</v>
      </c>
      <c r="P1158" s="28" t="str">
        <f>IFERROR(VLOOKUP(F1158,Back!C:E,3,0),"")</f>
        <v>IPS Pto De Vista Olaya</v>
      </c>
      <c r="Q1158" s="28" t="str">
        <f>IFERROR(VLOOKUP(P1158,Back!M:N,2,0),"")</f>
        <v>Centro</v>
      </c>
      <c r="R1158" s="27" t="str">
        <f>IF(N1158="Si",IFERROR(VLOOKUP(F1158,'TD Cumpl'!B:AB,27,0),"No Aplica"),"No Aplica")</f>
        <v>No Aplica</v>
      </c>
      <c r="S1158" s="38">
        <v>76</v>
      </c>
      <c r="T1158" s="36">
        <v>5567965</v>
      </c>
      <c r="U1158" s="26">
        <v>218</v>
      </c>
      <c r="V1158" s="37">
        <v>17420995</v>
      </c>
      <c r="W1158" s="19">
        <v>93</v>
      </c>
      <c r="X1158" s="37">
        <v>6493937</v>
      </c>
      <c r="Y1158" s="46">
        <f t="shared" si="38"/>
        <v>3898778</v>
      </c>
    </row>
    <row r="1159" spans="1:26" x14ac:dyDescent="0.25">
      <c r="A1159" s="20">
        <f>+VLOOKUP(D1159,Back!Q:R,2,0)</f>
        <v>2</v>
      </c>
      <c r="B1159" s="20" t="str">
        <f t="shared" si="37"/>
        <v>2018 FEB</v>
      </c>
      <c r="C1159" s="30">
        <v>2018</v>
      </c>
      <c r="D1159" s="30" t="s">
        <v>138</v>
      </c>
      <c r="E1159" s="30" t="s">
        <v>62</v>
      </c>
      <c r="F1159" s="30">
        <v>32256379</v>
      </c>
      <c r="G1159" s="30" t="s">
        <v>61</v>
      </c>
      <c r="H1159" s="32">
        <v>7669377</v>
      </c>
      <c r="I1159" s="32">
        <v>0</v>
      </c>
      <c r="J1159" s="32">
        <v>1822745</v>
      </c>
      <c r="K1159" s="33">
        <v>5846632</v>
      </c>
      <c r="L1159" s="33">
        <v>43999992</v>
      </c>
      <c r="M1159" s="34">
        <v>0.13287802415964076</v>
      </c>
      <c r="N1159" s="209" t="str">
        <f>IFERROR(VLOOKUP(F1159,Back!C:F,4,0),"NO")</f>
        <v>Si</v>
      </c>
      <c r="O1159" s="26">
        <v>24</v>
      </c>
      <c r="P1159" s="28" t="str">
        <f>IFERROR(VLOOKUP(F1159,Back!C:E,3,0),"")</f>
        <v>Ferias Empresariales Antioquia</v>
      </c>
      <c r="Q1159" s="28" t="str">
        <f>IFERROR(VLOOKUP(P1159,Back!M:N,2,0),"")</f>
        <v>Antioquia</v>
      </c>
      <c r="R1159" s="27" t="str">
        <f>IF(N1159="Si",IFERROR(VLOOKUP(F1159,'TD Cumpl'!B:AB,27,0),"No Aplica"),"No Aplica")</f>
        <v>Fluctúa</v>
      </c>
      <c r="S1159" s="38">
        <v>9</v>
      </c>
      <c r="T1159" s="36">
        <v>731231</v>
      </c>
      <c r="U1159" s="26">
        <v>28</v>
      </c>
      <c r="V1159" s="37">
        <v>4151665</v>
      </c>
      <c r="W1159" s="19">
        <v>23</v>
      </c>
      <c r="X1159" s="37">
        <v>1822745</v>
      </c>
      <c r="Y1159" s="46">
        <f t="shared" si="38"/>
        <v>963736</v>
      </c>
      <c r="Z1159" s="19" t="s">
        <v>318</v>
      </c>
    </row>
    <row r="1160" spans="1:26" x14ac:dyDescent="0.25">
      <c r="A1160" s="20">
        <f>+VLOOKUP(D1160,Back!Q:R,2,0)</f>
        <v>2</v>
      </c>
      <c r="B1160" s="20" t="str">
        <f t="shared" si="37"/>
        <v>2018 FEB</v>
      </c>
      <c r="C1160" s="30">
        <v>2018</v>
      </c>
      <c r="D1160" s="30" t="s">
        <v>138</v>
      </c>
      <c r="E1160" s="30" t="s">
        <v>25</v>
      </c>
      <c r="F1160" s="30">
        <v>1040030764</v>
      </c>
      <c r="G1160" s="30" t="s">
        <v>43</v>
      </c>
      <c r="H1160" s="32">
        <v>37168721</v>
      </c>
      <c r="I1160" s="32">
        <v>909000</v>
      </c>
      <c r="J1160" s="32">
        <v>6005910</v>
      </c>
      <c r="K1160" s="33">
        <v>30253811</v>
      </c>
      <c r="L1160" s="33">
        <v>10208331</v>
      </c>
      <c r="M1160" s="34">
        <v>2.9636393059746986</v>
      </c>
      <c r="N1160" s="209" t="str">
        <f>IFERROR(VLOOKUP(F1160,Back!C:F,4,0),"NO")</f>
        <v>Si</v>
      </c>
      <c r="O1160" s="26">
        <v>24</v>
      </c>
      <c r="P1160" s="28" t="str">
        <f>IFERROR(VLOOKUP(F1160,Back!C:E,3,0),"")</f>
        <v>IPS Pto De Vista Rionegro</v>
      </c>
      <c r="Q1160" s="28" t="str">
        <f>IFERROR(VLOOKUP(P1160,Back!M:N,2,0),"")</f>
        <v>Antioquia</v>
      </c>
      <c r="R1160" s="27" t="str">
        <f>IF(N1160="Si",IFERROR(VLOOKUP(F1160,'TD Cumpl'!B:AB,27,0),"No Aplica"),"No Aplica")</f>
        <v>Cumple</v>
      </c>
      <c r="S1160" s="38">
        <v>60</v>
      </c>
      <c r="T1160" s="36">
        <v>6751589</v>
      </c>
      <c r="U1160" s="26">
        <v>168</v>
      </c>
      <c r="V1160" s="37">
        <v>21521569</v>
      </c>
      <c r="W1160" s="19">
        <v>68</v>
      </c>
      <c r="X1160" s="37">
        <v>6005910</v>
      </c>
      <c r="Y1160" s="46">
        <f t="shared" si="38"/>
        <v>2889653</v>
      </c>
      <c r="Z1160" s="19" t="s">
        <v>317</v>
      </c>
    </row>
    <row r="1161" spans="1:26" x14ac:dyDescent="0.25">
      <c r="A1161" s="20">
        <f>+VLOOKUP(D1161,Back!Q:R,2,0)</f>
        <v>2</v>
      </c>
      <c r="B1161" s="20" t="str">
        <f t="shared" si="37"/>
        <v>2018 FEB</v>
      </c>
      <c r="C1161" s="30">
        <v>2018</v>
      </c>
      <c r="D1161" s="30" t="s">
        <v>138</v>
      </c>
      <c r="E1161" s="30" t="s">
        <v>37</v>
      </c>
      <c r="F1161" s="30">
        <v>1036779770</v>
      </c>
      <c r="G1161" s="30" t="s">
        <v>52</v>
      </c>
      <c r="H1161" s="32">
        <v>50495412</v>
      </c>
      <c r="I1161" s="32">
        <v>2522400</v>
      </c>
      <c r="J1161" s="32">
        <v>8794037</v>
      </c>
      <c r="K1161" s="33">
        <v>39178975</v>
      </c>
      <c r="L1161" s="33">
        <v>34999992</v>
      </c>
      <c r="M1161" s="34">
        <v>1.1193995415770381</v>
      </c>
      <c r="N1161" s="209" t="str">
        <f>IFERROR(VLOOKUP(F1161,Back!C:F,4,0),"NO")</f>
        <v>No</v>
      </c>
      <c r="O1161" s="26">
        <v>24</v>
      </c>
      <c r="P1161" s="28" t="str">
        <f>IFERROR(VLOOKUP(F1161,Back!C:E,3,0),"")</f>
        <v>IPS Pto De Vista Rionegro</v>
      </c>
      <c r="Q1161" s="28" t="str">
        <f>IFERROR(VLOOKUP(P1161,Back!M:N,2,0),"")</f>
        <v>Antioquia</v>
      </c>
      <c r="R1161" s="27" t="str">
        <f>IF(N1161="Si",IFERROR(VLOOKUP(F1161,'TD Cumpl'!B:AB,27,0),"No Aplica"),"No Aplica")</f>
        <v>No Aplica</v>
      </c>
      <c r="S1161" s="38">
        <v>85</v>
      </c>
      <c r="T1161" s="36">
        <v>9333870</v>
      </c>
      <c r="U1161" s="26">
        <v>198</v>
      </c>
      <c r="V1161" s="37">
        <v>26246959</v>
      </c>
      <c r="W1161" s="19">
        <v>110</v>
      </c>
      <c r="X1161" s="37">
        <v>8794037</v>
      </c>
      <c r="Y1161" s="46">
        <f t="shared" si="38"/>
        <v>6120546</v>
      </c>
    </row>
    <row r="1162" spans="1:26" x14ac:dyDescent="0.25">
      <c r="A1162" s="20">
        <f>+VLOOKUP(D1162,Back!Q:R,2,0)</f>
        <v>2</v>
      </c>
      <c r="B1162" s="20" t="str">
        <f t="shared" si="37"/>
        <v>2018 FEB</v>
      </c>
      <c r="C1162" s="30">
        <v>2018</v>
      </c>
      <c r="D1162" s="30" t="s">
        <v>138</v>
      </c>
      <c r="E1162" s="30" t="s">
        <v>24</v>
      </c>
      <c r="F1162" s="30">
        <v>39448823</v>
      </c>
      <c r="G1162" s="30" t="s">
        <v>48</v>
      </c>
      <c r="H1162" s="32">
        <v>29064933</v>
      </c>
      <c r="I1162" s="32">
        <v>3136800</v>
      </c>
      <c r="J1162" s="32">
        <v>3304388</v>
      </c>
      <c r="K1162" s="33">
        <v>22623745</v>
      </c>
      <c r="L1162" s="33">
        <v>24791661</v>
      </c>
      <c r="M1162" s="34">
        <v>0.91255462875198234</v>
      </c>
      <c r="N1162" s="209" t="str">
        <f>IFERROR(VLOOKUP(F1162,Back!C:F,4,0),"NO")</f>
        <v>Si</v>
      </c>
      <c r="O1162" s="26">
        <v>24</v>
      </c>
      <c r="P1162" s="28" t="str">
        <f>IFERROR(VLOOKUP(F1162,Back!C:E,3,0),"")</f>
        <v>IPS Pto De Vista Rionegro</v>
      </c>
      <c r="Q1162" s="28" t="str">
        <f>IFERROR(VLOOKUP(P1162,Back!M:N,2,0),"")</f>
        <v>Antioquia</v>
      </c>
      <c r="R1162" s="27" t="str">
        <f>IF(N1162="Si",IFERROR(VLOOKUP(F1162,'TD Cumpl'!B:AB,27,0),"No Aplica"),"No Aplica")</f>
        <v>Siempre Cumple</v>
      </c>
      <c r="S1162" s="38">
        <v>45</v>
      </c>
      <c r="T1162" s="36">
        <v>5286607</v>
      </c>
      <c r="U1162" s="26">
        <v>123</v>
      </c>
      <c r="V1162" s="37">
        <v>15111263</v>
      </c>
      <c r="W1162" s="19">
        <v>40</v>
      </c>
      <c r="X1162" s="37">
        <v>3304388</v>
      </c>
      <c r="Y1162" s="46">
        <f t="shared" si="38"/>
        <v>5362675</v>
      </c>
      <c r="Z1162" s="19" t="s">
        <v>319</v>
      </c>
    </row>
    <row r="1163" spans="1:26" x14ac:dyDescent="0.25">
      <c r="A1163" s="20">
        <f>+VLOOKUP(D1163,Back!Q:R,2,0)</f>
        <v>2</v>
      </c>
      <c r="B1163" s="20" t="str">
        <f t="shared" si="37"/>
        <v>2018 FEB</v>
      </c>
      <c r="C1163" s="30">
        <v>2018</v>
      </c>
      <c r="D1163" s="30" t="s">
        <v>138</v>
      </c>
      <c r="E1163" s="30" t="s">
        <v>11</v>
      </c>
      <c r="F1163" s="30">
        <v>43253531</v>
      </c>
      <c r="G1163" s="30" t="s">
        <v>39</v>
      </c>
      <c r="H1163" s="32">
        <v>53793523</v>
      </c>
      <c r="I1163" s="32">
        <v>372000</v>
      </c>
      <c r="J1163" s="32">
        <v>11587886</v>
      </c>
      <c r="K1163" s="33">
        <v>41833637</v>
      </c>
      <c r="L1163" s="33">
        <v>34999992</v>
      </c>
      <c r="M1163" s="34">
        <v>1.195247044627896</v>
      </c>
      <c r="N1163" s="209" t="str">
        <f>IFERROR(VLOOKUP(F1163,Back!C:F,4,0),"NO")</f>
        <v>Si</v>
      </c>
      <c r="O1163" s="26">
        <v>24</v>
      </c>
      <c r="P1163" s="28" t="str">
        <f>IFERROR(VLOOKUP(F1163,Back!C:E,3,0),"")</f>
        <v>IPS Punto de Vista Bello</v>
      </c>
      <c r="Q1163" s="28" t="str">
        <f>IFERROR(VLOOKUP(P1163,Back!M:N,2,0),"")</f>
        <v>Antioquia</v>
      </c>
      <c r="R1163" s="27" t="str">
        <f>IF(N1163="Si",IFERROR(VLOOKUP(F1163,'TD Cumpl'!B:AB,27,0),"No Aplica"),"No Aplica")</f>
        <v>Cumple</v>
      </c>
      <c r="S1163" s="38">
        <v>94</v>
      </c>
      <c r="T1163" s="36">
        <v>9027930</v>
      </c>
      <c r="U1163" s="26">
        <v>225</v>
      </c>
      <c r="V1163" s="37">
        <v>27204743</v>
      </c>
      <c r="W1163" s="19">
        <v>127</v>
      </c>
      <c r="X1163" s="37">
        <v>11587886</v>
      </c>
      <c r="Y1163" s="46">
        <f t="shared" si="38"/>
        <v>5972964</v>
      </c>
      <c r="Z1163" s="19" t="s">
        <v>318</v>
      </c>
    </row>
    <row r="1164" spans="1:26" x14ac:dyDescent="0.25">
      <c r="A1164" s="20">
        <f>+VLOOKUP(D1164,Back!Q:R,2,0)</f>
        <v>2</v>
      </c>
      <c r="B1164" s="20" t="str">
        <f t="shared" si="37"/>
        <v>2018 FEB</v>
      </c>
      <c r="C1164" s="30">
        <v>2018</v>
      </c>
      <c r="D1164" s="30" t="s">
        <v>138</v>
      </c>
      <c r="E1164" s="30" t="s">
        <v>121</v>
      </c>
      <c r="F1164" s="30">
        <v>21982241</v>
      </c>
      <c r="G1164" s="30" t="s">
        <v>143</v>
      </c>
      <c r="H1164" s="32">
        <v>49248727</v>
      </c>
      <c r="I1164" s="32">
        <v>632000</v>
      </c>
      <c r="J1164" s="32">
        <v>10198598</v>
      </c>
      <c r="K1164" s="33">
        <v>38418129</v>
      </c>
      <c r="L1164" s="33">
        <v>34999992</v>
      </c>
      <c r="M1164" s="34">
        <v>1.0976610794653896</v>
      </c>
      <c r="N1164" s="209" t="str">
        <f>IFERROR(VLOOKUP(F1164,Back!C:F,4,0),"NO")</f>
        <v>Si</v>
      </c>
      <c r="O1164" s="26">
        <v>24</v>
      </c>
      <c r="P1164" s="28" t="str">
        <f>IFERROR(VLOOKUP(F1164,Back!C:E,3,0),"")</f>
        <v>IPS Punto de Vista Bello</v>
      </c>
      <c r="Q1164" s="28" t="str">
        <f>IFERROR(VLOOKUP(P1164,Back!M:N,2,0),"")</f>
        <v>Antioquia</v>
      </c>
      <c r="R1164" s="27" t="str">
        <f>IF(N1164="Si",IFERROR(VLOOKUP(F1164,'TD Cumpl'!B:AB,27,0),"No Aplica"),"No Aplica")</f>
        <v>Fluctúa</v>
      </c>
      <c r="S1164" s="38">
        <v>91</v>
      </c>
      <c r="T1164" s="36">
        <v>8001716</v>
      </c>
      <c r="U1164" s="26">
        <v>244</v>
      </c>
      <c r="V1164" s="37">
        <v>25368025</v>
      </c>
      <c r="W1164" s="19">
        <v>120</v>
      </c>
      <c r="X1164" s="37">
        <v>10198598</v>
      </c>
      <c r="Y1164" s="46">
        <f t="shared" si="38"/>
        <v>5680388</v>
      </c>
      <c r="Z1164" s="19" t="s">
        <v>318</v>
      </c>
    </row>
    <row r="1165" spans="1:26" x14ac:dyDescent="0.25">
      <c r="A1165" s="20">
        <f>+VLOOKUP(D1165,Back!Q:R,2,0)</f>
        <v>2</v>
      </c>
      <c r="B1165" s="20" t="str">
        <f t="shared" si="37"/>
        <v>2018 FEB</v>
      </c>
      <c r="C1165" s="30">
        <v>2018</v>
      </c>
      <c r="D1165" s="30" t="s">
        <v>138</v>
      </c>
      <c r="E1165" s="30" t="s">
        <v>9</v>
      </c>
      <c r="F1165" s="30">
        <v>43169964</v>
      </c>
      <c r="G1165" s="30" t="s">
        <v>155</v>
      </c>
      <c r="H1165" s="32">
        <v>54267701</v>
      </c>
      <c r="I1165" s="32">
        <v>1396400</v>
      </c>
      <c r="J1165" s="32">
        <v>9437507</v>
      </c>
      <c r="K1165" s="33">
        <v>43433794</v>
      </c>
      <c r="L1165" s="33">
        <v>42499992</v>
      </c>
      <c r="M1165" s="34">
        <v>1.0219718159005771</v>
      </c>
      <c r="N1165" s="209" t="str">
        <f>IFERROR(VLOOKUP(F1165,Back!C:F,4,0),"NO")</f>
        <v>Si</v>
      </c>
      <c r="O1165" s="26">
        <v>24</v>
      </c>
      <c r="P1165" s="28" t="str">
        <f>IFERROR(VLOOKUP(F1165,Back!C:E,3,0),"")</f>
        <v>IPS Pto De Vista Molinos</v>
      </c>
      <c r="Q1165" s="28" t="str">
        <f>IFERROR(VLOOKUP(P1165,Back!M:N,2,0),"")</f>
        <v>Antioquia</v>
      </c>
      <c r="R1165" s="27" t="str">
        <f>IF(N1165="Si",IFERROR(VLOOKUP(F1165,'TD Cumpl'!B:AB,27,0),"No Aplica"),"No Aplica")</f>
        <v>Cumple</v>
      </c>
      <c r="S1165" s="38">
        <v>93</v>
      </c>
      <c r="T1165" s="36">
        <v>9307188</v>
      </c>
      <c r="U1165" s="26">
        <v>256</v>
      </c>
      <c r="V1165" s="37">
        <v>29182165</v>
      </c>
      <c r="W1165" s="19">
        <v>100</v>
      </c>
      <c r="X1165" s="37">
        <v>9437507</v>
      </c>
      <c r="Y1165" s="46">
        <f t="shared" si="38"/>
        <v>6340841</v>
      </c>
      <c r="Z1165" s="19" t="s">
        <v>318</v>
      </c>
    </row>
    <row r="1166" spans="1:26" x14ac:dyDescent="0.25">
      <c r="A1166" s="20">
        <f>+VLOOKUP(D1166,Back!Q:R,2,0)</f>
        <v>2</v>
      </c>
      <c r="B1166" s="20" t="str">
        <f t="shared" si="37"/>
        <v>2018 FEB</v>
      </c>
      <c r="C1166" s="30">
        <v>2018</v>
      </c>
      <c r="D1166" s="30" t="s">
        <v>138</v>
      </c>
      <c r="E1166" s="30" t="s">
        <v>21</v>
      </c>
      <c r="F1166" s="30">
        <v>1035417626</v>
      </c>
      <c r="G1166" s="30" t="s">
        <v>80</v>
      </c>
      <c r="H1166" s="32">
        <v>67313825</v>
      </c>
      <c r="I1166" s="32">
        <v>744000</v>
      </c>
      <c r="J1166" s="32">
        <v>15398156</v>
      </c>
      <c r="K1166" s="33">
        <v>51171669</v>
      </c>
      <c r="L1166" s="33">
        <v>43999992</v>
      </c>
      <c r="M1166" s="34">
        <v>1.1629926887259434</v>
      </c>
      <c r="N1166" s="209" t="str">
        <f>IFERROR(VLOOKUP(F1166,Back!C:F,4,0),"NO")</f>
        <v>Si</v>
      </c>
      <c r="O1166" s="26">
        <v>24</v>
      </c>
      <c r="P1166" s="28" t="str">
        <f>IFERROR(VLOOKUP(F1166,Back!C:E,3,0),"")</f>
        <v>IPS Pto De Vista Unicentro</v>
      </c>
      <c r="Q1166" s="28" t="str">
        <f>IFERROR(VLOOKUP(P1166,Back!M:N,2,0),"")</f>
        <v>Antioquia</v>
      </c>
      <c r="R1166" s="27" t="str">
        <f>IF(N1166="Si",IFERROR(VLOOKUP(F1166,'TD Cumpl'!B:AB,27,0),"No Aplica"),"No Aplica")</f>
        <v>Cumple</v>
      </c>
      <c r="S1166" s="38">
        <v>100</v>
      </c>
      <c r="T1166" s="36">
        <v>12899625</v>
      </c>
      <c r="U1166" s="26">
        <v>254</v>
      </c>
      <c r="V1166" s="37">
        <v>32400973</v>
      </c>
      <c r="W1166" s="19">
        <v>157</v>
      </c>
      <c r="X1166" s="37">
        <v>15398156</v>
      </c>
      <c r="Y1166" s="46">
        <f t="shared" si="38"/>
        <v>6615071</v>
      </c>
      <c r="Z1166" s="19" t="s">
        <v>318</v>
      </c>
    </row>
    <row r="1167" spans="1:26" x14ac:dyDescent="0.25">
      <c r="A1167" s="20">
        <f>+VLOOKUP(D1167,Back!Q:R,2,0)</f>
        <v>2</v>
      </c>
      <c r="B1167" s="20" t="str">
        <f t="shared" si="37"/>
        <v>2018 FEB</v>
      </c>
      <c r="C1167" s="30">
        <v>2018</v>
      </c>
      <c r="D1167" s="30" t="s">
        <v>138</v>
      </c>
      <c r="E1167" s="30" t="s">
        <v>20</v>
      </c>
      <c r="F1167" s="30">
        <v>1017141451</v>
      </c>
      <c r="G1167" s="30" t="s">
        <v>44</v>
      </c>
      <c r="H1167" s="32">
        <v>60161294</v>
      </c>
      <c r="I1167" s="32">
        <v>1088000</v>
      </c>
      <c r="J1167" s="32">
        <v>12610913</v>
      </c>
      <c r="K1167" s="33">
        <v>46462381</v>
      </c>
      <c r="L1167" s="33">
        <v>43999992</v>
      </c>
      <c r="M1167" s="34">
        <v>1.0559633965387993</v>
      </c>
      <c r="N1167" s="209" t="str">
        <f>IFERROR(VLOOKUP(F1167,Back!C:F,4,0),"NO")</f>
        <v>Si</v>
      </c>
      <c r="O1167" s="26">
        <v>24</v>
      </c>
      <c r="P1167" s="28" t="str">
        <f>IFERROR(VLOOKUP(F1167,Back!C:E,3,0),"")</f>
        <v>IPS Pto De Vista Molinos</v>
      </c>
      <c r="Q1167" s="28" t="str">
        <f>IFERROR(VLOOKUP(P1167,Back!M:N,2,0),"")</f>
        <v>Antioquia</v>
      </c>
      <c r="R1167" s="27" t="str">
        <f>IF(N1167="Si",IFERROR(VLOOKUP(F1167,'TD Cumpl'!B:AB,27,0),"No Aplica"),"No Aplica")</f>
        <v>Siempre Cumple</v>
      </c>
      <c r="S1167" s="38">
        <v>85</v>
      </c>
      <c r="T1167" s="36">
        <v>10700287</v>
      </c>
      <c r="U1167" s="26">
        <v>246</v>
      </c>
      <c r="V1167" s="37">
        <v>26908598</v>
      </c>
      <c r="W1167" s="19">
        <v>130</v>
      </c>
      <c r="X1167" s="37">
        <v>12610913</v>
      </c>
      <c r="Y1167" s="46">
        <f t="shared" si="38"/>
        <v>9941496</v>
      </c>
      <c r="Z1167" s="19" t="s">
        <v>318</v>
      </c>
    </row>
    <row r="1168" spans="1:26" x14ac:dyDescent="0.25">
      <c r="A1168" s="20">
        <f>+VLOOKUP(D1168,Back!Q:R,2,0)</f>
        <v>2</v>
      </c>
      <c r="B1168" s="20" t="str">
        <f t="shared" si="37"/>
        <v>2018 FEB</v>
      </c>
      <c r="C1168" s="30">
        <v>2018</v>
      </c>
      <c r="D1168" s="30" t="s">
        <v>138</v>
      </c>
      <c r="E1168" s="30" t="s">
        <v>181</v>
      </c>
      <c r="F1168" s="30">
        <v>32183069</v>
      </c>
      <c r="G1168" s="30" t="s">
        <v>182</v>
      </c>
      <c r="H1168" s="32">
        <v>44511722</v>
      </c>
      <c r="I1168" s="32">
        <v>0</v>
      </c>
      <c r="J1168" s="32">
        <v>12043492</v>
      </c>
      <c r="K1168" s="33">
        <v>32468230</v>
      </c>
      <c r="L1168" s="33">
        <v>32833326</v>
      </c>
      <c r="M1168" s="34">
        <v>0.98888032238951362</v>
      </c>
      <c r="N1168" s="209" t="str">
        <f>IFERROR(VLOOKUP(F1168,Back!C:F,4,0),"NO")</f>
        <v>Si</v>
      </c>
      <c r="O1168" s="26">
        <v>24</v>
      </c>
      <c r="P1168" s="28" t="str">
        <f>IFERROR(VLOOKUP(F1168,Back!C:E,3,0),"")</f>
        <v>IPS Pto De Vista Molinos</v>
      </c>
      <c r="Q1168" s="28" t="str">
        <f>IFERROR(VLOOKUP(P1168,Back!M:N,2,0),"")</f>
        <v>Antioquia</v>
      </c>
      <c r="R1168" s="27" t="str">
        <f>IF(N1168="Si",IFERROR(VLOOKUP(F1168,'TD Cumpl'!B:AB,27,0),"No Aplica"),"No Aplica")</f>
        <v>No Cumple</v>
      </c>
      <c r="S1168" s="38">
        <v>72</v>
      </c>
      <c r="T1168" s="36">
        <v>8765926</v>
      </c>
      <c r="U1168" s="26">
        <v>194</v>
      </c>
      <c r="V1168" s="37">
        <v>20484764</v>
      </c>
      <c r="W1168" s="19">
        <v>132</v>
      </c>
      <c r="X1168" s="37">
        <v>12043492</v>
      </c>
      <c r="Y1168" s="46">
        <f t="shared" si="38"/>
        <v>3217540</v>
      </c>
      <c r="Z1168" s="19" t="s">
        <v>318</v>
      </c>
    </row>
    <row r="1169" spans="1:26" x14ac:dyDescent="0.25">
      <c r="A1169" s="20">
        <f>+VLOOKUP(D1169,Back!Q:R,2,0)</f>
        <v>2</v>
      </c>
      <c r="B1169" s="20" t="str">
        <f t="shared" si="37"/>
        <v>2018 FEB</v>
      </c>
      <c r="C1169" s="30">
        <v>2018</v>
      </c>
      <c r="D1169" s="30" t="s">
        <v>138</v>
      </c>
      <c r="E1169" s="30" t="s">
        <v>235</v>
      </c>
      <c r="F1169" s="30">
        <v>39275090</v>
      </c>
      <c r="G1169" s="30" t="s">
        <v>236</v>
      </c>
      <c r="H1169" s="32">
        <v>34897617</v>
      </c>
      <c r="I1169" s="32">
        <v>152000</v>
      </c>
      <c r="J1169" s="32">
        <v>10031892</v>
      </c>
      <c r="K1169" s="33">
        <v>24713725</v>
      </c>
      <c r="L1169" s="33">
        <v>41999994</v>
      </c>
      <c r="M1169" s="34">
        <v>0.58842210786982496</v>
      </c>
      <c r="N1169" s="209" t="str">
        <f>IFERROR(VLOOKUP(F1169,Back!C:F,4,0),"NO")</f>
        <v>Si</v>
      </c>
      <c r="O1169" s="26">
        <v>24</v>
      </c>
      <c r="P1169" s="28" t="str">
        <f>IFERROR(VLOOKUP(F1169,Back!C:E,3,0),"")</f>
        <v>IPS Pto De Vista San Diego</v>
      </c>
      <c r="Q1169" s="28" t="str">
        <f>IFERROR(VLOOKUP(P1169,Back!M:N,2,0),"")</f>
        <v>Antioquia</v>
      </c>
      <c r="R1169" s="27" t="str">
        <f>IF(N1169="Si",IFERROR(VLOOKUP(F1169,'TD Cumpl'!B:AB,27,0),"No Aplica"),"No Aplica")</f>
        <v>Siempre Cumple</v>
      </c>
      <c r="S1169" s="38">
        <v>48</v>
      </c>
      <c r="T1169" s="36">
        <v>5499597</v>
      </c>
      <c r="U1169" s="26">
        <v>114</v>
      </c>
      <c r="V1169" s="37">
        <v>16255470</v>
      </c>
      <c r="W1169" s="19">
        <v>95</v>
      </c>
      <c r="X1169" s="37">
        <v>10031892</v>
      </c>
      <c r="Y1169" s="46">
        <f t="shared" si="38"/>
        <v>3110658</v>
      </c>
      <c r="Z1169" s="19" t="s">
        <v>318</v>
      </c>
    </row>
    <row r="1170" spans="1:26" x14ac:dyDescent="0.25">
      <c r="A1170" s="20">
        <f>+VLOOKUP(D1170,Back!Q:R,2,0)</f>
        <v>2</v>
      </c>
      <c r="B1170" s="20" t="str">
        <f t="shared" si="37"/>
        <v>2018 FEB</v>
      </c>
      <c r="C1170" s="30">
        <v>2018</v>
      </c>
      <c r="D1170" s="30" t="s">
        <v>138</v>
      </c>
      <c r="E1170" s="30" t="s">
        <v>103</v>
      </c>
      <c r="F1170" s="30">
        <v>1020409789</v>
      </c>
      <c r="G1170" s="30" t="s">
        <v>145</v>
      </c>
      <c r="H1170" s="32">
        <v>73955887</v>
      </c>
      <c r="I1170" s="32">
        <v>1058000</v>
      </c>
      <c r="J1170" s="32">
        <v>16779740</v>
      </c>
      <c r="K1170" s="33">
        <v>56118147</v>
      </c>
      <c r="L1170" s="33">
        <v>43999992</v>
      </c>
      <c r="M1170" s="34">
        <v>1.2754126637113934</v>
      </c>
      <c r="N1170" s="209" t="str">
        <f>IFERROR(VLOOKUP(F1170,Back!C:F,4,0),"NO")</f>
        <v>Si</v>
      </c>
      <c r="O1170" s="26">
        <v>24</v>
      </c>
      <c r="P1170" s="28" t="str">
        <f>IFERROR(VLOOKUP(F1170,Back!C:E,3,0),"")</f>
        <v>IPS Pto De Vista Molinos</v>
      </c>
      <c r="Q1170" s="28" t="str">
        <f>IFERROR(VLOOKUP(P1170,Back!M:N,2,0),"")</f>
        <v>Antioquia</v>
      </c>
      <c r="R1170" s="27" t="str">
        <f>IF(N1170="Si",IFERROR(VLOOKUP(F1170,'TD Cumpl'!B:AB,27,0),"No Aplica"),"No Aplica")</f>
        <v>Cumple</v>
      </c>
      <c r="S1170" s="38">
        <v>107</v>
      </c>
      <c r="T1170" s="36">
        <v>15230941</v>
      </c>
      <c r="U1170" s="26">
        <v>268</v>
      </c>
      <c r="V1170" s="37">
        <v>34648806</v>
      </c>
      <c r="W1170" s="19">
        <v>182</v>
      </c>
      <c r="X1170" s="37">
        <v>16779740</v>
      </c>
      <c r="Y1170" s="46">
        <f t="shared" si="38"/>
        <v>7296400</v>
      </c>
      <c r="Z1170" s="19" t="s">
        <v>318</v>
      </c>
    </row>
    <row r="1171" spans="1:26" x14ac:dyDescent="0.25">
      <c r="A1171" s="20">
        <f>+VLOOKUP(D1171,Back!Q:R,2,0)</f>
        <v>2</v>
      </c>
      <c r="B1171" s="20" t="str">
        <f t="shared" si="37"/>
        <v>2018 FEB</v>
      </c>
      <c r="C1171" s="30">
        <v>2018</v>
      </c>
      <c r="D1171" s="30" t="s">
        <v>138</v>
      </c>
      <c r="E1171" s="30" t="s">
        <v>8</v>
      </c>
      <c r="F1171" s="30">
        <v>43259130</v>
      </c>
      <c r="G1171" s="30" t="s">
        <v>51</v>
      </c>
      <c r="H1171" s="32">
        <v>26721255</v>
      </c>
      <c r="I1171" s="32">
        <v>1472000</v>
      </c>
      <c r="J1171" s="32">
        <v>4629997</v>
      </c>
      <c r="K1171" s="33">
        <v>20619258</v>
      </c>
      <c r="L1171" s="33">
        <v>10999998</v>
      </c>
      <c r="M1171" s="34">
        <v>1.8744783408142438</v>
      </c>
      <c r="N1171" s="209" t="str">
        <f>IFERROR(VLOOKUP(F1171,Back!C:F,4,0),"NO")</f>
        <v>Si</v>
      </c>
      <c r="O1171" s="26">
        <v>24</v>
      </c>
      <c r="P1171" s="28" t="str">
        <f>IFERROR(VLOOKUP(F1171,Back!C:E,3,0),"")</f>
        <v>IPS Pto De Vista Molinos</v>
      </c>
      <c r="Q1171" s="28" t="str">
        <f>IFERROR(VLOOKUP(P1171,Back!M:N,2,0),"")</f>
        <v>Antioquia</v>
      </c>
      <c r="R1171" s="27" t="str">
        <f>IF(N1171="Si",IFERROR(VLOOKUP(F1171,'TD Cumpl'!B:AB,27,0),"No Aplica"),"No Aplica")</f>
        <v>Fluctúa</v>
      </c>
      <c r="S1171" s="38">
        <v>35</v>
      </c>
      <c r="T1171" s="36">
        <v>5206222</v>
      </c>
      <c r="U1171" s="26">
        <v>120</v>
      </c>
      <c r="V1171" s="37">
        <v>13210240</v>
      </c>
      <c r="W1171" s="19">
        <v>44</v>
      </c>
      <c r="X1171" s="37">
        <v>4629997</v>
      </c>
      <c r="Y1171" s="46">
        <f t="shared" si="38"/>
        <v>3674796</v>
      </c>
      <c r="Z1171" s="19" t="s">
        <v>319</v>
      </c>
    </row>
    <row r="1172" spans="1:26" x14ac:dyDescent="0.25">
      <c r="A1172" s="20">
        <f>+VLOOKUP(D1172,Back!Q:R,2,0)</f>
        <v>2</v>
      </c>
      <c r="B1172" s="20" t="str">
        <f t="shared" si="37"/>
        <v>2018 FEB</v>
      </c>
      <c r="C1172" s="30">
        <v>2018</v>
      </c>
      <c r="D1172" s="30" t="s">
        <v>138</v>
      </c>
      <c r="E1172" s="30" t="s">
        <v>184</v>
      </c>
      <c r="F1172" s="30">
        <v>43906785</v>
      </c>
      <c r="G1172" s="30" t="s">
        <v>188</v>
      </c>
      <c r="H1172" s="32">
        <v>37928922</v>
      </c>
      <c r="I1172" s="32">
        <v>1238000</v>
      </c>
      <c r="J1172" s="32">
        <v>8606331</v>
      </c>
      <c r="K1172" s="33">
        <v>28084591</v>
      </c>
      <c r="L1172" s="33">
        <v>42000000</v>
      </c>
      <c r="M1172" s="34">
        <v>0.66868073809523809</v>
      </c>
      <c r="N1172" s="209" t="str">
        <f>IFERROR(VLOOKUP(F1172,Back!C:F,4,0),"NO")</f>
        <v>NO</v>
      </c>
      <c r="O1172" s="26">
        <v>24</v>
      </c>
      <c r="P1172" s="28" t="str">
        <f>IFERROR(VLOOKUP(F1172,Back!C:E,3,0),"")</f>
        <v/>
      </c>
      <c r="Q1172" s="28" t="str">
        <f>IFERROR(VLOOKUP(P1172,Back!M:N,2,0),"")</f>
        <v/>
      </c>
      <c r="R1172" s="27" t="str">
        <f>IF(N1172="Si",IFERROR(VLOOKUP(F1172,'TD Cumpl'!B:AB,27,0),"No Aplica"),"No Aplica")</f>
        <v>No Aplica</v>
      </c>
      <c r="S1172" s="38">
        <v>67</v>
      </c>
      <c r="T1172" s="36">
        <v>6398718</v>
      </c>
      <c r="U1172" s="26">
        <v>175</v>
      </c>
      <c r="V1172" s="37">
        <v>17234345</v>
      </c>
      <c r="W1172" s="19">
        <v>94</v>
      </c>
      <c r="X1172" s="37">
        <v>8606331</v>
      </c>
      <c r="Y1172" s="46">
        <f t="shared" si="38"/>
        <v>5689528</v>
      </c>
    </row>
    <row r="1173" spans="1:26" x14ac:dyDescent="0.25">
      <c r="A1173" s="20">
        <f>+VLOOKUP(D1173,Back!Q:R,2,0)</f>
        <v>2</v>
      </c>
      <c r="B1173" s="20" t="str">
        <f t="shared" si="37"/>
        <v>2018 FEB</v>
      </c>
      <c r="C1173" s="30">
        <v>2018</v>
      </c>
      <c r="D1173" s="30" t="s">
        <v>138</v>
      </c>
      <c r="E1173" s="30" t="s">
        <v>56</v>
      </c>
      <c r="F1173" s="30">
        <v>43971430</v>
      </c>
      <c r="G1173" s="30" t="s">
        <v>142</v>
      </c>
      <c r="H1173" s="32">
        <v>62586677</v>
      </c>
      <c r="I1173" s="32">
        <v>440000</v>
      </c>
      <c r="J1173" s="32">
        <v>14522896</v>
      </c>
      <c r="K1173" s="33">
        <v>47623781</v>
      </c>
      <c r="L1173" s="33">
        <v>42000000</v>
      </c>
      <c r="M1173" s="34">
        <v>1.1338995476190477</v>
      </c>
      <c r="N1173" s="209" t="str">
        <f>IFERROR(VLOOKUP(F1173,Back!C:F,4,0),"NO")</f>
        <v>Si</v>
      </c>
      <c r="O1173" s="26">
        <v>24</v>
      </c>
      <c r="P1173" s="28" t="str">
        <f>IFERROR(VLOOKUP(F1173,Back!C:E,3,0),"")</f>
        <v>IPS Pto De Vista Centro</v>
      </c>
      <c r="Q1173" s="28" t="str">
        <f>IFERROR(VLOOKUP(P1173,Back!M:N,2,0),"")</f>
        <v>Antioquia</v>
      </c>
      <c r="R1173" s="27" t="str">
        <f>IF(N1173="Si",IFERROR(VLOOKUP(F1173,'TD Cumpl'!B:AB,27,0),"No Aplica"),"No Aplica")</f>
        <v>Siempre Cumple</v>
      </c>
      <c r="S1173" s="38">
        <v>109</v>
      </c>
      <c r="T1173" s="36">
        <v>9740249</v>
      </c>
      <c r="U1173" s="26">
        <v>294</v>
      </c>
      <c r="V1173" s="37">
        <v>31910637</v>
      </c>
      <c r="W1173" s="19">
        <v>168</v>
      </c>
      <c r="X1173" s="37">
        <v>14522896</v>
      </c>
      <c r="Y1173" s="46">
        <f t="shared" si="38"/>
        <v>6412895</v>
      </c>
      <c r="Z1173" s="19" t="s">
        <v>318</v>
      </c>
    </row>
    <row r="1174" spans="1:26" x14ac:dyDescent="0.25">
      <c r="A1174" s="20">
        <f>+VLOOKUP(D1174,Back!Q:R,2,0)</f>
        <v>2</v>
      </c>
      <c r="B1174" s="20" t="str">
        <f t="shared" si="37"/>
        <v>2018 FEB</v>
      </c>
      <c r="C1174" s="30">
        <v>2018</v>
      </c>
      <c r="D1174" s="30" t="s">
        <v>138</v>
      </c>
      <c r="E1174" s="30" t="s">
        <v>108</v>
      </c>
      <c r="F1174" s="30">
        <v>1020443426</v>
      </c>
      <c r="G1174" s="30" t="s">
        <v>109</v>
      </c>
      <c r="H1174" s="32">
        <v>52377123</v>
      </c>
      <c r="I1174" s="32">
        <v>440000</v>
      </c>
      <c r="J1174" s="32">
        <v>9646692</v>
      </c>
      <c r="K1174" s="33">
        <v>42290431</v>
      </c>
      <c r="L1174" s="33">
        <v>42000000</v>
      </c>
      <c r="M1174" s="34">
        <v>1.0069150238095239</v>
      </c>
      <c r="N1174" s="209" t="str">
        <f>IFERROR(VLOOKUP(F1174,Back!C:F,4,0),"NO")</f>
        <v>Si</v>
      </c>
      <c r="O1174" s="26">
        <v>24</v>
      </c>
      <c r="P1174" s="28" t="str">
        <f>IFERROR(VLOOKUP(F1174,Back!C:E,3,0),"")</f>
        <v>IPS Pto De Vista San Diego</v>
      </c>
      <c r="Q1174" s="28" t="str">
        <f>IFERROR(VLOOKUP(P1174,Back!M:N,2,0),"")</f>
        <v>Antioquia</v>
      </c>
      <c r="R1174" s="27" t="str">
        <f>IF(N1174="Si",IFERROR(VLOOKUP(F1174,'TD Cumpl'!B:AB,27,0),"No Aplica"),"No Aplica")</f>
        <v>Fluctúa</v>
      </c>
      <c r="S1174" s="38">
        <v>96</v>
      </c>
      <c r="T1174" s="36">
        <v>9648212</v>
      </c>
      <c r="U1174" s="26">
        <v>269</v>
      </c>
      <c r="V1174" s="37">
        <v>29054703</v>
      </c>
      <c r="W1174" s="19">
        <v>102</v>
      </c>
      <c r="X1174" s="37">
        <v>9646692</v>
      </c>
      <c r="Y1174" s="46">
        <f t="shared" si="38"/>
        <v>4027516</v>
      </c>
      <c r="Z1174" s="19" t="s">
        <v>318</v>
      </c>
    </row>
    <row r="1175" spans="1:26" x14ac:dyDescent="0.25">
      <c r="A1175" s="20">
        <f>+VLOOKUP(D1175,Back!Q:R,2,0)</f>
        <v>2</v>
      </c>
      <c r="B1175" s="20" t="str">
        <f t="shared" si="37"/>
        <v>2018 FEB</v>
      </c>
      <c r="C1175" s="30">
        <v>2018</v>
      </c>
      <c r="D1175" s="30" t="s">
        <v>138</v>
      </c>
      <c r="E1175" s="30" t="s">
        <v>34</v>
      </c>
      <c r="F1175" s="30">
        <v>43554403</v>
      </c>
      <c r="G1175" s="30" t="s">
        <v>35</v>
      </c>
      <c r="H1175" s="32">
        <v>68529139</v>
      </c>
      <c r="I1175" s="32">
        <v>1026000</v>
      </c>
      <c r="J1175" s="32">
        <v>14770387</v>
      </c>
      <c r="K1175" s="33">
        <v>52732752</v>
      </c>
      <c r="L1175" s="33">
        <v>42000000</v>
      </c>
      <c r="M1175" s="34">
        <v>1.2555417142857144</v>
      </c>
      <c r="N1175" s="209" t="str">
        <f>IFERROR(VLOOKUP(F1175,Back!C:F,4,0),"NO")</f>
        <v>Si</v>
      </c>
      <c r="O1175" s="26">
        <v>24</v>
      </c>
      <c r="P1175" s="28" t="str">
        <f>IFERROR(VLOOKUP(F1175,Back!C:E,3,0),"")</f>
        <v>IPS Pto De Vista Centro</v>
      </c>
      <c r="Q1175" s="28" t="str">
        <f>IFERROR(VLOOKUP(P1175,Back!M:N,2,0),"")</f>
        <v>Antioquia</v>
      </c>
      <c r="R1175" s="27" t="str">
        <f>IF(N1175="Si",IFERROR(VLOOKUP(F1175,'TD Cumpl'!B:AB,27,0),"No Aplica"),"No Aplica")</f>
        <v>Siempre Cumple</v>
      </c>
      <c r="S1175" s="38">
        <v>127</v>
      </c>
      <c r="T1175" s="36">
        <v>12882882</v>
      </c>
      <c r="U1175" s="26">
        <v>314</v>
      </c>
      <c r="V1175" s="37">
        <v>33583141</v>
      </c>
      <c r="W1175" s="19">
        <v>163</v>
      </c>
      <c r="X1175" s="37">
        <v>14770387</v>
      </c>
      <c r="Y1175" s="46">
        <f t="shared" si="38"/>
        <v>7292729</v>
      </c>
      <c r="Z1175" s="19" t="s">
        <v>318</v>
      </c>
    </row>
    <row r="1176" spans="1:26" x14ac:dyDescent="0.25">
      <c r="A1176" s="20">
        <f>+VLOOKUP(D1176,Back!Q:R,2,0)</f>
        <v>2</v>
      </c>
      <c r="B1176" s="20" t="str">
        <f t="shared" si="37"/>
        <v>2018 FEB</v>
      </c>
      <c r="C1176" s="30">
        <v>2018</v>
      </c>
      <c r="D1176" s="30" t="s">
        <v>138</v>
      </c>
      <c r="E1176" s="30" t="s">
        <v>101</v>
      </c>
      <c r="F1176" s="30">
        <v>21428423</v>
      </c>
      <c r="G1176" s="30" t="s">
        <v>154</v>
      </c>
      <c r="H1176" s="32">
        <v>57391782</v>
      </c>
      <c r="I1176" s="32">
        <v>412000</v>
      </c>
      <c r="J1176" s="32">
        <v>13649669</v>
      </c>
      <c r="K1176" s="33">
        <v>43330113</v>
      </c>
      <c r="L1176" s="33">
        <v>42000000</v>
      </c>
      <c r="M1176" s="34">
        <v>1.0316693571428572</v>
      </c>
      <c r="N1176" s="209" t="str">
        <f>IFERROR(VLOOKUP(F1176,Back!C:F,4,0),"NO")</f>
        <v>Si</v>
      </c>
      <c r="O1176" s="26">
        <v>24</v>
      </c>
      <c r="P1176" s="28" t="str">
        <f>IFERROR(VLOOKUP(F1176,Back!C:E,3,0),"")</f>
        <v>IPS Pto De Vista Centro</v>
      </c>
      <c r="Q1176" s="28" t="str">
        <f>IFERROR(VLOOKUP(P1176,Back!M:N,2,0),"")</f>
        <v>Antioquia</v>
      </c>
      <c r="R1176" s="27" t="str">
        <f>IF(N1176="Si",IFERROR(VLOOKUP(F1176,'TD Cumpl'!B:AB,27,0),"No Aplica"),"No Aplica")</f>
        <v>Fluctúa</v>
      </c>
      <c r="S1176" s="38">
        <v>110</v>
      </c>
      <c r="T1176" s="36">
        <v>10338708</v>
      </c>
      <c r="U1176" s="26">
        <v>269</v>
      </c>
      <c r="V1176" s="37">
        <v>27644536</v>
      </c>
      <c r="W1176" s="19">
        <v>151</v>
      </c>
      <c r="X1176" s="37">
        <v>13649669</v>
      </c>
      <c r="Y1176" s="46">
        <f t="shared" si="38"/>
        <v>5758869</v>
      </c>
      <c r="Z1176" s="19" t="s">
        <v>318</v>
      </c>
    </row>
    <row r="1177" spans="1:26" x14ac:dyDescent="0.25">
      <c r="A1177" s="20">
        <f>+VLOOKUP(D1177,Back!Q:R,2,0)</f>
        <v>2</v>
      </c>
      <c r="B1177" s="20" t="str">
        <f t="shared" si="37"/>
        <v>2018 FEB</v>
      </c>
      <c r="C1177" s="30">
        <v>2018</v>
      </c>
      <c r="D1177" s="30" t="s">
        <v>138</v>
      </c>
      <c r="E1177" s="30" t="s">
        <v>13</v>
      </c>
      <c r="F1177" s="30">
        <v>43866877</v>
      </c>
      <c r="G1177" s="30" t="s">
        <v>46</v>
      </c>
      <c r="H1177" s="32">
        <v>64444511</v>
      </c>
      <c r="I1177" s="32">
        <v>890000</v>
      </c>
      <c r="J1177" s="32">
        <v>13255160</v>
      </c>
      <c r="K1177" s="33">
        <v>50299351</v>
      </c>
      <c r="L1177" s="33">
        <v>42000000</v>
      </c>
      <c r="M1177" s="34">
        <v>1.1976035952380952</v>
      </c>
      <c r="N1177" s="209" t="str">
        <f>IFERROR(VLOOKUP(F1177,Back!C:F,4,0),"NO")</f>
        <v>Si</v>
      </c>
      <c r="O1177" s="26">
        <v>24</v>
      </c>
      <c r="P1177" s="28" t="str">
        <f>IFERROR(VLOOKUP(F1177,Back!C:E,3,0),"")</f>
        <v>IPS Pto De Vista Centro</v>
      </c>
      <c r="Q1177" s="28" t="str">
        <f>IFERROR(VLOOKUP(P1177,Back!M:N,2,0),"")</f>
        <v>Antioquia</v>
      </c>
      <c r="R1177" s="27" t="str">
        <f>IF(N1177="Si",IFERROR(VLOOKUP(F1177,'TD Cumpl'!B:AB,27,0),"No Aplica"),"No Aplica")</f>
        <v>Siempre Cumple</v>
      </c>
      <c r="S1177" s="38">
        <v>95</v>
      </c>
      <c r="T1177" s="36">
        <v>11151403</v>
      </c>
      <c r="U1177" s="26">
        <v>252</v>
      </c>
      <c r="V1177" s="37">
        <v>33299415</v>
      </c>
      <c r="W1177" s="19">
        <v>147</v>
      </c>
      <c r="X1177" s="37">
        <v>13255160</v>
      </c>
      <c r="Y1177" s="46">
        <f t="shared" si="38"/>
        <v>6738533</v>
      </c>
      <c r="Z1177" s="19" t="s">
        <v>318</v>
      </c>
    </row>
    <row r="1178" spans="1:26" x14ac:dyDescent="0.25">
      <c r="A1178" s="20">
        <f>+VLOOKUP(D1178,Back!Q:R,2,0)</f>
        <v>2</v>
      </c>
      <c r="B1178" s="20" t="str">
        <f t="shared" si="37"/>
        <v>2018 FEB</v>
      </c>
      <c r="C1178" s="30">
        <v>2018</v>
      </c>
      <c r="D1178" s="30" t="s">
        <v>138</v>
      </c>
      <c r="E1178" s="30" t="s">
        <v>177</v>
      </c>
      <c r="F1178" s="30">
        <v>1035913369</v>
      </c>
      <c r="G1178" s="30" t="s">
        <v>183</v>
      </c>
      <c r="H1178" s="32">
        <v>33161976</v>
      </c>
      <c r="I1178" s="32">
        <v>0</v>
      </c>
      <c r="J1178" s="32">
        <v>9566335</v>
      </c>
      <c r="K1178" s="33">
        <v>23595641</v>
      </c>
      <c r="L1178" s="33">
        <v>42000000</v>
      </c>
      <c r="M1178" s="34">
        <v>0.5618009761904762</v>
      </c>
      <c r="N1178" s="209" t="str">
        <f>IFERROR(VLOOKUP(F1178,Back!C:F,4,0),"NO")</f>
        <v>Si</v>
      </c>
      <c r="O1178" s="26">
        <v>24</v>
      </c>
      <c r="P1178" s="28" t="str">
        <f>IFERROR(VLOOKUP(F1178,Back!C:E,3,0),"")</f>
        <v>IPS Pto De Vista Centro</v>
      </c>
      <c r="Q1178" s="28" t="str">
        <f>IFERROR(VLOOKUP(P1178,Back!M:N,2,0),"")</f>
        <v>Antioquia</v>
      </c>
      <c r="R1178" s="27" t="str">
        <f>IF(N1178="Si",IFERROR(VLOOKUP(F1178,'TD Cumpl'!B:AB,27,0),"No Aplica"),"No Aplica")</f>
        <v>Fluctúa</v>
      </c>
      <c r="S1178" s="38">
        <v>60</v>
      </c>
      <c r="T1178" s="36">
        <v>5712526</v>
      </c>
      <c r="U1178" s="26">
        <v>150</v>
      </c>
      <c r="V1178" s="37">
        <v>14329007</v>
      </c>
      <c r="W1178" s="19">
        <v>110</v>
      </c>
      <c r="X1178" s="37">
        <v>9566335</v>
      </c>
      <c r="Y1178" s="46">
        <f t="shared" si="38"/>
        <v>3554108</v>
      </c>
      <c r="Z1178" s="19" t="s">
        <v>318</v>
      </c>
    </row>
    <row r="1179" spans="1:26" x14ac:dyDescent="0.25">
      <c r="A1179" s="20">
        <f>+VLOOKUP(D1179,Back!Q:R,2,0)</f>
        <v>2</v>
      </c>
      <c r="B1179" s="20" t="str">
        <f t="shared" si="37"/>
        <v>2018 FEB</v>
      </c>
      <c r="C1179" s="30">
        <v>2018</v>
      </c>
      <c r="D1179" s="30" t="s">
        <v>138</v>
      </c>
      <c r="E1179" s="30" t="s">
        <v>18</v>
      </c>
      <c r="F1179" s="30">
        <v>39442617</v>
      </c>
      <c r="G1179" s="30" t="s">
        <v>41</v>
      </c>
      <c r="H1179" s="32">
        <v>20550461</v>
      </c>
      <c r="I1179" s="32">
        <v>273600</v>
      </c>
      <c r="J1179" s="32">
        <v>3281797</v>
      </c>
      <c r="K1179" s="33">
        <v>16995064</v>
      </c>
      <c r="L1179" s="33">
        <v>14333332</v>
      </c>
      <c r="M1179" s="34">
        <v>1.1857022498327674</v>
      </c>
      <c r="N1179" s="209" t="str">
        <f>IFERROR(VLOOKUP(F1179,Back!C:F,4,0),"NO")</f>
        <v>Si</v>
      </c>
      <c r="O1179" s="26">
        <v>24</v>
      </c>
      <c r="P1179" s="28" t="str">
        <f>IFERROR(VLOOKUP(F1179,Back!C:E,3,0),"")</f>
        <v>IPS Pto De Vista San Diego</v>
      </c>
      <c r="Q1179" s="28" t="str">
        <f>IFERROR(VLOOKUP(P1179,Back!M:N,2,0),"")</f>
        <v>Antioquia</v>
      </c>
      <c r="R1179" s="27" t="str">
        <f>IF(N1179="Si",IFERROR(VLOOKUP(F1179,'TD Cumpl'!B:AB,27,0),"No Aplica"),"No Aplica")</f>
        <v>Cumple</v>
      </c>
      <c r="S1179" s="38">
        <v>27</v>
      </c>
      <c r="T1179" s="36">
        <v>4200719</v>
      </c>
      <c r="U1179" s="26">
        <v>82</v>
      </c>
      <c r="V1179" s="37">
        <v>9339622</v>
      </c>
      <c r="W1179" s="19">
        <v>38</v>
      </c>
      <c r="X1179" s="37">
        <v>3281797</v>
      </c>
      <c r="Y1179" s="46">
        <f t="shared" si="38"/>
        <v>3728323</v>
      </c>
      <c r="Z1179" s="19" t="s">
        <v>317</v>
      </c>
    </row>
    <row r="1180" spans="1:26" x14ac:dyDescent="0.25">
      <c r="A1180" s="20">
        <f>+VLOOKUP(D1180,Back!Q:R,2,0)</f>
        <v>2</v>
      </c>
      <c r="B1180" s="20" t="str">
        <f t="shared" si="37"/>
        <v>2018 FEB</v>
      </c>
      <c r="C1180" s="30">
        <v>2018</v>
      </c>
      <c r="D1180" s="30" t="s">
        <v>138</v>
      </c>
      <c r="E1180" s="30" t="s">
        <v>23</v>
      </c>
      <c r="F1180" s="30">
        <v>43907427</v>
      </c>
      <c r="G1180" s="30" t="s">
        <v>144</v>
      </c>
      <c r="H1180" s="32">
        <v>58150164</v>
      </c>
      <c r="I1180" s="32">
        <v>704160</v>
      </c>
      <c r="J1180" s="32">
        <v>6424066</v>
      </c>
      <c r="K1180" s="33">
        <v>51021938</v>
      </c>
      <c r="L1180" s="33">
        <v>40000008</v>
      </c>
      <c r="M1180" s="34">
        <v>1.2755481948903611</v>
      </c>
      <c r="N1180" s="209" t="str">
        <f>IFERROR(VLOOKUP(F1180,Back!C:F,4,0),"NO")</f>
        <v>Si</v>
      </c>
      <c r="O1180" s="26">
        <v>24</v>
      </c>
      <c r="P1180" s="28" t="str">
        <f>IFERROR(VLOOKUP(F1180,Back!C:E,3,0),"")</f>
        <v>IPS Pto De Vista Industriales</v>
      </c>
      <c r="Q1180" s="28" t="str">
        <f>IFERROR(VLOOKUP(P1180,Back!M:N,2,0),"")</f>
        <v>Antioquia</v>
      </c>
      <c r="R1180" s="27" t="str">
        <f>IF(N1180="Si",IFERROR(VLOOKUP(F1180,'TD Cumpl'!B:AB,27,0),"No Aplica"),"No Aplica")</f>
        <v>Siempre Cumple</v>
      </c>
      <c r="S1180" s="38">
        <v>54</v>
      </c>
      <c r="T1180" s="36">
        <v>12779036</v>
      </c>
      <c r="U1180" s="26">
        <v>183</v>
      </c>
      <c r="V1180" s="37">
        <v>32353384</v>
      </c>
      <c r="W1180" s="19">
        <v>74</v>
      </c>
      <c r="X1180" s="37">
        <v>6424066</v>
      </c>
      <c r="Y1180" s="46">
        <f t="shared" si="38"/>
        <v>6593678</v>
      </c>
      <c r="Z1180" s="19" t="s">
        <v>318</v>
      </c>
    </row>
    <row r="1181" spans="1:26" x14ac:dyDescent="0.25">
      <c r="A1181" s="20">
        <f>+VLOOKUP(D1181,Back!Q:R,2,0)</f>
        <v>2</v>
      </c>
      <c r="B1181" s="20" t="str">
        <f t="shared" si="37"/>
        <v>2018 FEB</v>
      </c>
      <c r="C1181" s="30">
        <v>2018</v>
      </c>
      <c r="D1181" s="30" t="s">
        <v>138</v>
      </c>
      <c r="E1181" s="30" t="s">
        <v>66</v>
      </c>
      <c r="F1181" s="30">
        <v>3438422</v>
      </c>
      <c r="G1181" s="30" t="s">
        <v>71</v>
      </c>
      <c r="H1181" s="32">
        <v>39551707</v>
      </c>
      <c r="I1181" s="32">
        <v>440000</v>
      </c>
      <c r="J1181" s="32">
        <v>7424409</v>
      </c>
      <c r="K1181" s="33">
        <v>31687298</v>
      </c>
      <c r="L1181" s="33">
        <v>29333328</v>
      </c>
      <c r="M1181" s="34">
        <v>1.080248991863453</v>
      </c>
      <c r="N1181" s="209" t="str">
        <f>IFERROR(VLOOKUP(F1181,Back!C:F,4,0),"NO")</f>
        <v>Si</v>
      </c>
      <c r="O1181" s="26">
        <v>24</v>
      </c>
      <c r="P1181" s="28" t="str">
        <f>IFERROR(VLOOKUP(F1181,Back!C:E,3,0),"")</f>
        <v>IPS Pto De Vista Punto Clave</v>
      </c>
      <c r="Q1181" s="28" t="str">
        <f>IFERROR(VLOOKUP(P1181,Back!M:N,2,0),"")</f>
        <v>Antioquia</v>
      </c>
      <c r="R1181" s="27" t="str">
        <f>IF(N1181="Si",IFERROR(VLOOKUP(F1181,'TD Cumpl'!B:AB,27,0),"No Aplica"),"No Aplica")</f>
        <v>Fluctúa</v>
      </c>
      <c r="S1181" s="38">
        <v>58</v>
      </c>
      <c r="T1181" s="36">
        <v>7913936</v>
      </c>
      <c r="U1181" s="26">
        <v>147</v>
      </c>
      <c r="V1181" s="37">
        <v>17959487</v>
      </c>
      <c r="W1181" s="19">
        <v>78</v>
      </c>
      <c r="X1181" s="37">
        <v>7424409</v>
      </c>
      <c r="Y1181" s="46">
        <f t="shared" si="38"/>
        <v>6253875</v>
      </c>
      <c r="Z1181" s="19" t="s">
        <v>318</v>
      </c>
    </row>
    <row r="1182" spans="1:26" x14ac:dyDescent="0.25">
      <c r="A1182" s="20">
        <f>+VLOOKUP(D1182,Back!Q:R,2,0)</f>
        <v>2</v>
      </c>
      <c r="B1182" s="20" t="str">
        <f t="shared" si="37"/>
        <v>2018 FEB</v>
      </c>
      <c r="C1182" s="30">
        <v>2018</v>
      </c>
      <c r="D1182" s="30" t="s">
        <v>138</v>
      </c>
      <c r="E1182" s="30" t="s">
        <v>166</v>
      </c>
      <c r="F1182" s="30">
        <v>1020451288</v>
      </c>
      <c r="G1182" s="30" t="s">
        <v>167</v>
      </c>
      <c r="H1182" s="32">
        <v>56838735</v>
      </c>
      <c r="I1182" s="32">
        <v>0</v>
      </c>
      <c r="J1182" s="32">
        <v>11013617</v>
      </c>
      <c r="K1182" s="33">
        <v>45825118</v>
      </c>
      <c r="L1182" s="33">
        <v>43999992</v>
      </c>
      <c r="M1182" s="34">
        <v>1.0414801439054806</v>
      </c>
      <c r="N1182" s="209" t="str">
        <f>IFERROR(VLOOKUP(F1182,Back!C:F,4,0),"NO")</f>
        <v>Si</v>
      </c>
      <c r="O1182" s="26">
        <v>24</v>
      </c>
      <c r="P1182" s="28" t="str">
        <f>IFERROR(VLOOKUP(F1182,Back!C:E,3,0),"")</f>
        <v>IPS Pto De Vista Punto Clave</v>
      </c>
      <c r="Q1182" s="28" t="str">
        <f>IFERROR(VLOOKUP(P1182,Back!M:N,2,0),"")</f>
        <v>Antioquia</v>
      </c>
      <c r="R1182" s="27" t="str">
        <f>IF(N1182="Si",IFERROR(VLOOKUP(F1182,'TD Cumpl'!B:AB,27,0),"No Aplica"),"No Aplica")</f>
        <v>Cumple</v>
      </c>
      <c r="S1182" s="38">
        <v>83</v>
      </c>
      <c r="T1182" s="36">
        <v>10343994</v>
      </c>
      <c r="U1182" s="26">
        <v>250</v>
      </c>
      <c r="V1182" s="37">
        <v>29549176</v>
      </c>
      <c r="W1182" s="19">
        <v>136</v>
      </c>
      <c r="X1182" s="37">
        <v>11013617</v>
      </c>
      <c r="Y1182" s="46">
        <f t="shared" si="38"/>
        <v>5931948</v>
      </c>
      <c r="Z1182" s="19" t="s">
        <v>318</v>
      </c>
    </row>
    <row r="1183" spans="1:26" x14ac:dyDescent="0.25">
      <c r="A1183" s="20">
        <f>+VLOOKUP(D1183,Back!Q:R,2,0)</f>
        <v>2</v>
      </c>
      <c r="B1183" s="20" t="str">
        <f t="shared" si="37"/>
        <v>2018 FEB</v>
      </c>
      <c r="C1183" s="30">
        <v>2018</v>
      </c>
      <c r="D1183" s="30" t="s">
        <v>138</v>
      </c>
      <c r="E1183" s="30" t="s">
        <v>92</v>
      </c>
      <c r="F1183" s="30">
        <v>1017167720</v>
      </c>
      <c r="G1183" s="30" t="s">
        <v>96</v>
      </c>
      <c r="H1183" s="32">
        <v>57442837</v>
      </c>
      <c r="I1183" s="32">
        <v>2044300</v>
      </c>
      <c r="J1183" s="32">
        <v>10210689</v>
      </c>
      <c r="K1183" s="33">
        <v>45187848</v>
      </c>
      <c r="L1183" s="33">
        <v>43999992</v>
      </c>
      <c r="M1183" s="34">
        <v>1.0269967321812241</v>
      </c>
      <c r="N1183" s="209" t="str">
        <f>IFERROR(VLOOKUP(F1183,Back!C:F,4,0),"NO")</f>
        <v>Si</v>
      </c>
      <c r="O1183" s="26">
        <v>24</v>
      </c>
      <c r="P1183" s="28" t="str">
        <f>IFERROR(VLOOKUP(F1183,Back!C:E,3,0),"")</f>
        <v>IPS Pto De Vista Punto Clave</v>
      </c>
      <c r="Q1183" s="28" t="str">
        <f>IFERROR(VLOOKUP(P1183,Back!M:N,2,0),"")</f>
        <v>Antioquia</v>
      </c>
      <c r="R1183" s="27" t="str">
        <f>IF(N1183="Si",IFERROR(VLOOKUP(F1183,'TD Cumpl'!B:AB,27,0),"No Aplica"),"No Aplica")</f>
        <v>Cumple</v>
      </c>
      <c r="S1183" s="38">
        <v>90</v>
      </c>
      <c r="T1183" s="36">
        <v>11254757</v>
      </c>
      <c r="U1183" s="26">
        <v>226</v>
      </c>
      <c r="V1183" s="37">
        <v>26061589</v>
      </c>
      <c r="W1183" s="19">
        <v>123</v>
      </c>
      <c r="X1183" s="37">
        <v>10210689</v>
      </c>
      <c r="Y1183" s="46">
        <f t="shared" si="38"/>
        <v>9915802</v>
      </c>
      <c r="Z1183" s="19" t="s">
        <v>318</v>
      </c>
    </row>
    <row r="1184" spans="1:26" x14ac:dyDescent="0.25">
      <c r="A1184" s="20">
        <f>+VLOOKUP(D1184,Back!Q:R,2,0)</f>
        <v>2</v>
      </c>
      <c r="B1184" s="20" t="str">
        <f t="shared" si="37"/>
        <v>2018 FEB</v>
      </c>
      <c r="C1184" s="30">
        <v>2018</v>
      </c>
      <c r="D1184" s="30" t="s">
        <v>138</v>
      </c>
      <c r="E1184" s="30" t="s">
        <v>57</v>
      </c>
      <c r="F1184" s="30">
        <v>43874518</v>
      </c>
      <c r="G1184" s="30" t="s">
        <v>60</v>
      </c>
      <c r="H1184" s="32">
        <v>58576646</v>
      </c>
      <c r="I1184" s="32">
        <v>1940400</v>
      </c>
      <c r="J1184" s="32">
        <v>10561221</v>
      </c>
      <c r="K1184" s="33">
        <v>46075025</v>
      </c>
      <c r="L1184" s="33">
        <v>43999992</v>
      </c>
      <c r="M1184" s="34">
        <v>1.047159849483609</v>
      </c>
      <c r="N1184" s="209" t="str">
        <f>IFERROR(VLOOKUP(F1184,Back!C:F,4,0),"NO")</f>
        <v>Si</v>
      </c>
      <c r="O1184" s="26">
        <v>24</v>
      </c>
      <c r="P1184" s="28" t="str">
        <f>IFERROR(VLOOKUP(F1184,Back!C:E,3,0),"")</f>
        <v>IPS Pto De Vista Punto Clave</v>
      </c>
      <c r="Q1184" s="28" t="str">
        <f>IFERROR(VLOOKUP(P1184,Back!M:N,2,0),"")</f>
        <v>Antioquia</v>
      </c>
      <c r="R1184" s="27" t="str">
        <f>IF(N1184="Si",IFERROR(VLOOKUP(F1184,'TD Cumpl'!B:AB,27,0),"No Aplica"),"No Aplica")</f>
        <v>Fluctúa</v>
      </c>
      <c r="S1184" s="38">
        <v>91</v>
      </c>
      <c r="T1184" s="36">
        <v>10778693</v>
      </c>
      <c r="U1184" s="26">
        <v>264</v>
      </c>
      <c r="V1184" s="37">
        <v>31536201</v>
      </c>
      <c r="W1184" s="19">
        <v>123</v>
      </c>
      <c r="X1184" s="37">
        <v>10561221</v>
      </c>
      <c r="Y1184" s="46">
        <f t="shared" si="38"/>
        <v>5700531</v>
      </c>
      <c r="Z1184" s="19" t="s">
        <v>318</v>
      </c>
    </row>
    <row r="1185" spans="1:26" x14ac:dyDescent="0.25">
      <c r="A1185" s="20">
        <f>+VLOOKUP(D1185,Back!Q:R,2,0)</f>
        <v>2</v>
      </c>
      <c r="B1185" s="20" t="str">
        <f t="shared" si="37"/>
        <v>2018 FEB</v>
      </c>
      <c r="C1185" s="30">
        <v>2018</v>
      </c>
      <c r="D1185" s="30" t="s">
        <v>138</v>
      </c>
      <c r="E1185" s="30" t="s">
        <v>64</v>
      </c>
      <c r="F1185" s="30">
        <v>1036598360</v>
      </c>
      <c r="G1185" s="30" t="s">
        <v>146</v>
      </c>
      <c r="H1185" s="32">
        <v>58041070</v>
      </c>
      <c r="I1185" s="32">
        <v>304000</v>
      </c>
      <c r="J1185" s="32">
        <v>10143386</v>
      </c>
      <c r="K1185" s="33">
        <v>47593684</v>
      </c>
      <c r="L1185" s="33">
        <v>43999992</v>
      </c>
      <c r="M1185" s="34">
        <v>1.0816748330317878</v>
      </c>
      <c r="N1185" s="209" t="str">
        <f>IFERROR(VLOOKUP(F1185,Back!C:F,4,0),"NO")</f>
        <v>Si</v>
      </c>
      <c r="O1185" s="26">
        <v>24</v>
      </c>
      <c r="P1185" s="28" t="str">
        <f>IFERROR(VLOOKUP(F1185,Back!C:E,3,0),"")</f>
        <v>IPS Pto De Vista Punto Clave</v>
      </c>
      <c r="Q1185" s="28" t="str">
        <f>IFERROR(VLOOKUP(P1185,Back!M:N,2,0),"")</f>
        <v>Antioquia</v>
      </c>
      <c r="R1185" s="27" t="str">
        <f>IF(N1185="Si",IFERROR(VLOOKUP(F1185,'TD Cumpl'!B:AB,27,0),"No Aplica"),"No Aplica")</f>
        <v>Fluctúa</v>
      </c>
      <c r="S1185" s="38">
        <v>92</v>
      </c>
      <c r="T1185" s="36">
        <v>12520599</v>
      </c>
      <c r="U1185" s="26">
        <v>242</v>
      </c>
      <c r="V1185" s="37">
        <v>30674237</v>
      </c>
      <c r="W1185" s="19">
        <v>102</v>
      </c>
      <c r="X1185" s="37">
        <v>10143386</v>
      </c>
      <c r="Y1185" s="46">
        <f t="shared" si="38"/>
        <v>4702848</v>
      </c>
      <c r="Z1185" s="19" t="s">
        <v>318</v>
      </c>
    </row>
    <row r="1186" spans="1:26" x14ac:dyDescent="0.25">
      <c r="A1186" s="20">
        <f>+VLOOKUP(D1186,Back!Q:R,2,0)</f>
        <v>2</v>
      </c>
      <c r="B1186" s="20" t="str">
        <f t="shared" si="37"/>
        <v>2018 FEB</v>
      </c>
      <c r="C1186" s="30">
        <v>2018</v>
      </c>
      <c r="D1186" s="30" t="s">
        <v>138</v>
      </c>
      <c r="E1186" s="30" t="s">
        <v>90</v>
      </c>
      <c r="F1186" s="30">
        <v>1020419011</v>
      </c>
      <c r="G1186" s="30" t="s">
        <v>97</v>
      </c>
      <c r="H1186" s="32">
        <v>61097196</v>
      </c>
      <c r="I1186" s="32">
        <v>721000</v>
      </c>
      <c r="J1186" s="32">
        <v>13716865</v>
      </c>
      <c r="K1186" s="33">
        <v>46659331</v>
      </c>
      <c r="L1186" s="33">
        <v>43999992</v>
      </c>
      <c r="M1186" s="34">
        <v>1.0604395337162789</v>
      </c>
      <c r="N1186" s="209" t="str">
        <f>IFERROR(VLOOKUP(F1186,Back!C:F,4,0),"NO")</f>
        <v>Si</v>
      </c>
      <c r="O1186" s="26">
        <v>24</v>
      </c>
      <c r="P1186" s="28" t="str">
        <f>IFERROR(VLOOKUP(F1186,Back!C:E,3,0),"")</f>
        <v>IPS Pto De Vista Punto Clave</v>
      </c>
      <c r="Q1186" s="28" t="str">
        <f>IFERROR(VLOOKUP(P1186,Back!M:N,2,0),"")</f>
        <v>Antioquia</v>
      </c>
      <c r="R1186" s="27" t="str">
        <f>IF(N1186="Si",IFERROR(VLOOKUP(F1186,'TD Cumpl'!B:AB,27,0),"No Aplica"),"No Aplica")</f>
        <v>Cumple</v>
      </c>
      <c r="S1186" s="38">
        <v>92</v>
      </c>
      <c r="T1186" s="36">
        <v>10767939</v>
      </c>
      <c r="U1186" s="26">
        <v>266</v>
      </c>
      <c r="V1186" s="37">
        <v>29449076</v>
      </c>
      <c r="W1186" s="19">
        <v>149</v>
      </c>
      <c r="X1186" s="37">
        <v>13716865</v>
      </c>
      <c r="Y1186" s="46">
        <f t="shared" si="38"/>
        <v>7163316</v>
      </c>
      <c r="Z1186" s="19" t="s">
        <v>318</v>
      </c>
    </row>
    <row r="1187" spans="1:26" x14ac:dyDescent="0.25">
      <c r="A1187" s="20">
        <f>+VLOOKUP(D1187,Back!Q:R,2,0)</f>
        <v>2</v>
      </c>
      <c r="B1187" s="20" t="str">
        <f t="shared" si="37"/>
        <v>2018 FEB</v>
      </c>
      <c r="C1187" s="30">
        <v>2018</v>
      </c>
      <c r="D1187" s="30" t="s">
        <v>138</v>
      </c>
      <c r="E1187" s="30" t="s">
        <v>117</v>
      </c>
      <c r="F1187" s="30">
        <v>1020419615</v>
      </c>
      <c r="G1187" s="30" t="s">
        <v>118</v>
      </c>
      <c r="H1187" s="32">
        <v>57531938</v>
      </c>
      <c r="I1187" s="32">
        <v>824000</v>
      </c>
      <c r="J1187" s="32">
        <v>13623989</v>
      </c>
      <c r="K1187" s="33">
        <v>43083949</v>
      </c>
      <c r="L1187" s="33">
        <v>40333326</v>
      </c>
      <c r="M1187" s="34">
        <v>1.0681972768623147</v>
      </c>
      <c r="N1187" s="209" t="str">
        <f>IFERROR(VLOOKUP(F1187,Back!C:F,4,0),"NO")</f>
        <v>Si</v>
      </c>
      <c r="O1187" s="26">
        <v>24</v>
      </c>
      <c r="P1187" s="28" t="str">
        <f>IFERROR(VLOOKUP(F1187,Back!C:E,3,0),"")</f>
        <v>IPS Pto De Vista Punto Clave</v>
      </c>
      <c r="Q1187" s="28" t="str">
        <f>IFERROR(VLOOKUP(P1187,Back!M:N,2,0),"")</f>
        <v>Antioquia</v>
      </c>
      <c r="R1187" s="27" t="str">
        <f>IF(N1187="Si",IFERROR(VLOOKUP(F1187,'TD Cumpl'!B:AB,27,0),"No Aplica"),"No Aplica")</f>
        <v>Cumple</v>
      </c>
      <c r="S1187" s="38">
        <v>86</v>
      </c>
      <c r="T1187" s="36">
        <v>10423484</v>
      </c>
      <c r="U1187" s="26">
        <v>244</v>
      </c>
      <c r="V1187" s="37">
        <v>25828651</v>
      </c>
      <c r="W1187" s="19">
        <v>141</v>
      </c>
      <c r="X1187" s="37">
        <v>13623989</v>
      </c>
      <c r="Y1187" s="46">
        <f t="shared" si="38"/>
        <v>7655814</v>
      </c>
      <c r="Z1187" s="19" t="s">
        <v>318</v>
      </c>
    </row>
    <row r="1188" spans="1:26" x14ac:dyDescent="0.25">
      <c r="A1188" s="20">
        <f>+VLOOKUP(D1188,Back!Q:R,2,0)</f>
        <v>2</v>
      </c>
      <c r="B1188" s="20" t="str">
        <f t="shared" si="37"/>
        <v>2018 FEB</v>
      </c>
      <c r="C1188" s="30">
        <v>2018</v>
      </c>
      <c r="D1188" s="30" t="s">
        <v>138</v>
      </c>
      <c r="E1188" s="30" t="s">
        <v>6</v>
      </c>
      <c r="F1188" s="30">
        <v>43821410</v>
      </c>
      <c r="G1188" s="30" t="s">
        <v>40</v>
      </c>
      <c r="H1188" s="32">
        <v>86113394</v>
      </c>
      <c r="I1188" s="32">
        <v>2244600</v>
      </c>
      <c r="J1188" s="32">
        <v>13175980</v>
      </c>
      <c r="K1188" s="33">
        <v>70692814</v>
      </c>
      <c r="L1188" s="34">
        <v>43999992</v>
      </c>
      <c r="M1188" s="34">
        <v>1.6066551557554829</v>
      </c>
      <c r="N1188" s="209" t="str">
        <f>IFERROR(VLOOKUP(F1188,Back!C:F,4,0),"NO")</f>
        <v>Si</v>
      </c>
      <c r="O1188" s="38">
        <v>24</v>
      </c>
      <c r="P1188" s="28" t="str">
        <f>IFERROR(VLOOKUP(F1188,Back!C:E,3,0),"")</f>
        <v>IPS Pto De Vista Unicentro</v>
      </c>
      <c r="Q1188" s="28" t="str">
        <f>IFERROR(VLOOKUP(P1188,Back!M:N,2,0),"")</f>
        <v>Antioquia</v>
      </c>
      <c r="R1188" s="27" t="str">
        <f>IF(N1188="Si",IFERROR(VLOOKUP(F1188,'TD Cumpl'!B:AB,27,0),"No Aplica"),"No Aplica")</f>
        <v>Siempre Cumple</v>
      </c>
      <c r="S1188" s="38">
        <v>131</v>
      </c>
      <c r="T1188" s="46">
        <v>17843385</v>
      </c>
      <c r="U1188" s="38">
        <v>306</v>
      </c>
      <c r="V1188" s="46">
        <v>43795615</v>
      </c>
      <c r="W1188" s="38">
        <v>142</v>
      </c>
      <c r="X1188" s="46">
        <v>13175980</v>
      </c>
      <c r="Y1188" s="46">
        <f t="shared" si="38"/>
        <v>11298414</v>
      </c>
      <c r="Z1188" s="60" t="s">
        <v>318</v>
      </c>
    </row>
    <row r="1189" spans="1:26" x14ac:dyDescent="0.25">
      <c r="A1189" s="20">
        <f>+VLOOKUP(D1189,Back!Q:R,2,0)</f>
        <v>2</v>
      </c>
      <c r="B1189" s="20" t="str">
        <f t="shared" si="37"/>
        <v>2018 FEB</v>
      </c>
      <c r="C1189" s="30">
        <v>2018</v>
      </c>
      <c r="D1189" s="30" t="s">
        <v>138</v>
      </c>
      <c r="E1189" s="30" t="s">
        <v>22</v>
      </c>
      <c r="F1189" s="30">
        <v>42164020</v>
      </c>
      <c r="G1189" s="30" t="s">
        <v>105</v>
      </c>
      <c r="H1189" s="32">
        <v>69450301</v>
      </c>
      <c r="I1189" s="32">
        <v>1939000</v>
      </c>
      <c r="J1189" s="32">
        <v>12376048</v>
      </c>
      <c r="K1189" s="33">
        <v>55135253</v>
      </c>
      <c r="L1189" s="33">
        <v>43999992</v>
      </c>
      <c r="M1189" s="34">
        <v>1.2530741596498471</v>
      </c>
      <c r="N1189" s="209" t="str">
        <f>IFERROR(VLOOKUP(F1189,Back!C:F,4,0),"NO")</f>
        <v>Si</v>
      </c>
      <c r="O1189" s="26">
        <v>24</v>
      </c>
      <c r="P1189" s="28" t="str">
        <f>IFERROR(VLOOKUP(F1189,Back!C:E,3,0),"")</f>
        <v>IPS Pto De Vista Molinos</v>
      </c>
      <c r="Q1189" s="28" t="str">
        <f>IFERROR(VLOOKUP(P1189,Back!M:N,2,0),"")</f>
        <v>Antioquia</v>
      </c>
      <c r="R1189" s="27" t="str">
        <f>IF(N1189="Si",IFERROR(VLOOKUP(F1189,'TD Cumpl'!B:AB,27,0),"No Aplica"),"No Aplica")</f>
        <v>Siempre Cumple</v>
      </c>
      <c r="S1189" s="38">
        <v>112</v>
      </c>
      <c r="T1189" s="36">
        <v>14011080</v>
      </c>
      <c r="U1189" s="26">
        <v>267</v>
      </c>
      <c r="V1189" s="37">
        <v>32797053</v>
      </c>
      <c r="W1189" s="19">
        <v>139</v>
      </c>
      <c r="X1189" s="37">
        <v>12376048</v>
      </c>
      <c r="Y1189" s="46">
        <f t="shared" si="38"/>
        <v>10266120</v>
      </c>
    </row>
    <row r="1190" spans="1:26" x14ac:dyDescent="0.25">
      <c r="A1190" s="20">
        <f>+VLOOKUP(D1190,Back!Q:R,2,0)</f>
        <v>2</v>
      </c>
      <c r="B1190" s="20" t="str">
        <f t="shared" si="37"/>
        <v>2018 FEB</v>
      </c>
      <c r="C1190" s="30">
        <v>2018</v>
      </c>
      <c r="D1190" s="30" t="s">
        <v>138</v>
      </c>
      <c r="E1190" s="30" t="s">
        <v>7</v>
      </c>
      <c r="F1190" s="30">
        <v>43745952</v>
      </c>
      <c r="G1190" s="30" t="s">
        <v>50</v>
      </c>
      <c r="H1190" s="32">
        <v>84755156</v>
      </c>
      <c r="I1190" s="32">
        <v>3324000</v>
      </c>
      <c r="J1190" s="32">
        <v>15397998</v>
      </c>
      <c r="K1190" s="33">
        <v>66033158</v>
      </c>
      <c r="L1190" s="33">
        <v>43999992</v>
      </c>
      <c r="M1190" s="34">
        <v>1.5007538637734297</v>
      </c>
      <c r="N1190" s="209" t="str">
        <f>IFERROR(VLOOKUP(F1190,Back!C:F,4,0),"NO")</f>
        <v>Si</v>
      </c>
      <c r="O1190" s="26">
        <v>24</v>
      </c>
      <c r="P1190" s="28" t="str">
        <f>IFERROR(VLOOKUP(F1190,Back!C:E,3,0),"")</f>
        <v>IPS Pto De Vista Unicentro</v>
      </c>
      <c r="Q1190" s="28" t="str">
        <f>IFERROR(VLOOKUP(P1190,Back!M:N,2,0),"")</f>
        <v>Antioquia</v>
      </c>
      <c r="R1190" s="27" t="str">
        <f>IF(N1190="Si",IFERROR(VLOOKUP(F1190,'TD Cumpl'!B:AB,27,0),"No Aplica"),"No Aplica")</f>
        <v>Siempre Cumple</v>
      </c>
      <c r="S1190" s="38">
        <v>127</v>
      </c>
      <c r="T1190" s="36">
        <v>16221167</v>
      </c>
      <c r="U1190" s="26">
        <v>298</v>
      </c>
      <c r="V1190" s="37">
        <v>43169207</v>
      </c>
      <c r="W1190" s="19">
        <v>172</v>
      </c>
      <c r="X1190" s="37">
        <v>15270398</v>
      </c>
      <c r="Y1190" s="46">
        <f t="shared" si="38"/>
        <v>10094384</v>
      </c>
      <c r="Z1190" s="19" t="s">
        <v>318</v>
      </c>
    </row>
    <row r="1191" spans="1:26" x14ac:dyDescent="0.25">
      <c r="A1191" s="20">
        <f>+VLOOKUP(D1191,Back!Q:R,2,0)</f>
        <v>2</v>
      </c>
      <c r="B1191" s="20" t="str">
        <f t="shared" si="37"/>
        <v>2018 FEB</v>
      </c>
      <c r="C1191" s="30">
        <v>2018</v>
      </c>
      <c r="D1191" s="30" t="s">
        <v>138</v>
      </c>
      <c r="E1191" s="30" t="s">
        <v>81</v>
      </c>
      <c r="F1191" s="30">
        <v>1017200970</v>
      </c>
      <c r="G1191" s="30" t="s">
        <v>82</v>
      </c>
      <c r="H1191" s="32">
        <v>51093049</v>
      </c>
      <c r="I1191" s="32">
        <v>1058000</v>
      </c>
      <c r="J1191" s="32">
        <v>10627454</v>
      </c>
      <c r="K1191" s="33">
        <v>39407595</v>
      </c>
      <c r="L1191" s="33">
        <v>27000000</v>
      </c>
      <c r="M1191" s="34">
        <v>1.4595405555555556</v>
      </c>
      <c r="N1191" s="209" t="str">
        <f>IFERROR(VLOOKUP(F1191,Back!C:F,4,0),"NO")</f>
        <v>Si</v>
      </c>
      <c r="O1191" s="26">
        <v>24</v>
      </c>
      <c r="P1191" s="28" t="str">
        <f>IFERROR(VLOOKUP(F1191,Back!C:E,3,0),"")</f>
        <v>IPS Pto De Vista San Diego</v>
      </c>
      <c r="Q1191" s="28" t="str">
        <f>IFERROR(VLOOKUP(P1191,Back!M:N,2,0),"")</f>
        <v>Antioquia</v>
      </c>
      <c r="R1191" s="27" t="str">
        <f>IF(N1191="Si",IFERROR(VLOOKUP(F1191,'TD Cumpl'!B:AB,27,0),"No Aplica"),"No Aplica")</f>
        <v>Cumple</v>
      </c>
      <c r="S1191" s="38">
        <v>79</v>
      </c>
      <c r="T1191" s="36">
        <v>9423400</v>
      </c>
      <c r="U1191" s="26">
        <v>201</v>
      </c>
      <c r="V1191" s="37">
        <v>23251398</v>
      </c>
      <c r="W1191" s="19">
        <v>111</v>
      </c>
      <c r="X1191" s="37">
        <v>10627454</v>
      </c>
      <c r="Y1191" s="46">
        <f t="shared" si="38"/>
        <v>7790797</v>
      </c>
      <c r="Z1191" s="19" t="s">
        <v>317</v>
      </c>
    </row>
    <row r="1192" spans="1:26" x14ac:dyDescent="0.25">
      <c r="A1192" s="20">
        <f>+VLOOKUP(D1192,Back!Q:R,2,0)</f>
        <v>2</v>
      </c>
      <c r="B1192" s="20" t="str">
        <f t="shared" si="37"/>
        <v>2018 FEB</v>
      </c>
      <c r="C1192" s="30">
        <v>2018</v>
      </c>
      <c r="D1192" s="30" t="s">
        <v>138</v>
      </c>
      <c r="E1192" s="30" t="s">
        <v>91</v>
      </c>
      <c r="F1192" s="30">
        <v>43114534</v>
      </c>
      <c r="G1192" s="30" t="s">
        <v>95</v>
      </c>
      <c r="H1192" s="32">
        <v>46036944</v>
      </c>
      <c r="I1192" s="32">
        <v>578000</v>
      </c>
      <c r="J1192" s="32">
        <v>4274115</v>
      </c>
      <c r="K1192" s="33">
        <v>41184829</v>
      </c>
      <c r="L1192" s="33">
        <v>36000000</v>
      </c>
      <c r="M1192" s="34">
        <v>1.1440230277777779</v>
      </c>
      <c r="N1192" s="209" t="str">
        <f>IFERROR(VLOOKUP(F1192,Back!C:F,4,0),"NO")</f>
        <v>No</v>
      </c>
      <c r="O1192" s="26">
        <v>24</v>
      </c>
      <c r="P1192" s="28" t="str">
        <f>IFERROR(VLOOKUP(F1192,Back!C:E,3,0),"")</f>
        <v>IPS Pto De Vista San Diego</v>
      </c>
      <c r="Q1192" s="28" t="str">
        <f>IFERROR(VLOOKUP(P1192,Back!M:N,2,0),"")</f>
        <v>Antioquia</v>
      </c>
      <c r="R1192" s="27" t="str">
        <f>IF(N1192="Si",IFERROR(VLOOKUP(F1192,'TD Cumpl'!B:AB,27,0),"No Aplica"),"No Aplica")</f>
        <v>No Aplica</v>
      </c>
      <c r="S1192" s="38">
        <v>96</v>
      </c>
      <c r="T1192" s="36">
        <v>9489783</v>
      </c>
      <c r="U1192" s="26">
        <v>243</v>
      </c>
      <c r="V1192" s="37">
        <v>27987572</v>
      </c>
      <c r="W1192" s="19">
        <v>48</v>
      </c>
      <c r="X1192" s="37">
        <v>4274115</v>
      </c>
      <c r="Y1192" s="46">
        <f t="shared" si="38"/>
        <v>4285474</v>
      </c>
    </row>
    <row r="1193" spans="1:26" x14ac:dyDescent="0.25">
      <c r="A1193" s="20">
        <f>+VLOOKUP(D1193,Back!Q:R,2,0)</f>
        <v>2</v>
      </c>
      <c r="B1193" s="20" t="str">
        <f t="shared" si="37"/>
        <v>2018 FEB</v>
      </c>
      <c r="C1193" s="30">
        <v>2018</v>
      </c>
      <c r="D1193" s="30" t="s">
        <v>138</v>
      </c>
      <c r="E1193" s="30" t="s">
        <v>17</v>
      </c>
      <c r="F1193" s="30">
        <v>43113640</v>
      </c>
      <c r="G1193" s="30" t="s">
        <v>47</v>
      </c>
      <c r="H1193" s="32">
        <v>59723074</v>
      </c>
      <c r="I1193" s="32">
        <v>334800</v>
      </c>
      <c r="J1193" s="32">
        <v>16075787</v>
      </c>
      <c r="K1193" s="33">
        <v>43312487</v>
      </c>
      <c r="L1193" s="33">
        <v>36000000</v>
      </c>
      <c r="M1193" s="34">
        <v>1.203124638888889</v>
      </c>
      <c r="N1193" s="209" t="str">
        <f>IFERROR(VLOOKUP(F1193,Back!C:F,4,0),"NO")</f>
        <v>Si</v>
      </c>
      <c r="O1193" s="26">
        <v>24</v>
      </c>
      <c r="P1193" s="28" t="str">
        <f>IFERROR(VLOOKUP(F1193,Back!C:E,3,0),"")</f>
        <v>IPS Pto De Vista San Diego</v>
      </c>
      <c r="Q1193" s="28" t="str">
        <f>IFERROR(VLOOKUP(P1193,Back!M:N,2,0),"")</f>
        <v>Antioquia</v>
      </c>
      <c r="R1193" s="27" t="str">
        <f>IF(N1193="Si",IFERROR(VLOOKUP(F1193,'TD Cumpl'!B:AB,27,0),"No Aplica"),"No Aplica")</f>
        <v>Cumple</v>
      </c>
      <c r="S1193" s="38">
        <v>85</v>
      </c>
      <c r="T1193" s="36">
        <v>9193382</v>
      </c>
      <c r="U1193" s="26">
        <v>203</v>
      </c>
      <c r="V1193" s="37">
        <v>28890155</v>
      </c>
      <c r="W1193" s="19">
        <v>169</v>
      </c>
      <c r="X1193" s="37">
        <v>16075787</v>
      </c>
      <c r="Y1193" s="46">
        <f t="shared" si="38"/>
        <v>5563750</v>
      </c>
      <c r="Z1193" s="19" t="s">
        <v>318</v>
      </c>
    </row>
    <row r="1194" spans="1:26" x14ac:dyDescent="0.25">
      <c r="A1194" s="20">
        <f>+VLOOKUP(D1194,Back!Q:R,2,0)</f>
        <v>2</v>
      </c>
      <c r="B1194" s="20" t="str">
        <f t="shared" si="37"/>
        <v>2018 FEB</v>
      </c>
      <c r="C1194" s="30">
        <v>2018</v>
      </c>
      <c r="D1194" s="30" t="s">
        <v>138</v>
      </c>
      <c r="E1194" s="30" t="s">
        <v>84</v>
      </c>
      <c r="F1194" s="30">
        <v>1020736461</v>
      </c>
      <c r="G1194" s="30" t="s">
        <v>156</v>
      </c>
      <c r="H1194" s="32">
        <v>26247994</v>
      </c>
      <c r="I1194" s="32">
        <v>2651600</v>
      </c>
      <c r="J1194" s="32">
        <v>2713413</v>
      </c>
      <c r="K1194" s="33">
        <v>20882981</v>
      </c>
      <c r="L1194" s="33">
        <v>7000002</v>
      </c>
      <c r="M1194" s="34">
        <v>2.9832821476336719</v>
      </c>
      <c r="N1194" s="209" t="str">
        <f>IFERROR(VLOOKUP(F1194,Back!C:F,4,0),"NO")</f>
        <v>Si</v>
      </c>
      <c r="O1194" s="26">
        <v>24</v>
      </c>
      <c r="P1194" s="28" t="str">
        <f>IFERROR(VLOOKUP(F1194,Back!C:E,3,0),"")</f>
        <v>IPS Pto De Vista Santa Bárbara</v>
      </c>
      <c r="Q1194" s="28" t="str">
        <f>IFERROR(VLOOKUP(P1194,Back!M:N,2,0),"")</f>
        <v>Centro</v>
      </c>
      <c r="R1194" s="27" t="str">
        <f>IF(N1194="Si",IFERROR(VLOOKUP(F1194,'TD Cumpl'!B:AB,27,0),"No Aplica"),"No Aplica")</f>
        <v>Siempre Cumple</v>
      </c>
      <c r="S1194" s="38">
        <v>45</v>
      </c>
      <c r="T1194" s="36">
        <v>4202264</v>
      </c>
      <c r="U1194" s="26">
        <v>130</v>
      </c>
      <c r="V1194" s="37">
        <v>14727325</v>
      </c>
      <c r="W1194" s="19">
        <v>38</v>
      </c>
      <c r="X1194" s="37">
        <v>2713413</v>
      </c>
      <c r="Y1194" s="46">
        <f t="shared" si="38"/>
        <v>4604992</v>
      </c>
      <c r="Z1194" s="19" t="s">
        <v>317</v>
      </c>
    </row>
    <row r="1195" spans="1:26" x14ac:dyDescent="0.25">
      <c r="A1195" s="20">
        <f>+VLOOKUP(D1195,Back!Q:R,2,0)</f>
        <v>2</v>
      </c>
      <c r="B1195" s="20" t="str">
        <f t="shared" si="37"/>
        <v>2018 FEB</v>
      </c>
      <c r="C1195" s="30">
        <v>2018</v>
      </c>
      <c r="D1195" s="30" t="s">
        <v>138</v>
      </c>
      <c r="E1195" s="30" t="s">
        <v>102</v>
      </c>
      <c r="F1195" s="30">
        <v>79850984</v>
      </c>
      <c r="G1195" s="30" t="s">
        <v>106</v>
      </c>
      <c r="H1195" s="32">
        <v>39954933</v>
      </c>
      <c r="I1195" s="32">
        <v>2503200</v>
      </c>
      <c r="J1195" s="32">
        <v>6816649</v>
      </c>
      <c r="K1195" s="33">
        <v>30635084</v>
      </c>
      <c r="L1195" s="33">
        <v>28000008</v>
      </c>
      <c r="M1195" s="34">
        <v>1.0941098302543342</v>
      </c>
      <c r="N1195" s="209" t="str">
        <f>IFERROR(VLOOKUP(F1195,Back!C:F,4,0),"NO")</f>
        <v>Si</v>
      </c>
      <c r="O1195" s="26">
        <v>24</v>
      </c>
      <c r="P1195" s="28" t="str">
        <f>IFERROR(VLOOKUP(F1195,Back!C:E,3,0),"")</f>
        <v>IPS Pto De Vista SSura Clle100</v>
      </c>
      <c r="Q1195" s="28" t="str">
        <f>IFERROR(VLOOKUP(P1195,Back!M:N,2,0),"")</f>
        <v>Centro</v>
      </c>
      <c r="R1195" s="27" t="str">
        <f>IF(N1195="Si",IFERROR(VLOOKUP(F1195,'TD Cumpl'!B:AB,27,0),"No Aplica"),"No Aplica")</f>
        <v>Fluctúa</v>
      </c>
      <c r="S1195" s="38">
        <v>57</v>
      </c>
      <c r="T1195" s="36">
        <v>5467479</v>
      </c>
      <c r="U1195" s="26">
        <v>180</v>
      </c>
      <c r="V1195" s="37">
        <v>22302072</v>
      </c>
      <c r="W1195" s="19">
        <v>85</v>
      </c>
      <c r="X1195" s="37">
        <v>6816649</v>
      </c>
      <c r="Y1195" s="46">
        <f t="shared" si="38"/>
        <v>5368733</v>
      </c>
      <c r="Z1195" s="19" t="s">
        <v>318</v>
      </c>
    </row>
    <row r="1196" spans="1:26" x14ac:dyDescent="0.25">
      <c r="A1196" s="20">
        <f>+VLOOKUP(D1196,Back!Q:R,2,0)</f>
        <v>2</v>
      </c>
      <c r="B1196" s="20" t="str">
        <f t="shared" si="37"/>
        <v>2018 FEB</v>
      </c>
      <c r="C1196" s="30">
        <v>2018</v>
      </c>
      <c r="D1196" s="30" t="s">
        <v>138</v>
      </c>
      <c r="E1196" s="30" t="s">
        <v>2</v>
      </c>
      <c r="F1196" s="30">
        <v>52260671</v>
      </c>
      <c r="G1196" s="30" t="s">
        <v>26</v>
      </c>
      <c r="H1196" s="32">
        <v>54726755</v>
      </c>
      <c r="I1196" s="32">
        <v>892800</v>
      </c>
      <c r="J1196" s="32">
        <v>7827799</v>
      </c>
      <c r="K1196" s="33">
        <v>46006156</v>
      </c>
      <c r="L1196" s="33">
        <v>24500007</v>
      </c>
      <c r="M1196" s="34">
        <v>1.8778017491995003</v>
      </c>
      <c r="N1196" s="209" t="str">
        <f>IFERROR(VLOOKUP(F1196,Back!C:F,4,0),"NO")</f>
        <v>Si</v>
      </c>
      <c r="O1196" s="26">
        <v>24</v>
      </c>
      <c r="P1196" s="28" t="str">
        <f>IFERROR(VLOOKUP(F1196,Back!C:E,3,0),"")</f>
        <v>IPS Pto De Vista Santa Bárbara</v>
      </c>
      <c r="Q1196" s="28" t="str">
        <f>IFERROR(VLOOKUP(P1196,Back!M:N,2,0),"")</f>
        <v>Centro</v>
      </c>
      <c r="R1196" s="27" t="str">
        <f>IF(N1196="Si",IFERROR(VLOOKUP(F1196,'TD Cumpl'!B:AB,27,0),"No Aplica"),"No Aplica")</f>
        <v>Siempre Cumple</v>
      </c>
      <c r="S1196" s="38">
        <v>87</v>
      </c>
      <c r="T1196" s="36">
        <v>9644126</v>
      </c>
      <c r="U1196" s="26">
        <v>254</v>
      </c>
      <c r="V1196" s="37">
        <v>31701964</v>
      </c>
      <c r="W1196" s="19">
        <v>104</v>
      </c>
      <c r="X1196" s="37">
        <v>7827799</v>
      </c>
      <c r="Y1196" s="46">
        <f t="shared" si="38"/>
        <v>5552866</v>
      </c>
      <c r="Z1196" s="19" t="s">
        <v>317</v>
      </c>
    </row>
    <row r="1197" spans="1:26" x14ac:dyDescent="0.25">
      <c r="A1197" s="20">
        <f>+VLOOKUP(D1197,Back!Q:R,2,0)</f>
        <v>2</v>
      </c>
      <c r="B1197" s="20" t="str">
        <f t="shared" si="37"/>
        <v>2018 FEB</v>
      </c>
      <c r="C1197" s="30">
        <v>2018</v>
      </c>
      <c r="D1197" s="30" t="s">
        <v>138</v>
      </c>
      <c r="E1197" s="30" t="s">
        <v>38</v>
      </c>
      <c r="F1197" s="30">
        <v>43745192</v>
      </c>
      <c r="G1197" s="30" t="s">
        <v>45</v>
      </c>
      <c r="H1197" s="32">
        <v>36541203</v>
      </c>
      <c r="I1197" s="32">
        <v>0</v>
      </c>
      <c r="J1197" s="32">
        <v>4349978</v>
      </c>
      <c r="K1197" s="33">
        <v>32191225</v>
      </c>
      <c r="L1197" s="33">
        <v>30000000</v>
      </c>
      <c r="M1197" s="34">
        <v>1.0730408333333334</v>
      </c>
      <c r="N1197" s="209" t="str">
        <f>IFERROR(VLOOKUP(F1197,Back!C:F,4,0),"NO")</f>
        <v>Si</v>
      </c>
      <c r="O1197" s="26">
        <v>24</v>
      </c>
      <c r="P1197" s="28" t="str">
        <f>IFERROR(VLOOKUP(F1197,Back!C:E,3,0),"")</f>
        <v>IPS Punto de Vista Mayorca</v>
      </c>
      <c r="Q1197" s="28" t="str">
        <f>IFERROR(VLOOKUP(P1197,Back!M:N,2,0),"")</f>
        <v>Antioquia</v>
      </c>
      <c r="R1197" s="27" t="str">
        <f>IF(N1197="Si",IFERROR(VLOOKUP(F1197,'TD Cumpl'!B:AB,27,0),"No Aplica"),"No Aplica")</f>
        <v>Cumple</v>
      </c>
      <c r="S1197" s="38">
        <v>53</v>
      </c>
      <c r="T1197" s="36">
        <v>8926848</v>
      </c>
      <c r="U1197" s="26">
        <v>178</v>
      </c>
      <c r="V1197" s="37">
        <v>20561262</v>
      </c>
      <c r="W1197" s="19">
        <v>58</v>
      </c>
      <c r="X1197" s="37">
        <v>4349978</v>
      </c>
      <c r="Y1197" s="46">
        <f t="shared" si="38"/>
        <v>2703115</v>
      </c>
      <c r="Z1197" s="19" t="s">
        <v>318</v>
      </c>
    </row>
    <row r="1198" spans="1:26" x14ac:dyDescent="0.25">
      <c r="A1198" s="20">
        <f>+VLOOKUP(D1198,Back!Q:R,2,0)</f>
        <v>2</v>
      </c>
      <c r="B1198" s="20" t="str">
        <f t="shared" si="37"/>
        <v>2018 FEB</v>
      </c>
      <c r="C1198" s="30">
        <v>2018</v>
      </c>
      <c r="D1198" s="30" t="s">
        <v>138</v>
      </c>
      <c r="E1198" s="30" t="s">
        <v>147</v>
      </c>
      <c r="F1198" s="30">
        <v>31309227</v>
      </c>
      <c r="G1198" s="30" t="s">
        <v>148</v>
      </c>
      <c r="H1198" s="32">
        <v>8996578</v>
      </c>
      <c r="I1198" s="32">
        <v>0</v>
      </c>
      <c r="J1198" s="32">
        <v>2895420</v>
      </c>
      <c r="K1198" s="33">
        <v>6101158</v>
      </c>
      <c r="L1198" s="33">
        <v>6250000</v>
      </c>
      <c r="M1198" s="34">
        <v>0.97618528000000004</v>
      </c>
      <c r="N1198" s="209" t="str">
        <f>IFERROR(VLOOKUP(F1198,Back!C:F,4,0),"NO")</f>
        <v>No</v>
      </c>
      <c r="O1198" s="26">
        <v>24</v>
      </c>
      <c r="P1198" s="28" t="str">
        <f>IFERROR(VLOOKUP(F1198,Back!C:E,3,0),"")</f>
        <v/>
      </c>
      <c r="Q1198" s="28" t="str">
        <f>IFERROR(VLOOKUP(P1198,Back!M:N,2,0),"")</f>
        <v/>
      </c>
      <c r="R1198" s="27" t="str">
        <f>IF(N1198="Si",IFERROR(VLOOKUP(F1198,'TD Cumpl'!B:AB,27,0),"No Aplica"),"No Aplica")</f>
        <v>No Aplica</v>
      </c>
      <c r="S1198" s="38">
        <v>12</v>
      </c>
      <c r="T1198" s="36">
        <v>1052667</v>
      </c>
      <c r="U1198" s="26">
        <v>52</v>
      </c>
      <c r="V1198" s="37">
        <v>4300485</v>
      </c>
      <c r="W1198" s="19">
        <v>31</v>
      </c>
      <c r="X1198" s="37">
        <v>2895420</v>
      </c>
      <c r="Y1198" s="46">
        <f t="shared" si="38"/>
        <v>748006</v>
      </c>
    </row>
    <row r="1199" spans="1:26" x14ac:dyDescent="0.25">
      <c r="A1199" s="20">
        <f>+VLOOKUP(D1199,Back!Q:R,2,0)</f>
        <v>2</v>
      </c>
      <c r="B1199" s="20" t="str">
        <f t="shared" si="37"/>
        <v>2018 FEB</v>
      </c>
      <c r="C1199" s="30">
        <v>2018</v>
      </c>
      <c r="D1199" s="30" t="s">
        <v>138</v>
      </c>
      <c r="E1199" s="30" t="s">
        <v>237</v>
      </c>
      <c r="F1199" s="30">
        <v>1151951440</v>
      </c>
      <c r="G1199" s="30" t="s">
        <v>238</v>
      </c>
      <c r="H1199" s="32">
        <v>11298038</v>
      </c>
      <c r="I1199" s="32">
        <v>0</v>
      </c>
      <c r="J1199" s="32">
        <v>5011452</v>
      </c>
      <c r="K1199" s="33">
        <v>6286586</v>
      </c>
      <c r="L1199" s="33">
        <v>23750000</v>
      </c>
      <c r="M1199" s="34">
        <v>0.26469835789473684</v>
      </c>
      <c r="N1199" s="209" t="str">
        <f>IFERROR(VLOOKUP(F1199,Back!C:F,4,0),"NO")</f>
        <v>No</v>
      </c>
      <c r="O1199" s="26">
        <v>24</v>
      </c>
      <c r="P1199" s="28" t="str">
        <f>IFERROR(VLOOKUP(F1199,Back!C:E,3,0),"")</f>
        <v>Punto de Vista Cali Norte</v>
      </c>
      <c r="Q1199" s="28" t="str">
        <f>IFERROR(VLOOKUP(P1199,Back!M:N,2,0),"")</f>
        <v>Occidente</v>
      </c>
      <c r="R1199" s="27" t="str">
        <f>IF(N1199="Si",IFERROR(VLOOKUP(F1199,'TD Cumpl'!B:AB,27,0),"No Aplica"),"No Aplica")</f>
        <v>No Aplica</v>
      </c>
      <c r="S1199" s="38">
        <v>10</v>
      </c>
      <c r="T1199" s="36">
        <v>1082484</v>
      </c>
      <c r="U1199" s="26">
        <v>60</v>
      </c>
      <c r="V1199" s="37">
        <v>4432156</v>
      </c>
      <c r="W1199" s="19">
        <v>63</v>
      </c>
      <c r="X1199" s="37">
        <v>5011452</v>
      </c>
      <c r="Y1199" s="46">
        <f t="shared" si="38"/>
        <v>771946</v>
      </c>
    </row>
    <row r="1200" spans="1:26" x14ac:dyDescent="0.25">
      <c r="A1200" s="20">
        <f>+VLOOKUP(D1200,Back!Q:R,2,0)</f>
        <v>2</v>
      </c>
      <c r="B1200" s="20" t="str">
        <f t="shared" si="37"/>
        <v>2018 FEB</v>
      </c>
      <c r="C1200" s="30">
        <v>2018</v>
      </c>
      <c r="D1200" s="30" t="s">
        <v>138</v>
      </c>
      <c r="E1200" s="30" t="s">
        <v>88</v>
      </c>
      <c r="F1200" s="30">
        <v>31445278</v>
      </c>
      <c r="G1200" s="30" t="s">
        <v>93</v>
      </c>
      <c r="H1200" s="32">
        <v>40153004</v>
      </c>
      <c r="I1200" s="32">
        <v>0</v>
      </c>
      <c r="J1200" s="32">
        <v>7839783</v>
      </c>
      <c r="K1200" s="33">
        <v>32313221</v>
      </c>
      <c r="L1200" s="33">
        <v>30000000</v>
      </c>
      <c r="M1200" s="34">
        <v>1.0771073666666666</v>
      </c>
      <c r="N1200" s="209" t="str">
        <f>IFERROR(VLOOKUP(F1200,Back!C:F,4,0),"NO")</f>
        <v>Si</v>
      </c>
      <c r="O1200" s="26">
        <v>24</v>
      </c>
      <c r="P1200" s="28" t="str">
        <f>IFERROR(VLOOKUP(F1200,Back!C:E,3,0),"")</f>
        <v>Punto de Vista Tequendama</v>
      </c>
      <c r="Q1200" s="28" t="str">
        <f>IFERROR(VLOOKUP(P1200,Back!M:N,2,0),"")</f>
        <v>Occidente</v>
      </c>
      <c r="R1200" s="27" t="str">
        <f>IF(N1200="Si",IFERROR(VLOOKUP(F1200,'TD Cumpl'!B:AB,27,0),"No Aplica"),"No Aplica")</f>
        <v>Cumple</v>
      </c>
      <c r="S1200" s="38">
        <v>54</v>
      </c>
      <c r="T1200" s="36">
        <v>6257456</v>
      </c>
      <c r="U1200" s="26">
        <v>250</v>
      </c>
      <c r="V1200" s="37">
        <v>22381151</v>
      </c>
      <c r="W1200" s="19">
        <v>91</v>
      </c>
      <c r="X1200" s="37">
        <v>7839783</v>
      </c>
      <c r="Y1200" s="46">
        <f t="shared" si="38"/>
        <v>3674614</v>
      </c>
      <c r="Z1200" s="19" t="s">
        <v>318</v>
      </c>
    </row>
    <row r="1201" spans="1:26" x14ac:dyDescent="0.25">
      <c r="A1201" s="20">
        <f>+VLOOKUP(D1201,Back!Q:R,2,0)</f>
        <v>2</v>
      </c>
      <c r="B1201" s="20" t="str">
        <f t="shared" si="37"/>
        <v>2018 FEB</v>
      </c>
      <c r="C1201" s="30">
        <v>2018</v>
      </c>
      <c r="D1201" s="30" t="s">
        <v>138</v>
      </c>
      <c r="E1201" s="30" t="s">
        <v>149</v>
      </c>
      <c r="F1201" s="30">
        <v>1130597373</v>
      </c>
      <c r="G1201" s="30" t="s">
        <v>150</v>
      </c>
      <c r="H1201" s="32">
        <v>39741810</v>
      </c>
      <c r="I1201" s="32">
        <v>198000</v>
      </c>
      <c r="J1201" s="32">
        <v>7381930</v>
      </c>
      <c r="K1201" s="33">
        <v>32161880</v>
      </c>
      <c r="L1201" s="33">
        <v>30000000</v>
      </c>
      <c r="M1201" s="34">
        <v>1.0720626666666666</v>
      </c>
      <c r="N1201" s="209" t="str">
        <f>IFERROR(VLOOKUP(F1201,Back!C:F,4,0),"NO")</f>
        <v>Si</v>
      </c>
      <c r="O1201" s="26">
        <v>24</v>
      </c>
      <c r="P1201" s="28" t="str">
        <f>IFERROR(VLOOKUP(F1201,Back!C:E,3,0),"")</f>
        <v>Punto de Vista Cali Norte</v>
      </c>
      <c r="Q1201" s="28" t="str">
        <f>IFERROR(VLOOKUP(P1201,Back!M:N,2,0),"")</f>
        <v>Occidente</v>
      </c>
      <c r="R1201" s="27" t="str">
        <f>IF(N1201="Si",IFERROR(VLOOKUP(F1201,'TD Cumpl'!B:AB,27,0),"No Aplica"),"No Aplica")</f>
        <v>Fluctúa</v>
      </c>
      <c r="S1201" s="38">
        <v>55</v>
      </c>
      <c r="T1201" s="36">
        <v>7674161</v>
      </c>
      <c r="U1201" s="26">
        <v>212</v>
      </c>
      <c r="V1201" s="37">
        <v>20789303</v>
      </c>
      <c r="W1201" s="19">
        <v>87</v>
      </c>
      <c r="X1201" s="37">
        <v>7381930</v>
      </c>
      <c r="Y1201" s="46">
        <f t="shared" si="38"/>
        <v>3896416</v>
      </c>
      <c r="Z1201" s="19" t="s">
        <v>318</v>
      </c>
    </row>
    <row r="1202" spans="1:26" x14ac:dyDescent="0.25">
      <c r="A1202" s="20">
        <f>+VLOOKUP(D1202,Back!Q:R,2,0)</f>
        <v>2</v>
      </c>
      <c r="B1202" s="20" t="str">
        <f t="shared" si="37"/>
        <v>2018 FEB</v>
      </c>
      <c r="C1202" s="30">
        <v>2018</v>
      </c>
      <c r="D1202" s="30" t="s">
        <v>138</v>
      </c>
      <c r="E1202" s="30" t="s">
        <v>5</v>
      </c>
      <c r="F1202" s="30">
        <v>34542470</v>
      </c>
      <c r="G1202" s="30" t="s">
        <v>28</v>
      </c>
      <c r="H1202" s="32">
        <v>46509056</v>
      </c>
      <c r="I1202" s="32">
        <v>1406880</v>
      </c>
      <c r="J1202" s="32">
        <v>6098037</v>
      </c>
      <c r="K1202" s="33">
        <v>39004139</v>
      </c>
      <c r="L1202" s="33">
        <v>34999992</v>
      </c>
      <c r="M1202" s="34">
        <v>1.1144042261495375</v>
      </c>
      <c r="N1202" s="209" t="str">
        <f>IFERROR(VLOOKUP(F1202,Back!C:F,4,0),"NO")</f>
        <v>Si</v>
      </c>
      <c r="O1202" s="26">
        <v>24</v>
      </c>
      <c r="P1202" s="28" t="str">
        <f>IFERROR(VLOOKUP(F1202,Back!C:E,3,0),"")</f>
        <v>Optica Salud Sura Chipichape</v>
      </c>
      <c r="Q1202" s="28" t="str">
        <f>IFERROR(VLOOKUP(P1202,Back!M:N,2,0),"")</f>
        <v>Occidente</v>
      </c>
      <c r="R1202" s="27" t="str">
        <f>IF(N1202="Si",IFERROR(VLOOKUP(F1202,'TD Cumpl'!B:AB,27,0),"No Aplica"),"No Aplica")</f>
        <v>Siempre Cumple</v>
      </c>
      <c r="S1202" s="38">
        <v>65</v>
      </c>
      <c r="T1202" s="36">
        <v>10666791</v>
      </c>
      <c r="U1202" s="26">
        <v>169</v>
      </c>
      <c r="V1202" s="37">
        <v>22777278</v>
      </c>
      <c r="W1202" s="19">
        <v>64</v>
      </c>
      <c r="X1202" s="37">
        <v>6098037</v>
      </c>
      <c r="Y1202" s="46">
        <f t="shared" si="38"/>
        <v>6966950</v>
      </c>
      <c r="Z1202" s="19" t="s">
        <v>318</v>
      </c>
    </row>
    <row r="1203" spans="1:26" x14ac:dyDescent="0.25">
      <c r="A1203" s="20">
        <f>+VLOOKUP(D1203,Back!Q:R,2,0)</f>
        <v>2</v>
      </c>
      <c r="B1203" s="20" t="str">
        <f t="shared" si="37"/>
        <v>2018 FEB</v>
      </c>
      <c r="C1203" s="30">
        <v>2018</v>
      </c>
      <c r="D1203" s="30" t="s">
        <v>138</v>
      </c>
      <c r="E1203" s="30" t="s">
        <v>83</v>
      </c>
      <c r="F1203" s="30"/>
      <c r="G1203" s="30"/>
      <c r="H1203" s="32">
        <v>360123</v>
      </c>
      <c r="I1203" s="32">
        <v>0</v>
      </c>
      <c r="J1203" s="32">
        <v>0</v>
      </c>
      <c r="K1203" s="33">
        <v>360123</v>
      </c>
      <c r="L1203" s="33"/>
      <c r="M1203" s="34"/>
      <c r="N1203" s="209" t="str">
        <f>IFERROR(VLOOKUP(F1203,Back!C:F,4,0),"NO")</f>
        <v>NO</v>
      </c>
      <c r="O1203" s="26">
        <v>24</v>
      </c>
      <c r="P1203" s="28" t="str">
        <f>IFERROR(VLOOKUP(F1203,Back!C:E,3,0),"")</f>
        <v/>
      </c>
      <c r="Q1203" s="28" t="str">
        <f>IFERROR(VLOOKUP(P1203,Back!M:N,2,0),"")</f>
        <v/>
      </c>
      <c r="R1203" s="27" t="str">
        <f>IF(N1203="Si",IFERROR(VLOOKUP(F1203,'TD Cumpl'!B:AB,27,0),"No Aplica"),"No Aplica")</f>
        <v>No Aplica</v>
      </c>
      <c r="S1203" s="38">
        <v>1</v>
      </c>
      <c r="T1203" s="36">
        <v>53418</v>
      </c>
      <c r="U1203" s="26">
        <v>4</v>
      </c>
      <c r="V1203" s="37">
        <v>213705</v>
      </c>
      <c r="W1203" s="19">
        <v>0</v>
      </c>
      <c r="X1203" s="37">
        <v>0</v>
      </c>
      <c r="Y1203" s="46">
        <f t="shared" si="38"/>
        <v>93000</v>
      </c>
    </row>
    <row r="1204" spans="1:26" x14ac:dyDescent="0.25">
      <c r="A1204" s="20">
        <f>+VLOOKUP(D1204,Back!Q:R,2,0)</f>
        <v>2</v>
      </c>
      <c r="B1204" s="20" t="str">
        <f t="shared" si="37"/>
        <v>2018 FEB</v>
      </c>
      <c r="C1204" s="30">
        <v>2018</v>
      </c>
      <c r="D1204" s="30" t="s">
        <v>138</v>
      </c>
      <c r="E1204" s="30" t="s">
        <v>151</v>
      </c>
      <c r="F1204" s="30"/>
      <c r="G1204" s="30"/>
      <c r="H1204" s="32">
        <v>394655</v>
      </c>
      <c r="I1204" s="32">
        <v>0</v>
      </c>
      <c r="J1204" s="32">
        <v>394655</v>
      </c>
      <c r="K1204" s="33">
        <v>0</v>
      </c>
      <c r="L1204" s="33"/>
      <c r="M1204" s="34"/>
      <c r="N1204" s="209" t="str">
        <f>IFERROR(VLOOKUP(F1204,Back!C:F,4,0),"NO")</f>
        <v>NO</v>
      </c>
      <c r="O1204" s="26">
        <v>24</v>
      </c>
      <c r="P1204" s="28" t="str">
        <f>IFERROR(VLOOKUP(F1204,Back!C:E,3,0),"")</f>
        <v/>
      </c>
      <c r="Q1204" s="28" t="str">
        <f>IFERROR(VLOOKUP(P1204,Back!M:N,2,0),"")</f>
        <v/>
      </c>
      <c r="R1204" s="27" t="str">
        <f>IF(N1204="Si",IFERROR(VLOOKUP(F1204,'TD Cumpl'!B:AB,27,0),"No Aplica"),"No Aplica")</f>
        <v>No Aplica</v>
      </c>
      <c r="S1204" s="38">
        <v>0</v>
      </c>
      <c r="T1204" s="36">
        <v>0</v>
      </c>
      <c r="U1204" s="26">
        <v>0</v>
      </c>
      <c r="V1204" s="37">
        <v>0</v>
      </c>
      <c r="W1204" s="19">
        <v>0</v>
      </c>
      <c r="X1204" s="37">
        <v>0</v>
      </c>
      <c r="Y1204" s="46">
        <f t="shared" si="38"/>
        <v>394655</v>
      </c>
    </row>
    <row r="1205" spans="1:26" x14ac:dyDescent="0.25">
      <c r="A1205" s="20">
        <f>+VLOOKUP(D1205,Back!Q:R,2,0)</f>
        <v>2</v>
      </c>
      <c r="B1205" s="20" t="str">
        <f t="shared" si="37"/>
        <v>2018 FEB</v>
      </c>
      <c r="C1205" s="30">
        <v>2018</v>
      </c>
      <c r="D1205" s="30" t="s">
        <v>138</v>
      </c>
      <c r="E1205" s="30" t="s">
        <v>59</v>
      </c>
      <c r="F1205" s="30"/>
      <c r="G1205" s="30"/>
      <c r="H1205" s="32">
        <v>540597</v>
      </c>
      <c r="I1205" s="32">
        <v>0</v>
      </c>
      <c r="J1205" s="32">
        <v>0</v>
      </c>
      <c r="K1205" s="33">
        <v>540597</v>
      </c>
      <c r="L1205" s="33"/>
      <c r="M1205" s="34"/>
      <c r="N1205" s="209" t="str">
        <f>IFERROR(VLOOKUP(F1205,Back!C:F,4,0),"NO")</f>
        <v>NO</v>
      </c>
      <c r="O1205" s="26">
        <v>24</v>
      </c>
      <c r="P1205" s="28" t="str">
        <f>IFERROR(VLOOKUP(F1205,Back!C:E,3,0),"")</f>
        <v/>
      </c>
      <c r="Q1205" s="28" t="str">
        <f>IFERROR(VLOOKUP(P1205,Back!M:N,2,0),"")</f>
        <v/>
      </c>
      <c r="R1205" s="27" t="str">
        <f>IF(N1205="Si",IFERROR(VLOOKUP(F1205,'TD Cumpl'!B:AB,27,0),"No Aplica"),"No Aplica")</f>
        <v>No Aplica</v>
      </c>
      <c r="S1205" s="38">
        <v>2</v>
      </c>
      <c r="T1205" s="36">
        <v>156737</v>
      </c>
      <c r="U1205" s="26">
        <v>4</v>
      </c>
      <c r="V1205" s="37">
        <v>383860</v>
      </c>
      <c r="W1205" s="19">
        <v>0</v>
      </c>
      <c r="X1205" s="37">
        <v>0</v>
      </c>
      <c r="Y1205" s="46">
        <f t="shared" si="38"/>
        <v>0</v>
      </c>
    </row>
    <row r="1206" spans="1:26" x14ac:dyDescent="0.25">
      <c r="A1206" s="20">
        <f>+VLOOKUP(D1206,Back!Q:R,2,0)</f>
        <v>2</v>
      </c>
      <c r="B1206" s="20" t="str">
        <f t="shared" si="37"/>
        <v>2018 FEB</v>
      </c>
      <c r="C1206" s="30">
        <v>2018</v>
      </c>
      <c r="D1206" s="30" t="s">
        <v>138</v>
      </c>
      <c r="E1206" s="30" t="s">
        <v>159</v>
      </c>
      <c r="F1206" s="30"/>
      <c r="G1206" s="30"/>
      <c r="H1206" s="32">
        <v>185200</v>
      </c>
      <c r="I1206" s="32">
        <v>0</v>
      </c>
      <c r="J1206" s="32">
        <v>185200</v>
      </c>
      <c r="K1206" s="33">
        <v>0</v>
      </c>
      <c r="L1206" s="33"/>
      <c r="M1206" s="34"/>
      <c r="N1206" s="209" t="str">
        <f>IFERROR(VLOOKUP(F1206,Back!C:F,4,0),"NO")</f>
        <v>NO</v>
      </c>
      <c r="O1206" s="26">
        <v>24</v>
      </c>
      <c r="P1206" s="28" t="str">
        <f>IFERROR(VLOOKUP(F1206,Back!C:E,3,0),"")</f>
        <v/>
      </c>
      <c r="Q1206" s="28" t="str">
        <f>IFERROR(VLOOKUP(P1206,Back!M:N,2,0),"")</f>
        <v/>
      </c>
      <c r="R1206" s="27" t="str">
        <f>IF(N1206="Si",IFERROR(VLOOKUP(F1206,'TD Cumpl'!B:AB,27,0),"No Aplica"),"No Aplica")</f>
        <v>No Aplica</v>
      </c>
      <c r="S1206" s="38">
        <v>0</v>
      </c>
      <c r="T1206" s="36">
        <v>0</v>
      </c>
      <c r="U1206" s="26">
        <v>0</v>
      </c>
      <c r="V1206" s="37">
        <v>0</v>
      </c>
      <c r="W1206" s="19">
        <v>0</v>
      </c>
      <c r="X1206" s="37">
        <v>0</v>
      </c>
      <c r="Y1206" s="46">
        <f t="shared" si="38"/>
        <v>185200</v>
      </c>
    </row>
    <row r="1207" spans="1:26" x14ac:dyDescent="0.25">
      <c r="A1207" s="20">
        <f>+VLOOKUP(D1207,Back!Q:R,2,0)</f>
        <v>2</v>
      </c>
      <c r="B1207" s="20" t="str">
        <f t="shared" si="37"/>
        <v>2018 FEB</v>
      </c>
      <c r="C1207" s="30">
        <v>2018</v>
      </c>
      <c r="D1207" s="30" t="s">
        <v>138</v>
      </c>
      <c r="E1207" s="30" t="s">
        <v>119</v>
      </c>
      <c r="F1207" s="30"/>
      <c r="G1207" s="30"/>
      <c r="H1207" s="32">
        <v>9949540</v>
      </c>
      <c r="I1207" s="32">
        <v>0</v>
      </c>
      <c r="J1207" s="32">
        <v>3441869</v>
      </c>
      <c r="K1207" s="33">
        <v>6507671</v>
      </c>
      <c r="L1207" s="33"/>
      <c r="M1207" s="34"/>
      <c r="N1207" s="209" t="str">
        <f>IFERROR(VLOOKUP(F1207,Back!C:F,4,0),"NO")</f>
        <v>NO</v>
      </c>
      <c r="O1207" s="26">
        <v>24</v>
      </c>
      <c r="P1207" s="28" t="str">
        <f>IFERROR(VLOOKUP(F1207,Back!C:E,3,0),"")</f>
        <v/>
      </c>
      <c r="Q1207" s="28" t="str">
        <f>IFERROR(VLOOKUP(P1207,Back!M:N,2,0),"")</f>
        <v/>
      </c>
      <c r="R1207" s="27" t="str">
        <f>IF(N1207="Si",IFERROR(VLOOKUP(F1207,'TD Cumpl'!B:AB,27,0),"No Aplica"),"No Aplica")</f>
        <v>No Aplica</v>
      </c>
      <c r="S1207" s="38">
        <v>8</v>
      </c>
      <c r="T1207" s="36">
        <v>1597355</v>
      </c>
      <c r="U1207" s="26">
        <v>24</v>
      </c>
      <c r="V1207" s="37">
        <v>4629316</v>
      </c>
      <c r="W1207" s="19">
        <v>44</v>
      </c>
      <c r="X1207" s="37">
        <v>3441869</v>
      </c>
      <c r="Y1207" s="46">
        <f t="shared" si="38"/>
        <v>281000</v>
      </c>
    </row>
    <row r="1208" spans="1:26" x14ac:dyDescent="0.25">
      <c r="A1208" s="20">
        <f>+VLOOKUP(D1208,Back!Q:R,2,0)</f>
        <v>2</v>
      </c>
      <c r="B1208" s="20" t="str">
        <f t="shared" si="37"/>
        <v>2018 FEB</v>
      </c>
      <c r="C1208" s="30">
        <v>2018</v>
      </c>
      <c r="D1208" s="30" t="s">
        <v>138</v>
      </c>
      <c r="E1208" s="30" t="s">
        <v>33</v>
      </c>
      <c r="F1208" s="30"/>
      <c r="G1208" s="30"/>
      <c r="H1208" s="32">
        <v>5374750</v>
      </c>
      <c r="I1208" s="32">
        <v>0</v>
      </c>
      <c r="J1208" s="32">
        <v>0</v>
      </c>
      <c r="K1208" s="33">
        <v>5374750</v>
      </c>
      <c r="L1208" s="33"/>
      <c r="M1208" s="34"/>
      <c r="N1208" s="209" t="str">
        <f>IFERROR(VLOOKUP(F1208,Back!C:F,4,0),"NO")</f>
        <v>NO</v>
      </c>
      <c r="O1208" s="26">
        <v>24</v>
      </c>
      <c r="P1208" s="28" t="str">
        <f>IFERROR(VLOOKUP(F1208,Back!C:E,3,0),"")</f>
        <v/>
      </c>
      <c r="Q1208" s="28" t="str">
        <f>IFERROR(VLOOKUP(P1208,Back!M:N,2,0),"")</f>
        <v/>
      </c>
      <c r="R1208" s="27" t="str">
        <f>IF(N1208="Si",IFERROR(VLOOKUP(F1208,'TD Cumpl'!B:AB,27,0),"No Aplica"),"No Aplica")</f>
        <v>No Aplica</v>
      </c>
      <c r="S1208" s="38">
        <v>3</v>
      </c>
      <c r="T1208" s="36">
        <v>164353</v>
      </c>
      <c r="U1208" s="26">
        <v>10</v>
      </c>
      <c r="V1208" s="37">
        <v>519665</v>
      </c>
      <c r="W1208" s="19">
        <v>0</v>
      </c>
      <c r="X1208" s="37">
        <v>0</v>
      </c>
      <c r="Y1208" s="46">
        <f t="shared" si="38"/>
        <v>4690732</v>
      </c>
    </row>
    <row r="1209" spans="1:26" x14ac:dyDescent="0.25">
      <c r="A1209" s="20">
        <f>+VLOOKUP(D1209,Back!Q:R,2,0)</f>
        <v>2</v>
      </c>
      <c r="B1209" s="20" t="str">
        <f t="shared" si="37"/>
        <v>2018 FEB</v>
      </c>
      <c r="C1209" s="30">
        <v>2018</v>
      </c>
      <c r="D1209" s="30" t="s">
        <v>138</v>
      </c>
      <c r="E1209" s="30" t="s">
        <v>190</v>
      </c>
      <c r="F1209" s="30"/>
      <c r="G1209" s="30"/>
      <c r="H1209" s="32">
        <v>400180</v>
      </c>
      <c r="I1209" s="32">
        <v>0</v>
      </c>
      <c r="J1209" s="32">
        <v>400180</v>
      </c>
      <c r="K1209" s="33">
        <v>0</v>
      </c>
      <c r="L1209" s="33"/>
      <c r="M1209" s="34"/>
      <c r="N1209" s="209" t="str">
        <f>IFERROR(VLOOKUP(F1209,Back!C:F,4,0),"NO")</f>
        <v>NO</v>
      </c>
      <c r="O1209" s="26">
        <v>24</v>
      </c>
      <c r="P1209" s="28" t="str">
        <f>IFERROR(VLOOKUP(F1209,Back!C:E,3,0),"")</f>
        <v/>
      </c>
      <c r="Q1209" s="28" t="str">
        <f>IFERROR(VLOOKUP(P1209,Back!M:N,2,0),"")</f>
        <v/>
      </c>
      <c r="R1209" s="27" t="str">
        <f>IF(N1209="Si",IFERROR(VLOOKUP(F1209,'TD Cumpl'!B:AB,27,0),"No Aplica"),"No Aplica")</f>
        <v>No Aplica</v>
      </c>
      <c r="S1209" s="38">
        <v>0</v>
      </c>
      <c r="T1209" s="36">
        <v>0</v>
      </c>
      <c r="U1209" s="26">
        <v>0</v>
      </c>
      <c r="V1209" s="37">
        <v>0</v>
      </c>
      <c r="W1209" s="19">
        <v>5</v>
      </c>
      <c r="X1209" s="37">
        <v>400180</v>
      </c>
      <c r="Y1209" s="46">
        <f t="shared" si="38"/>
        <v>0</v>
      </c>
    </row>
    <row r="1210" spans="1:26" x14ac:dyDescent="0.25">
      <c r="A1210" s="20">
        <f>+VLOOKUP(D1210,Back!Q:R,2,0)</f>
        <v>2</v>
      </c>
      <c r="B1210" s="20" t="str">
        <f t="shared" si="37"/>
        <v>2018 FEB</v>
      </c>
      <c r="C1210" s="30">
        <v>2018</v>
      </c>
      <c r="D1210" s="30" t="s">
        <v>138</v>
      </c>
      <c r="E1210" s="30" t="s">
        <v>120</v>
      </c>
      <c r="F1210" s="30"/>
      <c r="G1210" s="30"/>
      <c r="H1210" s="32">
        <v>69764</v>
      </c>
      <c r="I1210" s="32">
        <v>0</v>
      </c>
      <c r="J1210" s="32">
        <v>69764</v>
      </c>
      <c r="K1210" s="33">
        <v>0</v>
      </c>
      <c r="L1210" s="33"/>
      <c r="M1210" s="34"/>
      <c r="N1210" s="209" t="str">
        <f>IFERROR(VLOOKUP(F1210,Back!C:F,4,0),"NO")</f>
        <v>NO</v>
      </c>
      <c r="O1210" s="26">
        <v>24</v>
      </c>
      <c r="P1210" s="28" t="str">
        <f>IFERROR(VLOOKUP(F1210,Back!C:E,3,0),"")</f>
        <v/>
      </c>
      <c r="Q1210" s="28" t="str">
        <f>IFERROR(VLOOKUP(P1210,Back!M:N,2,0),"")</f>
        <v/>
      </c>
      <c r="R1210" s="27" t="str">
        <f>IF(N1210="Si",IFERROR(VLOOKUP(F1210,'TD Cumpl'!B:AB,27,0),"No Aplica"),"No Aplica")</f>
        <v>No Aplica</v>
      </c>
      <c r="S1210" s="38">
        <v>0</v>
      </c>
      <c r="T1210" s="36">
        <v>0</v>
      </c>
      <c r="U1210" s="26">
        <v>0</v>
      </c>
      <c r="V1210" s="37">
        <v>0</v>
      </c>
      <c r="W1210" s="19">
        <v>1</v>
      </c>
      <c r="X1210" s="37">
        <v>69764</v>
      </c>
      <c r="Y1210" s="46">
        <f t="shared" si="38"/>
        <v>0</v>
      </c>
    </row>
    <row r="1211" spans="1:26" x14ac:dyDescent="0.25">
      <c r="A1211" s="20">
        <f>+VLOOKUP(D1211,Back!Q:R,2,0)</f>
        <v>2</v>
      </c>
      <c r="B1211" s="20" t="str">
        <f t="shared" si="37"/>
        <v>2018 FEB</v>
      </c>
      <c r="C1211" s="30">
        <v>2018</v>
      </c>
      <c r="D1211" s="30" t="s">
        <v>138</v>
      </c>
      <c r="E1211" s="30" t="s">
        <v>239</v>
      </c>
      <c r="F1211" s="30"/>
      <c r="G1211" s="30"/>
      <c r="H1211" s="32">
        <v>326501</v>
      </c>
      <c r="I1211" s="32">
        <v>0</v>
      </c>
      <c r="J1211" s="32">
        <v>0</v>
      </c>
      <c r="K1211" s="33">
        <v>326501</v>
      </c>
      <c r="L1211" s="33"/>
      <c r="M1211" s="34"/>
      <c r="N1211" s="209" t="str">
        <f>IFERROR(VLOOKUP(F1211,Back!C:F,4,0),"NO")</f>
        <v>NO</v>
      </c>
      <c r="O1211" s="26">
        <v>24</v>
      </c>
      <c r="P1211" s="28" t="str">
        <f>IFERROR(VLOOKUP(F1211,Back!C:E,3,0),"")</f>
        <v/>
      </c>
      <c r="Q1211" s="28" t="str">
        <f>IFERROR(VLOOKUP(P1211,Back!M:N,2,0),"")</f>
        <v/>
      </c>
      <c r="R1211" s="27" t="str">
        <f>IF(N1211="Si",IFERROR(VLOOKUP(F1211,'TD Cumpl'!B:AB,27,0),"No Aplica"),"No Aplica")</f>
        <v>No Aplica</v>
      </c>
      <c r="S1211" s="38">
        <v>1</v>
      </c>
      <c r="T1211" s="36">
        <v>109786</v>
      </c>
      <c r="U1211" s="26">
        <v>2</v>
      </c>
      <c r="V1211" s="37">
        <v>216715</v>
      </c>
      <c r="W1211" s="19">
        <v>0</v>
      </c>
      <c r="X1211" s="37">
        <v>0</v>
      </c>
      <c r="Y1211" s="46">
        <f t="shared" si="38"/>
        <v>0</v>
      </c>
    </row>
    <row r="1212" spans="1:26" x14ac:dyDescent="0.25">
      <c r="A1212" s="20">
        <f>+VLOOKUP(D1212,Back!Q:R,2,0)</f>
        <v>2</v>
      </c>
      <c r="B1212" s="20" t="str">
        <f t="shared" si="37"/>
        <v>2018 FEB</v>
      </c>
      <c r="C1212" s="30">
        <v>2018</v>
      </c>
      <c r="D1212" s="30" t="s">
        <v>138</v>
      </c>
      <c r="E1212" s="30" t="s">
        <v>240</v>
      </c>
      <c r="F1212" s="30"/>
      <c r="G1212" s="30"/>
      <c r="H1212" s="32">
        <v>43870</v>
      </c>
      <c r="I1212" s="32">
        <v>0</v>
      </c>
      <c r="J1212" s="32">
        <v>43870</v>
      </c>
      <c r="K1212" s="33">
        <v>0</v>
      </c>
      <c r="L1212" s="33"/>
      <c r="M1212" s="34"/>
      <c r="N1212" s="209" t="str">
        <f>IFERROR(VLOOKUP(F1212,Back!C:F,4,0),"NO")</f>
        <v>NO</v>
      </c>
      <c r="O1212" s="26">
        <v>24</v>
      </c>
      <c r="P1212" s="28" t="str">
        <f>IFERROR(VLOOKUP(F1212,Back!C:E,3,0),"")</f>
        <v/>
      </c>
      <c r="Q1212" s="28" t="str">
        <f>IFERROR(VLOOKUP(P1212,Back!M:N,2,0),"")</f>
        <v/>
      </c>
      <c r="R1212" s="27" t="str">
        <f>IF(N1212="Si",IFERROR(VLOOKUP(F1212,'TD Cumpl'!B:AB,27,0),"No Aplica"),"No Aplica")</f>
        <v>No Aplica</v>
      </c>
      <c r="S1212" s="38">
        <v>0</v>
      </c>
      <c r="T1212" s="36">
        <v>0</v>
      </c>
      <c r="U1212" s="26">
        <v>0</v>
      </c>
      <c r="V1212" s="37">
        <v>0</v>
      </c>
      <c r="W1212" s="19">
        <v>1</v>
      </c>
      <c r="X1212" s="37">
        <v>43870</v>
      </c>
      <c r="Y1212" s="46">
        <f t="shared" si="38"/>
        <v>0</v>
      </c>
    </row>
    <row r="1213" spans="1:26" x14ac:dyDescent="0.25">
      <c r="A1213" s="20">
        <f>+VLOOKUP(D1213,Back!Q:R,2,0)</f>
        <v>2</v>
      </c>
      <c r="B1213" s="20" t="str">
        <f t="shared" si="37"/>
        <v>2018 FEB</v>
      </c>
      <c r="C1213" s="30">
        <v>2018</v>
      </c>
      <c r="D1213" s="30" t="s">
        <v>138</v>
      </c>
      <c r="E1213" s="30" t="s">
        <v>72</v>
      </c>
      <c r="F1213" s="30"/>
      <c r="G1213" s="30"/>
      <c r="H1213" s="32">
        <v>521646</v>
      </c>
      <c r="I1213" s="32">
        <v>0</v>
      </c>
      <c r="J1213" s="32">
        <v>0</v>
      </c>
      <c r="K1213" s="33">
        <v>521646</v>
      </c>
      <c r="L1213" s="33"/>
      <c r="M1213" s="34"/>
      <c r="N1213" s="209" t="str">
        <f>IFERROR(VLOOKUP(F1213,Back!C:F,4,0),"NO")</f>
        <v>NO</v>
      </c>
      <c r="O1213" s="26">
        <v>24</v>
      </c>
      <c r="P1213" s="28" t="str">
        <f>IFERROR(VLOOKUP(F1213,Back!C:E,3,0),"")</f>
        <v/>
      </c>
      <c r="Q1213" s="28" t="str">
        <f>IFERROR(VLOOKUP(P1213,Back!M:N,2,0),"")</f>
        <v/>
      </c>
      <c r="R1213" s="27" t="str">
        <f>IF(N1213="Si",IFERROR(VLOOKUP(F1213,'TD Cumpl'!B:AB,27,0),"No Aplica"),"No Aplica")</f>
        <v>No Aplica</v>
      </c>
      <c r="S1213" s="38">
        <v>1</v>
      </c>
      <c r="T1213" s="36">
        <v>115116</v>
      </c>
      <c r="U1213" s="26">
        <v>2</v>
      </c>
      <c r="V1213" s="37">
        <v>186530</v>
      </c>
      <c r="W1213" s="19">
        <v>0</v>
      </c>
      <c r="X1213" s="37">
        <v>0</v>
      </c>
      <c r="Y1213" s="46">
        <f t="shared" si="38"/>
        <v>220000</v>
      </c>
    </row>
    <row r="1214" spans="1:26" x14ac:dyDescent="0.25">
      <c r="A1214" s="20">
        <f>+VLOOKUP(D1214,Back!Q:R,2,0)</f>
        <v>2</v>
      </c>
      <c r="B1214" s="20" t="str">
        <f t="shared" si="37"/>
        <v>2018 FEB</v>
      </c>
      <c r="C1214" s="30">
        <v>2018</v>
      </c>
      <c r="D1214" s="30" t="s">
        <v>138</v>
      </c>
      <c r="E1214" s="30" t="s">
        <v>169</v>
      </c>
      <c r="F1214" s="30"/>
      <c r="G1214" s="30"/>
      <c r="H1214" s="32">
        <v>416996</v>
      </c>
      <c r="I1214" s="32">
        <v>0</v>
      </c>
      <c r="J1214" s="32">
        <v>0</v>
      </c>
      <c r="K1214" s="33">
        <v>416996</v>
      </c>
      <c r="L1214" s="33"/>
      <c r="M1214" s="34"/>
      <c r="N1214" s="209" t="str">
        <f>IFERROR(VLOOKUP(F1214,Back!C:F,4,0),"NO")</f>
        <v>NO</v>
      </c>
      <c r="O1214" s="26">
        <v>24</v>
      </c>
      <c r="P1214" s="28" t="str">
        <f>IFERROR(VLOOKUP(F1214,Back!C:E,3,0),"")</f>
        <v/>
      </c>
      <c r="Q1214" s="28" t="str">
        <f>IFERROR(VLOOKUP(P1214,Back!M:N,2,0),"")</f>
        <v/>
      </c>
      <c r="R1214" s="27" t="str">
        <f>IF(N1214="Si",IFERROR(VLOOKUP(F1214,'TD Cumpl'!B:AB,27,0),"No Aplica"),"No Aplica")</f>
        <v>No Aplica</v>
      </c>
      <c r="S1214" s="38">
        <v>2</v>
      </c>
      <c r="T1214" s="36">
        <v>120906</v>
      </c>
      <c r="U1214" s="26">
        <v>4</v>
      </c>
      <c r="V1214" s="37">
        <v>296090</v>
      </c>
      <c r="W1214" s="19">
        <v>0</v>
      </c>
      <c r="X1214" s="37">
        <v>0</v>
      </c>
      <c r="Y1214" s="46">
        <f t="shared" si="38"/>
        <v>0</v>
      </c>
    </row>
    <row r="1215" spans="1:26" x14ac:dyDescent="0.25">
      <c r="A1215" s="20">
        <f>+VLOOKUP(D1215,Back!Q:R,2,0)</f>
        <v>2</v>
      </c>
      <c r="B1215" s="20" t="str">
        <f t="shared" ref="B1215:B1277" si="39">MID(UPPER(C1215&amp;" "&amp;D1215),1,8)</f>
        <v>2018 FEB</v>
      </c>
      <c r="C1215" s="30">
        <v>2018</v>
      </c>
      <c r="D1215" s="30" t="s">
        <v>138</v>
      </c>
      <c r="E1215" s="30" t="s">
        <v>241</v>
      </c>
      <c r="F1215" s="30"/>
      <c r="G1215" s="30"/>
      <c r="H1215" s="32">
        <v>134285</v>
      </c>
      <c r="I1215" s="32">
        <v>0</v>
      </c>
      <c r="J1215" s="32">
        <v>134285</v>
      </c>
      <c r="K1215" s="33">
        <v>0</v>
      </c>
      <c r="L1215" s="33"/>
      <c r="M1215" s="34"/>
      <c r="N1215" s="209" t="str">
        <f>IFERROR(VLOOKUP(F1215,Back!C:F,4,0),"NO")</f>
        <v>NO</v>
      </c>
      <c r="O1215" s="26">
        <v>24</v>
      </c>
      <c r="P1215" s="28" t="str">
        <f>IFERROR(VLOOKUP(F1215,Back!C:E,3,0),"")</f>
        <v/>
      </c>
      <c r="Q1215" s="28" t="str">
        <f>IFERROR(VLOOKUP(P1215,Back!M:N,2,0),"")</f>
        <v/>
      </c>
      <c r="R1215" s="27" t="str">
        <f>IF(N1215="Si",IFERROR(VLOOKUP(F1215,'TD Cumpl'!B:AB,27,0),"No Aplica"),"No Aplica")</f>
        <v>No Aplica</v>
      </c>
      <c r="S1215" s="38">
        <v>0</v>
      </c>
      <c r="T1215" s="36">
        <v>0</v>
      </c>
      <c r="U1215" s="26">
        <v>0</v>
      </c>
      <c r="V1215" s="37">
        <v>0</v>
      </c>
      <c r="W1215" s="19">
        <v>1</v>
      </c>
      <c r="X1215" s="37">
        <v>134285</v>
      </c>
      <c r="Y1215" s="46">
        <f t="shared" si="38"/>
        <v>0</v>
      </c>
    </row>
    <row r="1216" spans="1:26" x14ac:dyDescent="0.25">
      <c r="A1216" s="20">
        <f>+VLOOKUP(D1216,Back!Q:R,2,0)</f>
        <v>2</v>
      </c>
      <c r="B1216" s="20" t="str">
        <f t="shared" si="39"/>
        <v>2018 FEB</v>
      </c>
      <c r="C1216" s="30">
        <v>2018</v>
      </c>
      <c r="D1216" s="30" t="s">
        <v>138</v>
      </c>
      <c r="E1216" s="30" t="s">
        <v>242</v>
      </c>
      <c r="F1216" s="30"/>
      <c r="G1216" s="30"/>
      <c r="H1216" s="32">
        <v>43870</v>
      </c>
      <c r="I1216" s="32">
        <v>0</v>
      </c>
      <c r="J1216" s="32">
        <v>43870</v>
      </c>
      <c r="K1216" s="33">
        <v>0</v>
      </c>
      <c r="L1216" s="33"/>
      <c r="M1216" s="34"/>
      <c r="N1216" s="209" t="str">
        <f>IFERROR(VLOOKUP(F1216,Back!C:F,4,0),"NO")</f>
        <v>NO</v>
      </c>
      <c r="O1216" s="26">
        <v>24</v>
      </c>
      <c r="P1216" s="28" t="str">
        <f>IFERROR(VLOOKUP(F1216,Back!C:E,3,0),"")</f>
        <v/>
      </c>
      <c r="Q1216" s="28" t="str">
        <f>IFERROR(VLOOKUP(P1216,Back!M:N,2,0),"")</f>
        <v/>
      </c>
      <c r="R1216" s="27" t="str">
        <f>IF(N1216="Si",IFERROR(VLOOKUP(F1216,'TD Cumpl'!B:AB,27,0),"No Aplica"),"No Aplica")</f>
        <v>No Aplica</v>
      </c>
      <c r="S1216" s="38">
        <v>0</v>
      </c>
      <c r="T1216" s="36">
        <v>0</v>
      </c>
      <c r="U1216" s="26">
        <v>0</v>
      </c>
      <c r="V1216" s="37">
        <v>0</v>
      </c>
      <c r="W1216" s="19">
        <v>1</v>
      </c>
      <c r="X1216" s="37">
        <v>43870</v>
      </c>
      <c r="Y1216" s="46">
        <f t="shared" si="38"/>
        <v>0</v>
      </c>
    </row>
    <row r="1217" spans="1:26" x14ac:dyDescent="0.25">
      <c r="A1217" s="20">
        <f>+VLOOKUP(D1217,Back!Q:R,2,0)</f>
        <v>2</v>
      </c>
      <c r="B1217" s="20" t="str">
        <f t="shared" si="39"/>
        <v>2018 FEB</v>
      </c>
      <c r="C1217" s="30">
        <v>2018</v>
      </c>
      <c r="D1217" s="30" t="s">
        <v>138</v>
      </c>
      <c r="E1217" s="30" t="s">
        <v>243</v>
      </c>
      <c r="F1217" s="30"/>
      <c r="G1217" s="30"/>
      <c r="H1217" s="32">
        <v>134285</v>
      </c>
      <c r="I1217" s="32">
        <v>0</v>
      </c>
      <c r="J1217" s="32">
        <v>134285</v>
      </c>
      <c r="K1217" s="33">
        <v>0</v>
      </c>
      <c r="L1217" s="33"/>
      <c r="M1217" s="34"/>
      <c r="N1217" s="209" t="str">
        <f>IFERROR(VLOOKUP(F1217,Back!C:F,4,0),"NO")</f>
        <v>NO</v>
      </c>
      <c r="O1217" s="26">
        <v>24</v>
      </c>
      <c r="P1217" s="28" t="str">
        <f>IFERROR(VLOOKUP(F1217,Back!C:E,3,0),"")</f>
        <v/>
      </c>
      <c r="Q1217" s="28" t="str">
        <f>IFERROR(VLOOKUP(P1217,Back!M:N,2,0),"")</f>
        <v/>
      </c>
      <c r="R1217" s="27" t="str">
        <f>IF(N1217="Si",IFERROR(VLOOKUP(F1217,'TD Cumpl'!B:AB,27,0),"No Aplica"),"No Aplica")</f>
        <v>No Aplica</v>
      </c>
      <c r="S1217" s="38">
        <v>0</v>
      </c>
      <c r="T1217" s="36">
        <v>0</v>
      </c>
      <c r="U1217" s="26">
        <v>0</v>
      </c>
      <c r="V1217" s="37">
        <v>0</v>
      </c>
      <c r="W1217" s="19">
        <v>1</v>
      </c>
      <c r="X1217" s="37">
        <v>134285</v>
      </c>
      <c r="Y1217" s="46">
        <f t="shared" ref="Y1217:Y1280" si="40">+H1217-X1217-V1217-T1217</f>
        <v>0</v>
      </c>
    </row>
    <row r="1218" spans="1:26" x14ac:dyDescent="0.25">
      <c r="A1218" s="20">
        <f>+VLOOKUP(D1218,Back!Q:R,2,0)</f>
        <v>2</v>
      </c>
      <c r="B1218" s="20" t="str">
        <f t="shared" si="39"/>
        <v>2018 FEB</v>
      </c>
      <c r="C1218" s="30">
        <v>2018</v>
      </c>
      <c r="D1218" s="30" t="s">
        <v>138</v>
      </c>
      <c r="E1218" s="30" t="s">
        <v>244</v>
      </c>
      <c r="F1218" s="30"/>
      <c r="G1218" s="30"/>
      <c r="H1218" s="32">
        <v>134285</v>
      </c>
      <c r="I1218" s="32">
        <v>0</v>
      </c>
      <c r="J1218" s="32">
        <v>134285</v>
      </c>
      <c r="K1218" s="33">
        <v>0</v>
      </c>
      <c r="L1218" s="33"/>
      <c r="M1218" s="34"/>
      <c r="N1218" s="209" t="str">
        <f>IFERROR(VLOOKUP(F1218,Back!C:F,4,0),"NO")</f>
        <v>NO</v>
      </c>
      <c r="O1218" s="26">
        <v>24</v>
      </c>
      <c r="P1218" s="28" t="str">
        <f>IFERROR(VLOOKUP(F1218,Back!C:E,3,0),"")</f>
        <v/>
      </c>
      <c r="Q1218" s="28" t="str">
        <f>IFERROR(VLOOKUP(P1218,Back!M:N,2,0),"")</f>
        <v/>
      </c>
      <c r="R1218" s="27" t="str">
        <f>IF(N1218="Si",IFERROR(VLOOKUP(F1218,'TD Cumpl'!B:AB,27,0),"No Aplica"),"No Aplica")</f>
        <v>No Aplica</v>
      </c>
      <c r="S1218" s="38">
        <v>0</v>
      </c>
      <c r="T1218" s="36">
        <v>0</v>
      </c>
      <c r="U1218" s="26">
        <v>0</v>
      </c>
      <c r="V1218" s="37">
        <v>0</v>
      </c>
      <c r="W1218" s="19">
        <v>1</v>
      </c>
      <c r="X1218" s="37">
        <v>134285</v>
      </c>
      <c r="Y1218" s="46">
        <f t="shared" si="40"/>
        <v>0</v>
      </c>
    </row>
    <row r="1219" spans="1:26" x14ac:dyDescent="0.25">
      <c r="A1219" s="20">
        <f>+VLOOKUP(D1219,Back!Q:R,2,0)</f>
        <v>2</v>
      </c>
      <c r="B1219" s="20" t="str">
        <f t="shared" si="39"/>
        <v>2018 FEB</v>
      </c>
      <c r="C1219" s="30">
        <v>2018</v>
      </c>
      <c r="D1219" s="30" t="s">
        <v>138</v>
      </c>
      <c r="E1219" s="30" t="s">
        <v>245</v>
      </c>
      <c r="F1219" s="30"/>
      <c r="G1219" s="30"/>
      <c r="H1219" s="32">
        <v>134285</v>
      </c>
      <c r="I1219" s="32">
        <v>0</v>
      </c>
      <c r="J1219" s="32">
        <v>134285</v>
      </c>
      <c r="K1219" s="33">
        <v>0</v>
      </c>
      <c r="L1219" s="33"/>
      <c r="M1219" s="34"/>
      <c r="N1219" s="209" t="str">
        <f>IFERROR(VLOOKUP(F1219,Back!C:F,4,0),"NO")</f>
        <v>NO</v>
      </c>
      <c r="O1219" s="26">
        <v>24</v>
      </c>
      <c r="P1219" s="28" t="str">
        <f>IFERROR(VLOOKUP(F1219,Back!C:E,3,0),"")</f>
        <v/>
      </c>
      <c r="Q1219" s="28" t="str">
        <f>IFERROR(VLOOKUP(P1219,Back!M:N,2,0),"")</f>
        <v/>
      </c>
      <c r="R1219" s="27" t="str">
        <f>IF(N1219="Si",IFERROR(VLOOKUP(F1219,'TD Cumpl'!B:AB,27,0),"No Aplica"),"No Aplica")</f>
        <v>No Aplica</v>
      </c>
      <c r="S1219" s="38">
        <v>0</v>
      </c>
      <c r="T1219" s="36">
        <v>0</v>
      </c>
      <c r="U1219" s="26">
        <v>0</v>
      </c>
      <c r="V1219" s="37">
        <v>0</v>
      </c>
      <c r="W1219" s="19">
        <v>1</v>
      </c>
      <c r="X1219" s="37">
        <v>134285</v>
      </c>
      <c r="Y1219" s="46">
        <f t="shared" si="40"/>
        <v>0</v>
      </c>
    </row>
    <row r="1220" spans="1:26" x14ac:dyDescent="0.25">
      <c r="A1220" s="20">
        <f>+VLOOKUP(D1220,Back!Q:R,2,0)</f>
        <v>2</v>
      </c>
      <c r="B1220" s="20" t="str">
        <f t="shared" si="39"/>
        <v>2018 FEB</v>
      </c>
      <c r="C1220" s="30">
        <v>2018</v>
      </c>
      <c r="D1220" s="30" t="s">
        <v>138</v>
      </c>
      <c r="E1220" s="30" t="s">
        <v>246</v>
      </c>
      <c r="F1220" s="30"/>
      <c r="G1220" s="30"/>
      <c r="H1220" s="32">
        <v>43870</v>
      </c>
      <c r="I1220" s="32">
        <v>0</v>
      </c>
      <c r="J1220" s="32">
        <v>43870</v>
      </c>
      <c r="K1220" s="33">
        <v>0</v>
      </c>
      <c r="L1220" s="33"/>
      <c r="M1220" s="34"/>
      <c r="N1220" s="209" t="str">
        <f>IFERROR(VLOOKUP(F1220,Back!C:F,4,0),"NO")</f>
        <v>NO</v>
      </c>
      <c r="O1220" s="26">
        <v>24</v>
      </c>
      <c r="P1220" s="28" t="str">
        <f>IFERROR(VLOOKUP(F1220,Back!C:E,3,0),"")</f>
        <v/>
      </c>
      <c r="Q1220" s="28" t="str">
        <f>IFERROR(VLOOKUP(P1220,Back!M:N,2,0),"")</f>
        <v/>
      </c>
      <c r="R1220" s="27" t="str">
        <f>IF(N1220="Si",IFERROR(VLOOKUP(F1220,'TD Cumpl'!B:AB,27,0),"No Aplica"),"No Aplica")</f>
        <v>No Aplica</v>
      </c>
      <c r="S1220" s="38">
        <v>0</v>
      </c>
      <c r="T1220" s="36">
        <v>0</v>
      </c>
      <c r="U1220" s="26">
        <v>0</v>
      </c>
      <c r="V1220" s="37">
        <v>0</v>
      </c>
      <c r="W1220" s="19">
        <v>1</v>
      </c>
      <c r="X1220" s="37">
        <v>43870</v>
      </c>
      <c r="Y1220" s="46">
        <f t="shared" si="40"/>
        <v>0</v>
      </c>
    </row>
    <row r="1221" spans="1:26" x14ac:dyDescent="0.25">
      <c r="A1221" s="20">
        <f>+VLOOKUP(D1221,Back!Q:R,2,0)</f>
        <v>2</v>
      </c>
      <c r="B1221" s="20" t="str">
        <f t="shared" si="39"/>
        <v>2018 FEB</v>
      </c>
      <c r="C1221" s="30">
        <v>2018</v>
      </c>
      <c r="D1221" s="30" t="s">
        <v>138</v>
      </c>
      <c r="E1221" s="30" t="s">
        <v>87</v>
      </c>
      <c r="F1221" s="30"/>
      <c r="G1221" s="30"/>
      <c r="H1221" s="32">
        <v>-43870</v>
      </c>
      <c r="I1221" s="32">
        <v>0</v>
      </c>
      <c r="J1221" s="32">
        <v>0</v>
      </c>
      <c r="K1221" s="33">
        <v>-43870</v>
      </c>
      <c r="L1221" s="33"/>
      <c r="M1221" s="34"/>
      <c r="N1221" s="209" t="str">
        <f>IFERROR(VLOOKUP(F1221,Back!C:F,4,0),"NO")</f>
        <v>NO</v>
      </c>
      <c r="O1221" s="26">
        <v>24</v>
      </c>
      <c r="P1221" s="28" t="str">
        <f>IFERROR(VLOOKUP(F1221,Back!C:E,3,0),"")</f>
        <v/>
      </c>
      <c r="Q1221" s="28" t="str">
        <f>IFERROR(VLOOKUP(P1221,Back!M:N,2,0),"")</f>
        <v/>
      </c>
      <c r="R1221" s="27" t="str">
        <f>IF(N1221="Si",IFERROR(VLOOKUP(F1221,'TD Cumpl'!B:AB,27,0),"No Aplica"),"No Aplica")</f>
        <v>No Aplica</v>
      </c>
      <c r="S1221" s="38">
        <v>1</v>
      </c>
      <c r="T1221" s="36">
        <v>78787</v>
      </c>
      <c r="U1221" s="26">
        <v>0</v>
      </c>
      <c r="V1221" s="37">
        <v>0</v>
      </c>
      <c r="W1221" s="19">
        <v>0</v>
      </c>
      <c r="X1221" s="37">
        <v>0</v>
      </c>
      <c r="Y1221" s="46">
        <f t="shared" si="40"/>
        <v>-122657</v>
      </c>
    </row>
    <row r="1222" spans="1:26" x14ac:dyDescent="0.25">
      <c r="A1222" s="20">
        <f>+VLOOKUP(D1222,Back!Q:R,2,0)</f>
        <v>3</v>
      </c>
      <c r="B1222" s="20" t="str">
        <f t="shared" si="39"/>
        <v>2018 MAR</v>
      </c>
      <c r="C1222" s="30">
        <v>2018</v>
      </c>
      <c r="D1222" s="30" t="s">
        <v>139</v>
      </c>
      <c r="E1222" s="30" t="s">
        <v>3</v>
      </c>
      <c r="F1222" s="30">
        <v>52725011</v>
      </c>
      <c r="G1222" s="30" t="s">
        <v>42</v>
      </c>
      <c r="H1222" s="32">
        <v>37762195</v>
      </c>
      <c r="I1222" s="32">
        <v>880000</v>
      </c>
      <c r="J1222" s="32">
        <v>7683777</v>
      </c>
      <c r="K1222" s="33">
        <v>29198418</v>
      </c>
      <c r="L1222" s="33">
        <v>25000008</v>
      </c>
      <c r="M1222" s="34">
        <v>1.1679363462603691</v>
      </c>
      <c r="N1222" s="209" t="str">
        <f>IFERROR(VLOOKUP(F1222,Back!C:F,4,0),"NO")</f>
        <v>Si</v>
      </c>
      <c r="O1222" s="26">
        <v>24</v>
      </c>
      <c r="P1222" s="28" t="str">
        <f>IFERROR(VLOOKUP(F1222,Back!C:E,3,0),"")</f>
        <v>IPS Pto De Vista Olaya</v>
      </c>
      <c r="Q1222" s="28" t="str">
        <f>IFERROR(VLOOKUP(P1222,Back!M:N,2,0),"")</f>
        <v>Centro</v>
      </c>
      <c r="R1222" s="27" t="str">
        <f>IF(N1222="Si",IFERROR(VLOOKUP(F1222,'TD Cumpl'!B:AB,27,0),"No Aplica"),"No Aplica")</f>
        <v>Fluctúa</v>
      </c>
      <c r="S1222" s="38">
        <v>96</v>
      </c>
      <c r="T1222" s="36">
        <v>6014692</v>
      </c>
      <c r="U1222" s="26">
        <v>272</v>
      </c>
      <c r="V1222" s="37">
        <v>22018535</v>
      </c>
      <c r="W1222" s="19">
        <v>113</v>
      </c>
      <c r="X1222" s="37">
        <v>7683777</v>
      </c>
      <c r="Y1222" s="46">
        <f t="shared" si="40"/>
        <v>2045191</v>
      </c>
      <c r="Z1222" s="19" t="s">
        <v>318</v>
      </c>
    </row>
    <row r="1223" spans="1:26" x14ac:dyDescent="0.25">
      <c r="A1223" s="20">
        <f>+VLOOKUP(D1223,Back!Q:R,2,0)</f>
        <v>3</v>
      </c>
      <c r="B1223" s="20" t="str">
        <f t="shared" si="39"/>
        <v>2018 MAR</v>
      </c>
      <c r="C1223" s="30">
        <v>2018</v>
      </c>
      <c r="D1223" s="30" t="s">
        <v>139</v>
      </c>
      <c r="E1223" s="30" t="s">
        <v>4</v>
      </c>
      <c r="F1223" s="30">
        <v>79701425</v>
      </c>
      <c r="G1223" s="30" t="s">
        <v>27</v>
      </c>
      <c r="H1223" s="32">
        <v>37415861</v>
      </c>
      <c r="I1223" s="32">
        <v>744000</v>
      </c>
      <c r="J1223" s="32">
        <v>7760068</v>
      </c>
      <c r="K1223" s="33">
        <v>28911793</v>
      </c>
      <c r="L1223" s="33">
        <v>25000008</v>
      </c>
      <c r="M1223" s="34">
        <v>1.1564713499291681</v>
      </c>
      <c r="N1223" s="209" t="str">
        <f>IFERROR(VLOOKUP(F1223,Back!C:F,4,0),"NO")</f>
        <v>No</v>
      </c>
      <c r="O1223" s="26">
        <v>24</v>
      </c>
      <c r="P1223" s="28" t="str">
        <f>IFERROR(VLOOKUP(F1223,Back!C:E,3,0),"")</f>
        <v>IPS Pto De Vista Olaya</v>
      </c>
      <c r="Q1223" s="28" t="str">
        <f>IFERROR(VLOOKUP(P1223,Back!M:N,2,0),"")</f>
        <v>Centro</v>
      </c>
      <c r="R1223" s="27" t="str">
        <f>IF(N1223="Si",IFERROR(VLOOKUP(F1223,'TD Cumpl'!B:AB,27,0),"No Aplica"),"No Aplica")</f>
        <v>No Aplica</v>
      </c>
      <c r="S1223" s="38">
        <v>86</v>
      </c>
      <c r="T1223" s="36">
        <v>6429651</v>
      </c>
      <c r="U1223" s="26">
        <v>212</v>
      </c>
      <c r="V1223" s="37">
        <v>20329907</v>
      </c>
      <c r="W1223" s="19">
        <v>111</v>
      </c>
      <c r="X1223" s="37">
        <v>7760068</v>
      </c>
      <c r="Y1223" s="46">
        <f t="shared" si="40"/>
        <v>2896235</v>
      </c>
    </row>
    <row r="1224" spans="1:26" x14ac:dyDescent="0.25">
      <c r="A1224" s="20">
        <f>+VLOOKUP(D1224,Back!Q:R,2,0)</f>
        <v>3</v>
      </c>
      <c r="B1224" s="20" t="str">
        <f t="shared" si="39"/>
        <v>2018 MAR</v>
      </c>
      <c r="C1224" s="30">
        <v>2018</v>
      </c>
      <c r="D1224" s="30" t="s">
        <v>139</v>
      </c>
      <c r="E1224" s="30" t="s">
        <v>62</v>
      </c>
      <c r="F1224" s="30">
        <v>32256379</v>
      </c>
      <c r="G1224" s="30" t="s">
        <v>61</v>
      </c>
      <c r="H1224" s="32">
        <v>32146846</v>
      </c>
      <c r="I1224" s="32">
        <v>597400</v>
      </c>
      <c r="J1224" s="32">
        <v>4807189</v>
      </c>
      <c r="K1224" s="33">
        <v>26742257</v>
      </c>
      <c r="L1224" s="33">
        <v>43666660</v>
      </c>
      <c r="M1224" s="34">
        <v>0.61241819273560194</v>
      </c>
      <c r="N1224" s="209" t="str">
        <f>IFERROR(VLOOKUP(F1224,Back!C:F,4,0),"NO")</f>
        <v>Si</v>
      </c>
      <c r="O1224" s="26">
        <v>24</v>
      </c>
      <c r="P1224" s="28" t="str">
        <f>IFERROR(VLOOKUP(F1224,Back!C:E,3,0),"")</f>
        <v>Ferias Empresariales Antioquia</v>
      </c>
      <c r="Q1224" s="28" t="str">
        <f>IFERROR(VLOOKUP(P1224,Back!M:N,2,0),"")</f>
        <v>Antioquia</v>
      </c>
      <c r="R1224" s="27" t="str">
        <f>IF(N1224="Si",IFERROR(VLOOKUP(F1224,'TD Cumpl'!B:AB,27,0),"No Aplica"),"No Aplica")</f>
        <v>Fluctúa</v>
      </c>
      <c r="S1224" s="38">
        <v>31</v>
      </c>
      <c r="T1224" s="36">
        <v>3315045</v>
      </c>
      <c r="U1224" s="26">
        <v>66</v>
      </c>
      <c r="V1224" s="37">
        <v>8055222</v>
      </c>
      <c r="W1224" s="19">
        <v>71</v>
      </c>
      <c r="X1224" s="37">
        <v>4807189</v>
      </c>
      <c r="Y1224" s="46">
        <f t="shared" si="40"/>
        <v>15969390</v>
      </c>
      <c r="Z1224" s="19" t="s">
        <v>318</v>
      </c>
    </row>
    <row r="1225" spans="1:26" x14ac:dyDescent="0.25">
      <c r="A1225" s="20">
        <f>+VLOOKUP(D1225,Back!Q:R,2,0)</f>
        <v>3</v>
      </c>
      <c r="B1225" s="20" t="str">
        <f t="shared" si="39"/>
        <v>2018 MAR</v>
      </c>
      <c r="C1225" s="30">
        <v>2018</v>
      </c>
      <c r="D1225" s="30" t="s">
        <v>139</v>
      </c>
      <c r="E1225" s="30" t="s">
        <v>25</v>
      </c>
      <c r="F1225" s="30">
        <v>1040030764</v>
      </c>
      <c r="G1225" s="30" t="s">
        <v>43</v>
      </c>
      <c r="H1225" s="32">
        <v>24119799</v>
      </c>
      <c r="I1225" s="32">
        <v>2063400</v>
      </c>
      <c r="J1225" s="32">
        <v>4477522</v>
      </c>
      <c r="K1225" s="33">
        <v>17578877</v>
      </c>
      <c r="L1225" s="33">
        <v>33541659</v>
      </c>
      <c r="M1225" s="34">
        <v>0.52409086264934002</v>
      </c>
      <c r="N1225" s="209" t="str">
        <f>IFERROR(VLOOKUP(F1225,Back!C:F,4,0),"NO")</f>
        <v>Si</v>
      </c>
      <c r="O1225" s="26">
        <v>24</v>
      </c>
      <c r="P1225" s="28" t="str">
        <f>IFERROR(VLOOKUP(F1225,Back!C:E,3,0),"")</f>
        <v>IPS Pto De Vista Rionegro</v>
      </c>
      <c r="Q1225" s="28" t="str">
        <f>IFERROR(VLOOKUP(P1225,Back!M:N,2,0),"")</f>
        <v>Antioquia</v>
      </c>
      <c r="R1225" s="27" t="str">
        <f>IF(N1225="Si",IFERROR(VLOOKUP(F1225,'TD Cumpl'!B:AB,27,0),"No Aplica"),"No Aplica")</f>
        <v>Cumple</v>
      </c>
      <c r="S1225" s="38">
        <v>40</v>
      </c>
      <c r="T1225" s="36">
        <v>4699998</v>
      </c>
      <c r="U1225" s="26">
        <v>90</v>
      </c>
      <c r="V1225" s="37">
        <v>11425056</v>
      </c>
      <c r="W1225" s="19">
        <v>52</v>
      </c>
      <c r="X1225" s="37">
        <v>4477522</v>
      </c>
      <c r="Y1225" s="46">
        <f t="shared" si="40"/>
        <v>3517223</v>
      </c>
      <c r="Z1225" s="19" t="s">
        <v>319</v>
      </c>
    </row>
    <row r="1226" spans="1:26" x14ac:dyDescent="0.25">
      <c r="A1226" s="20">
        <f>+VLOOKUP(D1226,Back!Q:R,2,0)</f>
        <v>3</v>
      </c>
      <c r="B1226" s="20" t="str">
        <f t="shared" si="39"/>
        <v>2018 MAR</v>
      </c>
      <c r="C1226" s="30">
        <v>2018</v>
      </c>
      <c r="D1226" s="30" t="s">
        <v>139</v>
      </c>
      <c r="E1226" s="30" t="s">
        <v>37</v>
      </c>
      <c r="F1226" s="30">
        <v>1036779770</v>
      </c>
      <c r="G1226" s="30" t="s">
        <v>52</v>
      </c>
      <c r="H1226" s="32">
        <v>46692080</v>
      </c>
      <c r="I1226" s="32">
        <v>2180400</v>
      </c>
      <c r="J1226" s="32">
        <v>9246312</v>
      </c>
      <c r="K1226" s="33">
        <v>35265368</v>
      </c>
      <c r="L1226" s="33">
        <v>34999992</v>
      </c>
      <c r="M1226" s="34">
        <v>1.0075821731616397</v>
      </c>
      <c r="N1226" s="209" t="str">
        <f>IFERROR(VLOOKUP(F1226,Back!C:F,4,0),"NO")</f>
        <v>No</v>
      </c>
      <c r="O1226" s="26">
        <v>24</v>
      </c>
      <c r="P1226" s="28" t="str">
        <f>IFERROR(VLOOKUP(F1226,Back!C:E,3,0),"")</f>
        <v>IPS Pto De Vista Rionegro</v>
      </c>
      <c r="Q1226" s="28" t="str">
        <f>IFERROR(VLOOKUP(P1226,Back!M:N,2,0),"")</f>
        <v>Antioquia</v>
      </c>
      <c r="R1226" s="27" t="str">
        <f>IF(N1226="Si",IFERROR(VLOOKUP(F1226,'TD Cumpl'!B:AB,27,0),"No Aplica"),"No Aplica")</f>
        <v>No Aplica</v>
      </c>
      <c r="S1226" s="38">
        <v>88</v>
      </c>
      <c r="T1226" s="36">
        <v>8908018</v>
      </c>
      <c r="U1226" s="26">
        <v>213</v>
      </c>
      <c r="V1226" s="37">
        <v>23227544</v>
      </c>
      <c r="W1226" s="19">
        <v>103</v>
      </c>
      <c r="X1226" s="37">
        <v>9246312</v>
      </c>
      <c r="Y1226" s="46">
        <f t="shared" si="40"/>
        <v>5310206</v>
      </c>
    </row>
    <row r="1227" spans="1:26" x14ac:dyDescent="0.25">
      <c r="A1227" s="20">
        <f>+VLOOKUP(D1227,Back!Q:R,2,0)</f>
        <v>3</v>
      </c>
      <c r="B1227" s="20" t="str">
        <f t="shared" si="39"/>
        <v>2018 MAR</v>
      </c>
      <c r="C1227" s="30">
        <v>2018</v>
      </c>
      <c r="D1227" s="30" t="s">
        <v>139</v>
      </c>
      <c r="E1227" s="30" t="s">
        <v>24</v>
      </c>
      <c r="F1227" s="30">
        <v>39448823</v>
      </c>
      <c r="G1227" s="30" t="s">
        <v>48</v>
      </c>
      <c r="H1227" s="32">
        <v>58167235</v>
      </c>
      <c r="I1227" s="32">
        <v>1944400</v>
      </c>
      <c r="J1227" s="32">
        <v>10412305</v>
      </c>
      <c r="K1227" s="33">
        <v>45810530</v>
      </c>
      <c r="L1227" s="33">
        <v>34999992</v>
      </c>
      <c r="M1227" s="34">
        <v>1.3088725848851623</v>
      </c>
      <c r="N1227" s="209" t="str">
        <f>IFERROR(VLOOKUP(F1227,Back!C:F,4,0),"NO")</f>
        <v>Si</v>
      </c>
      <c r="O1227" s="26">
        <v>24</v>
      </c>
      <c r="P1227" s="28" t="str">
        <f>IFERROR(VLOOKUP(F1227,Back!C:E,3,0),"")</f>
        <v>IPS Pto De Vista Rionegro</v>
      </c>
      <c r="Q1227" s="28" t="str">
        <f>IFERROR(VLOOKUP(P1227,Back!M:N,2,0),"")</f>
        <v>Antioquia</v>
      </c>
      <c r="R1227" s="27" t="str">
        <f>IF(N1227="Si",IFERROR(VLOOKUP(F1227,'TD Cumpl'!B:AB,27,0),"No Aplica"),"No Aplica")</f>
        <v>Siempre Cumple</v>
      </c>
      <c r="S1227" s="38">
        <v>85</v>
      </c>
      <c r="T1227" s="36">
        <v>10808306</v>
      </c>
      <c r="U1227" s="26">
        <v>228</v>
      </c>
      <c r="V1227" s="37">
        <v>31240834</v>
      </c>
      <c r="W1227" s="19">
        <v>123</v>
      </c>
      <c r="X1227" s="37">
        <v>10412305</v>
      </c>
      <c r="Y1227" s="46">
        <f t="shared" si="40"/>
        <v>5705790</v>
      </c>
      <c r="Z1227" s="19" t="s">
        <v>318</v>
      </c>
    </row>
    <row r="1228" spans="1:26" x14ac:dyDescent="0.25">
      <c r="A1228" s="20">
        <f>+VLOOKUP(D1228,Back!Q:R,2,0)</f>
        <v>3</v>
      </c>
      <c r="B1228" s="20" t="str">
        <f t="shared" si="39"/>
        <v>2018 MAR</v>
      </c>
      <c r="C1228" s="30">
        <v>2018</v>
      </c>
      <c r="D1228" s="30" t="s">
        <v>139</v>
      </c>
      <c r="E1228" s="30" t="s">
        <v>11</v>
      </c>
      <c r="F1228" s="30">
        <v>43253531</v>
      </c>
      <c r="G1228" s="30" t="s">
        <v>39</v>
      </c>
      <c r="H1228" s="32">
        <v>52100929</v>
      </c>
      <c r="I1228" s="32">
        <v>1666200</v>
      </c>
      <c r="J1228" s="32">
        <v>9525996</v>
      </c>
      <c r="K1228" s="33">
        <v>40908733</v>
      </c>
      <c r="L1228" s="33">
        <v>34999992</v>
      </c>
      <c r="M1228" s="34">
        <v>1.1688212100162765</v>
      </c>
      <c r="N1228" s="209" t="str">
        <f>IFERROR(VLOOKUP(F1228,Back!C:F,4,0),"NO")</f>
        <v>Si</v>
      </c>
      <c r="O1228" s="26">
        <v>24</v>
      </c>
      <c r="P1228" s="28" t="str">
        <f>IFERROR(VLOOKUP(F1228,Back!C:E,3,0),"")</f>
        <v>IPS Punto de Vista Bello</v>
      </c>
      <c r="Q1228" s="28" t="str">
        <f>IFERROR(VLOOKUP(P1228,Back!M:N,2,0),"")</f>
        <v>Antioquia</v>
      </c>
      <c r="R1228" s="27" t="str">
        <f>IF(N1228="Si",IFERROR(VLOOKUP(F1228,'TD Cumpl'!B:AB,27,0),"No Aplica"),"No Aplica")</f>
        <v>Cumple</v>
      </c>
      <c r="S1228" s="38">
        <v>86</v>
      </c>
      <c r="T1228" s="36">
        <v>8152759</v>
      </c>
      <c r="U1228" s="26">
        <v>208</v>
      </c>
      <c r="V1228" s="37">
        <v>27650768</v>
      </c>
      <c r="W1228" s="19">
        <v>115</v>
      </c>
      <c r="X1228" s="37">
        <v>9525996</v>
      </c>
      <c r="Y1228" s="46">
        <f t="shared" si="40"/>
        <v>6771406</v>
      </c>
      <c r="Z1228" s="19" t="s">
        <v>318</v>
      </c>
    </row>
    <row r="1229" spans="1:26" x14ac:dyDescent="0.25">
      <c r="A1229" s="20">
        <f>+VLOOKUP(D1229,Back!Q:R,2,0)</f>
        <v>3</v>
      </c>
      <c r="B1229" s="20" t="str">
        <f t="shared" si="39"/>
        <v>2018 MAR</v>
      </c>
      <c r="C1229" s="30">
        <v>2018</v>
      </c>
      <c r="D1229" s="30" t="s">
        <v>139</v>
      </c>
      <c r="E1229" s="30" t="s">
        <v>121</v>
      </c>
      <c r="F1229" s="30">
        <v>21982241</v>
      </c>
      <c r="G1229" s="30" t="s">
        <v>143</v>
      </c>
      <c r="H1229" s="32">
        <v>48559797</v>
      </c>
      <c r="I1229" s="32">
        <v>1814000</v>
      </c>
      <c r="J1229" s="32">
        <v>10057037</v>
      </c>
      <c r="K1229" s="33">
        <v>36688760</v>
      </c>
      <c r="L1229" s="33">
        <v>34999992</v>
      </c>
      <c r="M1229" s="34">
        <v>1.0482505253144059</v>
      </c>
      <c r="N1229" s="209" t="str">
        <f>IFERROR(VLOOKUP(F1229,Back!C:F,4,0),"NO")</f>
        <v>Si</v>
      </c>
      <c r="O1229" s="26">
        <v>24</v>
      </c>
      <c r="P1229" s="28" t="str">
        <f>IFERROR(VLOOKUP(F1229,Back!C:E,3,0),"")</f>
        <v>IPS Punto de Vista Bello</v>
      </c>
      <c r="Q1229" s="28" t="str">
        <f>IFERROR(VLOOKUP(P1229,Back!M:N,2,0),"")</f>
        <v>Antioquia</v>
      </c>
      <c r="R1229" s="27" t="str">
        <f>IF(N1229="Si",IFERROR(VLOOKUP(F1229,'TD Cumpl'!B:AB,27,0),"No Aplica"),"No Aplica")</f>
        <v>Fluctúa</v>
      </c>
      <c r="S1229" s="38">
        <v>76</v>
      </c>
      <c r="T1229" s="36">
        <v>7372554</v>
      </c>
      <c r="U1229" s="26">
        <v>212</v>
      </c>
      <c r="V1229" s="37">
        <v>24952512</v>
      </c>
      <c r="W1229" s="19">
        <v>110</v>
      </c>
      <c r="X1229" s="37">
        <v>10057037</v>
      </c>
      <c r="Y1229" s="46">
        <f t="shared" si="40"/>
        <v>6177694</v>
      </c>
      <c r="Z1229" s="19" t="s">
        <v>318</v>
      </c>
    </row>
    <row r="1230" spans="1:26" x14ac:dyDescent="0.25">
      <c r="A1230" s="20">
        <f>+VLOOKUP(D1230,Back!Q:R,2,0)</f>
        <v>3</v>
      </c>
      <c r="B1230" s="20" t="str">
        <f t="shared" si="39"/>
        <v>2018 MAR</v>
      </c>
      <c r="C1230" s="30">
        <v>2018</v>
      </c>
      <c r="D1230" s="30" t="s">
        <v>139</v>
      </c>
      <c r="E1230" s="30" t="s">
        <v>9</v>
      </c>
      <c r="F1230" s="30">
        <v>43169964</v>
      </c>
      <c r="G1230" s="30" t="s">
        <v>155</v>
      </c>
      <c r="H1230" s="32">
        <v>60699745</v>
      </c>
      <c r="I1230" s="32">
        <v>1334000</v>
      </c>
      <c r="J1230" s="32">
        <v>14141762</v>
      </c>
      <c r="K1230" s="33">
        <v>45223983</v>
      </c>
      <c r="L1230" s="33">
        <v>43999992</v>
      </c>
      <c r="M1230" s="34">
        <v>1.0278179823305422</v>
      </c>
      <c r="N1230" s="209" t="str">
        <f>IFERROR(VLOOKUP(F1230,Back!C:F,4,0),"NO")</f>
        <v>Si</v>
      </c>
      <c r="O1230" s="26">
        <v>24</v>
      </c>
      <c r="P1230" s="28" t="str">
        <f>IFERROR(VLOOKUP(F1230,Back!C:E,3,0),"")</f>
        <v>IPS Pto De Vista Molinos</v>
      </c>
      <c r="Q1230" s="28" t="str">
        <f>IFERROR(VLOOKUP(P1230,Back!M:N,2,0),"")</f>
        <v>Antioquia</v>
      </c>
      <c r="R1230" s="27" t="str">
        <f>IF(N1230="Si",IFERROR(VLOOKUP(F1230,'TD Cumpl'!B:AB,27,0),"No Aplica"),"No Aplica")</f>
        <v>Cumple</v>
      </c>
      <c r="S1230" s="38">
        <v>108</v>
      </c>
      <c r="T1230" s="36">
        <v>11395637</v>
      </c>
      <c r="U1230" s="26">
        <v>265</v>
      </c>
      <c r="V1230" s="37">
        <v>28367081</v>
      </c>
      <c r="W1230" s="19">
        <v>161</v>
      </c>
      <c r="X1230" s="37">
        <v>14141762</v>
      </c>
      <c r="Y1230" s="46">
        <f t="shared" si="40"/>
        <v>6795265</v>
      </c>
      <c r="Z1230" s="19" t="s">
        <v>318</v>
      </c>
    </row>
    <row r="1231" spans="1:26" x14ac:dyDescent="0.25">
      <c r="A1231" s="20">
        <f>+VLOOKUP(D1231,Back!Q:R,2,0)</f>
        <v>3</v>
      </c>
      <c r="B1231" s="20" t="str">
        <f t="shared" si="39"/>
        <v>2018 MAR</v>
      </c>
      <c r="C1231" s="30">
        <v>2018</v>
      </c>
      <c r="D1231" s="30" t="s">
        <v>139</v>
      </c>
      <c r="E1231" s="30" t="s">
        <v>21</v>
      </c>
      <c r="F1231" s="30">
        <v>1035417626</v>
      </c>
      <c r="G1231" s="30" t="s">
        <v>80</v>
      </c>
      <c r="H1231" s="32">
        <v>69620812</v>
      </c>
      <c r="I1231" s="32">
        <v>632000</v>
      </c>
      <c r="J1231" s="32">
        <v>14432588</v>
      </c>
      <c r="K1231" s="33">
        <v>54556224</v>
      </c>
      <c r="L1231" s="33">
        <v>43999992</v>
      </c>
      <c r="M1231" s="34">
        <v>1.2399144072571651</v>
      </c>
      <c r="N1231" s="209" t="str">
        <f>IFERROR(VLOOKUP(F1231,Back!C:F,4,0),"NO")</f>
        <v>Si</v>
      </c>
      <c r="O1231" s="26">
        <v>24</v>
      </c>
      <c r="P1231" s="28" t="str">
        <f>IFERROR(VLOOKUP(F1231,Back!C:E,3,0),"")</f>
        <v>IPS Pto De Vista Unicentro</v>
      </c>
      <c r="Q1231" s="28" t="str">
        <f>IFERROR(VLOOKUP(P1231,Back!M:N,2,0),"")</f>
        <v>Antioquia</v>
      </c>
      <c r="R1231" s="27" t="str">
        <f>IF(N1231="Si",IFERROR(VLOOKUP(F1231,'TD Cumpl'!B:AB,27,0),"No Aplica"),"No Aplica")</f>
        <v>Cumple</v>
      </c>
      <c r="S1231" s="38">
        <v>118</v>
      </c>
      <c r="T1231" s="36">
        <v>13284165</v>
      </c>
      <c r="U1231" s="26">
        <v>298</v>
      </c>
      <c r="V1231" s="37">
        <v>35119421</v>
      </c>
      <c r="W1231" s="19">
        <v>156</v>
      </c>
      <c r="X1231" s="37">
        <v>14432588</v>
      </c>
      <c r="Y1231" s="46">
        <f t="shared" si="40"/>
        <v>6784638</v>
      </c>
      <c r="Z1231" s="19" t="s">
        <v>318</v>
      </c>
    </row>
    <row r="1232" spans="1:26" x14ac:dyDescent="0.25">
      <c r="A1232" s="20">
        <f>+VLOOKUP(D1232,Back!Q:R,2,0)</f>
        <v>3</v>
      </c>
      <c r="B1232" s="20" t="str">
        <f t="shared" si="39"/>
        <v>2018 MAR</v>
      </c>
      <c r="C1232" s="30">
        <v>2018</v>
      </c>
      <c r="D1232" s="30" t="s">
        <v>139</v>
      </c>
      <c r="E1232" s="30" t="s">
        <v>20</v>
      </c>
      <c r="F1232" s="30">
        <v>1017141451</v>
      </c>
      <c r="G1232" s="30" t="s">
        <v>44</v>
      </c>
      <c r="H1232" s="31">
        <v>60854521</v>
      </c>
      <c r="I1232" s="32">
        <v>2130000</v>
      </c>
      <c r="J1232" s="32">
        <v>12774837</v>
      </c>
      <c r="K1232" s="33">
        <v>45949684</v>
      </c>
      <c r="L1232" s="33">
        <v>43999992</v>
      </c>
      <c r="M1232" s="34">
        <v>1.0443111898747619</v>
      </c>
      <c r="N1232" s="209" t="str">
        <f>IFERROR(VLOOKUP(F1232,Back!C:F,4,0),"NO")</f>
        <v>Si</v>
      </c>
      <c r="O1232" s="26">
        <v>24</v>
      </c>
      <c r="P1232" s="28" t="str">
        <f>IFERROR(VLOOKUP(F1232,Back!C:E,3,0),"")</f>
        <v>IPS Pto De Vista Molinos</v>
      </c>
      <c r="Q1232" s="28" t="str">
        <f>IFERROR(VLOOKUP(P1232,Back!M:N,2,0),"")</f>
        <v>Antioquia</v>
      </c>
      <c r="R1232" s="27" t="str">
        <f>IF(N1232="Si",IFERROR(VLOOKUP(F1232,'TD Cumpl'!B:AB,27,0),"No Aplica"),"No Aplica")</f>
        <v>Siempre Cumple</v>
      </c>
      <c r="S1232" s="38">
        <v>83</v>
      </c>
      <c r="T1232" s="36">
        <v>9627282</v>
      </c>
      <c r="U1232" s="26">
        <v>246</v>
      </c>
      <c r="V1232" s="37">
        <v>30614892</v>
      </c>
      <c r="W1232" s="19">
        <v>134</v>
      </c>
      <c r="X1232" s="37">
        <v>12774837</v>
      </c>
      <c r="Y1232" s="46">
        <f t="shared" si="40"/>
        <v>7837510</v>
      </c>
      <c r="Z1232" s="19" t="s">
        <v>318</v>
      </c>
    </row>
    <row r="1233" spans="1:26" x14ac:dyDescent="0.25">
      <c r="A1233" s="20">
        <f>+VLOOKUP(D1233,Back!Q:R,2,0)</f>
        <v>3</v>
      </c>
      <c r="B1233" s="20" t="str">
        <f t="shared" si="39"/>
        <v>2018 MAR</v>
      </c>
      <c r="C1233" s="30">
        <v>2018</v>
      </c>
      <c r="D1233" s="30" t="s">
        <v>139</v>
      </c>
      <c r="E1233" s="30" t="s">
        <v>181</v>
      </c>
      <c r="F1233" s="30">
        <v>32183069</v>
      </c>
      <c r="G1233" s="30" t="s">
        <v>182</v>
      </c>
      <c r="H1233" s="32">
        <v>46687799</v>
      </c>
      <c r="I1233" s="32">
        <v>440000</v>
      </c>
      <c r="J1233" s="32">
        <v>10865850</v>
      </c>
      <c r="K1233" s="33">
        <v>35381949</v>
      </c>
      <c r="L1233" s="33">
        <v>42541663</v>
      </c>
      <c r="M1233" s="34">
        <v>0.83170112555308429</v>
      </c>
      <c r="N1233" s="209" t="str">
        <f>IFERROR(VLOOKUP(F1233,Back!C:F,4,0),"NO")</f>
        <v>Si</v>
      </c>
      <c r="O1233" s="26">
        <v>24</v>
      </c>
      <c r="P1233" s="28" t="str">
        <f>IFERROR(VLOOKUP(F1233,Back!C:E,3,0),"")</f>
        <v>IPS Pto De Vista Molinos</v>
      </c>
      <c r="Q1233" s="28" t="str">
        <f>IFERROR(VLOOKUP(P1233,Back!M:N,2,0),"")</f>
        <v>Antioquia</v>
      </c>
      <c r="R1233" s="27" t="str">
        <f>IF(N1233="Si",IFERROR(VLOOKUP(F1233,'TD Cumpl'!B:AB,27,0),"No Aplica"),"No Aplica")</f>
        <v>No Cumple</v>
      </c>
      <c r="S1233" s="38">
        <v>79</v>
      </c>
      <c r="T1233" s="36">
        <v>7876965</v>
      </c>
      <c r="U1233" s="26">
        <v>216</v>
      </c>
      <c r="V1233" s="37">
        <v>24368198</v>
      </c>
      <c r="W1233" s="19">
        <v>114</v>
      </c>
      <c r="X1233" s="37">
        <v>10865850</v>
      </c>
      <c r="Y1233" s="46">
        <f t="shared" si="40"/>
        <v>3576786</v>
      </c>
      <c r="Z1233" s="19" t="s">
        <v>318</v>
      </c>
    </row>
    <row r="1234" spans="1:26" x14ac:dyDescent="0.25">
      <c r="A1234" s="20">
        <f>+VLOOKUP(D1234,Back!Q:R,2,0)</f>
        <v>3</v>
      </c>
      <c r="B1234" s="20" t="str">
        <f t="shared" si="39"/>
        <v>2018 MAR</v>
      </c>
      <c r="C1234" s="30">
        <v>2018</v>
      </c>
      <c r="D1234" s="30" t="s">
        <v>139</v>
      </c>
      <c r="E1234" s="30" t="s">
        <v>235</v>
      </c>
      <c r="F1234" s="30">
        <v>39275090</v>
      </c>
      <c r="G1234" s="30" t="s">
        <v>236</v>
      </c>
      <c r="H1234" s="31">
        <v>55699502</v>
      </c>
      <c r="I1234" s="32">
        <v>0</v>
      </c>
      <c r="J1234" s="32">
        <v>9075740</v>
      </c>
      <c r="K1234" s="33">
        <v>46623762</v>
      </c>
      <c r="L1234" s="33">
        <v>39999996</v>
      </c>
      <c r="M1234" s="34">
        <v>1.1655941665594167</v>
      </c>
      <c r="N1234" s="209" t="str">
        <f>IFERROR(VLOOKUP(F1234,Back!C:F,4,0),"NO")</f>
        <v>Si</v>
      </c>
      <c r="O1234" s="26">
        <v>24</v>
      </c>
      <c r="P1234" s="28" t="str">
        <f>IFERROR(VLOOKUP(F1234,Back!C:E,3,0),"")</f>
        <v>IPS Pto De Vista San Diego</v>
      </c>
      <c r="Q1234" s="28" t="str">
        <f>IFERROR(VLOOKUP(P1234,Back!M:N,2,0),"")</f>
        <v>Antioquia</v>
      </c>
      <c r="R1234" s="27" t="str">
        <f>IF(N1234="Si",IFERROR(VLOOKUP(F1234,'TD Cumpl'!B:AB,27,0),"No Aplica"),"No Aplica")</f>
        <v>Siempre Cumple</v>
      </c>
      <c r="S1234" s="38">
        <v>88</v>
      </c>
      <c r="T1234" s="36">
        <v>11481196</v>
      </c>
      <c r="U1234" s="26">
        <v>192</v>
      </c>
      <c r="V1234" s="37">
        <v>30513272</v>
      </c>
      <c r="W1234" s="19">
        <v>105</v>
      </c>
      <c r="X1234" s="37">
        <v>9075740</v>
      </c>
      <c r="Y1234" s="46">
        <f t="shared" si="40"/>
        <v>4629294</v>
      </c>
      <c r="Z1234" s="19" t="s">
        <v>318</v>
      </c>
    </row>
    <row r="1235" spans="1:26" x14ac:dyDescent="0.25">
      <c r="A1235" s="20">
        <f>+VLOOKUP(D1235,Back!Q:R,2,0)</f>
        <v>3</v>
      </c>
      <c r="B1235" s="20" t="str">
        <f t="shared" si="39"/>
        <v>2018 MAR</v>
      </c>
      <c r="C1235" s="30">
        <v>2018</v>
      </c>
      <c r="D1235" s="30" t="s">
        <v>139</v>
      </c>
      <c r="E1235" s="30" t="s">
        <v>103</v>
      </c>
      <c r="F1235" s="30">
        <v>1020409789</v>
      </c>
      <c r="G1235" s="30" t="s">
        <v>145</v>
      </c>
      <c r="H1235" s="32">
        <v>68879988</v>
      </c>
      <c r="I1235" s="32">
        <v>1259000</v>
      </c>
      <c r="J1235" s="32">
        <v>12791422</v>
      </c>
      <c r="K1235" s="33">
        <v>54829566</v>
      </c>
      <c r="L1235" s="33">
        <v>43999992</v>
      </c>
      <c r="M1235" s="34">
        <v>1.2461267265684957</v>
      </c>
      <c r="N1235" s="209" t="str">
        <f>IFERROR(VLOOKUP(F1235,Back!C:F,4,0),"NO")</f>
        <v>Si</v>
      </c>
      <c r="O1235" s="26">
        <v>24</v>
      </c>
      <c r="P1235" s="28" t="str">
        <f>IFERROR(VLOOKUP(F1235,Back!C:E,3,0),"")</f>
        <v>IPS Pto De Vista Molinos</v>
      </c>
      <c r="Q1235" s="28" t="str">
        <f>IFERROR(VLOOKUP(P1235,Back!M:N,2,0),"")</f>
        <v>Antioquia</v>
      </c>
      <c r="R1235" s="27" t="str">
        <f>IF(N1235="Si",IFERROR(VLOOKUP(F1235,'TD Cumpl'!B:AB,27,0),"No Aplica"),"No Aplica")</f>
        <v>Cumple</v>
      </c>
      <c r="S1235" s="38">
        <v>117</v>
      </c>
      <c r="T1235" s="36">
        <v>14538557</v>
      </c>
      <c r="U1235" s="26">
        <v>294</v>
      </c>
      <c r="V1235" s="37">
        <v>32838724</v>
      </c>
      <c r="W1235" s="19">
        <v>152</v>
      </c>
      <c r="X1235" s="37">
        <v>12791422</v>
      </c>
      <c r="Y1235" s="46">
        <f t="shared" si="40"/>
        <v>8711285</v>
      </c>
      <c r="Z1235" s="19" t="s">
        <v>318</v>
      </c>
    </row>
    <row r="1236" spans="1:26" x14ac:dyDescent="0.25">
      <c r="A1236" s="20">
        <f>+VLOOKUP(D1236,Back!Q:R,2,0)</f>
        <v>3</v>
      </c>
      <c r="B1236" s="20" t="str">
        <f t="shared" si="39"/>
        <v>2018 MAR</v>
      </c>
      <c r="C1236" s="30">
        <v>2018</v>
      </c>
      <c r="D1236" s="30" t="s">
        <v>139</v>
      </c>
      <c r="E1236" s="30" t="s">
        <v>8</v>
      </c>
      <c r="F1236" s="30">
        <v>43259130</v>
      </c>
      <c r="G1236" s="30" t="s">
        <v>51</v>
      </c>
      <c r="H1236" s="32">
        <v>53785068</v>
      </c>
      <c r="I1236" s="32">
        <v>2464000</v>
      </c>
      <c r="J1236" s="32">
        <v>10860500</v>
      </c>
      <c r="K1236" s="33">
        <v>40460568</v>
      </c>
      <c r="L1236" s="33">
        <v>40333326</v>
      </c>
      <c r="M1236" s="34">
        <v>1.0031547609041713</v>
      </c>
      <c r="N1236" s="209" t="str">
        <f>IFERROR(VLOOKUP(F1236,Back!C:F,4,0),"NO")</f>
        <v>Si</v>
      </c>
      <c r="O1236" s="26">
        <v>24</v>
      </c>
      <c r="P1236" s="28" t="str">
        <f>IFERROR(VLOOKUP(F1236,Back!C:E,3,0),"")</f>
        <v>IPS Pto De Vista Molinos</v>
      </c>
      <c r="Q1236" s="28" t="str">
        <f>IFERROR(VLOOKUP(P1236,Back!M:N,2,0),"")</f>
        <v>Antioquia</v>
      </c>
      <c r="R1236" s="27" t="str">
        <f>IF(N1236="Si",IFERROR(VLOOKUP(F1236,'TD Cumpl'!B:AB,27,0),"No Aplica"),"No Aplica")</f>
        <v>Fluctúa</v>
      </c>
      <c r="S1236" s="38">
        <v>81</v>
      </c>
      <c r="T1236" s="36">
        <v>8790522</v>
      </c>
      <c r="U1236" s="26">
        <v>230</v>
      </c>
      <c r="V1236" s="37">
        <v>28192946</v>
      </c>
      <c r="W1236" s="19">
        <v>118</v>
      </c>
      <c r="X1236" s="37">
        <v>10860500</v>
      </c>
      <c r="Y1236" s="46">
        <f t="shared" si="40"/>
        <v>5941100</v>
      </c>
      <c r="Z1236" s="19" t="s">
        <v>318</v>
      </c>
    </row>
    <row r="1237" spans="1:26" x14ac:dyDescent="0.25">
      <c r="A1237" s="20">
        <f>+VLOOKUP(D1237,Back!Q:R,2,0)</f>
        <v>3</v>
      </c>
      <c r="B1237" s="20" t="str">
        <f t="shared" si="39"/>
        <v>2018 MAR</v>
      </c>
      <c r="C1237" s="30">
        <v>2018</v>
      </c>
      <c r="D1237" s="30" t="s">
        <v>139</v>
      </c>
      <c r="E1237" s="30" t="s">
        <v>184</v>
      </c>
      <c r="F1237" s="30">
        <v>43906785</v>
      </c>
      <c r="G1237" s="30" t="s">
        <v>188</v>
      </c>
      <c r="H1237" s="32">
        <v>35333089</v>
      </c>
      <c r="I1237" s="32">
        <v>1917200</v>
      </c>
      <c r="J1237" s="32">
        <v>7986801</v>
      </c>
      <c r="K1237" s="33">
        <v>25429088</v>
      </c>
      <c r="L1237" s="33">
        <v>42000000</v>
      </c>
      <c r="M1237" s="34">
        <v>0.60545447619047621</v>
      </c>
      <c r="N1237" s="209" t="str">
        <f>IFERROR(VLOOKUP(F1237,Back!C:F,4,0),"NO")</f>
        <v>NO</v>
      </c>
      <c r="O1237" s="26">
        <v>24</v>
      </c>
      <c r="P1237" s="28" t="str">
        <f>IFERROR(VLOOKUP(F1237,Back!C:E,3,0),"")</f>
        <v/>
      </c>
      <c r="Q1237" s="28" t="str">
        <f>IFERROR(VLOOKUP(P1237,Back!M:N,2,0),"")</f>
        <v/>
      </c>
      <c r="R1237" s="27" t="str">
        <f>IF(N1237="Si",IFERROR(VLOOKUP(F1237,'TD Cumpl'!B:AB,27,0),"No Aplica"),"No Aplica")</f>
        <v>No Aplica</v>
      </c>
      <c r="S1237" s="38">
        <v>64</v>
      </c>
      <c r="T1237" s="36">
        <v>6072527</v>
      </c>
      <c r="U1237" s="26">
        <v>140</v>
      </c>
      <c r="V1237" s="37">
        <v>16212801</v>
      </c>
      <c r="W1237" s="19">
        <v>84</v>
      </c>
      <c r="X1237" s="37">
        <v>7986801</v>
      </c>
      <c r="Y1237" s="46">
        <f t="shared" si="40"/>
        <v>5060960</v>
      </c>
    </row>
    <row r="1238" spans="1:26" x14ac:dyDescent="0.25">
      <c r="A1238" s="20">
        <f>+VLOOKUP(D1238,Back!Q:R,2,0)</f>
        <v>3</v>
      </c>
      <c r="B1238" s="20" t="str">
        <f t="shared" si="39"/>
        <v>2018 MAR</v>
      </c>
      <c r="C1238" s="30">
        <v>2018</v>
      </c>
      <c r="D1238" s="30" t="s">
        <v>139</v>
      </c>
      <c r="E1238" s="30" t="s">
        <v>56</v>
      </c>
      <c r="F1238" s="30">
        <v>43971430</v>
      </c>
      <c r="G1238" s="30" t="s">
        <v>142</v>
      </c>
      <c r="H1238" s="32">
        <v>11258231</v>
      </c>
      <c r="I1238" s="32">
        <v>426000</v>
      </c>
      <c r="J1238" s="32">
        <v>2801795</v>
      </c>
      <c r="K1238" s="33">
        <v>8030436</v>
      </c>
      <c r="L1238" s="33">
        <v>10500000</v>
      </c>
      <c r="M1238" s="34">
        <v>0.76480342857142858</v>
      </c>
      <c r="N1238" s="209" t="str">
        <f>IFERROR(VLOOKUP(F1238,Back!C:F,4,0),"NO")</f>
        <v>Si</v>
      </c>
      <c r="O1238" s="26">
        <v>24</v>
      </c>
      <c r="P1238" s="28" t="str">
        <f>IFERROR(VLOOKUP(F1238,Back!C:E,3,0),"")</f>
        <v>IPS Pto De Vista Centro</v>
      </c>
      <c r="Q1238" s="28" t="str">
        <f>IFERROR(VLOOKUP(P1238,Back!M:N,2,0),"")</f>
        <v>Antioquia</v>
      </c>
      <c r="R1238" s="27" t="str">
        <f>IF(N1238="Si",IFERROR(VLOOKUP(F1238,'TD Cumpl'!B:AB,27,0),"No Aplica"),"No Aplica")</f>
        <v>Siempre Cumple</v>
      </c>
      <c r="S1238" s="38">
        <v>25</v>
      </c>
      <c r="T1238" s="36">
        <v>1717535</v>
      </c>
      <c r="U1238" s="26">
        <v>54</v>
      </c>
      <c r="V1238" s="37">
        <v>4659580</v>
      </c>
      <c r="W1238" s="19">
        <v>31</v>
      </c>
      <c r="X1238" s="37">
        <v>2801795</v>
      </c>
      <c r="Y1238" s="46">
        <f t="shared" si="40"/>
        <v>2079321</v>
      </c>
      <c r="Z1238" s="19" t="s">
        <v>317</v>
      </c>
    </row>
    <row r="1239" spans="1:26" x14ac:dyDescent="0.25">
      <c r="A1239" s="20">
        <f>+VLOOKUP(D1239,Back!Q:R,2,0)</f>
        <v>3</v>
      </c>
      <c r="B1239" s="20" t="str">
        <f t="shared" si="39"/>
        <v>2018 MAR</v>
      </c>
      <c r="C1239" s="30">
        <v>2018</v>
      </c>
      <c r="D1239" s="30" t="s">
        <v>139</v>
      </c>
      <c r="E1239" s="30" t="s">
        <v>108</v>
      </c>
      <c r="F1239" s="30">
        <v>1020443426</v>
      </c>
      <c r="G1239" s="30" t="s">
        <v>109</v>
      </c>
      <c r="H1239" s="32">
        <v>35262854</v>
      </c>
      <c r="I1239" s="32">
        <v>852000</v>
      </c>
      <c r="J1239" s="32">
        <v>12414033</v>
      </c>
      <c r="K1239" s="33">
        <v>21996821</v>
      </c>
      <c r="L1239" s="33">
        <v>42000000</v>
      </c>
      <c r="M1239" s="34">
        <v>0.52373383333333334</v>
      </c>
      <c r="N1239" s="209" t="str">
        <f>IFERROR(VLOOKUP(F1239,Back!C:F,4,0),"NO")</f>
        <v>Si</v>
      </c>
      <c r="O1239" s="26">
        <v>24</v>
      </c>
      <c r="P1239" s="28" t="str">
        <f>IFERROR(VLOOKUP(F1239,Back!C:E,3,0),"")</f>
        <v>IPS Pto De Vista San Diego</v>
      </c>
      <c r="Q1239" s="28" t="str">
        <f>IFERROR(VLOOKUP(P1239,Back!M:N,2,0),"")</f>
        <v>Antioquia</v>
      </c>
      <c r="R1239" s="27" t="str">
        <f>IF(N1239="Si",IFERROR(VLOOKUP(F1239,'TD Cumpl'!B:AB,27,0),"No Aplica"),"No Aplica")</f>
        <v>Fluctúa</v>
      </c>
      <c r="S1239" s="38">
        <v>60</v>
      </c>
      <c r="T1239" s="36">
        <v>4954336</v>
      </c>
      <c r="U1239" s="26">
        <v>150</v>
      </c>
      <c r="V1239" s="37">
        <v>15453263</v>
      </c>
      <c r="W1239" s="19">
        <v>142</v>
      </c>
      <c r="X1239" s="37">
        <v>12414033</v>
      </c>
      <c r="Y1239" s="46">
        <f t="shared" si="40"/>
        <v>2441222</v>
      </c>
      <c r="Z1239" s="19" t="s">
        <v>318</v>
      </c>
    </row>
    <row r="1240" spans="1:26" x14ac:dyDescent="0.25">
      <c r="A1240" s="20">
        <f>+VLOOKUP(D1240,Back!Q:R,2,0)</f>
        <v>3</v>
      </c>
      <c r="B1240" s="20" t="str">
        <f t="shared" si="39"/>
        <v>2018 MAR</v>
      </c>
      <c r="C1240" s="30">
        <v>2018</v>
      </c>
      <c r="D1240" s="30" t="s">
        <v>139</v>
      </c>
      <c r="E1240" s="30" t="s">
        <v>34</v>
      </c>
      <c r="F1240" s="30">
        <v>43554403</v>
      </c>
      <c r="G1240" s="30" t="s">
        <v>35</v>
      </c>
      <c r="H1240" s="32">
        <v>66132914</v>
      </c>
      <c r="I1240" s="32">
        <v>1068000</v>
      </c>
      <c r="J1240" s="32">
        <v>15393341</v>
      </c>
      <c r="K1240" s="33">
        <v>49671573</v>
      </c>
      <c r="L1240" s="33">
        <v>42000000</v>
      </c>
      <c r="M1240" s="34">
        <v>1.1826565</v>
      </c>
      <c r="N1240" s="209" t="str">
        <f>IFERROR(VLOOKUP(F1240,Back!C:F,4,0),"NO")</f>
        <v>Si</v>
      </c>
      <c r="O1240" s="26">
        <v>24</v>
      </c>
      <c r="P1240" s="28" t="str">
        <f>IFERROR(VLOOKUP(F1240,Back!C:E,3,0),"")</f>
        <v>IPS Pto De Vista Centro</v>
      </c>
      <c r="Q1240" s="28" t="str">
        <f>IFERROR(VLOOKUP(P1240,Back!M:N,2,0),"")</f>
        <v>Antioquia</v>
      </c>
      <c r="R1240" s="27" t="str">
        <f>IF(N1240="Si",IFERROR(VLOOKUP(F1240,'TD Cumpl'!B:AB,27,0),"No Aplica"),"No Aplica")</f>
        <v>Siempre Cumple</v>
      </c>
      <c r="S1240" s="38">
        <v>112</v>
      </c>
      <c r="T1240" s="36">
        <v>12122331</v>
      </c>
      <c r="U1240" s="26">
        <v>266</v>
      </c>
      <c r="V1240" s="37">
        <v>32581015</v>
      </c>
      <c r="W1240" s="19">
        <v>156</v>
      </c>
      <c r="X1240" s="37">
        <v>15393341</v>
      </c>
      <c r="Y1240" s="46">
        <f t="shared" si="40"/>
        <v>6036227</v>
      </c>
      <c r="Z1240" s="19" t="s">
        <v>318</v>
      </c>
    </row>
    <row r="1241" spans="1:26" x14ac:dyDescent="0.25">
      <c r="A1241" s="20">
        <f>+VLOOKUP(D1241,Back!Q:R,2,0)</f>
        <v>3</v>
      </c>
      <c r="B1241" s="20" t="str">
        <f t="shared" si="39"/>
        <v>2018 MAR</v>
      </c>
      <c r="C1241" s="30">
        <v>2018</v>
      </c>
      <c r="D1241" s="30" t="s">
        <v>139</v>
      </c>
      <c r="E1241" s="30" t="s">
        <v>101</v>
      </c>
      <c r="F1241" s="30">
        <v>21428423</v>
      </c>
      <c r="G1241" s="30" t="s">
        <v>154</v>
      </c>
      <c r="H1241" s="32">
        <v>55340948</v>
      </c>
      <c r="I1241" s="32">
        <v>1283000</v>
      </c>
      <c r="J1241" s="32">
        <v>10517458</v>
      </c>
      <c r="K1241" s="33">
        <v>43540490</v>
      </c>
      <c r="L1241" s="33">
        <v>42000000</v>
      </c>
      <c r="M1241" s="34">
        <v>1.0366783333333334</v>
      </c>
      <c r="N1241" s="209" t="str">
        <f>IFERROR(VLOOKUP(F1241,Back!C:F,4,0),"NO")</f>
        <v>Si</v>
      </c>
      <c r="O1241" s="26">
        <v>24</v>
      </c>
      <c r="P1241" s="28" t="str">
        <f>IFERROR(VLOOKUP(F1241,Back!C:E,3,0),"")</f>
        <v>IPS Pto De Vista Centro</v>
      </c>
      <c r="Q1241" s="28" t="str">
        <f>IFERROR(VLOOKUP(P1241,Back!M:N,2,0),"")</f>
        <v>Antioquia</v>
      </c>
      <c r="R1241" s="27" t="str">
        <f>IF(N1241="Si",IFERROR(VLOOKUP(F1241,'TD Cumpl'!B:AB,27,0),"No Aplica"),"No Aplica")</f>
        <v>Fluctúa</v>
      </c>
      <c r="S1241" s="38">
        <v>120</v>
      </c>
      <c r="T1241" s="36">
        <v>10529119</v>
      </c>
      <c r="U1241" s="26">
        <v>264</v>
      </c>
      <c r="V1241" s="37">
        <v>29388753</v>
      </c>
      <c r="W1241" s="19">
        <v>117</v>
      </c>
      <c r="X1241" s="37">
        <v>10517458</v>
      </c>
      <c r="Y1241" s="46">
        <f t="shared" si="40"/>
        <v>4905618</v>
      </c>
      <c r="Z1241" s="19" t="s">
        <v>318</v>
      </c>
    </row>
    <row r="1242" spans="1:26" x14ac:dyDescent="0.25">
      <c r="A1242" s="20">
        <f>+VLOOKUP(D1242,Back!Q:R,2,0)</f>
        <v>3</v>
      </c>
      <c r="B1242" s="20" t="str">
        <f t="shared" si="39"/>
        <v>2018 MAR</v>
      </c>
      <c r="C1242" s="30">
        <v>2018</v>
      </c>
      <c r="D1242" s="30" t="s">
        <v>139</v>
      </c>
      <c r="E1242" s="30" t="s">
        <v>13</v>
      </c>
      <c r="F1242" s="30">
        <v>43866877</v>
      </c>
      <c r="G1242" s="30" t="s">
        <v>46</v>
      </c>
      <c r="H1242" s="32">
        <v>53969563</v>
      </c>
      <c r="I1242" s="32">
        <v>1554000</v>
      </c>
      <c r="J1242" s="32">
        <v>12605670</v>
      </c>
      <c r="K1242" s="33">
        <v>39809893</v>
      </c>
      <c r="L1242" s="33">
        <v>26250000</v>
      </c>
      <c r="M1242" s="34">
        <v>1.5165673523809524</v>
      </c>
      <c r="N1242" s="209" t="str">
        <f>IFERROR(VLOOKUP(F1242,Back!C:F,4,0),"NO")</f>
        <v>Si</v>
      </c>
      <c r="O1242" s="26">
        <v>24</v>
      </c>
      <c r="P1242" s="28" t="str">
        <f>IFERROR(VLOOKUP(F1242,Back!C:E,3,0),"")</f>
        <v>IPS Pto De Vista Centro</v>
      </c>
      <c r="Q1242" s="28" t="str">
        <f>IFERROR(VLOOKUP(P1242,Back!M:N,2,0),"")</f>
        <v>Antioquia</v>
      </c>
      <c r="R1242" s="27" t="str">
        <f>IF(N1242="Si",IFERROR(VLOOKUP(F1242,'TD Cumpl'!B:AB,27,0),"No Aplica"),"No Aplica")</f>
        <v>Siempre Cumple</v>
      </c>
      <c r="S1242" s="38">
        <v>93</v>
      </c>
      <c r="T1242" s="36">
        <v>9864935</v>
      </c>
      <c r="U1242" s="26">
        <v>216</v>
      </c>
      <c r="V1242" s="37">
        <v>24109847</v>
      </c>
      <c r="W1242" s="19">
        <v>129</v>
      </c>
      <c r="X1242" s="37">
        <v>12605670</v>
      </c>
      <c r="Y1242" s="46">
        <f t="shared" si="40"/>
        <v>7389111</v>
      </c>
      <c r="Z1242" s="19" t="s">
        <v>317</v>
      </c>
    </row>
    <row r="1243" spans="1:26" x14ac:dyDescent="0.25">
      <c r="A1243" s="20">
        <f>+VLOOKUP(D1243,Back!Q:R,2,0)</f>
        <v>3</v>
      </c>
      <c r="B1243" s="20" t="str">
        <f t="shared" si="39"/>
        <v>2018 MAR</v>
      </c>
      <c r="C1243" s="30">
        <v>2018</v>
      </c>
      <c r="D1243" s="30" t="s">
        <v>139</v>
      </c>
      <c r="E1243" s="30" t="s">
        <v>177</v>
      </c>
      <c r="F1243" s="30">
        <v>1035913369</v>
      </c>
      <c r="G1243" s="30" t="s">
        <v>183</v>
      </c>
      <c r="H1243" s="32">
        <v>52844737</v>
      </c>
      <c r="I1243" s="32">
        <v>225000</v>
      </c>
      <c r="J1243" s="32">
        <v>9184559</v>
      </c>
      <c r="K1243" s="33">
        <v>43435178</v>
      </c>
      <c r="L1243" s="33">
        <v>42000000</v>
      </c>
      <c r="M1243" s="34">
        <v>1.0341709047619048</v>
      </c>
      <c r="N1243" s="209" t="str">
        <f>IFERROR(VLOOKUP(F1243,Back!C:F,4,0),"NO")</f>
        <v>Si</v>
      </c>
      <c r="O1243" s="26">
        <v>24</v>
      </c>
      <c r="P1243" s="28" t="str">
        <f>IFERROR(VLOOKUP(F1243,Back!C:E,3,0),"")</f>
        <v>IPS Pto De Vista Centro</v>
      </c>
      <c r="Q1243" s="28" t="str">
        <f>IFERROR(VLOOKUP(P1243,Back!M:N,2,0),"")</f>
        <v>Antioquia</v>
      </c>
      <c r="R1243" s="27" t="str">
        <f>IF(N1243="Si",IFERROR(VLOOKUP(F1243,'TD Cumpl'!B:AB,27,0),"No Aplica"),"No Aplica")</f>
        <v>Fluctúa</v>
      </c>
      <c r="S1243" s="38">
        <v>89</v>
      </c>
      <c r="T1243" s="36">
        <v>10016851</v>
      </c>
      <c r="U1243" s="26">
        <v>250</v>
      </c>
      <c r="V1243" s="37">
        <v>29259956</v>
      </c>
      <c r="W1243" s="19">
        <v>106</v>
      </c>
      <c r="X1243" s="37">
        <v>9184559</v>
      </c>
      <c r="Y1243" s="46">
        <f t="shared" si="40"/>
        <v>4383371</v>
      </c>
      <c r="Z1243" s="19" t="s">
        <v>318</v>
      </c>
    </row>
    <row r="1244" spans="1:26" x14ac:dyDescent="0.25">
      <c r="A1244" s="20">
        <f>+VLOOKUP(D1244,Back!Q:R,2,0)</f>
        <v>3</v>
      </c>
      <c r="B1244" s="20" t="str">
        <f t="shared" si="39"/>
        <v>2018 MAR</v>
      </c>
      <c r="C1244" s="30">
        <v>2018</v>
      </c>
      <c r="D1244" s="30" t="s">
        <v>139</v>
      </c>
      <c r="E1244" s="30" t="s">
        <v>18</v>
      </c>
      <c r="F1244" s="30">
        <v>39442617</v>
      </c>
      <c r="G1244" s="30" t="s">
        <v>41</v>
      </c>
      <c r="H1244" s="32">
        <v>15705455</v>
      </c>
      <c r="I1244" s="32">
        <v>0</v>
      </c>
      <c r="J1244" s="32">
        <v>1985599</v>
      </c>
      <c r="K1244" s="33">
        <v>13719856</v>
      </c>
      <c r="L1244" s="33">
        <v>8333335</v>
      </c>
      <c r="M1244" s="34">
        <v>1.6463823907235218</v>
      </c>
      <c r="N1244" s="209" t="str">
        <f>IFERROR(VLOOKUP(F1244,Back!C:F,4,0),"NO")</f>
        <v>Si</v>
      </c>
      <c r="O1244" s="26">
        <v>24</v>
      </c>
      <c r="P1244" s="28" t="str">
        <f>IFERROR(VLOOKUP(F1244,Back!C:E,3,0),"")</f>
        <v>IPS Pto De Vista San Diego</v>
      </c>
      <c r="Q1244" s="28" t="str">
        <f>IFERROR(VLOOKUP(P1244,Back!M:N,2,0),"")</f>
        <v>Antioquia</v>
      </c>
      <c r="R1244" s="27" t="str">
        <f>IF(N1244="Si",IFERROR(VLOOKUP(F1244,'TD Cumpl'!B:AB,27,0),"No Aplica"),"No Aplica")</f>
        <v>Cumple</v>
      </c>
      <c r="S1244" s="38">
        <v>14</v>
      </c>
      <c r="T1244" s="36">
        <v>1796736</v>
      </c>
      <c r="U1244" s="26">
        <v>54</v>
      </c>
      <c r="V1244" s="37">
        <v>8845522</v>
      </c>
      <c r="W1244" s="19">
        <v>22</v>
      </c>
      <c r="X1244" s="37">
        <v>1985599</v>
      </c>
      <c r="Y1244" s="46">
        <f t="shared" si="40"/>
        <v>3077598</v>
      </c>
      <c r="Z1244" s="19" t="s">
        <v>318</v>
      </c>
    </row>
    <row r="1245" spans="1:26" x14ac:dyDescent="0.25">
      <c r="A1245" s="20">
        <f>+VLOOKUP(D1245,Back!Q:R,2,0)</f>
        <v>3</v>
      </c>
      <c r="B1245" s="20" t="str">
        <f t="shared" si="39"/>
        <v>2018 MAR</v>
      </c>
      <c r="C1245" s="30">
        <v>2018</v>
      </c>
      <c r="D1245" s="30" t="s">
        <v>139</v>
      </c>
      <c r="E1245" s="30" t="s">
        <v>23</v>
      </c>
      <c r="F1245" s="30">
        <v>43907427</v>
      </c>
      <c r="G1245" s="30" t="s">
        <v>144</v>
      </c>
      <c r="H1245" s="32">
        <v>64249265</v>
      </c>
      <c r="I1245" s="32">
        <v>479600</v>
      </c>
      <c r="J1245" s="32">
        <v>6184065</v>
      </c>
      <c r="K1245" s="33">
        <v>57585600</v>
      </c>
      <c r="L1245" s="33">
        <v>38333341</v>
      </c>
      <c r="M1245" s="34">
        <v>1.5022327430317122</v>
      </c>
      <c r="N1245" s="209" t="str">
        <f>IFERROR(VLOOKUP(F1245,Back!C:F,4,0),"NO")</f>
        <v>Si</v>
      </c>
      <c r="O1245" s="26">
        <v>24</v>
      </c>
      <c r="P1245" s="28" t="str">
        <f>IFERROR(VLOOKUP(F1245,Back!C:E,3,0),"")</f>
        <v>IPS Pto De Vista Industriales</v>
      </c>
      <c r="Q1245" s="28" t="str">
        <f>IFERROR(VLOOKUP(P1245,Back!M:N,2,0),"")</f>
        <v>Antioquia</v>
      </c>
      <c r="R1245" s="27" t="str">
        <f>IF(N1245="Si",IFERROR(VLOOKUP(F1245,'TD Cumpl'!B:AB,27,0),"No Aplica"),"No Aplica")</f>
        <v>Siempre Cumple</v>
      </c>
      <c r="S1245" s="38">
        <v>49</v>
      </c>
      <c r="T1245" s="36">
        <v>10686331</v>
      </c>
      <c r="U1245" s="26">
        <v>186</v>
      </c>
      <c r="V1245" s="37">
        <v>41217472</v>
      </c>
      <c r="W1245" s="19">
        <v>70</v>
      </c>
      <c r="X1245" s="37">
        <v>6184065</v>
      </c>
      <c r="Y1245" s="46">
        <f t="shared" si="40"/>
        <v>6161397</v>
      </c>
      <c r="Z1245" s="19" t="s">
        <v>318</v>
      </c>
    </row>
    <row r="1246" spans="1:26" x14ac:dyDescent="0.25">
      <c r="A1246" s="20">
        <f>+VLOOKUP(D1246,Back!Q:R,2,0)</f>
        <v>3</v>
      </c>
      <c r="B1246" s="20" t="str">
        <f t="shared" si="39"/>
        <v>2018 MAR</v>
      </c>
      <c r="C1246" s="30">
        <v>2018</v>
      </c>
      <c r="D1246" s="30" t="s">
        <v>139</v>
      </c>
      <c r="E1246" s="30" t="s">
        <v>66</v>
      </c>
      <c r="F1246" s="30">
        <v>3438422</v>
      </c>
      <c r="G1246" s="30" t="s">
        <v>71</v>
      </c>
      <c r="H1246" s="32">
        <v>39831194</v>
      </c>
      <c r="I1246" s="32">
        <v>1198040</v>
      </c>
      <c r="J1246" s="32">
        <v>9454948</v>
      </c>
      <c r="K1246" s="33">
        <v>29178206</v>
      </c>
      <c r="L1246" s="33">
        <v>43833326</v>
      </c>
      <c r="M1246" s="34">
        <v>0.66566260566218494</v>
      </c>
      <c r="N1246" s="209" t="str">
        <f>IFERROR(VLOOKUP(F1246,Back!C:F,4,0),"NO")</f>
        <v>Si</v>
      </c>
      <c r="O1246" s="26">
        <v>24</v>
      </c>
      <c r="P1246" s="28" t="str">
        <f>IFERROR(VLOOKUP(F1246,Back!C:E,3,0),"")</f>
        <v>IPS Pto De Vista Punto Clave</v>
      </c>
      <c r="Q1246" s="28" t="str">
        <f>IFERROR(VLOOKUP(P1246,Back!M:N,2,0),"")</f>
        <v>Antioquia</v>
      </c>
      <c r="R1246" s="27" t="str">
        <f>IF(N1246="Si",IFERROR(VLOOKUP(F1246,'TD Cumpl'!B:AB,27,0),"No Aplica"),"No Aplica")</f>
        <v>Fluctúa</v>
      </c>
      <c r="S1246" s="38">
        <v>50</v>
      </c>
      <c r="T1246" s="36">
        <v>6698813</v>
      </c>
      <c r="U1246" s="26">
        <v>128</v>
      </c>
      <c r="V1246" s="37">
        <v>17171059</v>
      </c>
      <c r="W1246" s="19">
        <v>99</v>
      </c>
      <c r="X1246" s="37">
        <v>9454948</v>
      </c>
      <c r="Y1246" s="46">
        <f t="shared" si="40"/>
        <v>6506374</v>
      </c>
      <c r="Z1246" s="19" t="s">
        <v>318</v>
      </c>
    </row>
    <row r="1247" spans="1:26" x14ac:dyDescent="0.25">
      <c r="A1247" s="20">
        <f>+VLOOKUP(D1247,Back!Q:R,2,0)</f>
        <v>3</v>
      </c>
      <c r="B1247" s="20" t="str">
        <f t="shared" si="39"/>
        <v>2018 MAR</v>
      </c>
      <c r="C1247" s="30">
        <v>2018</v>
      </c>
      <c r="D1247" s="30" t="s">
        <v>139</v>
      </c>
      <c r="E1247" s="30" t="s">
        <v>166</v>
      </c>
      <c r="F1247" s="30">
        <v>1020451288</v>
      </c>
      <c r="G1247" s="30" t="s">
        <v>167</v>
      </c>
      <c r="H1247" s="32">
        <v>59946010</v>
      </c>
      <c r="I1247" s="32">
        <v>1916000</v>
      </c>
      <c r="J1247" s="32">
        <v>11128214</v>
      </c>
      <c r="K1247" s="33">
        <v>46901796</v>
      </c>
      <c r="L1247" s="33">
        <v>43999992</v>
      </c>
      <c r="M1247" s="34">
        <v>1.0659501029000187</v>
      </c>
      <c r="N1247" s="209" t="str">
        <f>IFERROR(VLOOKUP(F1247,Back!C:F,4,0),"NO")</f>
        <v>Si</v>
      </c>
      <c r="O1247" s="26">
        <v>24</v>
      </c>
      <c r="P1247" s="28" t="str">
        <f>IFERROR(VLOOKUP(F1247,Back!C:E,3,0),"")</f>
        <v>IPS Pto De Vista Punto Clave</v>
      </c>
      <c r="Q1247" s="28" t="str">
        <f>IFERROR(VLOOKUP(P1247,Back!M:N,2,0),"")</f>
        <v>Antioquia</v>
      </c>
      <c r="R1247" s="27" t="str">
        <f>IF(N1247="Si",IFERROR(VLOOKUP(F1247,'TD Cumpl'!B:AB,27,0),"No Aplica"),"No Aplica")</f>
        <v>Cumple</v>
      </c>
      <c r="S1247" s="38">
        <v>88</v>
      </c>
      <c r="T1247" s="36">
        <v>9706947</v>
      </c>
      <c r="U1247" s="26">
        <v>244</v>
      </c>
      <c r="V1247" s="37">
        <v>29311734</v>
      </c>
      <c r="W1247" s="19">
        <v>114</v>
      </c>
      <c r="X1247" s="37">
        <v>11128214</v>
      </c>
      <c r="Y1247" s="46">
        <f t="shared" si="40"/>
        <v>9799115</v>
      </c>
      <c r="Z1247" s="19" t="s">
        <v>318</v>
      </c>
    </row>
    <row r="1248" spans="1:26" x14ac:dyDescent="0.25">
      <c r="A1248" s="20">
        <f>+VLOOKUP(D1248,Back!Q:R,2,0)</f>
        <v>3</v>
      </c>
      <c r="B1248" s="20" t="str">
        <f t="shared" si="39"/>
        <v>2018 MAR</v>
      </c>
      <c r="C1248" s="30">
        <v>2018</v>
      </c>
      <c r="D1248" s="30" t="s">
        <v>139</v>
      </c>
      <c r="E1248" s="30" t="s">
        <v>92</v>
      </c>
      <c r="F1248" s="30">
        <v>1017167720</v>
      </c>
      <c r="G1248" s="30" t="s">
        <v>96</v>
      </c>
      <c r="H1248" s="32">
        <v>33584236</v>
      </c>
      <c r="I1248" s="32">
        <v>862000</v>
      </c>
      <c r="J1248" s="32">
        <v>7028402</v>
      </c>
      <c r="K1248" s="33">
        <v>25693834</v>
      </c>
      <c r="L1248" s="33">
        <v>21999996</v>
      </c>
      <c r="M1248" s="34">
        <v>1.1679017578003197</v>
      </c>
      <c r="N1248" s="209" t="str">
        <f>IFERROR(VLOOKUP(F1248,Back!C:F,4,0),"NO")</f>
        <v>Si</v>
      </c>
      <c r="O1248" s="26">
        <v>24</v>
      </c>
      <c r="P1248" s="28" t="str">
        <f>IFERROR(VLOOKUP(F1248,Back!C:E,3,0),"")</f>
        <v>IPS Pto De Vista Punto Clave</v>
      </c>
      <c r="Q1248" s="28" t="str">
        <f>IFERROR(VLOOKUP(P1248,Back!M:N,2,0),"")</f>
        <v>Antioquia</v>
      </c>
      <c r="R1248" s="27" t="str">
        <f>IF(N1248="Si",IFERROR(VLOOKUP(F1248,'TD Cumpl'!B:AB,27,0),"No Aplica"),"No Aplica")</f>
        <v>Cumple</v>
      </c>
      <c r="S1248" s="38">
        <v>61</v>
      </c>
      <c r="T1248" s="36">
        <v>6628327</v>
      </c>
      <c r="U1248" s="26">
        <v>140</v>
      </c>
      <c r="V1248" s="37">
        <v>14180263</v>
      </c>
      <c r="W1248" s="19">
        <v>77</v>
      </c>
      <c r="X1248" s="37">
        <v>7028402</v>
      </c>
      <c r="Y1248" s="46">
        <f t="shared" si="40"/>
        <v>5747244</v>
      </c>
      <c r="Z1248" s="19" t="s">
        <v>317</v>
      </c>
    </row>
    <row r="1249" spans="1:26" x14ac:dyDescent="0.25">
      <c r="A1249" s="20">
        <f>+VLOOKUP(D1249,Back!Q:R,2,0)</f>
        <v>3</v>
      </c>
      <c r="B1249" s="20" t="str">
        <f t="shared" si="39"/>
        <v>2018 MAR</v>
      </c>
      <c r="C1249" s="30">
        <v>2018</v>
      </c>
      <c r="D1249" s="30" t="s">
        <v>139</v>
      </c>
      <c r="E1249" s="30" t="s">
        <v>57</v>
      </c>
      <c r="F1249" s="30">
        <v>43874518</v>
      </c>
      <c r="G1249" s="30" t="s">
        <v>60</v>
      </c>
      <c r="H1249" s="32">
        <v>53595447</v>
      </c>
      <c r="I1249" s="32">
        <v>716000</v>
      </c>
      <c r="J1249" s="32">
        <v>9655359</v>
      </c>
      <c r="K1249" s="33">
        <v>43224088</v>
      </c>
      <c r="L1249" s="33">
        <v>42166659</v>
      </c>
      <c r="M1249" s="34">
        <v>1.025077372148455</v>
      </c>
      <c r="N1249" s="209" t="str">
        <f>IFERROR(VLOOKUP(F1249,Back!C:F,4,0),"NO")</f>
        <v>Si</v>
      </c>
      <c r="O1249" s="26">
        <v>24</v>
      </c>
      <c r="P1249" s="28" t="str">
        <f>IFERROR(VLOOKUP(F1249,Back!C:E,3,0),"")</f>
        <v>IPS Pto De Vista Punto Clave</v>
      </c>
      <c r="Q1249" s="28" t="str">
        <f>IFERROR(VLOOKUP(P1249,Back!M:N,2,0),"")</f>
        <v>Antioquia</v>
      </c>
      <c r="R1249" s="27" t="str">
        <f>IF(N1249="Si",IFERROR(VLOOKUP(F1249,'TD Cumpl'!B:AB,27,0),"No Aplica"),"No Aplica")</f>
        <v>Fluctúa</v>
      </c>
      <c r="S1249" s="38">
        <v>94</v>
      </c>
      <c r="T1249" s="36">
        <v>9712926</v>
      </c>
      <c r="U1249" s="26">
        <v>276</v>
      </c>
      <c r="V1249" s="37">
        <v>27552661</v>
      </c>
      <c r="W1249" s="19">
        <v>100</v>
      </c>
      <c r="X1249" s="37">
        <v>9655359</v>
      </c>
      <c r="Y1249" s="46">
        <f t="shared" si="40"/>
        <v>6674501</v>
      </c>
      <c r="Z1249" s="19" t="s">
        <v>318</v>
      </c>
    </row>
    <row r="1250" spans="1:26" x14ac:dyDescent="0.25">
      <c r="A1250" s="20">
        <f>+VLOOKUP(D1250,Back!Q:R,2,0)</f>
        <v>3</v>
      </c>
      <c r="B1250" s="20" t="str">
        <f t="shared" si="39"/>
        <v>2018 MAR</v>
      </c>
      <c r="C1250" s="30">
        <v>2018</v>
      </c>
      <c r="D1250" s="30" t="s">
        <v>139</v>
      </c>
      <c r="E1250" s="30" t="s">
        <v>64</v>
      </c>
      <c r="F1250" s="30">
        <v>1036598360</v>
      </c>
      <c r="G1250" s="30" t="s">
        <v>146</v>
      </c>
      <c r="H1250" s="32">
        <v>55341588</v>
      </c>
      <c r="I1250" s="32">
        <v>440000</v>
      </c>
      <c r="J1250" s="32">
        <v>9658034</v>
      </c>
      <c r="K1250" s="33">
        <v>45243554</v>
      </c>
      <c r="L1250" s="33">
        <v>43999992</v>
      </c>
      <c r="M1250" s="34">
        <v>1.0282627778659597</v>
      </c>
      <c r="N1250" s="209" t="str">
        <f>IFERROR(VLOOKUP(F1250,Back!C:F,4,0),"NO")</f>
        <v>Si</v>
      </c>
      <c r="O1250" s="26">
        <v>24</v>
      </c>
      <c r="P1250" s="28" t="str">
        <f>IFERROR(VLOOKUP(F1250,Back!C:E,3,0),"")</f>
        <v>IPS Pto De Vista Punto Clave</v>
      </c>
      <c r="Q1250" s="28" t="str">
        <f>IFERROR(VLOOKUP(P1250,Back!M:N,2,0),"")</f>
        <v>Antioquia</v>
      </c>
      <c r="R1250" s="27" t="str">
        <f>IF(N1250="Si",IFERROR(VLOOKUP(F1250,'TD Cumpl'!B:AB,27,0),"No Aplica"),"No Aplica")</f>
        <v>Fluctúa</v>
      </c>
      <c r="S1250" s="38">
        <v>87</v>
      </c>
      <c r="T1250" s="36">
        <v>10852837</v>
      </c>
      <c r="U1250" s="26">
        <v>238</v>
      </c>
      <c r="V1250" s="37">
        <v>29648932</v>
      </c>
      <c r="W1250" s="19">
        <v>99</v>
      </c>
      <c r="X1250" s="37">
        <v>9658034</v>
      </c>
      <c r="Y1250" s="46">
        <f t="shared" si="40"/>
        <v>5181785</v>
      </c>
      <c r="Z1250" s="19" t="s">
        <v>318</v>
      </c>
    </row>
    <row r="1251" spans="1:26" x14ac:dyDescent="0.25">
      <c r="A1251" s="20">
        <f>+VLOOKUP(D1251,Back!Q:R,2,0)</f>
        <v>3</v>
      </c>
      <c r="B1251" s="20" t="str">
        <f t="shared" si="39"/>
        <v>2018 MAR</v>
      </c>
      <c r="C1251" s="30">
        <v>2018</v>
      </c>
      <c r="D1251" s="30" t="s">
        <v>139</v>
      </c>
      <c r="E1251" s="30" t="s">
        <v>90</v>
      </c>
      <c r="F1251" s="30">
        <v>1020419011</v>
      </c>
      <c r="G1251" s="30" t="s">
        <v>97</v>
      </c>
      <c r="H1251" s="32">
        <v>57608767</v>
      </c>
      <c r="I1251" s="32">
        <v>1718000</v>
      </c>
      <c r="J1251" s="32">
        <v>11059306</v>
      </c>
      <c r="K1251" s="33">
        <v>44831461</v>
      </c>
      <c r="L1251" s="33">
        <v>43999992</v>
      </c>
      <c r="M1251" s="34">
        <v>1.0188970261630956</v>
      </c>
      <c r="N1251" s="209" t="str">
        <f>IFERROR(VLOOKUP(F1251,Back!C:F,4,0),"NO")</f>
        <v>Si</v>
      </c>
      <c r="O1251" s="26">
        <v>24</v>
      </c>
      <c r="P1251" s="28" t="str">
        <f>IFERROR(VLOOKUP(F1251,Back!C:E,3,0),"")</f>
        <v>IPS Pto De Vista Punto Clave</v>
      </c>
      <c r="Q1251" s="28" t="str">
        <f>IFERROR(VLOOKUP(P1251,Back!M:N,2,0),"")</f>
        <v>Antioquia</v>
      </c>
      <c r="R1251" s="27" t="str">
        <f>IF(N1251="Si",IFERROR(VLOOKUP(F1251,'TD Cumpl'!B:AB,27,0),"No Aplica"),"No Aplica")</f>
        <v>Cumple</v>
      </c>
      <c r="S1251" s="38">
        <v>97</v>
      </c>
      <c r="T1251" s="36">
        <v>11021670</v>
      </c>
      <c r="U1251" s="26">
        <v>269</v>
      </c>
      <c r="V1251" s="37">
        <v>27543111</v>
      </c>
      <c r="W1251" s="19">
        <v>119</v>
      </c>
      <c r="X1251" s="37">
        <v>11059306</v>
      </c>
      <c r="Y1251" s="46">
        <f t="shared" si="40"/>
        <v>7984680</v>
      </c>
      <c r="Z1251" s="19" t="s">
        <v>318</v>
      </c>
    </row>
    <row r="1252" spans="1:26" x14ac:dyDescent="0.25">
      <c r="A1252" s="20">
        <f>+VLOOKUP(D1252,Back!Q:R,2,0)</f>
        <v>3</v>
      </c>
      <c r="B1252" s="20" t="str">
        <f t="shared" si="39"/>
        <v>2018 MAR</v>
      </c>
      <c r="C1252" s="30">
        <v>2018</v>
      </c>
      <c r="D1252" s="30" t="s">
        <v>139</v>
      </c>
      <c r="E1252" s="30" t="s">
        <v>117</v>
      </c>
      <c r="F1252" s="30">
        <v>1020419615</v>
      </c>
      <c r="G1252" s="30" t="s">
        <v>118</v>
      </c>
      <c r="H1252" s="32">
        <v>60461782</v>
      </c>
      <c r="I1252" s="32">
        <v>1852000</v>
      </c>
      <c r="J1252" s="32">
        <v>12397020</v>
      </c>
      <c r="K1252" s="33">
        <v>46212762</v>
      </c>
      <c r="L1252" s="33">
        <v>43999992</v>
      </c>
      <c r="M1252" s="34">
        <v>1.0502902364164066</v>
      </c>
      <c r="N1252" s="209" t="str">
        <f>IFERROR(VLOOKUP(F1252,Back!C:F,4,0),"NO")</f>
        <v>Si</v>
      </c>
      <c r="O1252" s="26">
        <v>24</v>
      </c>
      <c r="P1252" s="28" t="str">
        <f>IFERROR(VLOOKUP(F1252,Back!C:E,3,0),"")</f>
        <v>IPS Pto De Vista Punto Clave</v>
      </c>
      <c r="Q1252" s="28" t="str">
        <f>IFERROR(VLOOKUP(P1252,Back!M:N,2,0),"")</f>
        <v>Antioquia</v>
      </c>
      <c r="R1252" s="27" t="str">
        <f>IF(N1252="Si",IFERROR(VLOOKUP(F1252,'TD Cumpl'!B:AB,27,0),"No Aplica"),"No Aplica")</f>
        <v>Cumple</v>
      </c>
      <c r="S1252" s="38">
        <v>109</v>
      </c>
      <c r="T1252" s="36">
        <v>11334745</v>
      </c>
      <c r="U1252" s="26">
        <v>258</v>
      </c>
      <c r="V1252" s="37">
        <v>29345750</v>
      </c>
      <c r="W1252" s="19">
        <v>124</v>
      </c>
      <c r="X1252" s="37">
        <v>12397020</v>
      </c>
      <c r="Y1252" s="46">
        <f t="shared" si="40"/>
        <v>7384267</v>
      </c>
      <c r="Z1252" s="19" t="s">
        <v>318</v>
      </c>
    </row>
    <row r="1253" spans="1:26" x14ac:dyDescent="0.25">
      <c r="A1253" s="20">
        <f>+VLOOKUP(D1253,Back!Q:R,2,0)</f>
        <v>3</v>
      </c>
      <c r="B1253" s="20" t="str">
        <f t="shared" si="39"/>
        <v>2018 MAR</v>
      </c>
      <c r="C1253" s="30">
        <v>2018</v>
      </c>
      <c r="D1253" s="30" t="s">
        <v>139</v>
      </c>
      <c r="E1253" s="30" t="s">
        <v>6</v>
      </c>
      <c r="F1253" s="30">
        <v>43821410</v>
      </c>
      <c r="G1253" s="30" t="s">
        <v>40</v>
      </c>
      <c r="H1253" s="32">
        <v>76393038</v>
      </c>
      <c r="I1253" s="32">
        <v>1023000</v>
      </c>
      <c r="J1253" s="32">
        <v>9438470</v>
      </c>
      <c r="K1253" s="33">
        <v>65931568</v>
      </c>
      <c r="L1253" s="33">
        <v>43999992</v>
      </c>
      <c r="M1253" s="34">
        <v>1.4984449997172726</v>
      </c>
      <c r="N1253" s="209" t="str">
        <f>IFERROR(VLOOKUP(F1253,Back!C:F,4,0),"NO")</f>
        <v>Si</v>
      </c>
      <c r="O1253" s="26">
        <v>24</v>
      </c>
      <c r="P1253" s="28" t="str">
        <f>IFERROR(VLOOKUP(F1253,Back!C:E,3,0),"")</f>
        <v>IPS Pto De Vista Unicentro</v>
      </c>
      <c r="Q1253" s="28" t="str">
        <f>IFERROR(VLOOKUP(P1253,Back!M:N,2,0),"")</f>
        <v>Antioquia</v>
      </c>
      <c r="R1253" s="27" t="str">
        <f>IF(N1253="Si",IFERROR(VLOOKUP(F1253,'TD Cumpl'!B:AB,27,0),"No Aplica"),"No Aplica")</f>
        <v>Siempre Cumple</v>
      </c>
      <c r="S1253" s="38">
        <v>101</v>
      </c>
      <c r="T1253" s="36">
        <v>13479356</v>
      </c>
      <c r="U1253" s="26">
        <v>252</v>
      </c>
      <c r="V1253" s="37">
        <v>44539760</v>
      </c>
      <c r="W1253" s="19">
        <v>103</v>
      </c>
      <c r="X1253" s="37">
        <v>9438470</v>
      </c>
      <c r="Y1253" s="46">
        <f t="shared" si="40"/>
        <v>8935452</v>
      </c>
      <c r="Z1253" s="19" t="s">
        <v>318</v>
      </c>
    </row>
    <row r="1254" spans="1:26" x14ac:dyDescent="0.25">
      <c r="A1254" s="20">
        <f>+VLOOKUP(D1254,Back!Q:R,2,0)</f>
        <v>3</v>
      </c>
      <c r="B1254" s="20" t="str">
        <f t="shared" si="39"/>
        <v>2018 MAR</v>
      </c>
      <c r="C1254" s="30">
        <v>2018</v>
      </c>
      <c r="D1254" s="30" t="s">
        <v>139</v>
      </c>
      <c r="E1254" s="30" t="s">
        <v>22</v>
      </c>
      <c r="F1254" s="30">
        <v>42164020</v>
      </c>
      <c r="G1254" s="30" t="s">
        <v>105</v>
      </c>
      <c r="H1254" s="32">
        <v>68895604</v>
      </c>
      <c r="I1254" s="32">
        <v>2945000</v>
      </c>
      <c r="J1254" s="32">
        <v>12761057</v>
      </c>
      <c r="K1254" s="33">
        <v>53189547</v>
      </c>
      <c r="L1254" s="33">
        <v>43999992</v>
      </c>
      <c r="M1254" s="34">
        <v>1.2088535607006474</v>
      </c>
      <c r="N1254" s="209" t="str">
        <f>IFERROR(VLOOKUP(F1254,Back!C:F,4,0),"NO")</f>
        <v>Si</v>
      </c>
      <c r="O1254" s="26">
        <v>24</v>
      </c>
      <c r="P1254" s="28" t="str">
        <f>IFERROR(VLOOKUP(F1254,Back!C:E,3,0),"")</f>
        <v>IPS Pto De Vista Molinos</v>
      </c>
      <c r="Q1254" s="28" t="str">
        <f>IFERROR(VLOOKUP(P1254,Back!M:N,2,0),"")</f>
        <v>Antioquia</v>
      </c>
      <c r="R1254" s="27" t="str">
        <f>IF(N1254="Si",IFERROR(VLOOKUP(F1254,'TD Cumpl'!B:AB,27,0),"No Aplica"),"No Aplica")</f>
        <v>Siempre Cumple</v>
      </c>
      <c r="S1254" s="38">
        <v>98</v>
      </c>
      <c r="T1254" s="36">
        <v>11269204</v>
      </c>
      <c r="U1254" s="26">
        <v>252</v>
      </c>
      <c r="V1254" s="37">
        <v>35283679</v>
      </c>
      <c r="W1254" s="19">
        <v>135</v>
      </c>
      <c r="X1254" s="37">
        <v>12224857</v>
      </c>
      <c r="Y1254" s="46">
        <f t="shared" si="40"/>
        <v>10117864</v>
      </c>
    </row>
    <row r="1255" spans="1:26" x14ac:dyDescent="0.25">
      <c r="A1255" s="20">
        <f>+VLOOKUP(D1255,Back!Q:R,2,0)</f>
        <v>3</v>
      </c>
      <c r="B1255" s="20" t="str">
        <f t="shared" si="39"/>
        <v>2018 MAR</v>
      </c>
      <c r="C1255" s="30">
        <v>2018</v>
      </c>
      <c r="D1255" s="30" t="s">
        <v>139</v>
      </c>
      <c r="E1255" s="30" t="s">
        <v>7</v>
      </c>
      <c r="F1255" s="30">
        <v>43745952</v>
      </c>
      <c r="G1255" s="30" t="s">
        <v>50</v>
      </c>
      <c r="H1255" s="32">
        <v>29963545</v>
      </c>
      <c r="I1255" s="32">
        <v>220000</v>
      </c>
      <c r="J1255" s="32">
        <v>4334763</v>
      </c>
      <c r="K1255" s="33">
        <v>25408782</v>
      </c>
      <c r="L1255" s="33">
        <v>9166665</v>
      </c>
      <c r="M1255" s="34">
        <v>2.7718676312486603</v>
      </c>
      <c r="N1255" s="209" t="str">
        <f>IFERROR(VLOOKUP(F1255,Back!C:F,4,0),"NO")</f>
        <v>Si</v>
      </c>
      <c r="O1255" s="26">
        <v>24</v>
      </c>
      <c r="P1255" s="28" t="str">
        <f>IFERROR(VLOOKUP(F1255,Back!C:E,3,0),"")</f>
        <v>IPS Pto De Vista Unicentro</v>
      </c>
      <c r="Q1255" s="28" t="str">
        <f>IFERROR(VLOOKUP(P1255,Back!M:N,2,0),"")</f>
        <v>Antioquia</v>
      </c>
      <c r="R1255" s="27" t="str">
        <f>IF(N1255="Si",IFERROR(VLOOKUP(F1255,'TD Cumpl'!B:AB,27,0),"No Aplica"),"No Aplica")</f>
        <v>Siempre Cumple</v>
      </c>
      <c r="S1255" s="38">
        <v>53</v>
      </c>
      <c r="T1255" s="36">
        <v>5688010</v>
      </c>
      <c r="U1255" s="26">
        <v>120</v>
      </c>
      <c r="V1255" s="37">
        <v>16651863</v>
      </c>
      <c r="W1255" s="19">
        <v>49</v>
      </c>
      <c r="X1255" s="37">
        <v>4280963</v>
      </c>
      <c r="Y1255" s="46">
        <f t="shared" si="40"/>
        <v>3342709</v>
      </c>
      <c r="Z1255" s="19" t="s">
        <v>317</v>
      </c>
    </row>
    <row r="1256" spans="1:26" x14ac:dyDescent="0.25">
      <c r="A1256" s="20">
        <f>+VLOOKUP(D1256,Back!Q:R,2,0)</f>
        <v>3</v>
      </c>
      <c r="B1256" s="20" t="str">
        <f t="shared" si="39"/>
        <v>2018 MAR</v>
      </c>
      <c r="C1256" s="30">
        <v>2018</v>
      </c>
      <c r="D1256" s="30" t="s">
        <v>139</v>
      </c>
      <c r="E1256" s="30" t="s">
        <v>81</v>
      </c>
      <c r="F1256" s="30">
        <v>1017200970</v>
      </c>
      <c r="G1256" s="30" t="s">
        <v>82</v>
      </c>
      <c r="H1256" s="32">
        <v>8903115</v>
      </c>
      <c r="I1256" s="32">
        <v>0</v>
      </c>
      <c r="J1256" s="32">
        <v>2096665</v>
      </c>
      <c r="K1256" s="33">
        <v>6806450</v>
      </c>
      <c r="L1256" s="33">
        <v>18000000</v>
      </c>
      <c r="M1256" s="34">
        <v>0.37813611111111112</v>
      </c>
      <c r="N1256" s="209" t="str">
        <f>IFERROR(VLOOKUP(F1256,Back!C:F,4,0),"NO")</f>
        <v>Si</v>
      </c>
      <c r="O1256" s="26">
        <v>24</v>
      </c>
      <c r="P1256" s="28" t="str">
        <f>IFERROR(VLOOKUP(F1256,Back!C:E,3,0),"")</f>
        <v>IPS Pto De Vista San Diego</v>
      </c>
      <c r="Q1256" s="28" t="str">
        <f>IFERROR(VLOOKUP(P1256,Back!M:N,2,0),"")</f>
        <v>Antioquia</v>
      </c>
      <c r="R1256" s="27" t="str">
        <f>IF(N1256="Si",IFERROR(VLOOKUP(F1256,'TD Cumpl'!B:AB,27,0),"No Aplica"),"No Aplica")</f>
        <v>Cumple</v>
      </c>
      <c r="S1256" s="38">
        <v>16</v>
      </c>
      <c r="T1256" s="36">
        <v>1447413</v>
      </c>
      <c r="U1256" s="26">
        <v>34</v>
      </c>
      <c r="V1256" s="37">
        <v>2961300</v>
      </c>
      <c r="W1256" s="19">
        <v>21</v>
      </c>
      <c r="X1256" s="37">
        <v>2096665</v>
      </c>
      <c r="Y1256" s="46">
        <f t="shared" si="40"/>
        <v>2397737</v>
      </c>
      <c r="Z1256" s="19" t="s">
        <v>319</v>
      </c>
    </row>
    <row r="1257" spans="1:26" x14ac:dyDescent="0.25">
      <c r="A1257" s="20">
        <f>+VLOOKUP(D1257,Back!Q:R,2,0)</f>
        <v>3</v>
      </c>
      <c r="B1257" s="20" t="str">
        <f t="shared" si="39"/>
        <v>2018 MAR</v>
      </c>
      <c r="C1257" s="30">
        <v>2018</v>
      </c>
      <c r="D1257" s="30" t="s">
        <v>139</v>
      </c>
      <c r="E1257" s="30" t="s">
        <v>91</v>
      </c>
      <c r="F1257" s="30">
        <v>43114534</v>
      </c>
      <c r="G1257" s="30" t="s">
        <v>95</v>
      </c>
      <c r="H1257" s="32">
        <v>38819545</v>
      </c>
      <c r="I1257" s="32">
        <v>1854000</v>
      </c>
      <c r="J1257" s="32">
        <v>178155</v>
      </c>
      <c r="K1257" s="33">
        <v>36787390</v>
      </c>
      <c r="L1257" s="33">
        <v>36000000</v>
      </c>
      <c r="M1257" s="34">
        <v>1.0218719444444444</v>
      </c>
      <c r="N1257" s="209" t="str">
        <f>IFERROR(VLOOKUP(F1257,Back!C:F,4,0),"NO")</f>
        <v>No</v>
      </c>
      <c r="O1257" s="26">
        <v>24</v>
      </c>
      <c r="P1257" s="28" t="str">
        <f>IFERROR(VLOOKUP(F1257,Back!C:E,3,0),"")</f>
        <v>IPS Pto De Vista San Diego</v>
      </c>
      <c r="Q1257" s="28" t="str">
        <f>IFERROR(VLOOKUP(P1257,Back!M:N,2,0),"")</f>
        <v>Antioquia</v>
      </c>
      <c r="R1257" s="27" t="str">
        <f>IF(N1257="Si",IFERROR(VLOOKUP(F1257,'TD Cumpl'!B:AB,27,0),"No Aplica"),"No Aplica")</f>
        <v>No Aplica</v>
      </c>
      <c r="S1257" s="38">
        <v>81</v>
      </c>
      <c r="T1257" s="36">
        <v>9044206</v>
      </c>
      <c r="U1257" s="26">
        <v>212</v>
      </c>
      <c r="V1257" s="37">
        <v>23306781</v>
      </c>
      <c r="W1257" s="19">
        <v>2</v>
      </c>
      <c r="X1257" s="37">
        <v>178155</v>
      </c>
      <c r="Y1257" s="46">
        <f t="shared" si="40"/>
        <v>6290403</v>
      </c>
    </row>
    <row r="1258" spans="1:26" x14ac:dyDescent="0.25">
      <c r="A1258" s="20">
        <f>+VLOOKUP(D1258,Back!Q:R,2,0)</f>
        <v>3</v>
      </c>
      <c r="B1258" s="20" t="str">
        <f t="shared" si="39"/>
        <v>2018 MAR</v>
      </c>
      <c r="C1258" s="30">
        <v>2018</v>
      </c>
      <c r="D1258" s="30" t="s">
        <v>139</v>
      </c>
      <c r="E1258" s="30" t="s">
        <v>17</v>
      </c>
      <c r="F1258" s="30">
        <v>43113640</v>
      </c>
      <c r="G1258" s="30" t="s">
        <v>47</v>
      </c>
      <c r="H1258" s="32">
        <v>62406181</v>
      </c>
      <c r="I1258" s="32">
        <v>1296000</v>
      </c>
      <c r="J1258" s="32">
        <v>17724122</v>
      </c>
      <c r="K1258" s="33">
        <v>43386059</v>
      </c>
      <c r="L1258" s="33">
        <v>36000000</v>
      </c>
      <c r="M1258" s="34">
        <v>1.2051683055555555</v>
      </c>
      <c r="N1258" s="209" t="str">
        <f>IFERROR(VLOOKUP(F1258,Back!C:F,4,0),"NO")</f>
        <v>Si</v>
      </c>
      <c r="O1258" s="26">
        <v>24</v>
      </c>
      <c r="P1258" s="28" t="str">
        <f>IFERROR(VLOOKUP(F1258,Back!C:E,3,0),"")</f>
        <v>IPS Pto De Vista San Diego</v>
      </c>
      <c r="Q1258" s="28" t="str">
        <f>IFERROR(VLOOKUP(P1258,Back!M:N,2,0),"")</f>
        <v>Antioquia</v>
      </c>
      <c r="R1258" s="27" t="str">
        <f>IF(N1258="Si",IFERROR(VLOOKUP(F1258,'TD Cumpl'!B:AB,27,0),"No Aplica"),"No Aplica")</f>
        <v>Cumple</v>
      </c>
      <c r="S1258" s="38">
        <v>79</v>
      </c>
      <c r="T1258" s="36">
        <v>9556930</v>
      </c>
      <c r="U1258" s="26">
        <v>216</v>
      </c>
      <c r="V1258" s="37">
        <v>30311582</v>
      </c>
      <c r="W1258" s="19">
        <v>185</v>
      </c>
      <c r="X1258" s="37">
        <v>17724122</v>
      </c>
      <c r="Y1258" s="46">
        <f t="shared" si="40"/>
        <v>4813547</v>
      </c>
      <c r="Z1258" s="19" t="s">
        <v>318</v>
      </c>
    </row>
    <row r="1259" spans="1:26" x14ac:dyDescent="0.25">
      <c r="A1259" s="20">
        <f>+VLOOKUP(D1259,Back!Q:R,2,0)</f>
        <v>3</v>
      </c>
      <c r="B1259" s="20" t="str">
        <f t="shared" si="39"/>
        <v>2018 MAR</v>
      </c>
      <c r="C1259" s="30">
        <v>2018</v>
      </c>
      <c r="D1259" s="30" t="s">
        <v>139</v>
      </c>
      <c r="E1259" s="30" t="s">
        <v>84</v>
      </c>
      <c r="F1259" s="30">
        <v>1020736461</v>
      </c>
      <c r="G1259" s="30" t="s">
        <v>156</v>
      </c>
      <c r="H1259" s="32">
        <v>50487005</v>
      </c>
      <c r="I1259" s="32">
        <v>836000</v>
      </c>
      <c r="J1259" s="32">
        <v>7466246</v>
      </c>
      <c r="K1259" s="33">
        <v>42184759</v>
      </c>
      <c r="L1259" s="33">
        <v>28000008</v>
      </c>
      <c r="M1259" s="34">
        <v>1.5065981052576842</v>
      </c>
      <c r="N1259" s="209" t="str">
        <f>IFERROR(VLOOKUP(F1259,Back!C:F,4,0),"NO")</f>
        <v>Si</v>
      </c>
      <c r="O1259" s="26">
        <v>24</v>
      </c>
      <c r="P1259" s="28" t="str">
        <f>IFERROR(VLOOKUP(F1259,Back!C:E,3,0),"")</f>
        <v>IPS Pto De Vista Santa Bárbara</v>
      </c>
      <c r="Q1259" s="28" t="str">
        <f>IFERROR(VLOOKUP(P1259,Back!M:N,2,0),"")</f>
        <v>Centro</v>
      </c>
      <c r="R1259" s="27" t="str">
        <f>IF(N1259="Si",IFERROR(VLOOKUP(F1259,'TD Cumpl'!B:AB,27,0),"No Aplica"),"No Aplica")</f>
        <v>Siempre Cumple</v>
      </c>
      <c r="S1259" s="38">
        <v>86</v>
      </c>
      <c r="T1259" s="36">
        <v>9292339</v>
      </c>
      <c r="U1259" s="26">
        <v>243</v>
      </c>
      <c r="V1259" s="37">
        <v>30096780</v>
      </c>
      <c r="W1259" s="19">
        <v>106</v>
      </c>
      <c r="X1259" s="37">
        <v>7466246</v>
      </c>
      <c r="Y1259" s="46">
        <f t="shared" si="40"/>
        <v>3631640</v>
      </c>
      <c r="Z1259" s="19" t="s">
        <v>318</v>
      </c>
    </row>
    <row r="1260" spans="1:26" x14ac:dyDescent="0.25">
      <c r="A1260" s="20">
        <f>+VLOOKUP(D1260,Back!Q:R,2,0)</f>
        <v>3</v>
      </c>
      <c r="B1260" s="20" t="str">
        <f t="shared" si="39"/>
        <v>2018 MAR</v>
      </c>
      <c r="C1260" s="30">
        <v>2018</v>
      </c>
      <c r="D1260" s="30" t="s">
        <v>139</v>
      </c>
      <c r="E1260" s="30" t="s">
        <v>102</v>
      </c>
      <c r="F1260" s="30">
        <v>79850984</v>
      </c>
      <c r="G1260" s="30" t="s">
        <v>106</v>
      </c>
      <c r="H1260" s="32">
        <v>36399482</v>
      </c>
      <c r="I1260" s="32">
        <v>2334200</v>
      </c>
      <c r="J1260" s="32">
        <v>4635347</v>
      </c>
      <c r="K1260" s="33">
        <v>29429935</v>
      </c>
      <c r="L1260" s="33">
        <v>17500005</v>
      </c>
      <c r="M1260" s="34">
        <v>1.681710090939974</v>
      </c>
      <c r="N1260" s="209" t="str">
        <f>IFERROR(VLOOKUP(F1260,Back!C:F,4,0),"NO")</f>
        <v>Si</v>
      </c>
      <c r="O1260" s="26">
        <v>24</v>
      </c>
      <c r="P1260" s="28" t="str">
        <f>IFERROR(VLOOKUP(F1260,Back!C:E,3,0),"")</f>
        <v>IPS Pto De Vista SSura Clle100</v>
      </c>
      <c r="Q1260" s="28" t="str">
        <f>IFERROR(VLOOKUP(P1260,Back!M:N,2,0),"")</f>
        <v>Centro</v>
      </c>
      <c r="R1260" s="27" t="str">
        <f>IF(N1260="Si",IFERROR(VLOOKUP(F1260,'TD Cumpl'!B:AB,27,0),"No Aplica"),"No Aplica")</f>
        <v>Fluctúa</v>
      </c>
      <c r="S1260" s="38">
        <v>70</v>
      </c>
      <c r="T1260" s="36">
        <v>7577004</v>
      </c>
      <c r="U1260" s="26">
        <v>188</v>
      </c>
      <c r="V1260" s="37">
        <v>19867326</v>
      </c>
      <c r="W1260" s="19">
        <v>68</v>
      </c>
      <c r="X1260" s="37">
        <v>4635347</v>
      </c>
      <c r="Y1260" s="46">
        <f t="shared" si="40"/>
        <v>4319805</v>
      </c>
      <c r="Z1260" s="19" t="s">
        <v>317</v>
      </c>
    </row>
    <row r="1261" spans="1:26" x14ac:dyDescent="0.25">
      <c r="A1261" s="20">
        <f>+VLOOKUP(D1261,Back!Q:R,2,0)</f>
        <v>3</v>
      </c>
      <c r="B1261" s="20" t="str">
        <f t="shared" si="39"/>
        <v>2018 MAR</v>
      </c>
      <c r="C1261" s="30">
        <v>2018</v>
      </c>
      <c r="D1261" s="30" t="s">
        <v>139</v>
      </c>
      <c r="E1261" s="30" t="s">
        <v>2</v>
      </c>
      <c r="F1261" s="30">
        <v>52260671</v>
      </c>
      <c r="G1261" s="30" t="s">
        <v>26</v>
      </c>
      <c r="H1261" s="32">
        <v>15342987</v>
      </c>
      <c r="I1261" s="32">
        <v>440000</v>
      </c>
      <c r="J1261" s="32">
        <v>312440</v>
      </c>
      <c r="K1261" s="33">
        <v>14590547</v>
      </c>
      <c r="L1261" s="33">
        <v>10500003</v>
      </c>
      <c r="M1261" s="34">
        <v>1.3895755077403311</v>
      </c>
      <c r="N1261" s="209" t="str">
        <f>IFERROR(VLOOKUP(F1261,Back!C:F,4,0),"NO")</f>
        <v>Si</v>
      </c>
      <c r="O1261" s="26">
        <v>24</v>
      </c>
      <c r="P1261" s="28" t="str">
        <f>IFERROR(VLOOKUP(F1261,Back!C:E,3,0),"")</f>
        <v>IPS Pto De Vista Santa Bárbara</v>
      </c>
      <c r="Q1261" s="28" t="str">
        <f>IFERROR(VLOOKUP(P1261,Back!M:N,2,0),"")</f>
        <v>Centro</v>
      </c>
      <c r="R1261" s="27" t="str">
        <f>IF(N1261="Si",IFERROR(VLOOKUP(F1261,'TD Cumpl'!B:AB,27,0),"No Aplica"),"No Aplica")</f>
        <v>Siempre Cumple</v>
      </c>
      <c r="S1261" s="38">
        <v>34</v>
      </c>
      <c r="T1261" s="36">
        <v>2856798</v>
      </c>
      <c r="U1261" s="26">
        <v>84</v>
      </c>
      <c r="V1261" s="37">
        <v>9987007</v>
      </c>
      <c r="W1261" s="19">
        <v>3</v>
      </c>
      <c r="X1261" s="37">
        <v>312440</v>
      </c>
      <c r="Y1261" s="46">
        <f t="shared" si="40"/>
        <v>2186742</v>
      </c>
      <c r="Z1261" s="19" t="s">
        <v>319</v>
      </c>
    </row>
    <row r="1262" spans="1:26" x14ac:dyDescent="0.25">
      <c r="A1262" s="20">
        <f>+VLOOKUP(D1262,Back!Q:R,2,0)</f>
        <v>3</v>
      </c>
      <c r="B1262" s="20" t="str">
        <f t="shared" si="39"/>
        <v>2018 MAR</v>
      </c>
      <c r="C1262" s="30">
        <v>2018</v>
      </c>
      <c r="D1262" s="30" t="s">
        <v>139</v>
      </c>
      <c r="E1262" s="30" t="s">
        <v>38</v>
      </c>
      <c r="F1262" s="30">
        <v>43745192</v>
      </c>
      <c r="G1262" s="30" t="s">
        <v>45</v>
      </c>
      <c r="H1262" s="32">
        <v>39492013</v>
      </c>
      <c r="I1262" s="32">
        <v>370800</v>
      </c>
      <c r="J1262" s="32">
        <v>4268016</v>
      </c>
      <c r="K1262" s="33">
        <v>34853197</v>
      </c>
      <c r="L1262" s="33">
        <v>30000000</v>
      </c>
      <c r="M1262" s="34">
        <v>1.1617732333333333</v>
      </c>
      <c r="N1262" s="209" t="str">
        <f>IFERROR(VLOOKUP(F1262,Back!C:F,4,0),"NO")</f>
        <v>Si</v>
      </c>
      <c r="O1262" s="26">
        <v>24</v>
      </c>
      <c r="P1262" s="28" t="str">
        <f>IFERROR(VLOOKUP(F1262,Back!C:E,3,0),"")</f>
        <v>IPS Punto de Vista Mayorca</v>
      </c>
      <c r="Q1262" s="28" t="str">
        <f>IFERROR(VLOOKUP(P1262,Back!M:N,2,0),"")</f>
        <v>Antioquia</v>
      </c>
      <c r="R1262" s="27" t="str">
        <f>IF(N1262="Si",IFERROR(VLOOKUP(F1262,'TD Cumpl'!B:AB,27,0),"No Aplica"),"No Aplica")</f>
        <v>Cumple</v>
      </c>
      <c r="S1262" s="38">
        <v>67</v>
      </c>
      <c r="T1262" s="36">
        <v>10097190</v>
      </c>
      <c r="U1262" s="26">
        <v>184</v>
      </c>
      <c r="V1262" s="37">
        <v>22917230</v>
      </c>
      <c r="W1262" s="19">
        <v>60</v>
      </c>
      <c r="X1262" s="37">
        <v>4268016</v>
      </c>
      <c r="Y1262" s="46">
        <f t="shared" si="40"/>
        <v>2209577</v>
      </c>
      <c r="Z1262" s="19" t="s">
        <v>318</v>
      </c>
    </row>
    <row r="1263" spans="1:26" x14ac:dyDescent="0.25">
      <c r="A1263" s="20">
        <f>+VLOOKUP(D1263,Back!Q:R,2,0)</f>
        <v>3</v>
      </c>
      <c r="B1263" s="20" t="str">
        <f t="shared" si="39"/>
        <v>2018 MAR</v>
      </c>
      <c r="C1263" s="30">
        <v>2018</v>
      </c>
      <c r="D1263" s="30" t="s">
        <v>139</v>
      </c>
      <c r="E1263" s="30" t="s">
        <v>237</v>
      </c>
      <c r="F1263" s="30">
        <v>1151951440</v>
      </c>
      <c r="G1263" s="30" t="s">
        <v>238</v>
      </c>
      <c r="H1263" s="32">
        <v>15730151</v>
      </c>
      <c r="I1263" s="32">
        <v>0</v>
      </c>
      <c r="J1263" s="32">
        <v>4141328</v>
      </c>
      <c r="K1263" s="33">
        <v>11588823</v>
      </c>
      <c r="L1263" s="33">
        <v>12500000</v>
      </c>
      <c r="M1263" s="34">
        <v>0.92710583999999996</v>
      </c>
      <c r="N1263" s="209" t="str">
        <f>IFERROR(VLOOKUP(F1263,Back!C:F,4,0),"NO")</f>
        <v>No</v>
      </c>
      <c r="O1263" s="26">
        <v>24</v>
      </c>
      <c r="P1263" s="28" t="str">
        <f>IFERROR(VLOOKUP(F1263,Back!C:E,3,0),"")</f>
        <v>Punto de Vista Cali Norte</v>
      </c>
      <c r="Q1263" s="28" t="str">
        <f>IFERROR(VLOOKUP(P1263,Back!M:N,2,0),"")</f>
        <v>Occidente</v>
      </c>
      <c r="R1263" s="27" t="str">
        <f>IF(N1263="Si",IFERROR(VLOOKUP(F1263,'TD Cumpl'!B:AB,27,0),"No Aplica"),"No Aplica")</f>
        <v>No Aplica</v>
      </c>
      <c r="S1263" s="38">
        <v>24</v>
      </c>
      <c r="T1263" s="36">
        <v>2451139</v>
      </c>
      <c r="U1263" s="26">
        <v>100</v>
      </c>
      <c r="V1263" s="37">
        <v>8253456</v>
      </c>
      <c r="W1263" s="19">
        <v>52</v>
      </c>
      <c r="X1263" s="37">
        <v>4141328</v>
      </c>
      <c r="Y1263" s="46">
        <f t="shared" si="40"/>
        <v>884228</v>
      </c>
    </row>
    <row r="1264" spans="1:26" x14ac:dyDescent="0.25">
      <c r="A1264" s="20">
        <f>+VLOOKUP(D1264,Back!Q:R,2,0)</f>
        <v>3</v>
      </c>
      <c r="B1264" s="20" t="str">
        <f t="shared" si="39"/>
        <v>2018 MAR</v>
      </c>
      <c r="C1264" s="30">
        <v>2018</v>
      </c>
      <c r="D1264" s="30" t="s">
        <v>139</v>
      </c>
      <c r="E1264" s="30" t="s">
        <v>88</v>
      </c>
      <c r="F1264" s="30">
        <v>31445278</v>
      </c>
      <c r="G1264" s="30" t="s">
        <v>93</v>
      </c>
      <c r="H1264" s="32">
        <v>32203700</v>
      </c>
      <c r="I1264" s="32">
        <v>0</v>
      </c>
      <c r="J1264" s="32">
        <v>7712346</v>
      </c>
      <c r="K1264" s="33">
        <v>24491354</v>
      </c>
      <c r="L1264" s="33">
        <v>30000000</v>
      </c>
      <c r="M1264" s="34">
        <v>0.81637846666666669</v>
      </c>
      <c r="N1264" s="209" t="str">
        <f>IFERROR(VLOOKUP(F1264,Back!C:F,4,0),"NO")</f>
        <v>Si</v>
      </c>
      <c r="O1264" s="26">
        <v>24</v>
      </c>
      <c r="P1264" s="28" t="str">
        <f>IFERROR(VLOOKUP(F1264,Back!C:E,3,0),"")</f>
        <v>Punto de Vista Tequendama</v>
      </c>
      <c r="Q1264" s="28" t="str">
        <f>IFERROR(VLOOKUP(P1264,Back!M:N,2,0),"")</f>
        <v>Occidente</v>
      </c>
      <c r="R1264" s="27" t="str">
        <f>IF(N1264="Si",IFERROR(VLOOKUP(F1264,'TD Cumpl'!B:AB,27,0),"No Aplica"),"No Aplica")</f>
        <v>Cumple</v>
      </c>
      <c r="S1264" s="38">
        <v>50</v>
      </c>
      <c r="T1264" s="36">
        <v>4952855</v>
      </c>
      <c r="U1264" s="26">
        <v>192</v>
      </c>
      <c r="V1264" s="37">
        <v>18435159</v>
      </c>
      <c r="W1264" s="19">
        <v>92</v>
      </c>
      <c r="X1264" s="37">
        <v>7712346</v>
      </c>
      <c r="Y1264" s="46">
        <f t="shared" si="40"/>
        <v>1103340</v>
      </c>
      <c r="Z1264" s="19" t="s">
        <v>318</v>
      </c>
    </row>
    <row r="1265" spans="1:26" x14ac:dyDescent="0.25">
      <c r="A1265" s="20">
        <f>+VLOOKUP(D1265,Back!Q:R,2,0)</f>
        <v>3</v>
      </c>
      <c r="B1265" s="20" t="str">
        <f t="shared" si="39"/>
        <v>2018 MAR</v>
      </c>
      <c r="C1265" s="30">
        <v>2018</v>
      </c>
      <c r="D1265" s="30" t="s">
        <v>139</v>
      </c>
      <c r="E1265" s="30" t="s">
        <v>149</v>
      </c>
      <c r="F1265" s="30">
        <v>1130597373</v>
      </c>
      <c r="G1265" s="30" t="s">
        <v>150</v>
      </c>
      <c r="H1265" s="32">
        <v>29898896</v>
      </c>
      <c r="I1265" s="32">
        <v>370800</v>
      </c>
      <c r="J1265" s="32">
        <v>8176512</v>
      </c>
      <c r="K1265" s="33">
        <v>21351584</v>
      </c>
      <c r="L1265" s="33">
        <v>30000000</v>
      </c>
      <c r="M1265" s="34">
        <v>0.71171946666666663</v>
      </c>
      <c r="N1265" s="209" t="str">
        <f>IFERROR(VLOOKUP(F1265,Back!C:F,4,0),"NO")</f>
        <v>Si</v>
      </c>
      <c r="O1265" s="26">
        <v>24</v>
      </c>
      <c r="P1265" s="28" t="str">
        <f>IFERROR(VLOOKUP(F1265,Back!C:E,3,0),"")</f>
        <v>Punto de Vista Cali Norte</v>
      </c>
      <c r="Q1265" s="28" t="str">
        <f>IFERROR(VLOOKUP(P1265,Back!M:N,2,0),"")</f>
        <v>Occidente</v>
      </c>
      <c r="R1265" s="27" t="str">
        <f>IF(N1265="Si",IFERROR(VLOOKUP(F1265,'TD Cumpl'!B:AB,27,0),"No Aplica"),"No Aplica")</f>
        <v>Fluctúa</v>
      </c>
      <c r="S1265" s="38">
        <v>42</v>
      </c>
      <c r="T1265" s="36">
        <v>4267179</v>
      </c>
      <c r="U1265" s="26">
        <v>148</v>
      </c>
      <c r="V1265" s="37">
        <v>14997795</v>
      </c>
      <c r="W1265" s="19">
        <v>94</v>
      </c>
      <c r="X1265" s="37">
        <v>8176512</v>
      </c>
      <c r="Y1265" s="46">
        <f t="shared" si="40"/>
        <v>2457410</v>
      </c>
      <c r="Z1265" s="19" t="s">
        <v>318</v>
      </c>
    </row>
    <row r="1266" spans="1:26" x14ac:dyDescent="0.25">
      <c r="A1266" s="20">
        <f>+VLOOKUP(D1266,Back!Q:R,2,0)</f>
        <v>3</v>
      </c>
      <c r="B1266" s="20" t="str">
        <f t="shared" si="39"/>
        <v>2018 MAR</v>
      </c>
      <c r="C1266" s="30">
        <v>2018</v>
      </c>
      <c r="D1266" s="30" t="s">
        <v>139</v>
      </c>
      <c r="E1266" s="30" t="s">
        <v>5</v>
      </c>
      <c r="F1266" s="30">
        <v>34542470</v>
      </c>
      <c r="G1266" s="30" t="s">
        <v>28</v>
      </c>
      <c r="H1266" s="32">
        <v>46133500</v>
      </c>
      <c r="I1266" s="32">
        <v>1605260</v>
      </c>
      <c r="J1266" s="32">
        <v>5251560</v>
      </c>
      <c r="K1266" s="33">
        <v>39276680</v>
      </c>
      <c r="L1266" s="33">
        <v>34999992</v>
      </c>
      <c r="M1266" s="34">
        <v>1.1221911136436831</v>
      </c>
      <c r="N1266" s="209" t="str">
        <f>IFERROR(VLOOKUP(F1266,Back!C:F,4,0),"NO")</f>
        <v>Si</v>
      </c>
      <c r="O1266" s="26">
        <v>24</v>
      </c>
      <c r="P1266" s="28" t="str">
        <f>IFERROR(VLOOKUP(F1266,Back!C:E,3,0),"")</f>
        <v>Optica Salud Sura Chipichape</v>
      </c>
      <c r="Q1266" s="28" t="str">
        <f>IFERROR(VLOOKUP(P1266,Back!M:N,2,0),"")</f>
        <v>Occidente</v>
      </c>
      <c r="R1266" s="27" t="str">
        <f>IF(N1266="Si",IFERROR(VLOOKUP(F1266,'TD Cumpl'!B:AB,27,0),"No Aplica"),"No Aplica")</f>
        <v>Siempre Cumple</v>
      </c>
      <c r="S1266" s="38">
        <v>70</v>
      </c>
      <c r="T1266" s="36">
        <v>10583739</v>
      </c>
      <c r="U1266" s="26">
        <v>186</v>
      </c>
      <c r="V1266" s="37">
        <v>21166841</v>
      </c>
      <c r="W1266" s="19">
        <v>62</v>
      </c>
      <c r="X1266" s="37">
        <v>5251560</v>
      </c>
      <c r="Y1266" s="46">
        <f t="shared" si="40"/>
        <v>9131360</v>
      </c>
      <c r="Z1266" s="19" t="s">
        <v>318</v>
      </c>
    </row>
    <row r="1267" spans="1:26" x14ac:dyDescent="0.25">
      <c r="A1267" s="20">
        <f>+VLOOKUP(D1267,Back!Q:R,2,0)</f>
        <v>3</v>
      </c>
      <c r="B1267" s="20" t="str">
        <f t="shared" si="39"/>
        <v>2018 MAR</v>
      </c>
      <c r="C1267" s="30">
        <v>2018</v>
      </c>
      <c r="D1267" s="30" t="s">
        <v>139</v>
      </c>
      <c r="E1267" s="30" t="s">
        <v>159</v>
      </c>
      <c r="F1267" s="30"/>
      <c r="G1267" s="30"/>
      <c r="H1267" s="32">
        <v>562400</v>
      </c>
      <c r="I1267" s="32">
        <v>0</v>
      </c>
      <c r="J1267" s="32">
        <v>562400</v>
      </c>
      <c r="K1267" s="33">
        <v>0</v>
      </c>
      <c r="L1267" s="33"/>
      <c r="M1267" s="34"/>
      <c r="N1267" s="209" t="str">
        <f>IFERROR(VLOOKUP(F1267,Back!C:F,4,0),"NO")</f>
        <v>NO</v>
      </c>
      <c r="O1267" s="26">
        <v>24</v>
      </c>
      <c r="P1267" s="28" t="str">
        <f>IFERROR(VLOOKUP(F1267,Back!C:E,3,0),"")</f>
        <v/>
      </c>
      <c r="Q1267" s="28" t="str">
        <f>IFERROR(VLOOKUP(P1267,Back!M:N,2,0),"")</f>
        <v/>
      </c>
      <c r="R1267" s="27" t="str">
        <f>IF(N1267="Si",IFERROR(VLOOKUP(F1267,'TD Cumpl'!B:AB,27,0),"No Aplica"),"No Aplica")</f>
        <v>No Aplica</v>
      </c>
      <c r="S1267" s="38">
        <v>0</v>
      </c>
      <c r="T1267" s="36">
        <v>0</v>
      </c>
      <c r="U1267" s="26">
        <v>0</v>
      </c>
      <c r="V1267" s="37">
        <v>0</v>
      </c>
      <c r="W1267" s="19">
        <v>0</v>
      </c>
      <c r="X1267" s="37">
        <v>0</v>
      </c>
      <c r="Y1267" s="46">
        <f t="shared" si="40"/>
        <v>562400</v>
      </c>
    </row>
    <row r="1268" spans="1:26" x14ac:dyDescent="0.25">
      <c r="A1268" s="20">
        <f>+VLOOKUP(D1268,Back!Q:R,2,0)</f>
        <v>3</v>
      </c>
      <c r="B1268" s="20" t="str">
        <f t="shared" si="39"/>
        <v>2018 MAR</v>
      </c>
      <c r="C1268" s="30">
        <v>2018</v>
      </c>
      <c r="D1268" s="30" t="s">
        <v>139</v>
      </c>
      <c r="E1268" s="30" t="s">
        <v>119</v>
      </c>
      <c r="F1268" s="30"/>
      <c r="G1268" s="30"/>
      <c r="H1268" s="32">
        <v>4556569</v>
      </c>
      <c r="I1268" s="32">
        <v>0</v>
      </c>
      <c r="J1268" s="32">
        <v>4232706</v>
      </c>
      <c r="K1268" s="33">
        <v>323863</v>
      </c>
      <c r="L1268" s="33"/>
      <c r="M1268" s="34"/>
      <c r="N1268" s="209" t="str">
        <f>IFERROR(VLOOKUP(F1268,Back!C:F,4,0),"NO")</f>
        <v>NO</v>
      </c>
      <c r="O1268" s="26">
        <v>24</v>
      </c>
      <c r="P1268" s="28" t="str">
        <f>IFERROR(VLOOKUP(F1268,Back!C:E,3,0),"")</f>
        <v/>
      </c>
      <c r="Q1268" s="28" t="str">
        <f>IFERROR(VLOOKUP(P1268,Back!M:N,2,0),"")</f>
        <v/>
      </c>
      <c r="R1268" s="27" t="str">
        <f>IF(N1268="Si",IFERROR(VLOOKUP(F1268,'TD Cumpl'!B:AB,27,0),"No Aplica"),"No Aplica")</f>
        <v>No Aplica</v>
      </c>
      <c r="S1268" s="38">
        <v>2</v>
      </c>
      <c r="T1268" s="36">
        <v>151733</v>
      </c>
      <c r="U1268" s="26">
        <v>2</v>
      </c>
      <c r="V1268" s="37">
        <v>172130</v>
      </c>
      <c r="W1268" s="19">
        <v>55</v>
      </c>
      <c r="X1268" s="37">
        <v>4232706</v>
      </c>
      <c r="Y1268" s="46">
        <f t="shared" si="40"/>
        <v>0</v>
      </c>
    </row>
    <row r="1269" spans="1:26" x14ac:dyDescent="0.25">
      <c r="A1269" s="20">
        <f>+VLOOKUP(D1269,Back!Q:R,2,0)</f>
        <v>3</v>
      </c>
      <c r="B1269" s="20" t="str">
        <f t="shared" si="39"/>
        <v>2018 MAR</v>
      </c>
      <c r="C1269" s="30">
        <v>2018</v>
      </c>
      <c r="D1269" s="30" t="s">
        <v>139</v>
      </c>
      <c r="E1269" s="30" t="s">
        <v>171</v>
      </c>
      <c r="F1269" s="30"/>
      <c r="G1269" s="30"/>
      <c r="H1269" s="32">
        <v>43870</v>
      </c>
      <c r="I1269" s="32">
        <v>0</v>
      </c>
      <c r="J1269" s="32">
        <v>43870</v>
      </c>
      <c r="K1269" s="33">
        <v>0</v>
      </c>
      <c r="L1269" s="33"/>
      <c r="M1269" s="34"/>
      <c r="N1269" s="209" t="str">
        <f>IFERROR(VLOOKUP(F1269,Back!C:F,4,0),"NO")</f>
        <v>NO</v>
      </c>
      <c r="O1269" s="26">
        <v>24</v>
      </c>
      <c r="P1269" s="28" t="str">
        <f>IFERROR(VLOOKUP(F1269,Back!C:E,3,0),"")</f>
        <v/>
      </c>
      <c r="Q1269" s="28" t="str">
        <f>IFERROR(VLOOKUP(P1269,Back!M:N,2,0),"")</f>
        <v/>
      </c>
      <c r="R1269" s="27" t="str">
        <f>IF(N1269="Si",IFERROR(VLOOKUP(F1269,'TD Cumpl'!B:AB,27,0),"No Aplica"),"No Aplica")</f>
        <v>No Aplica</v>
      </c>
      <c r="S1269" s="38">
        <v>0</v>
      </c>
      <c r="T1269" s="36">
        <v>0</v>
      </c>
      <c r="U1269" s="26">
        <v>0</v>
      </c>
      <c r="V1269" s="37">
        <v>0</v>
      </c>
      <c r="W1269" s="19">
        <v>1</v>
      </c>
      <c r="X1269" s="37">
        <v>43870</v>
      </c>
      <c r="Y1269" s="46">
        <f t="shared" si="40"/>
        <v>0</v>
      </c>
    </row>
    <row r="1270" spans="1:26" x14ac:dyDescent="0.25">
      <c r="A1270" s="20">
        <f>+VLOOKUP(D1270,Back!Q:R,2,0)</f>
        <v>3</v>
      </c>
      <c r="B1270" s="20" t="str">
        <f t="shared" si="39"/>
        <v>2018 MAR</v>
      </c>
      <c r="C1270" s="30">
        <v>2018</v>
      </c>
      <c r="D1270" s="30" t="s">
        <v>139</v>
      </c>
      <c r="E1270" s="30" t="s">
        <v>33</v>
      </c>
      <c r="F1270" s="30"/>
      <c r="G1270" s="30"/>
      <c r="H1270" s="32">
        <v>-171714</v>
      </c>
      <c r="I1270" s="32">
        <v>0</v>
      </c>
      <c r="J1270" s="32">
        <v>0</v>
      </c>
      <c r="K1270" s="33">
        <v>-171714</v>
      </c>
      <c r="L1270" s="33"/>
      <c r="M1270" s="34"/>
      <c r="N1270" s="209" t="str">
        <f>IFERROR(VLOOKUP(F1270,Back!C:F,4,0),"NO")</f>
        <v>NO</v>
      </c>
      <c r="O1270" s="26">
        <v>24</v>
      </c>
      <c r="P1270" s="28" t="str">
        <f>IFERROR(VLOOKUP(F1270,Back!C:E,3,0),"")</f>
        <v/>
      </c>
      <c r="Q1270" s="28" t="str">
        <f>IFERROR(VLOOKUP(P1270,Back!M:N,2,0),"")</f>
        <v/>
      </c>
      <c r="R1270" s="27" t="str">
        <f>IF(N1270="Si",IFERROR(VLOOKUP(F1270,'TD Cumpl'!B:AB,27,0),"No Aplica"),"No Aplica")</f>
        <v>No Aplica</v>
      </c>
      <c r="S1270" s="38">
        <v>2</v>
      </c>
      <c r="T1270" s="36">
        <v>-248545</v>
      </c>
      <c r="U1270" s="26">
        <v>4</v>
      </c>
      <c r="V1270" s="37">
        <v>-312324</v>
      </c>
      <c r="W1270" s="19">
        <v>0</v>
      </c>
      <c r="X1270" s="37">
        <v>0</v>
      </c>
      <c r="Y1270" s="46">
        <f t="shared" si="40"/>
        <v>389155</v>
      </c>
    </row>
    <row r="1271" spans="1:26" x14ac:dyDescent="0.25">
      <c r="A1271" s="20">
        <f>+VLOOKUP(D1271,Back!Q:R,2,0)</f>
        <v>3</v>
      </c>
      <c r="B1271" s="20" t="str">
        <f t="shared" si="39"/>
        <v>2018 MAR</v>
      </c>
      <c r="C1271" s="30">
        <v>2018</v>
      </c>
      <c r="D1271" s="30" t="s">
        <v>139</v>
      </c>
      <c r="E1271" s="30" t="s">
        <v>111</v>
      </c>
      <c r="F1271" s="30"/>
      <c r="G1271" s="30"/>
      <c r="H1271" s="32">
        <v>94800</v>
      </c>
      <c r="I1271" s="32">
        <v>0</v>
      </c>
      <c r="J1271" s="32">
        <v>94800</v>
      </c>
      <c r="K1271" s="33">
        <v>0</v>
      </c>
      <c r="L1271" s="33"/>
      <c r="M1271" s="34"/>
      <c r="N1271" s="209" t="str">
        <f>IFERROR(VLOOKUP(F1271,Back!C:F,4,0),"NO")</f>
        <v>NO</v>
      </c>
      <c r="O1271" s="26">
        <v>24</v>
      </c>
      <c r="P1271" s="28" t="str">
        <f>IFERROR(VLOOKUP(F1271,Back!C:E,3,0),"")</f>
        <v/>
      </c>
      <c r="Q1271" s="28" t="str">
        <f>IFERROR(VLOOKUP(P1271,Back!M:N,2,0),"")</f>
        <v/>
      </c>
      <c r="R1271" s="27" t="str">
        <f>IF(N1271="Si",IFERROR(VLOOKUP(F1271,'TD Cumpl'!B:AB,27,0),"No Aplica"),"No Aplica")</f>
        <v>No Aplica</v>
      </c>
      <c r="S1271" s="38">
        <v>0</v>
      </c>
      <c r="T1271" s="36">
        <v>0</v>
      </c>
      <c r="U1271" s="26">
        <v>0</v>
      </c>
      <c r="V1271" s="37">
        <v>0</v>
      </c>
      <c r="W1271" s="19">
        <v>0</v>
      </c>
      <c r="X1271" s="37">
        <v>0</v>
      </c>
      <c r="Y1271" s="46">
        <f t="shared" si="40"/>
        <v>94800</v>
      </c>
    </row>
    <row r="1272" spans="1:26" x14ac:dyDescent="0.25">
      <c r="A1272" s="20">
        <f>+VLOOKUP(D1272,Back!Q:R,2,0)</f>
        <v>3</v>
      </c>
      <c r="B1272" s="20" t="str">
        <f t="shared" si="39"/>
        <v>2018 MAR</v>
      </c>
      <c r="C1272" s="30">
        <v>2018</v>
      </c>
      <c r="D1272" s="30" t="s">
        <v>139</v>
      </c>
      <c r="E1272" s="30" t="s">
        <v>190</v>
      </c>
      <c r="F1272" s="30"/>
      <c r="G1272" s="30"/>
      <c r="H1272" s="32">
        <v>43870</v>
      </c>
      <c r="I1272" s="32">
        <v>0</v>
      </c>
      <c r="J1272" s="32">
        <v>43870</v>
      </c>
      <c r="K1272" s="33">
        <v>0</v>
      </c>
      <c r="L1272" s="33"/>
      <c r="M1272" s="34"/>
      <c r="N1272" s="209" t="str">
        <f>IFERROR(VLOOKUP(F1272,Back!C:F,4,0),"NO")</f>
        <v>NO</v>
      </c>
      <c r="O1272" s="26">
        <v>24</v>
      </c>
      <c r="P1272" s="28" t="str">
        <f>IFERROR(VLOOKUP(F1272,Back!C:E,3,0),"")</f>
        <v/>
      </c>
      <c r="Q1272" s="28" t="str">
        <f>IFERROR(VLOOKUP(P1272,Back!M:N,2,0),"")</f>
        <v/>
      </c>
      <c r="R1272" s="27" t="str">
        <f>IF(N1272="Si",IFERROR(VLOOKUP(F1272,'TD Cumpl'!B:AB,27,0),"No Aplica"),"No Aplica")</f>
        <v>No Aplica</v>
      </c>
      <c r="S1272" s="38">
        <v>0</v>
      </c>
      <c r="T1272" s="36">
        <v>0</v>
      </c>
      <c r="U1272" s="26">
        <v>0</v>
      </c>
      <c r="V1272" s="37">
        <v>0</v>
      </c>
      <c r="W1272" s="19">
        <v>1</v>
      </c>
      <c r="X1272" s="37">
        <v>43870</v>
      </c>
      <c r="Y1272" s="46">
        <f t="shared" si="40"/>
        <v>0</v>
      </c>
    </row>
    <row r="1273" spans="1:26" x14ac:dyDescent="0.25">
      <c r="A1273" s="20">
        <f>+VLOOKUP(D1273,Back!Q:R,2,0)</f>
        <v>3</v>
      </c>
      <c r="B1273" s="20" t="str">
        <f t="shared" si="39"/>
        <v>2018 MAR</v>
      </c>
      <c r="C1273" s="30">
        <v>2018</v>
      </c>
      <c r="D1273" s="30" t="s">
        <v>139</v>
      </c>
      <c r="E1273" s="30" t="s">
        <v>191</v>
      </c>
      <c r="F1273" s="30"/>
      <c r="G1273" s="30"/>
      <c r="H1273" s="32">
        <v>263220</v>
      </c>
      <c r="I1273" s="32">
        <v>0</v>
      </c>
      <c r="J1273" s="32">
        <v>263220</v>
      </c>
      <c r="K1273" s="33">
        <v>0</v>
      </c>
      <c r="L1273" s="33"/>
      <c r="M1273" s="34"/>
      <c r="N1273" s="209" t="str">
        <f>IFERROR(VLOOKUP(F1273,Back!C:F,4,0),"NO")</f>
        <v>NO</v>
      </c>
      <c r="O1273" s="26">
        <v>24</v>
      </c>
      <c r="P1273" s="28" t="str">
        <f>IFERROR(VLOOKUP(F1273,Back!C:E,3,0),"")</f>
        <v/>
      </c>
      <c r="Q1273" s="28" t="str">
        <f>IFERROR(VLOOKUP(P1273,Back!M:N,2,0),"")</f>
        <v/>
      </c>
      <c r="R1273" s="27" t="str">
        <f>IF(N1273="Si",IFERROR(VLOOKUP(F1273,'TD Cumpl'!B:AB,27,0),"No Aplica"),"No Aplica")</f>
        <v>No Aplica</v>
      </c>
      <c r="S1273" s="38">
        <v>0</v>
      </c>
      <c r="T1273" s="36">
        <v>0</v>
      </c>
      <c r="U1273" s="26">
        <v>0</v>
      </c>
      <c r="V1273" s="37">
        <v>0</v>
      </c>
      <c r="W1273" s="19">
        <v>6</v>
      </c>
      <c r="X1273" s="37">
        <v>263220</v>
      </c>
      <c r="Y1273" s="46">
        <f t="shared" si="40"/>
        <v>0</v>
      </c>
    </row>
    <row r="1274" spans="1:26" x14ac:dyDescent="0.25">
      <c r="A1274" s="20">
        <f>+VLOOKUP(D1274,Back!Q:R,2,0)</f>
        <v>3</v>
      </c>
      <c r="B1274" s="20" t="str">
        <f t="shared" si="39"/>
        <v>2018 MAR</v>
      </c>
      <c r="C1274" s="30">
        <v>2018</v>
      </c>
      <c r="D1274" s="30" t="s">
        <v>139</v>
      </c>
      <c r="E1274" s="30" t="s">
        <v>99</v>
      </c>
      <c r="F1274" s="30"/>
      <c r="G1274" s="30"/>
      <c r="H1274" s="32">
        <v>343600</v>
      </c>
      <c r="I1274" s="32">
        <v>0</v>
      </c>
      <c r="J1274" s="32">
        <v>343600</v>
      </c>
      <c r="K1274" s="33">
        <v>0</v>
      </c>
      <c r="L1274" s="33"/>
      <c r="M1274" s="34"/>
      <c r="N1274" s="209" t="str">
        <f>IFERROR(VLOOKUP(F1274,Back!C:F,4,0),"NO")</f>
        <v>NO</v>
      </c>
      <c r="O1274" s="26">
        <v>24</v>
      </c>
      <c r="P1274" s="28" t="str">
        <f>IFERROR(VLOOKUP(F1274,Back!C:E,3,0),"")</f>
        <v/>
      </c>
      <c r="Q1274" s="28" t="str">
        <f>IFERROR(VLOOKUP(P1274,Back!M:N,2,0),"")</f>
        <v/>
      </c>
      <c r="R1274" s="27" t="str">
        <f>IF(N1274="Si",IFERROR(VLOOKUP(F1274,'TD Cumpl'!B:AB,27,0),"No Aplica"),"No Aplica")</f>
        <v>No Aplica</v>
      </c>
      <c r="S1274" s="38">
        <v>0</v>
      </c>
      <c r="T1274" s="36">
        <v>0</v>
      </c>
      <c r="U1274" s="26">
        <v>0</v>
      </c>
      <c r="V1274" s="37">
        <v>0</v>
      </c>
      <c r="W1274" s="19">
        <v>0</v>
      </c>
      <c r="X1274" s="37">
        <v>0</v>
      </c>
      <c r="Y1274" s="46">
        <f t="shared" si="40"/>
        <v>343600</v>
      </c>
    </row>
    <row r="1275" spans="1:26" x14ac:dyDescent="0.25">
      <c r="A1275" s="20">
        <f>+VLOOKUP(D1275,Back!Q:R,2,0)</f>
        <v>3</v>
      </c>
      <c r="B1275" s="20" t="str">
        <f t="shared" si="39"/>
        <v>2018 MAR</v>
      </c>
      <c r="C1275" s="30">
        <v>2018</v>
      </c>
      <c r="D1275" s="30" t="s">
        <v>139</v>
      </c>
      <c r="E1275" s="30" t="s">
        <v>239</v>
      </c>
      <c r="F1275" s="30"/>
      <c r="G1275" s="30"/>
      <c r="H1275" s="32">
        <v>483870</v>
      </c>
      <c r="I1275" s="32">
        <v>0</v>
      </c>
      <c r="J1275" s="32">
        <v>43870</v>
      </c>
      <c r="K1275" s="33">
        <v>440000</v>
      </c>
      <c r="L1275" s="33"/>
      <c r="M1275" s="34"/>
      <c r="N1275" s="209" t="str">
        <f>IFERROR(VLOOKUP(F1275,Back!C:F,4,0),"NO")</f>
        <v>NO</v>
      </c>
      <c r="O1275" s="26">
        <v>24</v>
      </c>
      <c r="P1275" s="28" t="str">
        <f>IFERROR(VLOOKUP(F1275,Back!C:E,3,0),"")</f>
        <v/>
      </c>
      <c r="Q1275" s="28" t="str">
        <f>IFERROR(VLOOKUP(P1275,Back!M:N,2,0),"")</f>
        <v/>
      </c>
      <c r="R1275" s="27" t="str">
        <f>IF(N1275="Si",IFERROR(VLOOKUP(F1275,'TD Cumpl'!B:AB,27,0),"No Aplica"),"No Aplica")</f>
        <v>No Aplica</v>
      </c>
      <c r="S1275" s="38">
        <v>0</v>
      </c>
      <c r="T1275" s="36">
        <v>0</v>
      </c>
      <c r="U1275" s="26">
        <v>0</v>
      </c>
      <c r="V1275" s="37">
        <v>0</v>
      </c>
      <c r="W1275" s="19">
        <v>1</v>
      </c>
      <c r="X1275" s="37">
        <v>43870</v>
      </c>
      <c r="Y1275" s="46">
        <f t="shared" si="40"/>
        <v>440000</v>
      </c>
    </row>
    <row r="1276" spans="1:26" x14ac:dyDescent="0.25">
      <c r="A1276" s="20">
        <f>+VLOOKUP(D1276,Back!Q:R,2,0)</f>
        <v>3</v>
      </c>
      <c r="B1276" s="20" t="str">
        <f t="shared" si="39"/>
        <v>2018 MAR</v>
      </c>
      <c r="C1276" s="30">
        <v>2018</v>
      </c>
      <c r="D1276" s="30" t="s">
        <v>139</v>
      </c>
      <c r="E1276" s="30" t="s">
        <v>113</v>
      </c>
      <c r="F1276" s="30"/>
      <c r="G1276" s="30"/>
      <c r="H1276" s="32">
        <v>43870</v>
      </c>
      <c r="I1276" s="32">
        <v>0</v>
      </c>
      <c r="J1276" s="32">
        <v>43870</v>
      </c>
      <c r="K1276" s="33">
        <v>0</v>
      </c>
      <c r="L1276" s="33"/>
      <c r="M1276" s="34"/>
      <c r="N1276" s="209" t="str">
        <f>IFERROR(VLOOKUP(F1276,Back!C:F,4,0),"NO")</f>
        <v>NO</v>
      </c>
      <c r="O1276" s="26">
        <v>24</v>
      </c>
      <c r="P1276" s="28" t="str">
        <f>IFERROR(VLOOKUP(F1276,Back!C:E,3,0),"")</f>
        <v/>
      </c>
      <c r="Q1276" s="28" t="str">
        <f>IFERROR(VLOOKUP(P1276,Back!M:N,2,0),"")</f>
        <v/>
      </c>
      <c r="R1276" s="27" t="str">
        <f>IF(N1276="Si",IFERROR(VLOOKUP(F1276,'TD Cumpl'!B:AB,27,0),"No Aplica"),"No Aplica")</f>
        <v>No Aplica</v>
      </c>
      <c r="S1276" s="38">
        <v>0</v>
      </c>
      <c r="T1276" s="36">
        <v>0</v>
      </c>
      <c r="U1276" s="26">
        <v>0</v>
      </c>
      <c r="V1276" s="37">
        <v>0</v>
      </c>
      <c r="W1276" s="19">
        <v>1</v>
      </c>
      <c r="X1276" s="37">
        <v>43870</v>
      </c>
      <c r="Y1276" s="46">
        <f t="shared" si="40"/>
        <v>0</v>
      </c>
    </row>
    <row r="1277" spans="1:26" x14ac:dyDescent="0.25">
      <c r="A1277" s="20">
        <f>+VLOOKUP(D1277,Back!Q:R,2,0)</f>
        <v>3</v>
      </c>
      <c r="B1277" s="20" t="str">
        <f t="shared" si="39"/>
        <v>2018 MAR</v>
      </c>
      <c r="C1277" s="30">
        <v>2018</v>
      </c>
      <c r="D1277" s="30" t="s">
        <v>139</v>
      </c>
      <c r="E1277" s="30" t="s">
        <v>247</v>
      </c>
      <c r="F1277" s="30"/>
      <c r="G1277" s="30"/>
      <c r="H1277" s="32">
        <v>43870</v>
      </c>
      <c r="I1277" s="32">
        <v>0</v>
      </c>
      <c r="J1277" s="32">
        <v>43870</v>
      </c>
      <c r="K1277" s="33">
        <v>0</v>
      </c>
      <c r="L1277" s="33"/>
      <c r="M1277" s="34"/>
      <c r="N1277" s="209" t="str">
        <f>IFERROR(VLOOKUP(F1277,Back!C:F,4,0),"NO")</f>
        <v>NO</v>
      </c>
      <c r="O1277" s="26">
        <v>24</v>
      </c>
      <c r="P1277" s="28" t="str">
        <f>IFERROR(VLOOKUP(F1277,Back!C:E,3,0),"")</f>
        <v/>
      </c>
      <c r="Q1277" s="28" t="str">
        <f>IFERROR(VLOOKUP(P1277,Back!M:N,2,0),"")</f>
        <v/>
      </c>
      <c r="R1277" s="27" t="str">
        <f>IF(N1277="Si",IFERROR(VLOOKUP(F1277,'TD Cumpl'!B:AB,27,0),"No Aplica"),"No Aplica")</f>
        <v>No Aplica</v>
      </c>
      <c r="S1277" s="38">
        <v>0</v>
      </c>
      <c r="T1277" s="36">
        <v>0</v>
      </c>
      <c r="U1277" s="26">
        <v>0</v>
      </c>
      <c r="V1277" s="37">
        <v>0</v>
      </c>
      <c r="W1277" s="19">
        <v>1</v>
      </c>
      <c r="X1277" s="37">
        <v>43870</v>
      </c>
      <c r="Y1277" s="46">
        <f t="shared" si="40"/>
        <v>0</v>
      </c>
    </row>
    <row r="1278" spans="1:26" x14ac:dyDescent="0.25">
      <c r="A1278" s="20">
        <f>+VLOOKUP(D1278,Back!Q:R,2,0)</f>
        <v>3</v>
      </c>
      <c r="B1278" s="20" t="str">
        <f t="shared" ref="B1278:B1341" si="41">MID(UPPER(C1278&amp;" "&amp;D1278),1,8)</f>
        <v>2018 MAR</v>
      </c>
      <c r="C1278" s="30">
        <v>2018</v>
      </c>
      <c r="D1278" s="30" t="s">
        <v>139</v>
      </c>
      <c r="E1278" s="30" t="s">
        <v>87</v>
      </c>
      <c r="F1278" s="30"/>
      <c r="G1278" s="30"/>
      <c r="H1278" s="32">
        <v>-904159</v>
      </c>
      <c r="I1278" s="32">
        <v>0</v>
      </c>
      <c r="J1278" s="32">
        <v>0</v>
      </c>
      <c r="K1278" s="33">
        <v>-904159</v>
      </c>
      <c r="L1278" s="33"/>
      <c r="M1278" s="34"/>
      <c r="N1278" s="209" t="str">
        <f>IFERROR(VLOOKUP(F1278,Back!C:F,4,0),"NO")</f>
        <v>NO</v>
      </c>
      <c r="O1278" s="26">
        <v>24</v>
      </c>
      <c r="P1278" s="28" t="str">
        <f>IFERROR(VLOOKUP(F1278,Back!C:E,3,0),"")</f>
        <v/>
      </c>
      <c r="Q1278" s="28" t="str">
        <f>IFERROR(VLOOKUP(P1278,Back!M:N,2,0),"")</f>
        <v/>
      </c>
      <c r="R1278" s="27" t="str">
        <f>IF(N1278="Si",IFERROR(VLOOKUP(F1278,'TD Cumpl'!B:AB,27,0),"No Aplica"),"No Aplica")</f>
        <v>No Aplica</v>
      </c>
      <c r="S1278" s="38">
        <v>3</v>
      </c>
      <c r="T1278" s="36">
        <v>-162499</v>
      </c>
      <c r="U1278" s="26">
        <v>2</v>
      </c>
      <c r="V1278" s="37">
        <v>-246500</v>
      </c>
      <c r="W1278" s="19">
        <v>0</v>
      </c>
      <c r="X1278" s="37">
        <v>0</v>
      </c>
      <c r="Y1278" s="46">
        <f t="shared" si="40"/>
        <v>-495160</v>
      </c>
    </row>
    <row r="1279" spans="1:26" x14ac:dyDescent="0.25">
      <c r="A1279" s="20">
        <f>+VLOOKUP(D1279,Back!Q:R,2,0)</f>
        <v>4</v>
      </c>
      <c r="B1279" s="20" t="str">
        <f t="shared" si="41"/>
        <v>2018 ABR</v>
      </c>
      <c r="C1279" s="30">
        <v>2018</v>
      </c>
      <c r="D1279" s="30" t="s">
        <v>140</v>
      </c>
      <c r="E1279" s="30" t="s">
        <v>3</v>
      </c>
      <c r="F1279" s="30">
        <v>52725011</v>
      </c>
      <c r="G1279" s="30" t="s">
        <v>42</v>
      </c>
      <c r="H1279" s="32">
        <v>34331262</v>
      </c>
      <c r="I1279" s="32">
        <v>748000</v>
      </c>
      <c r="J1279" s="32">
        <v>7016414</v>
      </c>
      <c r="K1279" s="33">
        <v>26566848</v>
      </c>
      <c r="L1279" s="33">
        <v>25000000</v>
      </c>
      <c r="M1279" s="34">
        <v>1.0626739199999999</v>
      </c>
      <c r="N1279" s="209" t="str">
        <f>IFERROR(VLOOKUP(F1279,Back!C:F,4,0),"NO")</f>
        <v>Si</v>
      </c>
      <c r="O1279" s="26">
        <v>25</v>
      </c>
      <c r="P1279" s="28" t="str">
        <f>IFERROR(VLOOKUP(F1279,Back!C:E,3,0),"")</f>
        <v>IPS Pto De Vista Olaya</v>
      </c>
      <c r="Q1279" s="28" t="str">
        <f>IFERROR(VLOOKUP(P1279,Back!M:N,2,0),"")</f>
        <v>Centro</v>
      </c>
      <c r="R1279" s="27" t="str">
        <f>IF(N1279="Si",IFERROR(VLOOKUP(F1279,'TD Cumpl'!B:AB,27,0),"No Aplica"),"No Aplica")</f>
        <v>Fluctúa</v>
      </c>
      <c r="S1279" s="38">
        <v>93</v>
      </c>
      <c r="T1279" s="36">
        <v>6621905</v>
      </c>
      <c r="U1279" s="26">
        <v>238</v>
      </c>
      <c r="V1279" s="37">
        <v>18845384</v>
      </c>
      <c r="W1279" s="19">
        <v>113</v>
      </c>
      <c r="X1279" s="37">
        <v>7016414</v>
      </c>
      <c r="Y1279" s="46">
        <f t="shared" si="40"/>
        <v>1847559</v>
      </c>
      <c r="Z1279" s="19" t="s">
        <v>318</v>
      </c>
    </row>
    <row r="1280" spans="1:26" x14ac:dyDescent="0.25">
      <c r="A1280" s="20">
        <f>+VLOOKUP(D1280,Back!Q:R,2,0)</f>
        <v>4</v>
      </c>
      <c r="B1280" s="20" t="str">
        <f t="shared" si="41"/>
        <v>2018 ABR</v>
      </c>
      <c r="C1280" s="30">
        <v>2018</v>
      </c>
      <c r="D1280" s="30" t="s">
        <v>140</v>
      </c>
      <c r="E1280" s="30" t="s">
        <v>4</v>
      </c>
      <c r="F1280" s="30">
        <v>79701425</v>
      </c>
      <c r="G1280" s="30" t="s">
        <v>27</v>
      </c>
      <c r="H1280" s="32">
        <v>34845740</v>
      </c>
      <c r="I1280" s="32">
        <v>0</v>
      </c>
      <c r="J1280" s="32">
        <v>7474996</v>
      </c>
      <c r="K1280" s="33">
        <v>27370744</v>
      </c>
      <c r="L1280" s="33">
        <v>25000000</v>
      </c>
      <c r="M1280" s="34">
        <v>1.0948297600000001</v>
      </c>
      <c r="N1280" s="209" t="str">
        <f>IFERROR(VLOOKUP(F1280,Back!C:F,4,0),"NO")</f>
        <v>No</v>
      </c>
      <c r="O1280" s="26">
        <v>25</v>
      </c>
      <c r="P1280" s="28" t="str">
        <f>IFERROR(VLOOKUP(F1280,Back!C:E,3,0),"")</f>
        <v>IPS Pto De Vista Olaya</v>
      </c>
      <c r="Q1280" s="28" t="str">
        <f>IFERROR(VLOOKUP(P1280,Back!M:N,2,0),"")</f>
        <v>Centro</v>
      </c>
      <c r="R1280" s="27" t="str">
        <f>IF(N1280="Si",IFERROR(VLOOKUP(F1280,'TD Cumpl'!B:AB,27,0),"No Aplica"),"No Aplica")</f>
        <v>No Aplica</v>
      </c>
      <c r="S1280" s="38">
        <v>84</v>
      </c>
      <c r="T1280" s="36">
        <v>5932177</v>
      </c>
      <c r="U1280" s="26">
        <v>216</v>
      </c>
      <c r="V1280" s="37">
        <v>19564981</v>
      </c>
      <c r="W1280" s="19">
        <v>112</v>
      </c>
      <c r="X1280" s="37">
        <v>7474996</v>
      </c>
      <c r="Y1280" s="46">
        <f t="shared" si="40"/>
        <v>1873586</v>
      </c>
    </row>
    <row r="1281" spans="1:26" x14ac:dyDescent="0.25">
      <c r="A1281" s="20">
        <f>+VLOOKUP(D1281,Back!Q:R,2,0)</f>
        <v>4</v>
      </c>
      <c r="B1281" s="20" t="str">
        <f t="shared" si="41"/>
        <v>2018 ABR</v>
      </c>
      <c r="C1281" s="30">
        <v>2018</v>
      </c>
      <c r="D1281" s="30" t="s">
        <v>140</v>
      </c>
      <c r="E1281" s="30" t="s">
        <v>62</v>
      </c>
      <c r="F1281" s="30">
        <v>32256379</v>
      </c>
      <c r="G1281" s="30" t="s">
        <v>61</v>
      </c>
      <c r="H1281" s="32">
        <v>60332935</v>
      </c>
      <c r="I1281" s="32">
        <v>0</v>
      </c>
      <c r="J1281" s="32">
        <v>8161510</v>
      </c>
      <c r="K1281" s="33">
        <v>52171425</v>
      </c>
      <c r="L1281" s="33">
        <v>44000000</v>
      </c>
      <c r="M1281" s="34">
        <v>1.1857142045454545</v>
      </c>
      <c r="N1281" s="209" t="str">
        <f>IFERROR(VLOOKUP(F1281,Back!C:F,4,0),"NO")</f>
        <v>Si</v>
      </c>
      <c r="O1281" s="26">
        <v>25</v>
      </c>
      <c r="P1281" s="28" t="str">
        <f>IFERROR(VLOOKUP(F1281,Back!C:E,3,0),"")</f>
        <v>Ferias Empresariales Antioquia</v>
      </c>
      <c r="Q1281" s="28" t="str">
        <f>IFERROR(VLOOKUP(P1281,Back!M:N,2,0),"")</f>
        <v>Antioquia</v>
      </c>
      <c r="R1281" s="27" t="str">
        <f>IF(N1281="Si",IFERROR(VLOOKUP(F1281,'TD Cumpl'!B:AB,27,0),"No Aplica"),"No Aplica")</f>
        <v>Fluctúa</v>
      </c>
      <c r="S1281" s="38">
        <v>21</v>
      </c>
      <c r="T1281" s="36">
        <v>-557406</v>
      </c>
      <c r="U1281" s="26">
        <v>56</v>
      </c>
      <c r="V1281" s="37">
        <v>1182396</v>
      </c>
      <c r="W1281" s="19">
        <v>90</v>
      </c>
      <c r="X1281" s="37">
        <v>8161510</v>
      </c>
      <c r="Y1281" s="46">
        <f t="shared" ref="Y1281:Y1344" si="42">+H1281-X1281-V1281-T1281</f>
        <v>51546435</v>
      </c>
      <c r="Z1281" s="19" t="s">
        <v>318</v>
      </c>
    </row>
    <row r="1282" spans="1:26" x14ac:dyDescent="0.25">
      <c r="A1282" s="20">
        <f>+VLOOKUP(D1282,Back!Q:R,2,0)</f>
        <v>4</v>
      </c>
      <c r="B1282" s="20" t="str">
        <f t="shared" si="41"/>
        <v>2018 ABR</v>
      </c>
      <c r="C1282" s="30">
        <v>2018</v>
      </c>
      <c r="D1282" s="30" t="s">
        <v>140</v>
      </c>
      <c r="E1282" s="30" t="s">
        <v>25</v>
      </c>
      <c r="F1282" s="30">
        <v>1040030764</v>
      </c>
      <c r="G1282" s="30" t="s">
        <v>43</v>
      </c>
      <c r="H1282" s="31">
        <v>49528725</v>
      </c>
      <c r="I1282" s="32">
        <v>3308560</v>
      </c>
      <c r="J1282" s="32">
        <v>8256790</v>
      </c>
      <c r="K1282" s="33">
        <v>37963375</v>
      </c>
      <c r="L1282" s="33">
        <v>35000000</v>
      </c>
      <c r="M1282" s="34">
        <v>1.0846678571428572</v>
      </c>
      <c r="N1282" s="209" t="str">
        <f>IFERROR(VLOOKUP(F1282,Back!C:F,4,0),"NO")</f>
        <v>Si</v>
      </c>
      <c r="O1282" s="26">
        <v>25</v>
      </c>
      <c r="P1282" s="28" t="str">
        <f>IFERROR(VLOOKUP(F1282,Back!C:E,3,0),"")</f>
        <v>IPS Pto De Vista Rionegro</v>
      </c>
      <c r="Q1282" s="28" t="str">
        <f>IFERROR(VLOOKUP(P1282,Back!M:N,2,0),"")</f>
        <v>Antioquia</v>
      </c>
      <c r="R1282" s="27" t="str">
        <f>IF(N1282="Si",IFERROR(VLOOKUP(F1282,'TD Cumpl'!B:AB,27,0),"No Aplica"),"No Aplica")</f>
        <v>Cumple</v>
      </c>
      <c r="S1282" s="38">
        <v>86</v>
      </c>
      <c r="T1282" s="36">
        <v>10296753</v>
      </c>
      <c r="U1282" s="26">
        <v>202</v>
      </c>
      <c r="V1282" s="37">
        <v>25697824</v>
      </c>
      <c r="W1282" s="19">
        <v>99</v>
      </c>
      <c r="X1282" s="37">
        <v>8256790</v>
      </c>
      <c r="Y1282" s="46">
        <f t="shared" si="42"/>
        <v>5277358</v>
      </c>
      <c r="Z1282" s="19" t="s">
        <v>318</v>
      </c>
    </row>
    <row r="1283" spans="1:26" x14ac:dyDescent="0.25">
      <c r="A1283" s="20">
        <f>+VLOOKUP(D1283,Back!Q:R,2,0)</f>
        <v>4</v>
      </c>
      <c r="B1283" s="20" t="str">
        <f t="shared" si="41"/>
        <v>2018 ABR</v>
      </c>
      <c r="C1283" s="30">
        <v>2018</v>
      </c>
      <c r="D1283" s="30" t="s">
        <v>140</v>
      </c>
      <c r="E1283" s="30" t="s">
        <v>37</v>
      </c>
      <c r="F1283" s="30">
        <v>1036779770</v>
      </c>
      <c r="G1283" s="30" t="s">
        <v>52</v>
      </c>
      <c r="H1283" s="32">
        <v>42377787</v>
      </c>
      <c r="I1283" s="32">
        <v>1204000</v>
      </c>
      <c r="J1283" s="32">
        <v>8455203</v>
      </c>
      <c r="K1283" s="33">
        <v>32718584</v>
      </c>
      <c r="L1283" s="33">
        <v>35000000</v>
      </c>
      <c r="M1283" s="34">
        <v>0.93481668571428567</v>
      </c>
      <c r="N1283" s="209" t="str">
        <f>IFERROR(VLOOKUP(F1283,Back!C:F,4,0),"NO")</f>
        <v>No</v>
      </c>
      <c r="O1283" s="26">
        <v>25</v>
      </c>
      <c r="P1283" s="28" t="str">
        <f>IFERROR(VLOOKUP(F1283,Back!C:E,3,0),"")</f>
        <v>IPS Pto De Vista Rionegro</v>
      </c>
      <c r="Q1283" s="28" t="str">
        <f>IFERROR(VLOOKUP(P1283,Back!M:N,2,0),"")</f>
        <v>Antioquia</v>
      </c>
      <c r="R1283" s="27" t="str">
        <f>IF(N1283="Si",IFERROR(VLOOKUP(F1283,'TD Cumpl'!B:AB,27,0),"No Aplica"),"No Aplica")</f>
        <v>No Aplica</v>
      </c>
      <c r="S1283" s="38">
        <v>80</v>
      </c>
      <c r="T1283" s="36">
        <v>8130577</v>
      </c>
      <c r="U1283" s="26">
        <v>184</v>
      </c>
      <c r="V1283" s="37">
        <v>21021775</v>
      </c>
      <c r="W1283" s="19">
        <v>93</v>
      </c>
      <c r="X1283" s="37">
        <v>8455203</v>
      </c>
      <c r="Y1283" s="46">
        <f t="shared" si="42"/>
        <v>4770232</v>
      </c>
    </row>
    <row r="1284" spans="1:26" x14ac:dyDescent="0.25">
      <c r="A1284" s="20">
        <f>+VLOOKUP(D1284,Back!Q:R,2,0)</f>
        <v>4</v>
      </c>
      <c r="B1284" s="20" t="str">
        <f t="shared" si="41"/>
        <v>2018 ABR</v>
      </c>
      <c r="C1284" s="30">
        <v>2018</v>
      </c>
      <c r="D1284" s="30" t="s">
        <v>140</v>
      </c>
      <c r="E1284" s="30" t="s">
        <v>24</v>
      </c>
      <c r="F1284" s="30">
        <v>39448823</v>
      </c>
      <c r="G1284" s="30" t="s">
        <v>48</v>
      </c>
      <c r="H1284" s="31">
        <v>60128827</v>
      </c>
      <c r="I1284" s="32">
        <v>3618000</v>
      </c>
      <c r="J1284" s="32">
        <v>11294134</v>
      </c>
      <c r="K1284" s="33">
        <v>45216693</v>
      </c>
      <c r="L1284" s="33">
        <v>35000000</v>
      </c>
      <c r="M1284" s="34">
        <v>1.2919055142857143</v>
      </c>
      <c r="N1284" s="209" t="str">
        <f>IFERROR(VLOOKUP(F1284,Back!C:F,4,0),"NO")</f>
        <v>Si</v>
      </c>
      <c r="O1284" s="26">
        <v>25</v>
      </c>
      <c r="P1284" s="28" t="str">
        <f>IFERROR(VLOOKUP(F1284,Back!C:E,3,0),"")</f>
        <v>IPS Pto De Vista Rionegro</v>
      </c>
      <c r="Q1284" s="28" t="str">
        <f>IFERROR(VLOOKUP(P1284,Back!M:N,2,0),"")</f>
        <v>Antioquia</v>
      </c>
      <c r="R1284" s="27" t="str">
        <f>IF(N1284="Si",IFERROR(VLOOKUP(F1284,'TD Cumpl'!B:AB,27,0),"No Aplica"),"No Aplica")</f>
        <v>Siempre Cumple</v>
      </c>
      <c r="S1284" s="38">
        <v>87</v>
      </c>
      <c r="T1284" s="36">
        <v>10832551</v>
      </c>
      <c r="U1284" s="26">
        <v>221</v>
      </c>
      <c r="V1284" s="37">
        <v>31207517</v>
      </c>
      <c r="W1284" s="19">
        <v>119</v>
      </c>
      <c r="X1284" s="37">
        <v>11294134</v>
      </c>
      <c r="Y1284" s="46">
        <f t="shared" si="42"/>
        <v>6794625</v>
      </c>
      <c r="Z1284" s="19" t="s">
        <v>318</v>
      </c>
    </row>
    <row r="1285" spans="1:26" x14ac:dyDescent="0.25">
      <c r="A1285" s="20">
        <f>+VLOOKUP(D1285,Back!Q:R,2,0)</f>
        <v>4</v>
      </c>
      <c r="B1285" s="20" t="str">
        <f t="shared" si="41"/>
        <v>2018 ABR</v>
      </c>
      <c r="C1285" s="30">
        <v>2018</v>
      </c>
      <c r="D1285" s="30" t="s">
        <v>140</v>
      </c>
      <c r="E1285" s="30" t="s">
        <v>11</v>
      </c>
      <c r="F1285" s="30">
        <v>43253531</v>
      </c>
      <c r="G1285" s="30" t="s">
        <v>39</v>
      </c>
      <c r="H1285" s="32">
        <v>46931637</v>
      </c>
      <c r="I1285" s="32">
        <v>1395200</v>
      </c>
      <c r="J1285" s="32">
        <v>11684192</v>
      </c>
      <c r="K1285" s="33">
        <v>33852245</v>
      </c>
      <c r="L1285" s="33">
        <v>29400000</v>
      </c>
      <c r="M1285" s="34">
        <v>1.1514369047619049</v>
      </c>
      <c r="N1285" s="209" t="str">
        <f>IFERROR(VLOOKUP(F1285,Back!C:F,4,0),"NO")</f>
        <v>Si</v>
      </c>
      <c r="O1285" s="26">
        <v>25</v>
      </c>
      <c r="P1285" s="28" t="str">
        <f>IFERROR(VLOOKUP(F1285,Back!C:E,3,0),"")</f>
        <v>IPS Punto de Vista Bello</v>
      </c>
      <c r="Q1285" s="28" t="str">
        <f>IFERROR(VLOOKUP(P1285,Back!M:N,2,0),"")</f>
        <v>Antioquia</v>
      </c>
      <c r="R1285" s="27" t="str">
        <f>IF(N1285="Si",IFERROR(VLOOKUP(F1285,'TD Cumpl'!B:AB,27,0),"No Aplica"),"No Aplica")</f>
        <v>Cumple</v>
      </c>
      <c r="S1285" s="38">
        <v>81</v>
      </c>
      <c r="T1285" s="36">
        <v>7387365</v>
      </c>
      <c r="U1285" s="26">
        <v>186</v>
      </c>
      <c r="V1285" s="37">
        <v>22809943</v>
      </c>
      <c r="W1285" s="19">
        <v>126</v>
      </c>
      <c r="X1285" s="37">
        <v>11684192</v>
      </c>
      <c r="Y1285" s="46">
        <f t="shared" si="42"/>
        <v>5050137</v>
      </c>
      <c r="Z1285" s="19" t="s">
        <v>318</v>
      </c>
    </row>
    <row r="1286" spans="1:26" x14ac:dyDescent="0.25">
      <c r="A1286" s="20">
        <f>+VLOOKUP(D1286,Back!Q:R,2,0)</f>
        <v>4</v>
      </c>
      <c r="B1286" s="20" t="str">
        <f t="shared" si="41"/>
        <v>2018 ABR</v>
      </c>
      <c r="C1286" s="30">
        <v>2018</v>
      </c>
      <c r="D1286" s="30" t="s">
        <v>140</v>
      </c>
      <c r="E1286" s="30" t="s">
        <v>121</v>
      </c>
      <c r="F1286" s="30">
        <v>21982241</v>
      </c>
      <c r="G1286" s="30" t="s">
        <v>143</v>
      </c>
      <c r="H1286" s="32">
        <v>48304853</v>
      </c>
      <c r="I1286" s="32">
        <v>412000</v>
      </c>
      <c r="J1286" s="32">
        <v>8547059</v>
      </c>
      <c r="K1286" s="33">
        <v>39345794</v>
      </c>
      <c r="L1286" s="33">
        <v>35000000</v>
      </c>
      <c r="M1286" s="34">
        <v>1.1241655428571429</v>
      </c>
      <c r="N1286" s="209" t="str">
        <f>IFERROR(VLOOKUP(F1286,Back!C:F,4,0),"NO")</f>
        <v>Si</v>
      </c>
      <c r="O1286" s="26">
        <v>25</v>
      </c>
      <c r="P1286" s="28" t="str">
        <f>IFERROR(VLOOKUP(F1286,Back!C:E,3,0),"")</f>
        <v>IPS Punto de Vista Bello</v>
      </c>
      <c r="Q1286" s="28" t="str">
        <f>IFERROR(VLOOKUP(P1286,Back!M:N,2,0),"")</f>
        <v>Antioquia</v>
      </c>
      <c r="R1286" s="27" t="str">
        <f>IF(N1286="Si",IFERROR(VLOOKUP(F1286,'TD Cumpl'!B:AB,27,0),"No Aplica"),"No Aplica")</f>
        <v>Fluctúa</v>
      </c>
      <c r="S1286" s="38">
        <v>85</v>
      </c>
      <c r="T1286" s="36">
        <v>7138972</v>
      </c>
      <c r="U1286" s="26">
        <v>222</v>
      </c>
      <c r="V1286" s="37">
        <v>26940248</v>
      </c>
      <c r="W1286" s="19">
        <v>91</v>
      </c>
      <c r="X1286" s="37">
        <v>8547059</v>
      </c>
      <c r="Y1286" s="46">
        <f t="shared" si="42"/>
        <v>5678574</v>
      </c>
      <c r="Z1286" s="19" t="s">
        <v>318</v>
      </c>
    </row>
    <row r="1287" spans="1:26" x14ac:dyDescent="0.25">
      <c r="A1287" s="20">
        <f>+VLOOKUP(D1287,Back!Q:R,2,0)</f>
        <v>4</v>
      </c>
      <c r="B1287" s="20" t="str">
        <f t="shared" si="41"/>
        <v>2018 ABR</v>
      </c>
      <c r="C1287" s="30">
        <v>2018</v>
      </c>
      <c r="D1287" s="30" t="s">
        <v>140</v>
      </c>
      <c r="E1287" s="30" t="s">
        <v>9</v>
      </c>
      <c r="F1287" s="30">
        <v>43169964</v>
      </c>
      <c r="G1287" s="30" t="s">
        <v>155</v>
      </c>
      <c r="H1287" s="32">
        <v>38683183</v>
      </c>
      <c r="I1287" s="32">
        <v>1596000</v>
      </c>
      <c r="J1287" s="32">
        <v>5855058</v>
      </c>
      <c r="K1287" s="33">
        <v>31232125</v>
      </c>
      <c r="L1287" s="33">
        <v>28160000</v>
      </c>
      <c r="M1287" s="34">
        <v>1.1090953480113637</v>
      </c>
      <c r="N1287" s="209" t="str">
        <f>IFERROR(VLOOKUP(F1287,Back!C:F,4,0),"NO")</f>
        <v>Si</v>
      </c>
      <c r="O1287" s="26">
        <v>25</v>
      </c>
      <c r="P1287" s="28" t="str">
        <f>IFERROR(VLOOKUP(F1287,Back!C:E,3,0),"")</f>
        <v>IPS Pto De Vista Molinos</v>
      </c>
      <c r="Q1287" s="28" t="str">
        <f>IFERROR(VLOOKUP(P1287,Back!M:N,2,0),"")</f>
        <v>Antioquia</v>
      </c>
      <c r="R1287" s="27" t="str">
        <f>IF(N1287="Si",IFERROR(VLOOKUP(F1287,'TD Cumpl'!B:AB,27,0),"No Aplica"),"No Aplica")</f>
        <v>Cumple</v>
      </c>
      <c r="S1287" s="38">
        <v>69</v>
      </c>
      <c r="T1287" s="36">
        <v>7656639</v>
      </c>
      <c r="U1287" s="26">
        <v>164</v>
      </c>
      <c r="V1287" s="37">
        <v>20599798</v>
      </c>
      <c r="W1287" s="19">
        <v>65</v>
      </c>
      <c r="X1287" s="37">
        <v>5855058</v>
      </c>
      <c r="Y1287" s="46">
        <f t="shared" si="42"/>
        <v>4571688</v>
      </c>
      <c r="Z1287" s="19" t="s">
        <v>318</v>
      </c>
    </row>
    <row r="1288" spans="1:26" x14ac:dyDescent="0.25">
      <c r="A1288" s="20">
        <f>+VLOOKUP(D1288,Back!Q:R,2,0)</f>
        <v>4</v>
      </c>
      <c r="B1288" s="20" t="str">
        <f t="shared" si="41"/>
        <v>2018 ABR</v>
      </c>
      <c r="C1288" s="30">
        <v>2018</v>
      </c>
      <c r="D1288" s="30" t="s">
        <v>140</v>
      </c>
      <c r="E1288" s="30" t="s">
        <v>21</v>
      </c>
      <c r="F1288" s="30">
        <v>1035417626</v>
      </c>
      <c r="G1288" s="30" t="s">
        <v>80</v>
      </c>
      <c r="H1288" s="32">
        <v>62738072</v>
      </c>
      <c r="I1288" s="32">
        <v>1704000</v>
      </c>
      <c r="J1288" s="32">
        <v>11197047</v>
      </c>
      <c r="K1288" s="33">
        <v>49837025</v>
      </c>
      <c r="L1288" s="33">
        <v>44000000</v>
      </c>
      <c r="M1288" s="34">
        <v>1.132659659090909</v>
      </c>
      <c r="N1288" s="209" t="str">
        <f>IFERROR(VLOOKUP(F1288,Back!C:F,4,0),"NO")</f>
        <v>Si</v>
      </c>
      <c r="O1288" s="26">
        <v>25</v>
      </c>
      <c r="P1288" s="28" t="str">
        <f>IFERROR(VLOOKUP(F1288,Back!C:E,3,0),"")</f>
        <v>IPS Pto De Vista Unicentro</v>
      </c>
      <c r="Q1288" s="28" t="str">
        <f>IFERROR(VLOOKUP(P1288,Back!M:N,2,0),"")</f>
        <v>Antioquia</v>
      </c>
      <c r="R1288" s="27" t="str">
        <f>IF(N1288="Si",IFERROR(VLOOKUP(F1288,'TD Cumpl'!B:AB,27,0),"No Aplica"),"No Aplica")</f>
        <v>Cumple</v>
      </c>
      <c r="S1288" s="38">
        <v>86</v>
      </c>
      <c r="T1288" s="36">
        <v>11137189</v>
      </c>
      <c r="U1288" s="26">
        <v>224</v>
      </c>
      <c r="V1288" s="37">
        <v>32390177</v>
      </c>
      <c r="W1288" s="19">
        <v>122</v>
      </c>
      <c r="X1288" s="37">
        <v>11197047</v>
      </c>
      <c r="Y1288" s="46">
        <f t="shared" si="42"/>
        <v>8013659</v>
      </c>
      <c r="Z1288" s="19" t="s">
        <v>318</v>
      </c>
    </row>
    <row r="1289" spans="1:26" x14ac:dyDescent="0.25">
      <c r="A1289" s="20">
        <f>+VLOOKUP(D1289,Back!Q:R,2,0)</f>
        <v>4</v>
      </c>
      <c r="B1289" s="20" t="str">
        <f t="shared" si="41"/>
        <v>2018 ABR</v>
      </c>
      <c r="C1289" s="30">
        <v>2018</v>
      </c>
      <c r="D1289" s="30" t="s">
        <v>140</v>
      </c>
      <c r="E1289" s="30" t="s">
        <v>20</v>
      </c>
      <c r="F1289" s="30">
        <v>1017141451</v>
      </c>
      <c r="G1289" s="30" t="s">
        <v>44</v>
      </c>
      <c r="H1289" s="32">
        <v>56454621</v>
      </c>
      <c r="I1289" s="32">
        <v>1734600</v>
      </c>
      <c r="J1289" s="32">
        <v>10366146</v>
      </c>
      <c r="K1289" s="33">
        <v>44353875</v>
      </c>
      <c r="L1289" s="33">
        <v>44000000</v>
      </c>
      <c r="M1289" s="34">
        <v>1.0080426136363636</v>
      </c>
      <c r="N1289" s="209" t="str">
        <f>IFERROR(VLOOKUP(F1289,Back!C:F,4,0),"NO")</f>
        <v>Si</v>
      </c>
      <c r="O1289" s="26">
        <v>25</v>
      </c>
      <c r="P1289" s="28" t="str">
        <f>IFERROR(VLOOKUP(F1289,Back!C:E,3,0),"")</f>
        <v>IPS Pto De Vista Molinos</v>
      </c>
      <c r="Q1289" s="28" t="str">
        <f>IFERROR(VLOOKUP(P1289,Back!M:N,2,0),"")</f>
        <v>Antioquia</v>
      </c>
      <c r="R1289" s="27" t="str">
        <f>IF(N1289="Si",IFERROR(VLOOKUP(F1289,'TD Cumpl'!B:AB,27,0),"No Aplica"),"No Aplica")</f>
        <v>Siempre Cumple</v>
      </c>
      <c r="S1289" s="38">
        <v>96</v>
      </c>
      <c r="T1289" s="36">
        <v>10424904</v>
      </c>
      <c r="U1289" s="26">
        <v>225</v>
      </c>
      <c r="V1289" s="37">
        <v>29937520</v>
      </c>
      <c r="W1289" s="19">
        <v>108</v>
      </c>
      <c r="X1289" s="37">
        <v>10366146</v>
      </c>
      <c r="Y1289" s="46">
        <f t="shared" si="42"/>
        <v>5726051</v>
      </c>
      <c r="Z1289" s="19" t="s">
        <v>318</v>
      </c>
    </row>
    <row r="1290" spans="1:26" x14ac:dyDescent="0.25">
      <c r="A1290" s="20">
        <f>+VLOOKUP(D1290,Back!Q:R,2,0)</f>
        <v>4</v>
      </c>
      <c r="B1290" s="20" t="str">
        <f t="shared" si="41"/>
        <v>2018 ABR</v>
      </c>
      <c r="C1290" s="30">
        <v>2018</v>
      </c>
      <c r="D1290" s="30" t="s">
        <v>140</v>
      </c>
      <c r="E1290" s="30" t="s">
        <v>181</v>
      </c>
      <c r="F1290" s="30">
        <v>32183069</v>
      </c>
      <c r="G1290" s="30" t="s">
        <v>182</v>
      </c>
      <c r="H1290" s="32">
        <v>49271269</v>
      </c>
      <c r="I1290" s="32">
        <v>2198000</v>
      </c>
      <c r="J1290" s="32">
        <v>10302827</v>
      </c>
      <c r="K1290" s="33">
        <v>36770442</v>
      </c>
      <c r="L1290" s="33">
        <v>35200000</v>
      </c>
      <c r="M1290" s="34">
        <v>1.0446148295454545</v>
      </c>
      <c r="N1290" s="209" t="str">
        <f>IFERROR(VLOOKUP(F1290,Back!C:F,4,0),"NO")</f>
        <v>Si</v>
      </c>
      <c r="O1290" s="26">
        <v>25</v>
      </c>
      <c r="P1290" s="28" t="str">
        <f>IFERROR(VLOOKUP(F1290,Back!C:E,3,0),"")</f>
        <v>IPS Pto De Vista Molinos</v>
      </c>
      <c r="Q1290" s="28" t="str">
        <f>IFERROR(VLOOKUP(P1290,Back!M:N,2,0),"")</f>
        <v>Antioquia</v>
      </c>
      <c r="R1290" s="27" t="str">
        <f>IF(N1290="Si",IFERROR(VLOOKUP(F1290,'TD Cumpl'!B:AB,27,0),"No Aplica"),"No Aplica")</f>
        <v>No Cumple</v>
      </c>
      <c r="S1290" s="38">
        <v>73</v>
      </c>
      <c r="T1290" s="36">
        <v>8631213</v>
      </c>
      <c r="U1290" s="26">
        <v>212</v>
      </c>
      <c r="V1290" s="37">
        <v>24284936</v>
      </c>
      <c r="W1290" s="19">
        <v>110</v>
      </c>
      <c r="X1290" s="37">
        <v>10302827</v>
      </c>
      <c r="Y1290" s="46">
        <f t="shared" si="42"/>
        <v>6052293</v>
      </c>
      <c r="Z1290" s="19" t="s">
        <v>318</v>
      </c>
    </row>
    <row r="1291" spans="1:26" x14ac:dyDescent="0.25">
      <c r="A1291" s="20">
        <f>+VLOOKUP(D1291,Back!Q:R,2,0)</f>
        <v>4</v>
      </c>
      <c r="B1291" s="20" t="str">
        <f t="shared" si="41"/>
        <v>2018 ABR</v>
      </c>
      <c r="C1291" s="30">
        <v>2018</v>
      </c>
      <c r="D1291" s="30" t="s">
        <v>140</v>
      </c>
      <c r="E1291" s="30" t="s">
        <v>235</v>
      </c>
      <c r="F1291" s="30">
        <v>39275090</v>
      </c>
      <c r="G1291" s="30" t="s">
        <v>236</v>
      </c>
      <c r="H1291" s="32">
        <v>56434507</v>
      </c>
      <c r="I1291" s="32">
        <v>852000</v>
      </c>
      <c r="J1291" s="32">
        <v>8746234</v>
      </c>
      <c r="K1291" s="33">
        <v>46836273</v>
      </c>
      <c r="L1291" s="33">
        <v>38240000</v>
      </c>
      <c r="M1291" s="34">
        <v>1.2247979341004185</v>
      </c>
      <c r="N1291" s="209" t="str">
        <f>IFERROR(VLOOKUP(F1291,Back!C:F,4,0),"NO")</f>
        <v>Si</v>
      </c>
      <c r="O1291" s="26">
        <v>25</v>
      </c>
      <c r="P1291" s="28" t="str">
        <f>IFERROR(VLOOKUP(F1291,Back!C:E,3,0),"")</f>
        <v>IPS Pto De Vista San Diego</v>
      </c>
      <c r="Q1291" s="28" t="str">
        <f>IFERROR(VLOOKUP(P1291,Back!M:N,2,0),"")</f>
        <v>Antioquia</v>
      </c>
      <c r="R1291" s="27" t="str">
        <f>IF(N1291="Si",IFERROR(VLOOKUP(F1291,'TD Cumpl'!B:AB,27,0),"No Aplica"),"No Aplica")</f>
        <v>Siempre Cumple</v>
      </c>
      <c r="S1291" s="38">
        <v>83</v>
      </c>
      <c r="T1291" s="36">
        <v>10252980</v>
      </c>
      <c r="U1291" s="26">
        <v>174</v>
      </c>
      <c r="V1291" s="37">
        <v>30068864</v>
      </c>
      <c r="W1291" s="19">
        <v>90</v>
      </c>
      <c r="X1291" s="37">
        <v>8746234</v>
      </c>
      <c r="Y1291" s="46">
        <f t="shared" si="42"/>
        <v>7366429</v>
      </c>
      <c r="Z1291" s="19" t="s">
        <v>318</v>
      </c>
    </row>
    <row r="1292" spans="1:26" x14ac:dyDescent="0.25">
      <c r="A1292" s="20">
        <f>+VLOOKUP(D1292,Back!Q:R,2,0)</f>
        <v>4</v>
      </c>
      <c r="B1292" s="20" t="str">
        <f t="shared" si="41"/>
        <v>2018 ABR</v>
      </c>
      <c r="C1292" s="30">
        <v>2018</v>
      </c>
      <c r="D1292" s="30" t="s">
        <v>140</v>
      </c>
      <c r="E1292" s="30" t="s">
        <v>103</v>
      </c>
      <c r="F1292" s="30">
        <v>1020409789</v>
      </c>
      <c r="G1292" s="30" t="s">
        <v>145</v>
      </c>
      <c r="H1292" s="32">
        <v>71885149</v>
      </c>
      <c r="I1292" s="32">
        <v>2459200</v>
      </c>
      <c r="J1292" s="32">
        <v>12835571</v>
      </c>
      <c r="K1292" s="33">
        <v>56590378</v>
      </c>
      <c r="L1292" s="33">
        <v>44000000</v>
      </c>
      <c r="M1292" s="34">
        <v>1.2861449545454546</v>
      </c>
      <c r="N1292" s="209" t="str">
        <f>IFERROR(VLOOKUP(F1292,Back!C:F,4,0),"NO")</f>
        <v>Si</v>
      </c>
      <c r="O1292" s="26">
        <v>25</v>
      </c>
      <c r="P1292" s="28" t="str">
        <f>IFERROR(VLOOKUP(F1292,Back!C:E,3,0),"")</f>
        <v>IPS Pto De Vista Molinos</v>
      </c>
      <c r="Q1292" s="28" t="str">
        <f>IFERROR(VLOOKUP(P1292,Back!M:N,2,0),"")</f>
        <v>Antioquia</v>
      </c>
      <c r="R1292" s="27" t="str">
        <f>IF(N1292="Si",IFERROR(VLOOKUP(F1292,'TD Cumpl'!B:AB,27,0),"No Aplica"),"No Aplica")</f>
        <v>Cumple</v>
      </c>
      <c r="S1292" s="38">
        <v>102</v>
      </c>
      <c r="T1292" s="36">
        <v>12449246</v>
      </c>
      <c r="U1292" s="26">
        <v>257</v>
      </c>
      <c r="V1292" s="37">
        <v>37697180</v>
      </c>
      <c r="W1292" s="19">
        <v>143</v>
      </c>
      <c r="X1292" s="37">
        <v>12835571</v>
      </c>
      <c r="Y1292" s="46">
        <f t="shared" si="42"/>
        <v>8903152</v>
      </c>
      <c r="Z1292" s="19" t="s">
        <v>318</v>
      </c>
    </row>
    <row r="1293" spans="1:26" x14ac:dyDescent="0.25">
      <c r="A1293" s="20">
        <f>+VLOOKUP(D1293,Back!Q:R,2,0)</f>
        <v>4</v>
      </c>
      <c r="B1293" s="20" t="str">
        <f t="shared" si="41"/>
        <v>2018 ABR</v>
      </c>
      <c r="C1293" s="30">
        <v>2018</v>
      </c>
      <c r="D1293" s="30" t="s">
        <v>140</v>
      </c>
      <c r="E1293" s="30" t="s">
        <v>8</v>
      </c>
      <c r="F1293" s="30">
        <v>43259130</v>
      </c>
      <c r="G1293" s="30" t="s">
        <v>51</v>
      </c>
      <c r="H1293" s="32">
        <v>62589029</v>
      </c>
      <c r="I1293" s="32">
        <v>1442000</v>
      </c>
      <c r="J1293" s="32">
        <v>13551525</v>
      </c>
      <c r="K1293" s="33">
        <v>47595504</v>
      </c>
      <c r="L1293" s="33">
        <v>44000000</v>
      </c>
      <c r="M1293" s="34">
        <v>1.0817159999999999</v>
      </c>
      <c r="N1293" s="209" t="str">
        <f>IFERROR(VLOOKUP(F1293,Back!C:F,4,0),"NO")</f>
        <v>Si</v>
      </c>
      <c r="O1293" s="26">
        <v>25</v>
      </c>
      <c r="P1293" s="28" t="str">
        <f>IFERROR(VLOOKUP(F1293,Back!C:E,3,0),"")</f>
        <v>IPS Pto De Vista Molinos</v>
      </c>
      <c r="Q1293" s="28" t="str">
        <f>IFERROR(VLOOKUP(P1293,Back!M:N,2,0),"")</f>
        <v>Antioquia</v>
      </c>
      <c r="R1293" s="27" t="str">
        <f>IF(N1293="Si",IFERROR(VLOOKUP(F1293,'TD Cumpl'!B:AB,27,0),"No Aplica"),"No Aplica")</f>
        <v>Fluctúa</v>
      </c>
      <c r="S1293" s="38">
        <v>105</v>
      </c>
      <c r="T1293" s="36">
        <v>11785036</v>
      </c>
      <c r="U1293" s="26">
        <v>272</v>
      </c>
      <c r="V1293" s="37">
        <v>31532633</v>
      </c>
      <c r="W1293" s="19">
        <v>145</v>
      </c>
      <c r="X1293" s="37">
        <v>13551525</v>
      </c>
      <c r="Y1293" s="46">
        <f t="shared" si="42"/>
        <v>5719835</v>
      </c>
      <c r="Z1293" s="19" t="s">
        <v>318</v>
      </c>
    </row>
    <row r="1294" spans="1:26" x14ac:dyDescent="0.25">
      <c r="A1294" s="20">
        <f>+VLOOKUP(D1294,Back!Q:R,2,0)</f>
        <v>4</v>
      </c>
      <c r="B1294" s="20" t="str">
        <f t="shared" si="41"/>
        <v>2018 ABR</v>
      </c>
      <c r="C1294" s="30">
        <v>2018</v>
      </c>
      <c r="D1294" s="30" t="s">
        <v>140</v>
      </c>
      <c r="E1294" s="30" t="s">
        <v>184</v>
      </c>
      <c r="F1294" s="30">
        <v>43906785</v>
      </c>
      <c r="G1294" s="30" t="s">
        <v>188</v>
      </c>
      <c r="H1294" s="32">
        <v>51141702</v>
      </c>
      <c r="I1294" s="32">
        <v>1112000</v>
      </c>
      <c r="J1294" s="32">
        <v>8939292</v>
      </c>
      <c r="K1294" s="33">
        <v>41090410</v>
      </c>
      <c r="L1294" s="33">
        <v>42000000</v>
      </c>
      <c r="M1294" s="34">
        <v>0.97834309523809526</v>
      </c>
      <c r="N1294" s="209" t="str">
        <f>IFERROR(VLOOKUP(F1294,Back!C:F,4,0),"NO")</f>
        <v>NO</v>
      </c>
      <c r="O1294" s="26">
        <v>25</v>
      </c>
      <c r="P1294" s="28" t="str">
        <f>IFERROR(VLOOKUP(F1294,Back!C:E,3,0),"")</f>
        <v/>
      </c>
      <c r="Q1294" s="28" t="str">
        <f>IFERROR(VLOOKUP(P1294,Back!M:N,2,0),"")</f>
        <v/>
      </c>
      <c r="R1294" s="27" t="str">
        <f>IF(N1294="Si",IFERROR(VLOOKUP(F1294,'TD Cumpl'!B:AB,27,0),"No Aplica"),"No Aplica")</f>
        <v>No Aplica</v>
      </c>
      <c r="S1294" s="38">
        <v>98</v>
      </c>
      <c r="T1294" s="36">
        <v>10396447</v>
      </c>
      <c r="U1294" s="26">
        <v>213</v>
      </c>
      <c r="V1294" s="37">
        <v>25194765</v>
      </c>
      <c r="W1294" s="19">
        <v>96</v>
      </c>
      <c r="X1294" s="37">
        <v>8939292</v>
      </c>
      <c r="Y1294" s="46">
        <f t="shared" si="42"/>
        <v>6611198</v>
      </c>
    </row>
    <row r="1295" spans="1:26" x14ac:dyDescent="0.25">
      <c r="A1295" s="20">
        <f>+VLOOKUP(D1295,Back!Q:R,2,0)</f>
        <v>4</v>
      </c>
      <c r="B1295" s="20" t="str">
        <f t="shared" si="41"/>
        <v>2018 ABR</v>
      </c>
      <c r="C1295" s="30">
        <v>2018</v>
      </c>
      <c r="D1295" s="30" t="s">
        <v>140</v>
      </c>
      <c r="E1295" s="30" t="s">
        <v>56</v>
      </c>
      <c r="F1295" s="30">
        <v>43971430</v>
      </c>
      <c r="G1295" s="30" t="s">
        <v>142</v>
      </c>
      <c r="H1295" s="32">
        <v>59714291</v>
      </c>
      <c r="I1295" s="32">
        <v>412000</v>
      </c>
      <c r="J1295" s="32">
        <v>14522470</v>
      </c>
      <c r="K1295" s="33">
        <v>44779821</v>
      </c>
      <c r="L1295" s="33">
        <v>42000000</v>
      </c>
      <c r="M1295" s="34">
        <v>1.0661862142857144</v>
      </c>
      <c r="N1295" s="209" t="str">
        <f>IFERROR(VLOOKUP(F1295,Back!C:F,4,0),"NO")</f>
        <v>Si</v>
      </c>
      <c r="O1295" s="26">
        <v>25</v>
      </c>
      <c r="P1295" s="28" t="str">
        <f>IFERROR(VLOOKUP(F1295,Back!C:E,3,0),"")</f>
        <v>IPS Pto De Vista Centro</v>
      </c>
      <c r="Q1295" s="28" t="str">
        <f>IFERROR(VLOOKUP(P1295,Back!M:N,2,0),"")</f>
        <v>Antioquia</v>
      </c>
      <c r="R1295" s="27" t="str">
        <f>IF(N1295="Si",IFERROR(VLOOKUP(F1295,'TD Cumpl'!B:AB,27,0),"No Aplica"),"No Aplica")</f>
        <v>Siempre Cumple</v>
      </c>
      <c r="S1295" s="38">
        <v>109</v>
      </c>
      <c r="T1295" s="36">
        <v>10170059</v>
      </c>
      <c r="U1295" s="26">
        <v>262</v>
      </c>
      <c r="V1295" s="37">
        <v>29055502</v>
      </c>
      <c r="W1295" s="19">
        <v>155</v>
      </c>
      <c r="X1295" s="37">
        <v>14522470</v>
      </c>
      <c r="Y1295" s="46">
        <f t="shared" si="42"/>
        <v>5966260</v>
      </c>
      <c r="Z1295" s="19" t="s">
        <v>318</v>
      </c>
    </row>
    <row r="1296" spans="1:26" x14ac:dyDescent="0.25">
      <c r="A1296" s="20">
        <f>+VLOOKUP(D1296,Back!Q:R,2,0)</f>
        <v>4</v>
      </c>
      <c r="B1296" s="20" t="str">
        <f t="shared" si="41"/>
        <v>2018 ABR</v>
      </c>
      <c r="C1296" s="30">
        <v>2018</v>
      </c>
      <c r="D1296" s="30" t="s">
        <v>140</v>
      </c>
      <c r="E1296" s="30" t="s">
        <v>108</v>
      </c>
      <c r="F1296" s="30">
        <v>1020443426</v>
      </c>
      <c r="G1296" s="30" t="s">
        <v>109</v>
      </c>
      <c r="H1296" s="32">
        <v>55515678</v>
      </c>
      <c r="I1296" s="32">
        <v>1014500</v>
      </c>
      <c r="J1296" s="32">
        <v>10855202</v>
      </c>
      <c r="K1296" s="33">
        <v>43645976</v>
      </c>
      <c r="L1296" s="33">
        <v>42000000</v>
      </c>
      <c r="M1296" s="34">
        <v>1.0391899047619049</v>
      </c>
      <c r="N1296" s="209" t="str">
        <f>IFERROR(VLOOKUP(F1296,Back!C:F,4,0),"NO")</f>
        <v>Si</v>
      </c>
      <c r="O1296" s="26">
        <v>25</v>
      </c>
      <c r="P1296" s="28" t="str">
        <f>IFERROR(VLOOKUP(F1296,Back!C:E,3,0),"")</f>
        <v>IPS Pto De Vista San Diego</v>
      </c>
      <c r="Q1296" s="28" t="str">
        <f>IFERROR(VLOOKUP(P1296,Back!M:N,2,0),"")</f>
        <v>Antioquia</v>
      </c>
      <c r="R1296" s="27" t="str">
        <f>IF(N1296="Si",IFERROR(VLOOKUP(F1296,'TD Cumpl'!B:AB,27,0),"No Aplica"),"No Aplica")</f>
        <v>Fluctúa</v>
      </c>
      <c r="S1296" s="38">
        <v>104</v>
      </c>
      <c r="T1296" s="36">
        <v>8847490</v>
      </c>
      <c r="U1296" s="26">
        <v>235</v>
      </c>
      <c r="V1296" s="37">
        <v>27554242</v>
      </c>
      <c r="W1296" s="19">
        <v>117</v>
      </c>
      <c r="X1296" s="37">
        <v>10855202</v>
      </c>
      <c r="Y1296" s="46">
        <f t="shared" si="42"/>
        <v>8258744</v>
      </c>
      <c r="Z1296" s="19" t="s">
        <v>318</v>
      </c>
    </row>
    <row r="1297" spans="1:26" x14ac:dyDescent="0.25">
      <c r="A1297" s="20">
        <f>+VLOOKUP(D1297,Back!Q:R,2,0)</f>
        <v>4</v>
      </c>
      <c r="B1297" s="20" t="str">
        <f t="shared" si="41"/>
        <v>2018 ABR</v>
      </c>
      <c r="C1297" s="30">
        <v>2018</v>
      </c>
      <c r="D1297" s="30" t="s">
        <v>140</v>
      </c>
      <c r="E1297" s="30" t="s">
        <v>34</v>
      </c>
      <c r="F1297" s="30">
        <v>43554403</v>
      </c>
      <c r="G1297" s="30" t="s">
        <v>35</v>
      </c>
      <c r="H1297" s="32">
        <v>68278800</v>
      </c>
      <c r="I1297" s="32">
        <v>1189000</v>
      </c>
      <c r="J1297" s="32">
        <v>13391211</v>
      </c>
      <c r="K1297" s="33">
        <v>53698589</v>
      </c>
      <c r="L1297" s="33">
        <v>42000000</v>
      </c>
      <c r="M1297" s="34">
        <v>1.2785378333333333</v>
      </c>
      <c r="N1297" s="209" t="str">
        <f>IFERROR(VLOOKUP(F1297,Back!C:F,4,0),"NO")</f>
        <v>Si</v>
      </c>
      <c r="O1297" s="26">
        <v>25</v>
      </c>
      <c r="P1297" s="28" t="str">
        <f>IFERROR(VLOOKUP(F1297,Back!C:E,3,0),"")</f>
        <v>IPS Pto De Vista Centro</v>
      </c>
      <c r="Q1297" s="28" t="str">
        <f>IFERROR(VLOOKUP(P1297,Back!M:N,2,0),"")</f>
        <v>Antioquia</v>
      </c>
      <c r="R1297" s="27" t="str">
        <f>IF(N1297="Si",IFERROR(VLOOKUP(F1297,'TD Cumpl'!B:AB,27,0),"No Aplica"),"No Aplica")</f>
        <v>Siempre Cumple</v>
      </c>
      <c r="S1297" s="38">
        <v>115</v>
      </c>
      <c r="T1297" s="36">
        <v>11734633</v>
      </c>
      <c r="U1297" s="26">
        <v>265</v>
      </c>
      <c r="V1297" s="37">
        <v>35660745</v>
      </c>
      <c r="W1297" s="19">
        <v>147</v>
      </c>
      <c r="X1297" s="37">
        <v>13391211</v>
      </c>
      <c r="Y1297" s="46">
        <f t="shared" si="42"/>
        <v>7492211</v>
      </c>
      <c r="Z1297" s="19" t="s">
        <v>318</v>
      </c>
    </row>
    <row r="1298" spans="1:26" x14ac:dyDescent="0.25">
      <c r="A1298" s="20">
        <f>+VLOOKUP(D1298,Back!Q:R,2,0)</f>
        <v>4</v>
      </c>
      <c r="B1298" s="20" t="str">
        <f t="shared" si="41"/>
        <v>2018 ABR</v>
      </c>
      <c r="C1298" s="30">
        <v>2018</v>
      </c>
      <c r="D1298" s="30" t="s">
        <v>140</v>
      </c>
      <c r="E1298" s="30" t="s">
        <v>101</v>
      </c>
      <c r="F1298" s="30">
        <v>21428423</v>
      </c>
      <c r="G1298" s="30" t="s">
        <v>154</v>
      </c>
      <c r="H1298" s="32">
        <v>51795898</v>
      </c>
      <c r="I1298" s="32">
        <v>1872000</v>
      </c>
      <c r="J1298" s="32">
        <v>11598884</v>
      </c>
      <c r="K1298" s="33">
        <v>38325014</v>
      </c>
      <c r="L1298" s="33">
        <v>42000000</v>
      </c>
      <c r="M1298" s="34">
        <v>0.91250033333333336</v>
      </c>
      <c r="N1298" s="209" t="str">
        <f>IFERROR(VLOOKUP(F1298,Back!C:F,4,0),"NO")</f>
        <v>Si</v>
      </c>
      <c r="O1298" s="26">
        <v>25</v>
      </c>
      <c r="P1298" s="28" t="str">
        <f>IFERROR(VLOOKUP(F1298,Back!C:E,3,0),"")</f>
        <v>IPS Pto De Vista Centro</v>
      </c>
      <c r="Q1298" s="28" t="str">
        <f>IFERROR(VLOOKUP(P1298,Back!M:N,2,0),"")</f>
        <v>Antioquia</v>
      </c>
      <c r="R1298" s="27" t="str">
        <f>IF(N1298="Si",IFERROR(VLOOKUP(F1298,'TD Cumpl'!B:AB,27,0),"No Aplica"),"No Aplica")</f>
        <v>Fluctúa</v>
      </c>
      <c r="S1298" s="38">
        <v>91</v>
      </c>
      <c r="T1298" s="36">
        <v>8455737</v>
      </c>
      <c r="U1298" s="26">
        <v>217</v>
      </c>
      <c r="V1298" s="37">
        <v>25191004</v>
      </c>
      <c r="W1298" s="19">
        <v>127</v>
      </c>
      <c r="X1298" s="37">
        <v>11598884</v>
      </c>
      <c r="Y1298" s="46">
        <f t="shared" si="42"/>
        <v>6550273</v>
      </c>
      <c r="Z1298" s="19" t="s">
        <v>318</v>
      </c>
    </row>
    <row r="1299" spans="1:26" x14ac:dyDescent="0.25">
      <c r="A1299" s="20">
        <f>+VLOOKUP(D1299,Back!Q:R,2,0)</f>
        <v>4</v>
      </c>
      <c r="B1299" s="20" t="str">
        <f t="shared" si="41"/>
        <v>2018 ABR</v>
      </c>
      <c r="C1299" s="30">
        <v>2018</v>
      </c>
      <c r="D1299" s="30" t="s">
        <v>140</v>
      </c>
      <c r="E1299" s="30" t="s">
        <v>13</v>
      </c>
      <c r="F1299" s="30">
        <v>43866877</v>
      </c>
      <c r="G1299" s="30" t="s">
        <v>46</v>
      </c>
      <c r="H1299" s="32">
        <v>56892106</v>
      </c>
      <c r="I1299" s="32">
        <v>412000</v>
      </c>
      <c r="J1299" s="32">
        <v>9951008</v>
      </c>
      <c r="K1299" s="33">
        <v>46529098</v>
      </c>
      <c r="L1299" s="33">
        <v>42000000</v>
      </c>
      <c r="M1299" s="34">
        <v>1.1078356666666667</v>
      </c>
      <c r="N1299" s="209" t="str">
        <f>IFERROR(VLOOKUP(F1299,Back!C:F,4,0),"NO")</f>
        <v>Si</v>
      </c>
      <c r="O1299" s="26">
        <v>25</v>
      </c>
      <c r="P1299" s="28" t="str">
        <f>IFERROR(VLOOKUP(F1299,Back!C:E,3,0),"")</f>
        <v>IPS Pto De Vista Centro</v>
      </c>
      <c r="Q1299" s="28" t="str">
        <f>IFERROR(VLOOKUP(P1299,Back!M:N,2,0),"")</f>
        <v>Antioquia</v>
      </c>
      <c r="R1299" s="27" t="str">
        <f>IF(N1299="Si",IFERROR(VLOOKUP(F1299,'TD Cumpl'!B:AB,27,0),"No Aplica"),"No Aplica")</f>
        <v>Siempre Cumple</v>
      </c>
      <c r="S1299" s="38">
        <v>108</v>
      </c>
      <c r="T1299" s="36">
        <v>11764724</v>
      </c>
      <c r="U1299" s="26">
        <v>226</v>
      </c>
      <c r="V1299" s="37">
        <v>29708201</v>
      </c>
      <c r="W1299" s="19">
        <v>118</v>
      </c>
      <c r="X1299" s="37">
        <v>9951008</v>
      </c>
      <c r="Y1299" s="46">
        <f t="shared" si="42"/>
        <v>5468173</v>
      </c>
      <c r="Z1299" s="19" t="s">
        <v>318</v>
      </c>
    </row>
    <row r="1300" spans="1:26" x14ac:dyDescent="0.25">
      <c r="A1300" s="20">
        <f>+VLOOKUP(D1300,Back!Q:R,2,0)</f>
        <v>4</v>
      </c>
      <c r="B1300" s="20" t="str">
        <f t="shared" si="41"/>
        <v>2018 ABR</v>
      </c>
      <c r="C1300" s="30">
        <v>2018</v>
      </c>
      <c r="D1300" s="30" t="s">
        <v>140</v>
      </c>
      <c r="E1300" s="30" t="s">
        <v>177</v>
      </c>
      <c r="F1300" s="30">
        <v>1035913369</v>
      </c>
      <c r="G1300" s="30" t="s">
        <v>183</v>
      </c>
      <c r="H1300" s="32">
        <v>56706996</v>
      </c>
      <c r="I1300" s="32">
        <v>866000</v>
      </c>
      <c r="J1300" s="32">
        <v>12539557</v>
      </c>
      <c r="K1300" s="33">
        <v>43301439</v>
      </c>
      <c r="L1300" s="33">
        <v>42000000</v>
      </c>
      <c r="M1300" s="34">
        <v>1.0309866428571428</v>
      </c>
      <c r="N1300" s="209" t="str">
        <f>IFERROR(VLOOKUP(F1300,Back!C:F,4,0),"NO")</f>
        <v>Si</v>
      </c>
      <c r="O1300" s="26">
        <v>25</v>
      </c>
      <c r="P1300" s="28" t="str">
        <f>IFERROR(VLOOKUP(F1300,Back!C:E,3,0),"")</f>
        <v>IPS Pto De Vista Centro</v>
      </c>
      <c r="Q1300" s="28" t="str">
        <f>IFERROR(VLOOKUP(P1300,Back!M:N,2,0),"")</f>
        <v>Antioquia</v>
      </c>
      <c r="R1300" s="27" t="str">
        <f>IF(N1300="Si",IFERROR(VLOOKUP(F1300,'TD Cumpl'!B:AB,27,0),"No Aplica"),"No Aplica")</f>
        <v>Fluctúa</v>
      </c>
      <c r="S1300" s="38">
        <v>90</v>
      </c>
      <c r="T1300" s="36">
        <v>8621713</v>
      </c>
      <c r="U1300" s="26">
        <v>220</v>
      </c>
      <c r="V1300" s="37">
        <v>27717434</v>
      </c>
      <c r="W1300" s="19">
        <v>136</v>
      </c>
      <c r="X1300" s="37">
        <v>12539557</v>
      </c>
      <c r="Y1300" s="46">
        <f t="shared" si="42"/>
        <v>7828292</v>
      </c>
      <c r="Z1300" s="19" t="s">
        <v>318</v>
      </c>
    </row>
    <row r="1301" spans="1:26" x14ac:dyDescent="0.25">
      <c r="A1301" s="20">
        <f>+VLOOKUP(D1301,Back!Q:R,2,0)</f>
        <v>4</v>
      </c>
      <c r="B1301" s="20" t="str">
        <f t="shared" si="41"/>
        <v>2018 ABR</v>
      </c>
      <c r="C1301" s="30">
        <v>2018</v>
      </c>
      <c r="D1301" s="30" t="s">
        <v>140</v>
      </c>
      <c r="E1301" s="30" t="s">
        <v>18</v>
      </c>
      <c r="F1301" s="30">
        <v>39442617</v>
      </c>
      <c r="G1301" s="30"/>
      <c r="H1301" s="32">
        <v>2359464</v>
      </c>
      <c r="I1301" s="32">
        <v>0</v>
      </c>
      <c r="J1301" s="32">
        <v>0</v>
      </c>
      <c r="K1301" s="33">
        <v>2359464</v>
      </c>
      <c r="L1301" s="33"/>
      <c r="M1301" s="34"/>
      <c r="N1301" s="209" t="str">
        <f>IFERROR(VLOOKUP(F1301,Back!C:F,4,0),"NO")</f>
        <v>Si</v>
      </c>
      <c r="O1301" s="26">
        <v>25</v>
      </c>
      <c r="P1301" s="28" t="str">
        <f>IFERROR(VLOOKUP(F1301,Back!C:E,3,0),"")</f>
        <v>IPS Pto De Vista San Diego</v>
      </c>
      <c r="Q1301" s="28" t="str">
        <f>IFERROR(VLOOKUP(P1301,Back!M:N,2,0),"")</f>
        <v>Antioquia</v>
      </c>
      <c r="R1301" s="27" t="str">
        <f>IF(N1301="Si",IFERROR(VLOOKUP(F1301,'TD Cumpl'!B:AB,27,0),"No Aplica"),"No Aplica")</f>
        <v>Cumple</v>
      </c>
      <c r="S1301" s="38">
        <v>3</v>
      </c>
      <c r="T1301" s="36">
        <v>633194</v>
      </c>
      <c r="U1301" s="26">
        <v>8</v>
      </c>
      <c r="V1301" s="37">
        <v>1581669</v>
      </c>
      <c r="W1301" s="19">
        <v>0</v>
      </c>
      <c r="X1301" s="37">
        <v>0</v>
      </c>
      <c r="Y1301" s="46">
        <f t="shared" si="42"/>
        <v>144601</v>
      </c>
      <c r="Z1301" s="19" t="s">
        <v>318</v>
      </c>
    </row>
    <row r="1302" spans="1:26" x14ac:dyDescent="0.25">
      <c r="A1302" s="20">
        <f>+VLOOKUP(D1302,Back!Q:R,2,0)</f>
        <v>4</v>
      </c>
      <c r="B1302" s="20" t="str">
        <f t="shared" si="41"/>
        <v>2018 ABR</v>
      </c>
      <c r="C1302" s="30">
        <v>2018</v>
      </c>
      <c r="D1302" s="30" t="s">
        <v>140</v>
      </c>
      <c r="E1302" s="30" t="s">
        <v>23</v>
      </c>
      <c r="F1302" s="30">
        <v>43907427</v>
      </c>
      <c r="G1302" s="30" t="s">
        <v>144</v>
      </c>
      <c r="H1302" s="32">
        <v>69704641</v>
      </c>
      <c r="I1302" s="32">
        <v>1784240</v>
      </c>
      <c r="J1302" s="32">
        <v>6072849</v>
      </c>
      <c r="K1302" s="33">
        <v>61847552</v>
      </c>
      <c r="L1302" s="33">
        <v>40000000</v>
      </c>
      <c r="M1302" s="34">
        <v>1.5461887999999999</v>
      </c>
      <c r="N1302" s="209" t="str">
        <f>IFERROR(VLOOKUP(F1302,Back!C:F,4,0),"NO")</f>
        <v>Si</v>
      </c>
      <c r="O1302" s="26">
        <v>25</v>
      </c>
      <c r="P1302" s="28" t="str">
        <f>IFERROR(VLOOKUP(F1302,Back!C:E,3,0),"")</f>
        <v>IPS Pto De Vista Industriales</v>
      </c>
      <c r="Q1302" s="28" t="str">
        <f>IFERROR(VLOOKUP(P1302,Back!M:N,2,0),"")</f>
        <v>Antioquia</v>
      </c>
      <c r="R1302" s="27" t="str">
        <f>IF(N1302="Si",IFERROR(VLOOKUP(F1302,'TD Cumpl'!B:AB,27,0),"No Aplica"),"No Aplica")</f>
        <v>Siempre Cumple</v>
      </c>
      <c r="S1302" s="38">
        <v>63</v>
      </c>
      <c r="T1302" s="36">
        <v>12419192</v>
      </c>
      <c r="U1302" s="26">
        <v>183</v>
      </c>
      <c r="V1302" s="37">
        <v>43465377</v>
      </c>
      <c r="W1302" s="19">
        <v>68</v>
      </c>
      <c r="X1302" s="37">
        <v>6072849</v>
      </c>
      <c r="Y1302" s="46">
        <f t="shared" si="42"/>
        <v>7747223</v>
      </c>
      <c r="Z1302" s="19" t="s">
        <v>318</v>
      </c>
    </row>
    <row r="1303" spans="1:26" x14ac:dyDescent="0.25">
      <c r="A1303" s="20">
        <f>+VLOOKUP(D1303,Back!Q:R,2,0)</f>
        <v>4</v>
      </c>
      <c r="B1303" s="20" t="str">
        <f t="shared" si="41"/>
        <v>2018 ABR</v>
      </c>
      <c r="C1303" s="30">
        <v>2018</v>
      </c>
      <c r="D1303" s="30" t="s">
        <v>140</v>
      </c>
      <c r="E1303" s="30" t="s">
        <v>66</v>
      </c>
      <c r="F1303" s="30">
        <v>3438422</v>
      </c>
      <c r="G1303" s="30" t="s">
        <v>71</v>
      </c>
      <c r="H1303" s="32">
        <v>60012807</v>
      </c>
      <c r="I1303" s="32">
        <v>2276000</v>
      </c>
      <c r="J1303" s="32">
        <v>11719876</v>
      </c>
      <c r="K1303" s="33">
        <v>46016931</v>
      </c>
      <c r="L1303" s="33">
        <v>44000000</v>
      </c>
      <c r="M1303" s="34">
        <v>1.0458393409090909</v>
      </c>
      <c r="N1303" s="209" t="str">
        <f>IFERROR(VLOOKUP(F1303,Back!C:F,4,0),"NO")</f>
        <v>Si</v>
      </c>
      <c r="O1303" s="26">
        <v>25</v>
      </c>
      <c r="P1303" s="28" t="str">
        <f>IFERROR(VLOOKUP(F1303,Back!C:E,3,0),"")</f>
        <v>IPS Pto De Vista Punto Clave</v>
      </c>
      <c r="Q1303" s="28" t="str">
        <f>IFERROR(VLOOKUP(P1303,Back!M:N,2,0),"")</f>
        <v>Antioquia</v>
      </c>
      <c r="R1303" s="27" t="str">
        <f>IF(N1303="Si",IFERROR(VLOOKUP(F1303,'TD Cumpl'!B:AB,27,0),"No Aplica"),"No Aplica")</f>
        <v>Fluctúa</v>
      </c>
      <c r="S1303" s="38">
        <v>76</v>
      </c>
      <c r="T1303" s="36">
        <v>9250077</v>
      </c>
      <c r="U1303" s="26">
        <v>194</v>
      </c>
      <c r="V1303" s="37">
        <v>27542718</v>
      </c>
      <c r="W1303" s="19">
        <v>121</v>
      </c>
      <c r="X1303" s="37">
        <v>11719876</v>
      </c>
      <c r="Y1303" s="46">
        <f t="shared" si="42"/>
        <v>11500136</v>
      </c>
      <c r="Z1303" s="19" t="s">
        <v>318</v>
      </c>
    </row>
    <row r="1304" spans="1:26" x14ac:dyDescent="0.25">
      <c r="A1304" s="20">
        <f>+VLOOKUP(D1304,Back!Q:R,2,0)</f>
        <v>4</v>
      </c>
      <c r="B1304" s="20" t="str">
        <f t="shared" si="41"/>
        <v>2018 ABR</v>
      </c>
      <c r="C1304" s="30">
        <v>2018</v>
      </c>
      <c r="D1304" s="30" t="s">
        <v>140</v>
      </c>
      <c r="E1304" s="30" t="s">
        <v>166</v>
      </c>
      <c r="F1304" s="30">
        <v>1020451288</v>
      </c>
      <c r="G1304" s="30" t="s">
        <v>167</v>
      </c>
      <c r="H1304" s="32">
        <v>55531286</v>
      </c>
      <c r="I1304" s="32">
        <v>1110000</v>
      </c>
      <c r="J1304" s="32">
        <v>9845536</v>
      </c>
      <c r="K1304" s="33">
        <v>44575750</v>
      </c>
      <c r="L1304" s="33">
        <v>44000000</v>
      </c>
      <c r="M1304" s="34">
        <v>1.0130852272727273</v>
      </c>
      <c r="N1304" s="209" t="str">
        <f>IFERROR(VLOOKUP(F1304,Back!C:F,4,0),"NO")</f>
        <v>Si</v>
      </c>
      <c r="O1304" s="26">
        <v>25</v>
      </c>
      <c r="P1304" s="28" t="str">
        <f>IFERROR(VLOOKUP(F1304,Back!C:E,3,0),"")</f>
        <v>IPS Pto De Vista Punto Clave</v>
      </c>
      <c r="Q1304" s="28" t="str">
        <f>IFERROR(VLOOKUP(P1304,Back!M:N,2,0),"")</f>
        <v>Antioquia</v>
      </c>
      <c r="R1304" s="27" t="str">
        <f>IF(N1304="Si",IFERROR(VLOOKUP(F1304,'TD Cumpl'!B:AB,27,0),"No Aplica"),"No Aplica")</f>
        <v>Cumple</v>
      </c>
      <c r="S1304" s="38">
        <v>79</v>
      </c>
      <c r="T1304" s="36">
        <v>7776541</v>
      </c>
      <c r="U1304" s="26">
        <v>234</v>
      </c>
      <c r="V1304" s="37">
        <v>30320701</v>
      </c>
      <c r="W1304" s="19">
        <v>100</v>
      </c>
      <c r="X1304" s="37">
        <v>9845536</v>
      </c>
      <c r="Y1304" s="46">
        <f t="shared" si="42"/>
        <v>7588508</v>
      </c>
      <c r="Z1304" s="19" t="s">
        <v>318</v>
      </c>
    </row>
    <row r="1305" spans="1:26" x14ac:dyDescent="0.25">
      <c r="A1305" s="20">
        <f>+VLOOKUP(D1305,Back!Q:R,2,0)</f>
        <v>4</v>
      </c>
      <c r="B1305" s="20" t="str">
        <f t="shared" si="41"/>
        <v>2018 ABR</v>
      </c>
      <c r="C1305" s="30">
        <v>2018</v>
      </c>
      <c r="D1305" s="30" t="s">
        <v>140</v>
      </c>
      <c r="E1305" s="30" t="s">
        <v>92</v>
      </c>
      <c r="F1305" s="30">
        <v>1017167720</v>
      </c>
      <c r="G1305" s="30" t="s">
        <v>96</v>
      </c>
      <c r="H1305" s="32">
        <v>39961298</v>
      </c>
      <c r="I1305" s="32">
        <v>440000</v>
      </c>
      <c r="J1305" s="32">
        <v>6715984</v>
      </c>
      <c r="K1305" s="33">
        <v>32805314</v>
      </c>
      <c r="L1305" s="33">
        <v>31680000</v>
      </c>
      <c r="M1305" s="34">
        <v>1.0355212752525254</v>
      </c>
      <c r="N1305" s="209" t="str">
        <f>IFERROR(VLOOKUP(F1305,Back!C:F,4,0),"NO")</f>
        <v>Si</v>
      </c>
      <c r="O1305" s="26">
        <v>25</v>
      </c>
      <c r="P1305" s="28" t="str">
        <f>IFERROR(VLOOKUP(F1305,Back!C:E,3,0),"")</f>
        <v>IPS Pto De Vista Punto Clave</v>
      </c>
      <c r="Q1305" s="28" t="str">
        <f>IFERROR(VLOOKUP(P1305,Back!M:N,2,0),"")</f>
        <v>Antioquia</v>
      </c>
      <c r="R1305" s="27" t="str">
        <f>IF(N1305="Si",IFERROR(VLOOKUP(F1305,'TD Cumpl'!B:AB,27,0),"No Aplica"),"No Aplica")</f>
        <v>Cumple</v>
      </c>
      <c r="S1305" s="38">
        <v>68</v>
      </c>
      <c r="T1305" s="36">
        <v>7488782</v>
      </c>
      <c r="U1305" s="26">
        <v>146</v>
      </c>
      <c r="V1305" s="37">
        <v>17717218</v>
      </c>
      <c r="W1305" s="19">
        <v>66</v>
      </c>
      <c r="X1305" s="37">
        <v>6715984</v>
      </c>
      <c r="Y1305" s="46">
        <f t="shared" si="42"/>
        <v>8039314</v>
      </c>
      <c r="Z1305" s="19" t="s">
        <v>319</v>
      </c>
    </row>
    <row r="1306" spans="1:26" x14ac:dyDescent="0.25">
      <c r="A1306" s="20">
        <f>+VLOOKUP(D1306,Back!Q:R,2,0)</f>
        <v>4</v>
      </c>
      <c r="B1306" s="20" t="str">
        <f t="shared" si="41"/>
        <v>2018 ABR</v>
      </c>
      <c r="C1306" s="30">
        <v>2018</v>
      </c>
      <c r="D1306" s="30" t="s">
        <v>140</v>
      </c>
      <c r="E1306" s="30" t="s">
        <v>57</v>
      </c>
      <c r="F1306" s="30">
        <v>43874518</v>
      </c>
      <c r="G1306" s="30" t="s">
        <v>60</v>
      </c>
      <c r="H1306" s="32">
        <v>45235277</v>
      </c>
      <c r="I1306" s="32">
        <v>1084000</v>
      </c>
      <c r="J1306" s="32">
        <v>8243866</v>
      </c>
      <c r="K1306" s="33">
        <v>35907411</v>
      </c>
      <c r="L1306" s="33">
        <v>44000000</v>
      </c>
      <c r="M1306" s="34">
        <v>0.81607752272727274</v>
      </c>
      <c r="N1306" s="209" t="str">
        <f>IFERROR(VLOOKUP(F1306,Back!C:F,4,0),"NO")</f>
        <v>Si</v>
      </c>
      <c r="O1306" s="26">
        <v>25</v>
      </c>
      <c r="P1306" s="28" t="str">
        <f>IFERROR(VLOOKUP(F1306,Back!C:E,3,0),"")</f>
        <v>IPS Pto De Vista Punto Clave</v>
      </c>
      <c r="Q1306" s="28" t="str">
        <f>IFERROR(VLOOKUP(P1306,Back!M:N,2,0),"")</f>
        <v>Antioquia</v>
      </c>
      <c r="R1306" s="27" t="str">
        <f>IF(N1306="Si",IFERROR(VLOOKUP(F1306,'TD Cumpl'!B:AB,27,0),"No Aplica"),"No Aplica")</f>
        <v>Fluctúa</v>
      </c>
      <c r="S1306" s="38">
        <v>79</v>
      </c>
      <c r="T1306" s="36">
        <v>7878830</v>
      </c>
      <c r="U1306" s="26">
        <v>221</v>
      </c>
      <c r="V1306" s="37">
        <v>22531223</v>
      </c>
      <c r="W1306" s="19">
        <v>87</v>
      </c>
      <c r="X1306" s="37">
        <v>8243866</v>
      </c>
      <c r="Y1306" s="46">
        <f t="shared" si="42"/>
        <v>6581358</v>
      </c>
      <c r="Z1306" s="19" t="s">
        <v>318</v>
      </c>
    </row>
    <row r="1307" spans="1:26" x14ac:dyDescent="0.25">
      <c r="A1307" s="20">
        <f>+VLOOKUP(D1307,Back!Q:R,2,0)</f>
        <v>4</v>
      </c>
      <c r="B1307" s="20" t="str">
        <f t="shared" si="41"/>
        <v>2018 ABR</v>
      </c>
      <c r="C1307" s="30">
        <v>2018</v>
      </c>
      <c r="D1307" s="30" t="s">
        <v>140</v>
      </c>
      <c r="E1307" s="30" t="s">
        <v>64</v>
      </c>
      <c r="F1307" s="30">
        <v>1036598360</v>
      </c>
      <c r="G1307" s="30" t="s">
        <v>146</v>
      </c>
      <c r="H1307" s="32">
        <v>57317078</v>
      </c>
      <c r="I1307" s="32">
        <v>660000</v>
      </c>
      <c r="J1307" s="32">
        <v>10715676</v>
      </c>
      <c r="K1307" s="33">
        <v>45941402</v>
      </c>
      <c r="L1307" s="33">
        <v>44000000</v>
      </c>
      <c r="M1307" s="34">
        <v>1.0441227727272728</v>
      </c>
      <c r="N1307" s="209" t="str">
        <f>IFERROR(VLOOKUP(F1307,Back!C:F,4,0),"NO")</f>
        <v>Si</v>
      </c>
      <c r="O1307" s="26">
        <v>25</v>
      </c>
      <c r="P1307" s="28" t="str">
        <f>IFERROR(VLOOKUP(F1307,Back!C:E,3,0),"")</f>
        <v>IPS Pto De Vista Punto Clave</v>
      </c>
      <c r="Q1307" s="28" t="str">
        <f>IFERROR(VLOOKUP(P1307,Back!M:N,2,0),"")</f>
        <v>Antioquia</v>
      </c>
      <c r="R1307" s="27" t="str">
        <f>IF(N1307="Si",IFERROR(VLOOKUP(F1307,'TD Cumpl'!B:AB,27,0),"No Aplica"),"No Aplica")</f>
        <v>Fluctúa</v>
      </c>
      <c r="S1307" s="38">
        <v>93</v>
      </c>
      <c r="T1307" s="36">
        <v>11474955</v>
      </c>
      <c r="U1307" s="26">
        <v>236</v>
      </c>
      <c r="V1307" s="37">
        <v>28965113</v>
      </c>
      <c r="W1307" s="19">
        <v>115</v>
      </c>
      <c r="X1307" s="37">
        <v>10715676</v>
      </c>
      <c r="Y1307" s="46">
        <f t="shared" si="42"/>
        <v>6161334</v>
      </c>
      <c r="Z1307" s="19" t="s">
        <v>318</v>
      </c>
    </row>
    <row r="1308" spans="1:26" x14ac:dyDescent="0.25">
      <c r="A1308" s="20">
        <f>+VLOOKUP(D1308,Back!Q:R,2,0)</f>
        <v>4</v>
      </c>
      <c r="B1308" s="20" t="str">
        <f t="shared" si="41"/>
        <v>2018 ABR</v>
      </c>
      <c r="C1308" s="30">
        <v>2018</v>
      </c>
      <c r="D1308" s="30" t="s">
        <v>140</v>
      </c>
      <c r="E1308" s="30" t="s">
        <v>90</v>
      </c>
      <c r="F1308" s="30">
        <v>1020419011</v>
      </c>
      <c r="G1308" s="30" t="s">
        <v>97</v>
      </c>
      <c r="H1308" s="32">
        <v>45745541</v>
      </c>
      <c r="I1308" s="32">
        <v>1292000</v>
      </c>
      <c r="J1308" s="32">
        <v>9683165</v>
      </c>
      <c r="K1308" s="33">
        <v>34770376</v>
      </c>
      <c r="L1308" s="33">
        <v>24640000</v>
      </c>
      <c r="M1308" s="34">
        <v>1.4111353896103895</v>
      </c>
      <c r="N1308" s="209" t="str">
        <f>IFERROR(VLOOKUP(F1308,Back!C:F,4,0),"NO")</f>
        <v>Si</v>
      </c>
      <c r="O1308" s="26">
        <v>25</v>
      </c>
      <c r="P1308" s="28" t="str">
        <f>IFERROR(VLOOKUP(F1308,Back!C:E,3,0),"")</f>
        <v>IPS Pto De Vista Punto Clave</v>
      </c>
      <c r="Q1308" s="28" t="str">
        <f>IFERROR(VLOOKUP(P1308,Back!M:N,2,0),"")</f>
        <v>Antioquia</v>
      </c>
      <c r="R1308" s="27" t="str">
        <f>IF(N1308="Si",IFERROR(VLOOKUP(F1308,'TD Cumpl'!B:AB,27,0),"No Aplica"),"No Aplica")</f>
        <v>Cumple</v>
      </c>
      <c r="S1308" s="38">
        <v>70</v>
      </c>
      <c r="T1308" s="36">
        <v>8187942</v>
      </c>
      <c r="U1308" s="26">
        <v>183</v>
      </c>
      <c r="V1308" s="37">
        <v>21198990</v>
      </c>
      <c r="W1308" s="19">
        <v>102</v>
      </c>
      <c r="X1308" s="37">
        <v>9683165</v>
      </c>
      <c r="Y1308" s="46">
        <f t="shared" si="42"/>
        <v>6675444</v>
      </c>
      <c r="Z1308" s="19" t="s">
        <v>317</v>
      </c>
    </row>
    <row r="1309" spans="1:26" x14ac:dyDescent="0.25">
      <c r="A1309" s="20">
        <f>+VLOOKUP(D1309,Back!Q:R,2,0)</f>
        <v>4</v>
      </c>
      <c r="B1309" s="20" t="str">
        <f t="shared" si="41"/>
        <v>2018 ABR</v>
      </c>
      <c r="C1309" s="30">
        <v>2018</v>
      </c>
      <c r="D1309" s="30" t="s">
        <v>140</v>
      </c>
      <c r="E1309" s="30" t="s">
        <v>117</v>
      </c>
      <c r="F1309" s="30">
        <v>1020419615</v>
      </c>
      <c r="G1309" s="30" t="s">
        <v>118</v>
      </c>
      <c r="H1309" s="32">
        <v>59024078</v>
      </c>
      <c r="I1309" s="32">
        <v>1664000</v>
      </c>
      <c r="J1309" s="32">
        <v>11986165</v>
      </c>
      <c r="K1309" s="33">
        <v>45373913</v>
      </c>
      <c r="L1309" s="33">
        <v>44000000</v>
      </c>
      <c r="M1309" s="34">
        <v>1.0312252954545456</v>
      </c>
      <c r="N1309" s="209" t="str">
        <f>IFERROR(VLOOKUP(F1309,Back!C:F,4,0),"NO")</f>
        <v>Si</v>
      </c>
      <c r="O1309" s="26">
        <v>25</v>
      </c>
      <c r="P1309" s="28" t="str">
        <f>IFERROR(VLOOKUP(F1309,Back!C:E,3,0),"")</f>
        <v>IPS Pto De Vista Punto Clave</v>
      </c>
      <c r="Q1309" s="28" t="str">
        <f>IFERROR(VLOOKUP(P1309,Back!M:N,2,0),"")</f>
        <v>Antioquia</v>
      </c>
      <c r="R1309" s="27" t="str">
        <f>IF(N1309="Si",IFERROR(VLOOKUP(F1309,'TD Cumpl'!B:AB,27,0),"No Aplica"),"No Aplica")</f>
        <v>Cumple</v>
      </c>
      <c r="S1309" s="38">
        <v>114</v>
      </c>
      <c r="T1309" s="36">
        <v>11212556</v>
      </c>
      <c r="U1309" s="26">
        <v>254</v>
      </c>
      <c r="V1309" s="37">
        <v>26973031</v>
      </c>
      <c r="W1309" s="19">
        <v>130</v>
      </c>
      <c r="X1309" s="37">
        <v>11986165</v>
      </c>
      <c r="Y1309" s="46">
        <f t="shared" si="42"/>
        <v>8852326</v>
      </c>
      <c r="Z1309" s="19" t="s">
        <v>318</v>
      </c>
    </row>
    <row r="1310" spans="1:26" x14ac:dyDescent="0.25">
      <c r="A1310" s="20">
        <f>+VLOOKUP(D1310,Back!Q:R,2,0)</f>
        <v>4</v>
      </c>
      <c r="B1310" s="20" t="str">
        <f t="shared" si="41"/>
        <v>2018 ABR</v>
      </c>
      <c r="C1310" s="30">
        <v>2018</v>
      </c>
      <c r="D1310" s="30" t="s">
        <v>140</v>
      </c>
      <c r="E1310" s="30" t="s">
        <v>6</v>
      </c>
      <c r="F1310" s="30">
        <v>43821410</v>
      </c>
      <c r="G1310" s="30" t="s">
        <v>40</v>
      </c>
      <c r="H1310" s="32">
        <v>80709658</v>
      </c>
      <c r="I1310" s="32">
        <v>675000</v>
      </c>
      <c r="J1310" s="32">
        <v>10565347</v>
      </c>
      <c r="K1310" s="33">
        <v>69469311</v>
      </c>
      <c r="L1310" s="33">
        <v>44000000</v>
      </c>
      <c r="M1310" s="34">
        <v>1.5788479772727273</v>
      </c>
      <c r="N1310" s="209" t="str">
        <f>IFERROR(VLOOKUP(F1310,Back!C:F,4,0),"NO")</f>
        <v>Si</v>
      </c>
      <c r="O1310" s="26">
        <v>25</v>
      </c>
      <c r="P1310" s="28" t="str">
        <f>IFERROR(VLOOKUP(F1310,Back!C:E,3,0),"")</f>
        <v>IPS Pto De Vista Unicentro</v>
      </c>
      <c r="Q1310" s="28" t="str">
        <f>IFERROR(VLOOKUP(P1310,Back!M:N,2,0),"")</f>
        <v>Antioquia</v>
      </c>
      <c r="R1310" s="27" t="str">
        <f>IF(N1310="Si",IFERROR(VLOOKUP(F1310,'TD Cumpl'!B:AB,27,0),"No Aplica"),"No Aplica")</f>
        <v>Siempre Cumple</v>
      </c>
      <c r="S1310" s="38">
        <v>115</v>
      </c>
      <c r="T1310" s="36">
        <v>15338333</v>
      </c>
      <c r="U1310" s="26">
        <v>260</v>
      </c>
      <c r="V1310" s="37">
        <v>47600227</v>
      </c>
      <c r="W1310" s="19">
        <v>122</v>
      </c>
      <c r="X1310" s="37">
        <v>10565347</v>
      </c>
      <c r="Y1310" s="46">
        <f t="shared" si="42"/>
        <v>7205751</v>
      </c>
      <c r="Z1310" s="19" t="s">
        <v>318</v>
      </c>
    </row>
    <row r="1311" spans="1:26" x14ac:dyDescent="0.25">
      <c r="A1311" s="20">
        <f>+VLOOKUP(D1311,Back!Q:R,2,0)</f>
        <v>4</v>
      </c>
      <c r="B1311" s="20" t="str">
        <f t="shared" si="41"/>
        <v>2018 ABR</v>
      </c>
      <c r="C1311" s="30">
        <v>2018</v>
      </c>
      <c r="D1311" s="30" t="s">
        <v>140</v>
      </c>
      <c r="E1311" s="30" t="s">
        <v>22</v>
      </c>
      <c r="F1311" s="30">
        <v>42164020</v>
      </c>
      <c r="G1311" s="30" t="s">
        <v>105</v>
      </c>
      <c r="H1311" s="32">
        <v>65520172</v>
      </c>
      <c r="I1311" s="32">
        <v>1947200</v>
      </c>
      <c r="J1311" s="32">
        <v>13444003</v>
      </c>
      <c r="K1311" s="33">
        <v>50128969</v>
      </c>
      <c r="L1311" s="33">
        <v>44000000</v>
      </c>
      <c r="M1311" s="34">
        <v>1.1392947499999999</v>
      </c>
      <c r="N1311" s="209" t="str">
        <f>IFERROR(VLOOKUP(F1311,Back!C:F,4,0),"NO")</f>
        <v>Si</v>
      </c>
      <c r="O1311" s="26">
        <v>25</v>
      </c>
      <c r="P1311" s="28" t="str">
        <f>IFERROR(VLOOKUP(F1311,Back!C:E,3,0),"")</f>
        <v>IPS Pto De Vista Molinos</v>
      </c>
      <c r="Q1311" s="28" t="str">
        <f>IFERROR(VLOOKUP(P1311,Back!M:N,2,0),"")</f>
        <v>Antioquia</v>
      </c>
      <c r="R1311" s="27" t="str">
        <f>IF(N1311="Si",IFERROR(VLOOKUP(F1311,'TD Cumpl'!B:AB,27,0),"No Aplica"),"No Aplica")</f>
        <v>Siempre Cumple</v>
      </c>
      <c r="S1311" s="38">
        <v>86</v>
      </c>
      <c r="T1311" s="36">
        <v>9645893</v>
      </c>
      <c r="U1311" s="26">
        <v>237</v>
      </c>
      <c r="V1311" s="37">
        <v>34302070</v>
      </c>
      <c r="W1311" s="19">
        <v>144</v>
      </c>
      <c r="X1311" s="37">
        <v>13444003</v>
      </c>
      <c r="Y1311" s="46">
        <f t="shared" si="42"/>
        <v>8128206</v>
      </c>
    </row>
    <row r="1312" spans="1:26" x14ac:dyDescent="0.25">
      <c r="A1312" s="20">
        <f>+VLOOKUP(D1312,Back!Q:R,2,0)</f>
        <v>4</v>
      </c>
      <c r="B1312" s="20" t="str">
        <f t="shared" si="41"/>
        <v>2018 ABR</v>
      </c>
      <c r="C1312" s="30">
        <v>2018</v>
      </c>
      <c r="D1312" s="30" t="s">
        <v>140</v>
      </c>
      <c r="E1312" s="30" t="s">
        <v>7</v>
      </c>
      <c r="F1312" s="30">
        <v>43745952</v>
      </c>
      <c r="G1312" s="30" t="s">
        <v>50</v>
      </c>
      <c r="H1312" s="32">
        <v>65619305</v>
      </c>
      <c r="I1312" s="32">
        <v>2394000</v>
      </c>
      <c r="J1312" s="32">
        <v>10957682</v>
      </c>
      <c r="K1312" s="33">
        <v>52267623</v>
      </c>
      <c r="L1312" s="33">
        <v>44000000</v>
      </c>
      <c r="M1312" s="34">
        <v>1.1879005227272728</v>
      </c>
      <c r="N1312" s="209" t="str">
        <f>IFERROR(VLOOKUP(F1312,Back!C:F,4,0),"NO")</f>
        <v>Si</v>
      </c>
      <c r="O1312" s="26">
        <v>25</v>
      </c>
      <c r="P1312" s="28" t="str">
        <f>IFERROR(VLOOKUP(F1312,Back!C:E,3,0),"")</f>
        <v>IPS Pto De Vista Unicentro</v>
      </c>
      <c r="Q1312" s="28" t="str">
        <f>IFERROR(VLOOKUP(P1312,Back!M:N,2,0),"")</f>
        <v>Antioquia</v>
      </c>
      <c r="R1312" s="27" t="str">
        <f>IF(N1312="Si",IFERROR(VLOOKUP(F1312,'TD Cumpl'!B:AB,27,0),"No Aplica"),"No Aplica")</f>
        <v>Siempre Cumple</v>
      </c>
      <c r="S1312" s="38">
        <v>107</v>
      </c>
      <c r="T1312" s="36">
        <v>12069861</v>
      </c>
      <c r="U1312" s="26">
        <v>258</v>
      </c>
      <c r="V1312" s="37">
        <v>35038419</v>
      </c>
      <c r="W1312" s="19">
        <v>123</v>
      </c>
      <c r="X1312" s="37">
        <v>10957682</v>
      </c>
      <c r="Y1312" s="46">
        <f t="shared" si="42"/>
        <v>7553343</v>
      </c>
      <c r="Z1312" s="19" t="s">
        <v>318</v>
      </c>
    </row>
    <row r="1313" spans="1:26" x14ac:dyDescent="0.25">
      <c r="A1313" s="20">
        <f>+VLOOKUP(D1313,Back!Q:R,2,0)</f>
        <v>4</v>
      </c>
      <c r="B1313" s="20" t="str">
        <f t="shared" si="41"/>
        <v>2018 ABR</v>
      </c>
      <c r="C1313" s="30">
        <v>2018</v>
      </c>
      <c r="D1313" s="30" t="s">
        <v>140</v>
      </c>
      <c r="E1313" s="30" t="s">
        <v>81</v>
      </c>
      <c r="F1313" s="30">
        <v>1017200970</v>
      </c>
      <c r="G1313" s="30" t="s">
        <v>82</v>
      </c>
      <c r="H1313" s="32">
        <v>46437627</v>
      </c>
      <c r="I1313" s="32">
        <v>440000</v>
      </c>
      <c r="J1313" s="32">
        <v>8416252</v>
      </c>
      <c r="K1313" s="33">
        <v>37581375</v>
      </c>
      <c r="L1313" s="33">
        <v>36000000</v>
      </c>
      <c r="M1313" s="34">
        <v>1.0439270833333334</v>
      </c>
      <c r="N1313" s="209" t="str">
        <f>IFERROR(VLOOKUP(F1313,Back!C:F,4,0),"NO")</f>
        <v>Si</v>
      </c>
      <c r="O1313" s="26">
        <v>25</v>
      </c>
      <c r="P1313" s="28" t="str">
        <f>IFERROR(VLOOKUP(F1313,Back!C:E,3,0),"")</f>
        <v>IPS Pto De Vista San Diego</v>
      </c>
      <c r="Q1313" s="28" t="str">
        <f>IFERROR(VLOOKUP(P1313,Back!M:N,2,0),"")</f>
        <v>Antioquia</v>
      </c>
      <c r="R1313" s="27" t="str">
        <f>IF(N1313="Si",IFERROR(VLOOKUP(F1313,'TD Cumpl'!B:AB,27,0),"No Aplica"),"No Aplica")</f>
        <v>Cumple</v>
      </c>
      <c r="S1313" s="38">
        <v>83</v>
      </c>
      <c r="T1313" s="36">
        <v>9824809</v>
      </c>
      <c r="U1313" s="26">
        <v>173</v>
      </c>
      <c r="V1313" s="37">
        <v>22038264</v>
      </c>
      <c r="W1313" s="19">
        <v>89</v>
      </c>
      <c r="X1313" s="37">
        <v>8416252</v>
      </c>
      <c r="Y1313" s="46">
        <f t="shared" si="42"/>
        <v>6158302</v>
      </c>
      <c r="Z1313" s="19" t="s">
        <v>318</v>
      </c>
    </row>
    <row r="1314" spans="1:26" x14ac:dyDescent="0.25">
      <c r="A1314" s="20">
        <f>+VLOOKUP(D1314,Back!Q:R,2,0)</f>
        <v>4</v>
      </c>
      <c r="B1314" s="20" t="str">
        <f t="shared" si="41"/>
        <v>2018 ABR</v>
      </c>
      <c r="C1314" s="30">
        <v>2018</v>
      </c>
      <c r="D1314" s="30" t="s">
        <v>140</v>
      </c>
      <c r="E1314" s="30" t="s">
        <v>91</v>
      </c>
      <c r="F1314" s="30">
        <v>43114534</v>
      </c>
      <c r="G1314" s="30" t="s">
        <v>95</v>
      </c>
      <c r="H1314" s="32">
        <v>17351830</v>
      </c>
      <c r="I1314" s="32">
        <v>608000</v>
      </c>
      <c r="J1314" s="32">
        <v>0</v>
      </c>
      <c r="K1314" s="33">
        <v>16743830</v>
      </c>
      <c r="L1314" s="33">
        <v>10080000</v>
      </c>
      <c r="M1314" s="34">
        <v>1.6610942460317459</v>
      </c>
      <c r="N1314" s="209" t="str">
        <f>IFERROR(VLOOKUP(F1314,Back!C:F,4,0),"NO")</f>
        <v>No</v>
      </c>
      <c r="O1314" s="26">
        <v>25</v>
      </c>
      <c r="P1314" s="28" t="str">
        <f>IFERROR(VLOOKUP(F1314,Back!C:E,3,0),"")</f>
        <v>IPS Pto De Vista San Diego</v>
      </c>
      <c r="Q1314" s="28" t="str">
        <f>IFERROR(VLOOKUP(P1314,Back!M:N,2,0),"")</f>
        <v>Antioquia</v>
      </c>
      <c r="R1314" s="27" t="str">
        <f>IF(N1314="Si",IFERROR(VLOOKUP(F1314,'TD Cumpl'!B:AB,27,0),"No Aplica"),"No Aplica")</f>
        <v>No Aplica</v>
      </c>
      <c r="S1314" s="38">
        <v>34</v>
      </c>
      <c r="T1314" s="36">
        <v>3354149</v>
      </c>
      <c r="U1314" s="26">
        <v>99</v>
      </c>
      <c r="V1314" s="37">
        <v>11708590</v>
      </c>
      <c r="W1314" s="19">
        <v>0</v>
      </c>
      <c r="X1314" s="37">
        <v>0</v>
      </c>
      <c r="Y1314" s="46">
        <f t="shared" si="42"/>
        <v>2289091</v>
      </c>
    </row>
    <row r="1315" spans="1:26" x14ac:dyDescent="0.25">
      <c r="A1315" s="20">
        <f>+VLOOKUP(D1315,Back!Q:R,2,0)</f>
        <v>4</v>
      </c>
      <c r="B1315" s="20" t="str">
        <f t="shared" si="41"/>
        <v>2018 ABR</v>
      </c>
      <c r="C1315" s="30">
        <v>2018</v>
      </c>
      <c r="D1315" s="30" t="s">
        <v>140</v>
      </c>
      <c r="E1315" s="30" t="s">
        <v>17</v>
      </c>
      <c r="F1315" s="30">
        <v>43113640</v>
      </c>
      <c r="G1315" s="30" t="s">
        <v>47</v>
      </c>
      <c r="H1315" s="32">
        <v>59721687</v>
      </c>
      <c r="I1315" s="32">
        <v>894000</v>
      </c>
      <c r="J1315" s="32">
        <v>14116060</v>
      </c>
      <c r="K1315" s="33">
        <v>44711627</v>
      </c>
      <c r="L1315" s="33">
        <v>36000000</v>
      </c>
      <c r="M1315" s="34">
        <v>1.2419896388888889</v>
      </c>
      <c r="N1315" s="209" t="str">
        <f>IFERROR(VLOOKUP(F1315,Back!C:F,4,0),"NO")</f>
        <v>Si</v>
      </c>
      <c r="O1315" s="26">
        <v>25</v>
      </c>
      <c r="P1315" s="28" t="str">
        <f>IFERROR(VLOOKUP(F1315,Back!C:E,3,0),"")</f>
        <v>IPS Pto De Vista San Diego</v>
      </c>
      <c r="Q1315" s="28" t="str">
        <f>IFERROR(VLOOKUP(P1315,Back!M:N,2,0),"")</f>
        <v>Antioquia</v>
      </c>
      <c r="R1315" s="27" t="str">
        <f>IF(N1315="Si",IFERROR(VLOOKUP(F1315,'TD Cumpl'!B:AB,27,0),"No Aplica"),"No Aplica")</f>
        <v>Cumple</v>
      </c>
      <c r="S1315" s="38">
        <v>95</v>
      </c>
      <c r="T1315" s="36">
        <v>10721503</v>
      </c>
      <c r="U1315" s="26">
        <v>225</v>
      </c>
      <c r="V1315" s="37">
        <v>29472881</v>
      </c>
      <c r="W1315" s="19">
        <v>152</v>
      </c>
      <c r="X1315" s="37">
        <v>14116060</v>
      </c>
      <c r="Y1315" s="46">
        <f t="shared" si="42"/>
        <v>5411243</v>
      </c>
      <c r="Z1315" s="19" t="s">
        <v>318</v>
      </c>
    </row>
    <row r="1316" spans="1:26" x14ac:dyDescent="0.25">
      <c r="A1316" s="20">
        <f>+VLOOKUP(D1316,Back!Q:R,2,0)</f>
        <v>4</v>
      </c>
      <c r="B1316" s="20" t="str">
        <f t="shared" si="41"/>
        <v>2018 ABR</v>
      </c>
      <c r="C1316" s="30">
        <v>2018</v>
      </c>
      <c r="D1316" s="30" t="s">
        <v>140</v>
      </c>
      <c r="E1316" s="30" t="s">
        <v>84</v>
      </c>
      <c r="F1316" s="30">
        <v>1020736461</v>
      </c>
      <c r="G1316" s="30" t="s">
        <v>156</v>
      </c>
      <c r="H1316" s="32">
        <v>47658195</v>
      </c>
      <c r="I1316" s="32">
        <v>880000</v>
      </c>
      <c r="J1316" s="32">
        <v>7519142</v>
      </c>
      <c r="K1316" s="33">
        <v>39259053</v>
      </c>
      <c r="L1316" s="33">
        <v>28000000</v>
      </c>
      <c r="M1316" s="34">
        <v>1.4021090357142858</v>
      </c>
      <c r="N1316" s="209" t="str">
        <f>IFERROR(VLOOKUP(F1316,Back!C:F,4,0),"NO")</f>
        <v>Si</v>
      </c>
      <c r="O1316" s="26">
        <v>25</v>
      </c>
      <c r="P1316" s="28" t="str">
        <f>IFERROR(VLOOKUP(F1316,Back!C:E,3,0),"")</f>
        <v>IPS Pto De Vista Santa Bárbara</v>
      </c>
      <c r="Q1316" s="28" t="str">
        <f>IFERROR(VLOOKUP(P1316,Back!M:N,2,0),"")</f>
        <v>Centro</v>
      </c>
      <c r="R1316" s="27" t="str">
        <f>IF(N1316="Si",IFERROR(VLOOKUP(F1316,'TD Cumpl'!B:AB,27,0),"No Aplica"),"No Aplica")</f>
        <v>Siempre Cumple</v>
      </c>
      <c r="S1316" s="38">
        <v>72</v>
      </c>
      <c r="T1316" s="36">
        <v>8380318</v>
      </c>
      <c r="U1316" s="26">
        <v>208</v>
      </c>
      <c r="V1316" s="37">
        <v>26827910</v>
      </c>
      <c r="W1316" s="19">
        <v>97</v>
      </c>
      <c r="X1316" s="37">
        <v>7519142</v>
      </c>
      <c r="Y1316" s="46">
        <f t="shared" si="42"/>
        <v>4930825</v>
      </c>
      <c r="Z1316" s="19" t="s">
        <v>318</v>
      </c>
    </row>
    <row r="1317" spans="1:26" x14ac:dyDescent="0.25">
      <c r="A1317" s="20">
        <f>+VLOOKUP(D1317,Back!Q:R,2,0)</f>
        <v>4</v>
      </c>
      <c r="B1317" s="20" t="str">
        <f t="shared" si="41"/>
        <v>2018 ABR</v>
      </c>
      <c r="C1317" s="30">
        <v>2018</v>
      </c>
      <c r="D1317" s="30" t="s">
        <v>140</v>
      </c>
      <c r="E1317" s="30" t="s">
        <v>102</v>
      </c>
      <c r="F1317" s="30">
        <v>79850984</v>
      </c>
      <c r="G1317" s="30" t="s">
        <v>106</v>
      </c>
      <c r="H1317" s="32">
        <v>16350782</v>
      </c>
      <c r="I1317" s="32">
        <v>1818200</v>
      </c>
      <c r="J1317" s="32">
        <v>2118771</v>
      </c>
      <c r="K1317" s="33">
        <v>12413811</v>
      </c>
      <c r="L1317" s="33">
        <v>17920000</v>
      </c>
      <c r="M1317" s="34">
        <v>0.69273498883928575</v>
      </c>
      <c r="N1317" s="209" t="str">
        <f>IFERROR(VLOOKUP(F1317,Back!C:F,4,0),"NO")</f>
        <v>Si</v>
      </c>
      <c r="O1317" s="26">
        <v>25</v>
      </c>
      <c r="P1317" s="28" t="str">
        <f>IFERROR(VLOOKUP(F1317,Back!C:E,3,0),"")</f>
        <v>IPS Pto De Vista SSura Clle100</v>
      </c>
      <c r="Q1317" s="28" t="str">
        <f>IFERROR(VLOOKUP(P1317,Back!M:N,2,0),"")</f>
        <v>Centro</v>
      </c>
      <c r="R1317" s="27" t="str">
        <f>IF(N1317="Si",IFERROR(VLOOKUP(F1317,'TD Cumpl'!B:AB,27,0),"No Aplica"),"No Aplica")</f>
        <v>Fluctúa</v>
      </c>
      <c r="S1317" s="38">
        <v>38</v>
      </c>
      <c r="T1317" s="36">
        <v>2876264</v>
      </c>
      <c r="U1317" s="26">
        <v>94</v>
      </c>
      <c r="V1317" s="37">
        <v>7941492</v>
      </c>
      <c r="W1317" s="19">
        <v>36</v>
      </c>
      <c r="X1317" s="37">
        <v>2118771</v>
      </c>
      <c r="Y1317" s="46">
        <f t="shared" si="42"/>
        <v>3414255</v>
      </c>
      <c r="Z1317" s="19" t="s">
        <v>319</v>
      </c>
    </row>
    <row r="1318" spans="1:26" x14ac:dyDescent="0.25">
      <c r="A1318" s="20">
        <f>+VLOOKUP(D1318,Back!Q:R,2,0)</f>
        <v>4</v>
      </c>
      <c r="B1318" s="20" t="str">
        <f t="shared" si="41"/>
        <v>2018 ABR</v>
      </c>
      <c r="C1318" s="30">
        <v>2018</v>
      </c>
      <c r="D1318" s="30" t="s">
        <v>140</v>
      </c>
      <c r="E1318" s="30" t="s">
        <v>2</v>
      </c>
      <c r="F1318" s="30">
        <v>52260671</v>
      </c>
      <c r="G1318" s="30" t="s">
        <v>26</v>
      </c>
      <c r="H1318" s="32">
        <v>37796484</v>
      </c>
      <c r="I1318" s="32">
        <v>2214000</v>
      </c>
      <c r="J1318" s="32">
        <v>6336908</v>
      </c>
      <c r="K1318" s="33">
        <v>29245576</v>
      </c>
      <c r="L1318" s="33">
        <v>28000000</v>
      </c>
      <c r="M1318" s="34">
        <v>1.0444848571428571</v>
      </c>
      <c r="N1318" s="209" t="str">
        <f>IFERROR(VLOOKUP(F1318,Back!C:F,4,0),"NO")</f>
        <v>Si</v>
      </c>
      <c r="O1318" s="26">
        <v>25</v>
      </c>
      <c r="P1318" s="28" t="str">
        <f>IFERROR(VLOOKUP(F1318,Back!C:E,3,0),"")</f>
        <v>IPS Pto De Vista Santa Bárbara</v>
      </c>
      <c r="Q1318" s="28" t="str">
        <f>IFERROR(VLOOKUP(P1318,Back!M:N,2,0),"")</f>
        <v>Centro</v>
      </c>
      <c r="R1318" s="27" t="str">
        <f>IF(N1318="Si",IFERROR(VLOOKUP(F1318,'TD Cumpl'!B:AB,27,0),"No Aplica"),"No Aplica")</f>
        <v>Siempre Cumple</v>
      </c>
      <c r="S1318" s="38">
        <v>66</v>
      </c>
      <c r="T1318" s="36">
        <v>6554839</v>
      </c>
      <c r="U1318" s="26">
        <v>188</v>
      </c>
      <c r="V1318" s="37">
        <v>19342152</v>
      </c>
      <c r="W1318" s="19">
        <v>84</v>
      </c>
      <c r="X1318" s="37">
        <v>6336908</v>
      </c>
      <c r="Y1318" s="46">
        <f t="shared" si="42"/>
        <v>5562585</v>
      </c>
      <c r="Z1318" s="19" t="s">
        <v>318</v>
      </c>
    </row>
    <row r="1319" spans="1:26" x14ac:dyDescent="0.25">
      <c r="A1319" s="20">
        <f>+VLOOKUP(D1319,Back!Q:R,2,0)</f>
        <v>4</v>
      </c>
      <c r="B1319" s="20" t="str">
        <f t="shared" si="41"/>
        <v>2018 ABR</v>
      </c>
      <c r="C1319" s="30">
        <v>2018</v>
      </c>
      <c r="D1319" s="30" t="s">
        <v>140</v>
      </c>
      <c r="E1319" s="30" t="s">
        <v>38</v>
      </c>
      <c r="F1319" s="30">
        <v>43745192</v>
      </c>
      <c r="G1319" s="30" t="s">
        <v>45</v>
      </c>
      <c r="H1319" s="32">
        <v>37296616</v>
      </c>
      <c r="I1319" s="32">
        <v>766800</v>
      </c>
      <c r="J1319" s="32">
        <v>4198870</v>
      </c>
      <c r="K1319" s="33">
        <v>32330946</v>
      </c>
      <c r="L1319" s="33">
        <v>30000000</v>
      </c>
      <c r="M1319" s="34">
        <v>1.0776981999999999</v>
      </c>
      <c r="N1319" s="209" t="str">
        <f>IFERROR(VLOOKUP(F1319,Back!C:F,4,0),"NO")</f>
        <v>Si</v>
      </c>
      <c r="O1319" s="26">
        <v>25</v>
      </c>
      <c r="P1319" s="28" t="str">
        <f>IFERROR(VLOOKUP(F1319,Back!C:E,3,0),"")</f>
        <v>IPS Punto de Vista Mayorca</v>
      </c>
      <c r="Q1319" s="28" t="str">
        <f>IFERROR(VLOOKUP(P1319,Back!M:N,2,0),"")</f>
        <v>Antioquia</v>
      </c>
      <c r="R1319" s="27" t="str">
        <f>IF(N1319="Si",IFERROR(VLOOKUP(F1319,'TD Cumpl'!B:AB,27,0),"No Aplica"),"No Aplica")</f>
        <v>Cumple</v>
      </c>
      <c r="S1319" s="38">
        <v>47</v>
      </c>
      <c r="T1319" s="36">
        <v>8244233</v>
      </c>
      <c r="U1319" s="26">
        <v>151</v>
      </c>
      <c r="V1319" s="37">
        <v>21557591</v>
      </c>
      <c r="W1319" s="19">
        <v>54</v>
      </c>
      <c r="X1319" s="37">
        <v>4198870</v>
      </c>
      <c r="Y1319" s="46">
        <f t="shared" si="42"/>
        <v>3295922</v>
      </c>
      <c r="Z1319" s="19" t="s">
        <v>318</v>
      </c>
    </row>
    <row r="1320" spans="1:26" x14ac:dyDescent="0.25">
      <c r="A1320" s="20">
        <f>+VLOOKUP(D1320,Back!Q:R,2,0)</f>
        <v>4</v>
      </c>
      <c r="B1320" s="20" t="str">
        <f t="shared" si="41"/>
        <v>2018 ABR</v>
      </c>
      <c r="C1320" s="30">
        <v>2018</v>
      </c>
      <c r="D1320" s="30" t="s">
        <v>140</v>
      </c>
      <c r="E1320" s="30" t="s">
        <v>237</v>
      </c>
      <c r="F1320" s="30">
        <v>1151951440</v>
      </c>
      <c r="G1320" s="30" t="s">
        <v>238</v>
      </c>
      <c r="H1320" s="32">
        <v>12178930</v>
      </c>
      <c r="I1320" s="32">
        <v>0</v>
      </c>
      <c r="J1320" s="32">
        <v>5435254</v>
      </c>
      <c r="K1320" s="33">
        <v>6743676</v>
      </c>
      <c r="L1320" s="33">
        <v>27600000</v>
      </c>
      <c r="M1320" s="34">
        <v>0.24433608695652173</v>
      </c>
      <c r="N1320" s="209" t="str">
        <f>IFERROR(VLOOKUP(F1320,Back!C:F,4,0),"NO")</f>
        <v>No</v>
      </c>
      <c r="O1320" s="26">
        <v>25</v>
      </c>
      <c r="P1320" s="28" t="str">
        <f>IFERROR(VLOOKUP(F1320,Back!C:E,3,0),"")</f>
        <v>Punto de Vista Cali Norte</v>
      </c>
      <c r="Q1320" s="28" t="str">
        <f>IFERROR(VLOOKUP(P1320,Back!M:N,2,0),"")</f>
        <v>Occidente</v>
      </c>
      <c r="R1320" s="27" t="str">
        <f>IF(N1320="Si",IFERROR(VLOOKUP(F1320,'TD Cumpl'!B:AB,27,0),"No Aplica"),"No Aplica")</f>
        <v>No Aplica</v>
      </c>
      <c r="S1320" s="38">
        <v>12</v>
      </c>
      <c r="T1320" s="36">
        <v>1449162</v>
      </c>
      <c r="U1320" s="26">
        <v>50</v>
      </c>
      <c r="V1320" s="37">
        <v>4708434</v>
      </c>
      <c r="W1320" s="19">
        <v>57</v>
      </c>
      <c r="X1320" s="37">
        <v>5435254</v>
      </c>
      <c r="Y1320" s="46">
        <f t="shared" si="42"/>
        <v>586080</v>
      </c>
    </row>
    <row r="1321" spans="1:26" x14ac:dyDescent="0.25">
      <c r="A1321" s="20">
        <f>+VLOOKUP(D1321,Back!Q:R,2,0)</f>
        <v>4</v>
      </c>
      <c r="B1321" s="20" t="str">
        <f t="shared" si="41"/>
        <v>2018 ABR</v>
      </c>
      <c r="C1321" s="30">
        <v>2018</v>
      </c>
      <c r="D1321" s="30" t="s">
        <v>140</v>
      </c>
      <c r="E1321" s="30" t="s">
        <v>88</v>
      </c>
      <c r="F1321" s="30">
        <v>31445278</v>
      </c>
      <c r="G1321" s="30" t="s">
        <v>93</v>
      </c>
      <c r="H1321" s="32">
        <v>33108617</v>
      </c>
      <c r="I1321" s="32">
        <v>0</v>
      </c>
      <c r="J1321" s="32">
        <v>7293942</v>
      </c>
      <c r="K1321" s="33">
        <v>25814675</v>
      </c>
      <c r="L1321" s="33">
        <v>27600000</v>
      </c>
      <c r="M1321" s="34">
        <v>0.93531431159420286</v>
      </c>
      <c r="N1321" s="209" t="str">
        <f>IFERROR(VLOOKUP(F1321,Back!C:F,4,0),"NO")</f>
        <v>Si</v>
      </c>
      <c r="O1321" s="26">
        <v>25</v>
      </c>
      <c r="P1321" s="28" t="str">
        <f>IFERROR(VLOOKUP(F1321,Back!C:E,3,0),"")</f>
        <v>Punto de Vista Tequendama</v>
      </c>
      <c r="Q1321" s="28" t="str">
        <f>IFERROR(VLOOKUP(P1321,Back!M:N,2,0),"")</f>
        <v>Occidente</v>
      </c>
      <c r="R1321" s="27" t="str">
        <f>IF(N1321="Si",IFERROR(VLOOKUP(F1321,'TD Cumpl'!B:AB,27,0),"No Aplica"),"No Aplica")</f>
        <v>Cumple</v>
      </c>
      <c r="S1321" s="38">
        <v>58</v>
      </c>
      <c r="T1321" s="36">
        <v>6022238</v>
      </c>
      <c r="U1321" s="26">
        <v>204</v>
      </c>
      <c r="V1321" s="37">
        <v>17105975</v>
      </c>
      <c r="W1321" s="19">
        <v>87</v>
      </c>
      <c r="X1321" s="37">
        <v>7293942</v>
      </c>
      <c r="Y1321" s="46">
        <f t="shared" si="42"/>
        <v>2686462</v>
      </c>
      <c r="Z1321" s="19" t="s">
        <v>318</v>
      </c>
    </row>
    <row r="1322" spans="1:26" x14ac:dyDescent="0.25">
      <c r="A1322" s="20">
        <f>+VLOOKUP(D1322,Back!Q:R,2,0)</f>
        <v>4</v>
      </c>
      <c r="B1322" s="20" t="str">
        <f t="shared" si="41"/>
        <v>2018 ABR</v>
      </c>
      <c r="C1322" s="30">
        <v>2018</v>
      </c>
      <c r="D1322" s="30" t="s">
        <v>140</v>
      </c>
      <c r="E1322" s="30" t="s">
        <v>149</v>
      </c>
      <c r="F1322" s="30">
        <v>1130597373</v>
      </c>
      <c r="G1322" s="30" t="s">
        <v>150</v>
      </c>
      <c r="H1322" s="32">
        <v>43546082</v>
      </c>
      <c r="I1322" s="32">
        <v>0</v>
      </c>
      <c r="J1322" s="32">
        <v>9088283</v>
      </c>
      <c r="K1322" s="33">
        <v>34457799</v>
      </c>
      <c r="L1322" s="33">
        <v>27600000</v>
      </c>
      <c r="M1322" s="34">
        <v>1.2484709782608696</v>
      </c>
      <c r="N1322" s="209" t="str">
        <f>IFERROR(VLOOKUP(F1322,Back!C:F,4,0),"NO")</f>
        <v>Si</v>
      </c>
      <c r="O1322" s="26">
        <v>25</v>
      </c>
      <c r="P1322" s="28" t="str">
        <f>IFERROR(VLOOKUP(F1322,Back!C:E,3,0),"")</f>
        <v>Punto de Vista Cali Norte</v>
      </c>
      <c r="Q1322" s="28" t="str">
        <f>IFERROR(VLOOKUP(P1322,Back!M:N,2,0),"")</f>
        <v>Occidente</v>
      </c>
      <c r="R1322" s="27" t="str">
        <f>IF(N1322="Si",IFERROR(VLOOKUP(F1322,'TD Cumpl'!B:AB,27,0),"No Aplica"),"No Aplica")</f>
        <v>Fluctúa</v>
      </c>
      <c r="S1322" s="38">
        <v>66</v>
      </c>
      <c r="T1322" s="36">
        <v>8734689</v>
      </c>
      <c r="U1322" s="26">
        <v>220</v>
      </c>
      <c r="V1322" s="37">
        <v>22990287</v>
      </c>
      <c r="W1322" s="19">
        <v>98</v>
      </c>
      <c r="X1322" s="37">
        <v>9088283</v>
      </c>
      <c r="Y1322" s="46">
        <f t="shared" si="42"/>
        <v>2732823</v>
      </c>
      <c r="Z1322" s="19" t="s">
        <v>318</v>
      </c>
    </row>
    <row r="1323" spans="1:26" x14ac:dyDescent="0.25">
      <c r="A1323" s="20">
        <f>+VLOOKUP(D1323,Back!Q:R,2,0)</f>
        <v>4</v>
      </c>
      <c r="B1323" s="20" t="str">
        <f t="shared" si="41"/>
        <v>2018 ABR</v>
      </c>
      <c r="C1323" s="30">
        <v>2018</v>
      </c>
      <c r="D1323" s="30" t="s">
        <v>140</v>
      </c>
      <c r="E1323" s="30" t="s">
        <v>5</v>
      </c>
      <c r="F1323" s="30">
        <v>34542470</v>
      </c>
      <c r="G1323" s="30" t="s">
        <v>28</v>
      </c>
      <c r="H1323" s="32">
        <v>54617949</v>
      </c>
      <c r="I1323" s="32">
        <v>2651040</v>
      </c>
      <c r="J1323" s="32">
        <v>6997980</v>
      </c>
      <c r="K1323" s="33">
        <v>44968929</v>
      </c>
      <c r="L1323" s="33">
        <v>35000000</v>
      </c>
      <c r="M1323" s="34">
        <v>1.2848265428571428</v>
      </c>
      <c r="N1323" s="209" t="str">
        <f>IFERROR(VLOOKUP(F1323,Back!C:F,4,0),"NO")</f>
        <v>Si</v>
      </c>
      <c r="O1323" s="26">
        <v>25</v>
      </c>
      <c r="P1323" s="28" t="str">
        <f>IFERROR(VLOOKUP(F1323,Back!C:E,3,0),"")</f>
        <v>Optica Salud Sura Chipichape</v>
      </c>
      <c r="Q1323" s="28" t="str">
        <f>IFERROR(VLOOKUP(P1323,Back!M:N,2,0),"")</f>
        <v>Occidente</v>
      </c>
      <c r="R1323" s="27" t="str">
        <f>IF(N1323="Si",IFERROR(VLOOKUP(F1323,'TD Cumpl'!B:AB,27,0),"No Aplica"),"No Aplica")</f>
        <v>Siempre Cumple</v>
      </c>
      <c r="S1323" s="38">
        <v>80</v>
      </c>
      <c r="T1323" s="36">
        <v>14659345</v>
      </c>
      <c r="U1323" s="26">
        <v>222</v>
      </c>
      <c r="V1323" s="37">
        <v>28011925</v>
      </c>
      <c r="W1323" s="19">
        <v>76</v>
      </c>
      <c r="X1323" s="37">
        <v>6997980</v>
      </c>
      <c r="Y1323" s="46">
        <f t="shared" si="42"/>
        <v>4948699</v>
      </c>
      <c r="Z1323" s="19" t="s">
        <v>318</v>
      </c>
    </row>
    <row r="1324" spans="1:26" x14ac:dyDescent="0.25">
      <c r="A1324" s="20">
        <f>+VLOOKUP(D1324,Back!Q:R,2,0)</f>
        <v>4</v>
      </c>
      <c r="B1324" s="20" t="str">
        <f t="shared" si="41"/>
        <v>2018 ABR</v>
      </c>
      <c r="C1324" s="30">
        <v>2018</v>
      </c>
      <c r="D1324" s="30" t="s">
        <v>140</v>
      </c>
      <c r="E1324" s="30" t="s">
        <v>249</v>
      </c>
      <c r="F1324" s="30"/>
      <c r="G1324" s="30"/>
      <c r="H1324" s="32">
        <v>5576682</v>
      </c>
      <c r="I1324" s="32">
        <v>0</v>
      </c>
      <c r="J1324" s="32">
        <v>2743211</v>
      </c>
      <c r="K1324" s="33">
        <v>2833471</v>
      </c>
      <c r="L1324" s="33"/>
      <c r="M1324" s="34"/>
      <c r="N1324" s="209" t="str">
        <f>IFERROR(VLOOKUP(F1324,Back!C:F,4,0),"NO")</f>
        <v>NO</v>
      </c>
      <c r="O1324" s="26">
        <v>25</v>
      </c>
      <c r="P1324" s="28" t="str">
        <f>IFERROR(VLOOKUP(F1324,Back!C:E,3,0),"")</f>
        <v/>
      </c>
      <c r="Q1324" s="28" t="str">
        <f>IFERROR(VLOOKUP(P1324,Back!M:N,2,0),"")</f>
        <v/>
      </c>
      <c r="R1324" s="27" t="str">
        <f>IF(N1324="Si",IFERROR(VLOOKUP(F1324,'TD Cumpl'!B:AB,27,0),"No Aplica"),"No Aplica")</f>
        <v>No Aplica</v>
      </c>
      <c r="S1324" s="38">
        <v>5</v>
      </c>
      <c r="T1324" s="36">
        <v>853779</v>
      </c>
      <c r="U1324" s="26">
        <v>12</v>
      </c>
      <c r="V1324" s="37">
        <v>1772173</v>
      </c>
      <c r="W1324" s="19">
        <v>25</v>
      </c>
      <c r="X1324" s="37">
        <v>2743211</v>
      </c>
      <c r="Y1324" s="46">
        <f t="shared" si="42"/>
        <v>207519</v>
      </c>
    </row>
    <row r="1325" spans="1:26" x14ac:dyDescent="0.25">
      <c r="A1325" s="20">
        <f>+VLOOKUP(D1325,Back!Q:R,2,0)</f>
        <v>4</v>
      </c>
      <c r="B1325" s="20" t="str">
        <f t="shared" si="41"/>
        <v>2018 ABR</v>
      </c>
      <c r="C1325" s="30">
        <v>2018</v>
      </c>
      <c r="D1325" s="30" t="s">
        <v>140</v>
      </c>
      <c r="E1325" s="30" t="s">
        <v>189</v>
      </c>
      <c r="F1325" s="30"/>
      <c r="G1325" s="30"/>
      <c r="H1325" s="32">
        <v>76800</v>
      </c>
      <c r="I1325" s="32">
        <v>0</v>
      </c>
      <c r="J1325" s="32">
        <v>76800</v>
      </c>
      <c r="K1325" s="33">
        <v>0</v>
      </c>
      <c r="L1325" s="33"/>
      <c r="M1325" s="34"/>
      <c r="N1325" s="209" t="str">
        <f>IFERROR(VLOOKUP(F1325,Back!C:F,4,0),"NO")</f>
        <v>NO</v>
      </c>
      <c r="O1325" s="26">
        <v>25</v>
      </c>
      <c r="P1325" s="28" t="str">
        <f>IFERROR(VLOOKUP(F1325,Back!C:E,3,0),"")</f>
        <v/>
      </c>
      <c r="Q1325" s="28" t="str">
        <f>IFERROR(VLOOKUP(P1325,Back!M:N,2,0),"")</f>
        <v/>
      </c>
      <c r="R1325" s="27" t="str">
        <f>IF(N1325="Si",IFERROR(VLOOKUP(F1325,'TD Cumpl'!B:AB,27,0),"No Aplica"),"No Aplica")</f>
        <v>No Aplica</v>
      </c>
      <c r="S1325" s="38">
        <v>0</v>
      </c>
      <c r="T1325" s="36">
        <v>0</v>
      </c>
      <c r="U1325" s="26">
        <v>0</v>
      </c>
      <c r="V1325" s="37">
        <v>0</v>
      </c>
      <c r="W1325" s="19">
        <v>0</v>
      </c>
      <c r="X1325" s="37">
        <v>0</v>
      </c>
      <c r="Y1325" s="46">
        <f t="shared" si="42"/>
        <v>76800</v>
      </c>
    </row>
    <row r="1326" spans="1:26" x14ac:dyDescent="0.25">
      <c r="A1326" s="20">
        <f>+VLOOKUP(D1326,Back!Q:R,2,0)</f>
        <v>4</v>
      </c>
      <c r="B1326" s="20" t="str">
        <f t="shared" si="41"/>
        <v>2018 ABR</v>
      </c>
      <c r="C1326" s="30">
        <v>2018</v>
      </c>
      <c r="D1326" s="30" t="s">
        <v>140</v>
      </c>
      <c r="E1326" s="30" t="s">
        <v>147</v>
      </c>
      <c r="F1326" s="30"/>
      <c r="G1326" s="30"/>
      <c r="H1326" s="32">
        <v>1475565</v>
      </c>
      <c r="I1326" s="32">
        <v>0</v>
      </c>
      <c r="J1326" s="32">
        <v>0</v>
      </c>
      <c r="K1326" s="33">
        <v>1475565</v>
      </c>
      <c r="L1326" s="33"/>
      <c r="M1326" s="34"/>
      <c r="N1326" s="209" t="str">
        <f>IFERROR(VLOOKUP(F1326,Back!C:F,4,0),"NO")</f>
        <v>NO</v>
      </c>
      <c r="O1326" s="26">
        <v>25</v>
      </c>
      <c r="P1326" s="28" t="str">
        <f>IFERROR(VLOOKUP(F1326,Back!C:E,3,0),"")</f>
        <v/>
      </c>
      <c r="Q1326" s="28" t="str">
        <f>IFERROR(VLOOKUP(P1326,Back!M:N,2,0),"")</f>
        <v/>
      </c>
      <c r="R1326" s="27" t="str">
        <f>IF(N1326="Si",IFERROR(VLOOKUP(F1326,'TD Cumpl'!B:AB,27,0),"No Aplica"),"No Aplica")</f>
        <v>No Aplica</v>
      </c>
      <c r="S1326" s="38">
        <v>2</v>
      </c>
      <c r="T1326" s="36">
        <v>202635</v>
      </c>
      <c r="U1326" s="26">
        <v>4</v>
      </c>
      <c r="V1326" s="37">
        <v>1141930</v>
      </c>
      <c r="W1326" s="19">
        <v>0</v>
      </c>
      <c r="X1326" s="37">
        <v>0</v>
      </c>
      <c r="Y1326" s="46">
        <f t="shared" si="42"/>
        <v>131000</v>
      </c>
    </row>
    <row r="1327" spans="1:26" x14ac:dyDescent="0.25">
      <c r="A1327" s="20">
        <f>+VLOOKUP(D1327,Back!Q:R,2,0)</f>
        <v>4</v>
      </c>
      <c r="B1327" s="20" t="str">
        <f t="shared" si="41"/>
        <v>2018 ABR</v>
      </c>
      <c r="C1327" s="30">
        <v>2018</v>
      </c>
      <c r="D1327" s="30" t="s">
        <v>140</v>
      </c>
      <c r="E1327" s="30" t="s">
        <v>119</v>
      </c>
      <c r="F1327" s="30"/>
      <c r="G1327" s="30"/>
      <c r="H1327" s="32">
        <v>3648002</v>
      </c>
      <c r="I1327" s="32">
        <v>0</v>
      </c>
      <c r="J1327" s="32">
        <v>1877742</v>
      </c>
      <c r="K1327" s="33">
        <v>1770260</v>
      </c>
      <c r="L1327" s="33"/>
      <c r="M1327" s="34"/>
      <c r="N1327" s="209" t="str">
        <f>IFERROR(VLOOKUP(F1327,Back!C:F,4,0),"NO")</f>
        <v>NO</v>
      </c>
      <c r="O1327" s="26">
        <v>25</v>
      </c>
      <c r="P1327" s="28" t="str">
        <f>IFERROR(VLOOKUP(F1327,Back!C:E,3,0),"")</f>
        <v/>
      </c>
      <c r="Q1327" s="28" t="str">
        <f>IFERROR(VLOOKUP(P1327,Back!M:N,2,0),"")</f>
        <v/>
      </c>
      <c r="R1327" s="27" t="str">
        <f>IF(N1327="Si",IFERROR(VLOOKUP(F1327,'TD Cumpl'!B:AB,27,0),"No Aplica"),"No Aplica")</f>
        <v>No Aplica</v>
      </c>
      <c r="S1327" s="38">
        <v>4</v>
      </c>
      <c r="T1327" s="36">
        <v>310378</v>
      </c>
      <c r="U1327" s="26">
        <v>6</v>
      </c>
      <c r="V1327" s="37">
        <v>931882</v>
      </c>
      <c r="W1327" s="19">
        <v>28</v>
      </c>
      <c r="X1327" s="37">
        <v>1877742</v>
      </c>
      <c r="Y1327" s="46">
        <f t="shared" si="42"/>
        <v>528000</v>
      </c>
    </row>
    <row r="1328" spans="1:26" x14ac:dyDescent="0.25">
      <c r="A1328" s="20">
        <f>+VLOOKUP(D1328,Back!Q:R,2,0)</f>
        <v>4</v>
      </c>
      <c r="B1328" s="20" t="str">
        <f t="shared" si="41"/>
        <v>2018 ABR</v>
      </c>
      <c r="C1328" s="30">
        <v>2018</v>
      </c>
      <c r="D1328" s="30" t="s">
        <v>140</v>
      </c>
      <c r="E1328" s="30" t="s">
        <v>33</v>
      </c>
      <c r="F1328" s="30"/>
      <c r="G1328" s="30"/>
      <c r="H1328" s="32">
        <v>-210463</v>
      </c>
      <c r="I1328" s="32">
        <v>0</v>
      </c>
      <c r="J1328" s="32">
        <v>0</v>
      </c>
      <c r="K1328" s="33">
        <v>-210463</v>
      </c>
      <c r="L1328" s="33"/>
      <c r="M1328" s="34"/>
      <c r="N1328" s="209" t="str">
        <f>IFERROR(VLOOKUP(F1328,Back!C:F,4,0),"NO")</f>
        <v>NO</v>
      </c>
      <c r="O1328" s="26">
        <v>25</v>
      </c>
      <c r="P1328" s="28" t="str">
        <f>IFERROR(VLOOKUP(F1328,Back!C:E,3,0),"")</f>
        <v/>
      </c>
      <c r="Q1328" s="28" t="str">
        <f>IFERROR(VLOOKUP(P1328,Back!M:N,2,0),"")</f>
        <v/>
      </c>
      <c r="R1328" s="27" t="str">
        <f>IF(N1328="Si",IFERROR(VLOOKUP(F1328,'TD Cumpl'!B:AB,27,0),"No Aplica"),"No Aplica")</f>
        <v>No Aplica</v>
      </c>
      <c r="S1328" s="38">
        <v>18</v>
      </c>
      <c r="T1328" s="36">
        <v>-1261122</v>
      </c>
      <c r="U1328" s="26">
        <v>34</v>
      </c>
      <c r="V1328" s="37">
        <v>-2779690</v>
      </c>
      <c r="W1328" s="19">
        <v>0</v>
      </c>
      <c r="X1328" s="37">
        <v>0</v>
      </c>
      <c r="Y1328" s="46">
        <f t="shared" si="42"/>
        <v>3830349</v>
      </c>
    </row>
    <row r="1329" spans="1:26" x14ac:dyDescent="0.25">
      <c r="A1329" s="20">
        <f>+VLOOKUP(D1329,Back!Q:R,2,0)</f>
        <v>4</v>
      </c>
      <c r="B1329" s="20" t="str">
        <f t="shared" si="41"/>
        <v>2018 ABR</v>
      </c>
      <c r="C1329" s="30">
        <v>2018</v>
      </c>
      <c r="D1329" s="30" t="s">
        <v>140</v>
      </c>
      <c r="E1329" s="30" t="s">
        <v>191</v>
      </c>
      <c r="F1329" s="30"/>
      <c r="G1329" s="30"/>
      <c r="H1329" s="32">
        <v>528142</v>
      </c>
      <c r="I1329" s="32">
        <v>0</v>
      </c>
      <c r="J1329" s="32">
        <v>87740</v>
      </c>
      <c r="K1329" s="33">
        <v>440402</v>
      </c>
      <c r="L1329" s="33"/>
      <c r="M1329" s="34"/>
      <c r="N1329" s="209" t="str">
        <f>IFERROR(VLOOKUP(F1329,Back!C:F,4,0),"NO")</f>
        <v>NO</v>
      </c>
      <c r="O1329" s="26">
        <v>25</v>
      </c>
      <c r="P1329" s="28" t="str">
        <f>IFERROR(VLOOKUP(F1329,Back!C:E,3,0),"")</f>
        <v/>
      </c>
      <c r="Q1329" s="28" t="str">
        <f>IFERROR(VLOOKUP(P1329,Back!M:N,2,0),"")</f>
        <v/>
      </c>
      <c r="R1329" s="27" t="str">
        <f>IF(N1329="Si",IFERROR(VLOOKUP(F1329,'TD Cumpl'!B:AB,27,0),"No Aplica"),"No Aplica")</f>
        <v>No Aplica</v>
      </c>
      <c r="S1329" s="38">
        <v>1</v>
      </c>
      <c r="T1329" s="36">
        <v>55714</v>
      </c>
      <c r="U1329" s="26">
        <v>4</v>
      </c>
      <c r="V1329" s="37">
        <v>384687</v>
      </c>
      <c r="W1329" s="19">
        <v>2</v>
      </c>
      <c r="X1329" s="37">
        <v>87740</v>
      </c>
      <c r="Y1329" s="46">
        <f t="shared" si="42"/>
        <v>1</v>
      </c>
    </row>
    <row r="1330" spans="1:26" x14ac:dyDescent="0.25">
      <c r="A1330" s="20">
        <f>+VLOOKUP(D1330,Back!Q:R,2,0)</f>
        <v>4</v>
      </c>
      <c r="B1330" s="20" t="str">
        <f t="shared" si="41"/>
        <v>2018 ABR</v>
      </c>
      <c r="C1330" s="30">
        <v>2018</v>
      </c>
      <c r="D1330" s="30" t="s">
        <v>140</v>
      </c>
      <c r="E1330" s="30" t="s">
        <v>250</v>
      </c>
      <c r="F1330" s="30"/>
      <c r="G1330" s="30"/>
      <c r="H1330" s="32">
        <v>134285</v>
      </c>
      <c r="I1330" s="32">
        <v>0</v>
      </c>
      <c r="J1330" s="32">
        <v>134285</v>
      </c>
      <c r="K1330" s="33">
        <v>0</v>
      </c>
      <c r="L1330" s="33"/>
      <c r="M1330" s="34"/>
      <c r="N1330" s="209" t="str">
        <f>IFERROR(VLOOKUP(F1330,Back!C:F,4,0),"NO")</f>
        <v>NO</v>
      </c>
      <c r="O1330" s="26">
        <v>25</v>
      </c>
      <c r="P1330" s="28" t="str">
        <f>IFERROR(VLOOKUP(F1330,Back!C:E,3,0),"")</f>
        <v/>
      </c>
      <c r="Q1330" s="28" t="str">
        <f>IFERROR(VLOOKUP(P1330,Back!M:N,2,0),"")</f>
        <v/>
      </c>
      <c r="R1330" s="27" t="str">
        <f>IF(N1330="Si",IFERROR(VLOOKUP(F1330,'TD Cumpl'!B:AB,27,0),"No Aplica"),"No Aplica")</f>
        <v>No Aplica</v>
      </c>
      <c r="S1330" s="38">
        <v>0</v>
      </c>
      <c r="T1330" s="36">
        <v>0</v>
      </c>
      <c r="U1330" s="26">
        <v>0</v>
      </c>
      <c r="V1330" s="37">
        <v>0</v>
      </c>
      <c r="W1330" s="19">
        <v>1</v>
      </c>
      <c r="X1330" s="37">
        <v>134285</v>
      </c>
      <c r="Y1330" s="46">
        <f t="shared" si="42"/>
        <v>0</v>
      </c>
    </row>
    <row r="1331" spans="1:26" x14ac:dyDescent="0.25">
      <c r="A1331" s="20">
        <f>+VLOOKUP(D1331,Back!Q:R,2,0)</f>
        <v>4</v>
      </c>
      <c r="B1331" s="20" t="str">
        <f t="shared" si="41"/>
        <v>2018 ABR</v>
      </c>
      <c r="C1331" s="30">
        <v>2018</v>
      </c>
      <c r="D1331" s="30" t="s">
        <v>140</v>
      </c>
      <c r="E1331" s="30" t="s">
        <v>251</v>
      </c>
      <c r="F1331" s="30"/>
      <c r="G1331" s="30"/>
      <c r="H1331" s="32">
        <v>141671</v>
      </c>
      <c r="I1331" s="32">
        <v>0</v>
      </c>
      <c r="J1331" s="32">
        <v>141671</v>
      </c>
      <c r="K1331" s="33">
        <v>0</v>
      </c>
      <c r="L1331" s="33"/>
      <c r="M1331" s="34"/>
      <c r="N1331" s="209" t="str">
        <f>IFERROR(VLOOKUP(F1331,Back!C:F,4,0),"NO")</f>
        <v>NO</v>
      </c>
      <c r="O1331" s="26">
        <v>25</v>
      </c>
      <c r="P1331" s="28" t="str">
        <f>IFERROR(VLOOKUP(F1331,Back!C:E,3,0),"")</f>
        <v/>
      </c>
      <c r="Q1331" s="28" t="str">
        <f>IFERROR(VLOOKUP(P1331,Back!M:N,2,0),"")</f>
        <v/>
      </c>
      <c r="R1331" s="27" t="str">
        <f>IF(N1331="Si",IFERROR(VLOOKUP(F1331,'TD Cumpl'!B:AB,27,0),"No Aplica"),"No Aplica")</f>
        <v>No Aplica</v>
      </c>
      <c r="S1331" s="38">
        <v>0</v>
      </c>
      <c r="T1331" s="36">
        <v>0</v>
      </c>
      <c r="U1331" s="26">
        <v>0</v>
      </c>
      <c r="V1331" s="37">
        <v>0</v>
      </c>
      <c r="W1331" s="19">
        <v>1</v>
      </c>
      <c r="X1331" s="37">
        <v>141671</v>
      </c>
      <c r="Y1331" s="46">
        <f t="shared" si="42"/>
        <v>0</v>
      </c>
    </row>
    <row r="1332" spans="1:26" x14ac:dyDescent="0.25">
      <c r="A1332" s="20">
        <f>+VLOOKUP(D1332,Back!Q:R,2,0)</f>
        <v>4</v>
      </c>
      <c r="B1332" s="20" t="str">
        <f t="shared" si="41"/>
        <v>2018 ABR</v>
      </c>
      <c r="C1332" s="30">
        <v>2018</v>
      </c>
      <c r="D1332" s="30" t="s">
        <v>140</v>
      </c>
      <c r="E1332" s="30" t="s">
        <v>87</v>
      </c>
      <c r="F1332" s="30"/>
      <c r="G1332" s="30"/>
      <c r="H1332" s="32">
        <v>-4054670</v>
      </c>
      <c r="I1332" s="32">
        <v>0</v>
      </c>
      <c r="J1332" s="32">
        <v>0</v>
      </c>
      <c r="K1332" s="33">
        <v>-4054670</v>
      </c>
      <c r="L1332" s="33"/>
      <c r="M1332" s="34"/>
      <c r="N1332" s="209" t="str">
        <f>IFERROR(VLOOKUP(F1332,Back!C:F,4,0),"NO")</f>
        <v>NO</v>
      </c>
      <c r="O1332" s="26">
        <v>25</v>
      </c>
      <c r="P1332" s="28" t="str">
        <f>IFERROR(VLOOKUP(F1332,Back!C:E,3,0),"")</f>
        <v/>
      </c>
      <c r="Q1332" s="28" t="str">
        <f>IFERROR(VLOOKUP(P1332,Back!M:N,2,0),"")</f>
        <v/>
      </c>
      <c r="R1332" s="27" t="str">
        <f>IF(N1332="Si",IFERROR(VLOOKUP(F1332,'TD Cumpl'!B:AB,27,0),"No Aplica"),"No Aplica")</f>
        <v>No Aplica</v>
      </c>
      <c r="S1332" s="38">
        <v>0</v>
      </c>
      <c r="T1332" s="36">
        <v>0</v>
      </c>
      <c r="U1332" s="26">
        <v>30</v>
      </c>
      <c r="V1332" s="37">
        <v>-3122560</v>
      </c>
      <c r="W1332" s="19">
        <v>0</v>
      </c>
      <c r="X1332" s="37">
        <v>0</v>
      </c>
      <c r="Y1332" s="46">
        <f t="shared" si="42"/>
        <v>-932110</v>
      </c>
    </row>
    <row r="1333" spans="1:26" x14ac:dyDescent="0.25">
      <c r="A1333" s="20">
        <f>+VLOOKUP(D1333,Back!Q:R,2,0)</f>
        <v>5</v>
      </c>
      <c r="B1333" s="20" t="str">
        <f t="shared" si="41"/>
        <v>2018 MAY</v>
      </c>
      <c r="C1333" s="30">
        <v>2018</v>
      </c>
      <c r="D1333" s="30" t="s">
        <v>141</v>
      </c>
      <c r="E1333" s="30" t="s">
        <v>3</v>
      </c>
      <c r="F1333" s="30">
        <v>52725011</v>
      </c>
      <c r="G1333" s="30" t="s">
        <v>42</v>
      </c>
      <c r="H1333" s="32">
        <v>26304686</v>
      </c>
      <c r="I1333" s="32">
        <v>440000</v>
      </c>
      <c r="J1333" s="32">
        <v>6675799</v>
      </c>
      <c r="K1333" s="33">
        <v>19188887</v>
      </c>
      <c r="L1333" s="33">
        <v>25000000</v>
      </c>
      <c r="M1333" s="34">
        <v>0.76755547999999996</v>
      </c>
      <c r="N1333" s="209" t="str">
        <f>IFERROR(VLOOKUP(F1333,Back!C:F,4,0),"NO")</f>
        <v>Si</v>
      </c>
      <c r="O1333" s="26">
        <v>25</v>
      </c>
      <c r="P1333" s="28" t="str">
        <f>IFERROR(VLOOKUP(F1333,Back!C:E,3,0),"")</f>
        <v>IPS Pto De Vista Olaya</v>
      </c>
      <c r="Q1333" s="28" t="str">
        <f>IFERROR(VLOOKUP(P1333,Back!M:N,2,0),"")</f>
        <v>Centro</v>
      </c>
      <c r="R1333" s="27" t="str">
        <f>IF(N1333="Si",IFERROR(VLOOKUP(F1333,'TD Cumpl'!B:AB,27,0),"No Aplica"),"No Aplica")</f>
        <v>Fluctúa</v>
      </c>
      <c r="S1333" s="38">
        <v>68</v>
      </c>
      <c r="T1333" s="36">
        <v>4567808</v>
      </c>
      <c r="U1333" s="26">
        <v>164</v>
      </c>
      <c r="V1333" s="37">
        <v>13204850</v>
      </c>
      <c r="W1333" s="19">
        <v>87</v>
      </c>
      <c r="X1333" s="37">
        <v>6503399</v>
      </c>
      <c r="Y1333" s="46">
        <f t="shared" si="42"/>
        <v>2028629</v>
      </c>
      <c r="Z1333" s="19" t="s">
        <v>318</v>
      </c>
    </row>
    <row r="1334" spans="1:26" x14ac:dyDescent="0.25">
      <c r="A1334" s="20">
        <f>+VLOOKUP(D1334,Back!Q:R,2,0)</f>
        <v>5</v>
      </c>
      <c r="B1334" s="20" t="str">
        <f t="shared" si="41"/>
        <v>2018 MAY</v>
      </c>
      <c r="C1334" s="30">
        <v>2018</v>
      </c>
      <c r="D1334" s="30" t="s">
        <v>141</v>
      </c>
      <c r="E1334" s="30" t="s">
        <v>191</v>
      </c>
      <c r="F1334" s="30">
        <v>1010207310</v>
      </c>
      <c r="G1334" s="30" t="s">
        <v>253</v>
      </c>
      <c r="H1334" s="32">
        <v>23883424</v>
      </c>
      <c r="I1334" s="32">
        <v>440000</v>
      </c>
      <c r="J1334" s="32">
        <v>4058676</v>
      </c>
      <c r="K1334" s="33">
        <v>19384748</v>
      </c>
      <c r="L1334" s="33">
        <v>25000000</v>
      </c>
      <c r="M1334" s="34">
        <v>0.77538991999999995</v>
      </c>
      <c r="N1334" s="209" t="str">
        <f>IFERROR(VLOOKUP(F1334,Back!C:F,4,0),"NO")</f>
        <v>Si</v>
      </c>
      <c r="O1334" s="26">
        <v>25</v>
      </c>
      <c r="P1334" s="28" t="str">
        <f>IFERROR(VLOOKUP(F1334,Back!C:E,3,0),"")</f>
        <v>IPS Pto De Vista Olaya</v>
      </c>
      <c r="Q1334" s="28" t="str">
        <f>IFERROR(VLOOKUP(P1334,Back!M:N,2,0),"")</f>
        <v>Centro</v>
      </c>
      <c r="R1334" s="27" t="str">
        <f>IF(N1334="Si",IFERROR(VLOOKUP(F1334,'TD Cumpl'!B:AB,27,0),"No Aplica"),"No Aplica")</f>
        <v>Cumple</v>
      </c>
      <c r="S1334" s="38">
        <v>59</v>
      </c>
      <c r="T1334" s="36">
        <v>4574499</v>
      </c>
      <c r="U1334" s="26">
        <v>146</v>
      </c>
      <c r="V1334" s="37">
        <v>12554921</v>
      </c>
      <c r="W1334" s="19">
        <v>60</v>
      </c>
      <c r="X1334" s="37">
        <v>4058676</v>
      </c>
      <c r="Y1334" s="46">
        <f t="shared" si="42"/>
        <v>2695328</v>
      </c>
      <c r="Z1334" s="19" t="s">
        <v>318</v>
      </c>
    </row>
    <row r="1335" spans="1:26" x14ac:dyDescent="0.25">
      <c r="A1335" s="20">
        <f>+VLOOKUP(D1335,Back!Q:R,2,0)</f>
        <v>5</v>
      </c>
      <c r="B1335" s="20" t="str">
        <f t="shared" si="41"/>
        <v>2018 MAY</v>
      </c>
      <c r="C1335" s="30">
        <v>2018</v>
      </c>
      <c r="D1335" s="30" t="s">
        <v>141</v>
      </c>
      <c r="E1335" s="30" t="s">
        <v>4</v>
      </c>
      <c r="F1335" s="30">
        <v>79701425</v>
      </c>
      <c r="G1335" s="30" t="s">
        <v>27</v>
      </c>
      <c r="H1335" s="32">
        <v>31970965</v>
      </c>
      <c r="I1335" s="32">
        <v>1278000</v>
      </c>
      <c r="J1335" s="32">
        <v>5119261</v>
      </c>
      <c r="K1335" s="33">
        <v>25573704</v>
      </c>
      <c r="L1335" s="33">
        <v>25000000</v>
      </c>
      <c r="M1335" s="34">
        <v>1.0229481600000001</v>
      </c>
      <c r="N1335" s="209" t="str">
        <f>IFERROR(VLOOKUP(F1335,Back!C:F,4,0),"NO")</f>
        <v>No</v>
      </c>
      <c r="O1335" s="26">
        <v>25</v>
      </c>
      <c r="P1335" s="28" t="str">
        <f>IFERROR(VLOOKUP(F1335,Back!C:E,3,0),"")</f>
        <v>IPS Pto De Vista Olaya</v>
      </c>
      <c r="Q1335" s="28" t="str">
        <f>IFERROR(VLOOKUP(P1335,Back!M:N,2,0),"")</f>
        <v>Centro</v>
      </c>
      <c r="R1335" s="27" t="str">
        <f>IF(N1335="Si",IFERROR(VLOOKUP(F1335,'TD Cumpl'!B:AB,27,0),"No Aplica"),"No Aplica")</f>
        <v>No Aplica</v>
      </c>
      <c r="S1335" s="38">
        <v>80</v>
      </c>
      <c r="T1335" s="36">
        <v>6165915</v>
      </c>
      <c r="U1335" s="26">
        <v>212</v>
      </c>
      <c r="V1335" s="37">
        <v>16946867</v>
      </c>
      <c r="W1335" s="19">
        <v>77</v>
      </c>
      <c r="X1335" s="37">
        <v>4930261</v>
      </c>
      <c r="Y1335" s="46">
        <f t="shared" si="42"/>
        <v>3927922</v>
      </c>
    </row>
    <row r="1336" spans="1:26" x14ac:dyDescent="0.25">
      <c r="A1336" s="20">
        <f>+VLOOKUP(D1336,Back!Q:R,2,0)</f>
        <v>5</v>
      </c>
      <c r="B1336" s="20" t="str">
        <f t="shared" si="41"/>
        <v>2018 MAY</v>
      </c>
      <c r="C1336" s="30">
        <v>2018</v>
      </c>
      <c r="D1336" s="30" t="s">
        <v>141</v>
      </c>
      <c r="E1336" s="30" t="s">
        <v>62</v>
      </c>
      <c r="F1336" s="30">
        <v>32256379</v>
      </c>
      <c r="G1336" s="30" t="s">
        <v>61</v>
      </c>
      <c r="H1336" s="32">
        <v>53194691</v>
      </c>
      <c r="I1336" s="32">
        <v>0</v>
      </c>
      <c r="J1336" s="32">
        <v>7308419</v>
      </c>
      <c r="K1336" s="33">
        <v>45886272</v>
      </c>
      <c r="L1336" s="33">
        <v>44000000</v>
      </c>
      <c r="M1336" s="34">
        <v>1.0428698181818181</v>
      </c>
      <c r="N1336" s="209" t="str">
        <f>IFERROR(VLOOKUP(F1336,Back!C:F,4,0),"NO")</f>
        <v>Si</v>
      </c>
      <c r="O1336" s="26">
        <v>25</v>
      </c>
      <c r="P1336" s="28" t="str">
        <f>IFERROR(VLOOKUP(F1336,Back!C:E,3,0),"")</f>
        <v>Ferias Empresariales Antioquia</v>
      </c>
      <c r="Q1336" s="28" t="str">
        <f>IFERROR(VLOOKUP(P1336,Back!M:N,2,0),"")</f>
        <v>Antioquia</v>
      </c>
      <c r="R1336" s="27" t="str">
        <f>IF(N1336="Si",IFERROR(VLOOKUP(F1336,'TD Cumpl'!B:AB,27,0),"No Aplica"),"No Aplica")</f>
        <v>Fluctúa</v>
      </c>
      <c r="S1336" s="38">
        <v>4</v>
      </c>
      <c r="T1336" s="36">
        <v>499100</v>
      </c>
      <c r="U1336" s="26">
        <v>6</v>
      </c>
      <c r="V1336" s="37">
        <v>649624</v>
      </c>
      <c r="W1336" s="19">
        <v>79</v>
      </c>
      <c r="X1336" s="37">
        <v>7308419</v>
      </c>
      <c r="Y1336" s="46">
        <f t="shared" si="42"/>
        <v>44737548</v>
      </c>
      <c r="Z1336" s="19" t="s">
        <v>318</v>
      </c>
    </row>
    <row r="1337" spans="1:26" x14ac:dyDescent="0.25">
      <c r="A1337" s="20">
        <f>+VLOOKUP(D1337,Back!Q:R,2,0)</f>
        <v>5</v>
      </c>
      <c r="B1337" s="20" t="str">
        <f t="shared" si="41"/>
        <v>2018 MAY</v>
      </c>
      <c r="C1337" s="30">
        <v>2018</v>
      </c>
      <c r="D1337" s="30" t="s">
        <v>141</v>
      </c>
      <c r="E1337" s="30" t="s">
        <v>25</v>
      </c>
      <c r="F1337" s="30">
        <v>1040030764</v>
      </c>
      <c r="G1337" s="30" t="s">
        <v>43</v>
      </c>
      <c r="H1337" s="32">
        <v>47976876</v>
      </c>
      <c r="I1337" s="32">
        <v>3194400</v>
      </c>
      <c r="J1337" s="32">
        <v>8225045</v>
      </c>
      <c r="K1337" s="33">
        <v>36557431</v>
      </c>
      <c r="L1337" s="33">
        <v>35000000</v>
      </c>
      <c r="M1337" s="34">
        <v>1.0444980285714285</v>
      </c>
      <c r="N1337" s="209" t="str">
        <f>IFERROR(VLOOKUP(F1337,Back!C:F,4,0),"NO")</f>
        <v>Si</v>
      </c>
      <c r="O1337" s="26">
        <v>25</v>
      </c>
      <c r="P1337" s="28" t="str">
        <f>IFERROR(VLOOKUP(F1337,Back!C:E,3,0),"")</f>
        <v>IPS Pto De Vista Rionegro</v>
      </c>
      <c r="Q1337" s="28" t="str">
        <f>IFERROR(VLOOKUP(P1337,Back!M:N,2,0),"")</f>
        <v>Antioquia</v>
      </c>
      <c r="R1337" s="27" t="str">
        <f>IF(N1337="Si",IFERROR(VLOOKUP(F1337,'TD Cumpl'!B:AB,27,0),"No Aplica"),"No Aplica")</f>
        <v>Cumple</v>
      </c>
      <c r="S1337" s="38">
        <v>84</v>
      </c>
      <c r="T1337" s="36">
        <v>9296854</v>
      </c>
      <c r="U1337" s="26">
        <v>206</v>
      </c>
      <c r="V1337" s="37">
        <v>23299139</v>
      </c>
      <c r="W1337" s="19">
        <v>95</v>
      </c>
      <c r="X1337" s="37">
        <v>8225045</v>
      </c>
      <c r="Y1337" s="46">
        <f t="shared" si="42"/>
        <v>7155838</v>
      </c>
      <c r="Z1337" s="19" t="s">
        <v>318</v>
      </c>
    </row>
    <row r="1338" spans="1:26" x14ac:dyDescent="0.25">
      <c r="A1338" s="20">
        <f>+VLOOKUP(D1338,Back!Q:R,2,0)</f>
        <v>5</v>
      </c>
      <c r="B1338" s="20" t="str">
        <f t="shared" si="41"/>
        <v>2018 MAY</v>
      </c>
      <c r="C1338" s="30">
        <v>2018</v>
      </c>
      <c r="D1338" s="30" t="s">
        <v>141</v>
      </c>
      <c r="E1338" s="30" t="s">
        <v>37</v>
      </c>
      <c r="F1338" s="30">
        <v>1036779770</v>
      </c>
      <c r="G1338" s="30" t="s">
        <v>52</v>
      </c>
      <c r="H1338" s="32">
        <v>38262373</v>
      </c>
      <c r="I1338" s="32">
        <v>1744200</v>
      </c>
      <c r="J1338" s="32">
        <v>9688829</v>
      </c>
      <c r="K1338" s="33">
        <v>26829344</v>
      </c>
      <c r="L1338" s="33">
        <v>35000000</v>
      </c>
      <c r="M1338" s="34">
        <v>0.7665526857142857</v>
      </c>
      <c r="N1338" s="209" t="str">
        <f>IFERROR(VLOOKUP(F1338,Back!C:F,4,0),"NO")</f>
        <v>No</v>
      </c>
      <c r="O1338" s="26">
        <v>25</v>
      </c>
      <c r="P1338" s="28" t="str">
        <f>IFERROR(VLOOKUP(F1338,Back!C:E,3,0),"")</f>
        <v>IPS Pto De Vista Rionegro</v>
      </c>
      <c r="Q1338" s="28" t="str">
        <f>IFERROR(VLOOKUP(P1338,Back!M:N,2,0),"")</f>
        <v>Antioquia</v>
      </c>
      <c r="R1338" s="27" t="str">
        <f>IF(N1338="Si",IFERROR(VLOOKUP(F1338,'TD Cumpl'!B:AB,27,0),"No Aplica"),"No Aplica")</f>
        <v>No Aplica</v>
      </c>
      <c r="S1338" s="38">
        <v>73</v>
      </c>
      <c r="T1338" s="36">
        <v>7088805</v>
      </c>
      <c r="U1338" s="26">
        <v>166</v>
      </c>
      <c r="V1338" s="37">
        <v>17212148</v>
      </c>
      <c r="W1338" s="19">
        <v>99</v>
      </c>
      <c r="X1338" s="37">
        <v>9688829</v>
      </c>
      <c r="Y1338" s="46">
        <f t="shared" si="42"/>
        <v>4272591</v>
      </c>
    </row>
    <row r="1339" spans="1:26" x14ac:dyDescent="0.25">
      <c r="A1339" s="20">
        <f>+VLOOKUP(D1339,Back!Q:R,2,0)</f>
        <v>5</v>
      </c>
      <c r="B1339" s="20" t="str">
        <f t="shared" si="41"/>
        <v>2018 MAY</v>
      </c>
      <c r="C1339" s="30">
        <v>2018</v>
      </c>
      <c r="D1339" s="30" t="s">
        <v>141</v>
      </c>
      <c r="E1339" s="30" t="s">
        <v>24</v>
      </c>
      <c r="F1339" s="30">
        <v>39448823</v>
      </c>
      <c r="G1339" s="30" t="s">
        <v>48</v>
      </c>
      <c r="H1339" s="32">
        <v>50821612</v>
      </c>
      <c r="I1339" s="32">
        <v>3012400</v>
      </c>
      <c r="J1339" s="32">
        <v>8664684</v>
      </c>
      <c r="K1339" s="33">
        <v>39144528</v>
      </c>
      <c r="L1339" s="33">
        <v>35000000</v>
      </c>
      <c r="M1339" s="34">
        <v>1.1184150857142856</v>
      </c>
      <c r="N1339" s="209" t="str">
        <f>IFERROR(VLOOKUP(F1339,Back!C:F,4,0),"NO")</f>
        <v>Si</v>
      </c>
      <c r="O1339" s="26">
        <v>25</v>
      </c>
      <c r="P1339" s="28" t="str">
        <f>IFERROR(VLOOKUP(F1339,Back!C:E,3,0),"")</f>
        <v>IPS Pto De Vista Rionegro</v>
      </c>
      <c r="Q1339" s="28" t="str">
        <f>IFERROR(VLOOKUP(P1339,Back!M:N,2,0),"")</f>
        <v>Antioquia</v>
      </c>
      <c r="R1339" s="27" t="str">
        <f>IF(N1339="Si",IFERROR(VLOOKUP(F1339,'TD Cumpl'!B:AB,27,0),"No Aplica"),"No Aplica")</f>
        <v>Siempre Cumple</v>
      </c>
      <c r="S1339" s="38">
        <v>87</v>
      </c>
      <c r="T1339" s="36">
        <v>9888219</v>
      </c>
      <c r="U1339" s="26">
        <v>228</v>
      </c>
      <c r="V1339" s="37">
        <v>26807575</v>
      </c>
      <c r="W1339" s="19">
        <v>96</v>
      </c>
      <c r="X1339" s="37">
        <v>8664684</v>
      </c>
      <c r="Y1339" s="46">
        <f t="shared" si="42"/>
        <v>5461134</v>
      </c>
      <c r="Z1339" s="19" t="s">
        <v>318</v>
      </c>
    </row>
    <row r="1340" spans="1:26" x14ac:dyDescent="0.25">
      <c r="A1340" s="20">
        <f>+VLOOKUP(D1340,Back!Q:R,2,0)</f>
        <v>5</v>
      </c>
      <c r="B1340" s="20" t="str">
        <f t="shared" si="41"/>
        <v>2018 MAY</v>
      </c>
      <c r="C1340" s="30">
        <v>2018</v>
      </c>
      <c r="D1340" s="30" t="s">
        <v>141</v>
      </c>
      <c r="E1340" s="30" t="s">
        <v>11</v>
      </c>
      <c r="F1340" s="30">
        <v>43253531</v>
      </c>
      <c r="G1340" s="30" t="s">
        <v>39</v>
      </c>
      <c r="H1340" s="31">
        <v>43965922</v>
      </c>
      <c r="I1340" s="32">
        <v>0</v>
      </c>
      <c r="J1340" s="32">
        <v>8916242</v>
      </c>
      <c r="K1340" s="33">
        <v>35049680</v>
      </c>
      <c r="L1340" s="33">
        <v>33600000</v>
      </c>
      <c r="M1340" s="34">
        <v>1.0431452380952382</v>
      </c>
      <c r="N1340" s="209" t="str">
        <f>IFERROR(VLOOKUP(F1340,Back!C:F,4,0),"NO")</f>
        <v>Si</v>
      </c>
      <c r="O1340" s="26">
        <v>25</v>
      </c>
      <c r="P1340" s="28" t="str">
        <f>IFERROR(VLOOKUP(F1340,Back!C:E,3,0),"")</f>
        <v>IPS Punto de Vista Bello</v>
      </c>
      <c r="Q1340" s="28" t="str">
        <f>IFERROR(VLOOKUP(P1340,Back!M:N,2,0),"")</f>
        <v>Antioquia</v>
      </c>
      <c r="R1340" s="27" t="str">
        <f>IF(N1340="Si",IFERROR(VLOOKUP(F1340,'TD Cumpl'!B:AB,27,0),"No Aplica"),"No Aplica")</f>
        <v>Cumple</v>
      </c>
      <c r="S1340" s="38">
        <v>79</v>
      </c>
      <c r="T1340" s="36">
        <v>6768254</v>
      </c>
      <c r="U1340" s="26">
        <v>191</v>
      </c>
      <c r="V1340" s="37">
        <v>24621454</v>
      </c>
      <c r="W1340" s="19">
        <v>94</v>
      </c>
      <c r="X1340" s="37">
        <v>8916242</v>
      </c>
      <c r="Y1340" s="46">
        <f t="shared" si="42"/>
        <v>3659972</v>
      </c>
      <c r="Z1340" s="19" t="s">
        <v>318</v>
      </c>
    </row>
    <row r="1341" spans="1:26" x14ac:dyDescent="0.25">
      <c r="A1341" s="20">
        <f>+VLOOKUP(D1341,Back!Q:R,2,0)</f>
        <v>5</v>
      </c>
      <c r="B1341" s="20" t="str">
        <f t="shared" si="41"/>
        <v>2018 MAY</v>
      </c>
      <c r="C1341" s="30">
        <v>2018</v>
      </c>
      <c r="D1341" s="30" t="s">
        <v>141</v>
      </c>
      <c r="E1341" s="30" t="s">
        <v>121</v>
      </c>
      <c r="F1341" s="30">
        <v>21982241</v>
      </c>
      <c r="G1341" s="30" t="s">
        <v>143</v>
      </c>
      <c r="H1341" s="31">
        <v>48786368</v>
      </c>
      <c r="I1341" s="32">
        <v>0</v>
      </c>
      <c r="J1341" s="32">
        <v>10929439</v>
      </c>
      <c r="K1341" s="33">
        <v>37856929</v>
      </c>
      <c r="L1341" s="33">
        <v>35000000</v>
      </c>
      <c r="M1341" s="34">
        <v>1.0816265428571428</v>
      </c>
      <c r="N1341" s="209" t="str">
        <f>IFERROR(VLOOKUP(F1341,Back!C:F,4,0),"NO")</f>
        <v>Si</v>
      </c>
      <c r="O1341" s="26">
        <v>25</v>
      </c>
      <c r="P1341" s="28" t="str">
        <f>IFERROR(VLOOKUP(F1341,Back!C:E,3,0),"")</f>
        <v>IPS Punto de Vista Bello</v>
      </c>
      <c r="Q1341" s="28" t="str">
        <f>IFERROR(VLOOKUP(P1341,Back!M:N,2,0),"")</f>
        <v>Antioquia</v>
      </c>
      <c r="R1341" s="27" t="str">
        <f>IF(N1341="Si",IFERROR(VLOOKUP(F1341,'TD Cumpl'!B:AB,27,0),"No Aplica"),"No Aplica")</f>
        <v>Fluctúa</v>
      </c>
      <c r="S1341" s="38">
        <v>90</v>
      </c>
      <c r="T1341" s="36">
        <v>8052369</v>
      </c>
      <c r="U1341" s="26">
        <v>210</v>
      </c>
      <c r="V1341" s="37">
        <v>23708542</v>
      </c>
      <c r="W1341" s="19">
        <v>101</v>
      </c>
      <c r="X1341" s="37">
        <v>10929439</v>
      </c>
      <c r="Y1341" s="46">
        <f t="shared" si="42"/>
        <v>6096018</v>
      </c>
      <c r="Z1341" s="19" t="s">
        <v>318</v>
      </c>
    </row>
    <row r="1342" spans="1:26" x14ac:dyDescent="0.25">
      <c r="A1342" s="20">
        <f>+VLOOKUP(D1342,Back!Q:R,2,0)</f>
        <v>5</v>
      </c>
      <c r="B1342" s="20" t="str">
        <f t="shared" ref="B1342:B1405" si="43">MID(UPPER(C1342&amp;" "&amp;D1342),1,8)</f>
        <v>2018 MAY</v>
      </c>
      <c r="C1342" s="30">
        <v>2018</v>
      </c>
      <c r="D1342" s="30" t="s">
        <v>141</v>
      </c>
      <c r="E1342" s="30" t="s">
        <v>9</v>
      </c>
      <c r="F1342" s="30">
        <v>43169964</v>
      </c>
      <c r="G1342" s="30" t="s">
        <v>155</v>
      </c>
      <c r="H1342" s="32">
        <v>56956338</v>
      </c>
      <c r="I1342" s="32">
        <v>1086000</v>
      </c>
      <c r="J1342" s="32">
        <v>10901329</v>
      </c>
      <c r="K1342" s="33">
        <v>44969009</v>
      </c>
      <c r="L1342" s="33">
        <v>44000000</v>
      </c>
      <c r="M1342" s="34">
        <v>1.0220229318181817</v>
      </c>
      <c r="N1342" s="209" t="str">
        <f>IFERROR(VLOOKUP(F1342,Back!C:F,4,0),"NO")</f>
        <v>Si</v>
      </c>
      <c r="O1342" s="26">
        <v>25</v>
      </c>
      <c r="P1342" s="28" t="str">
        <f>IFERROR(VLOOKUP(F1342,Back!C:E,3,0),"")</f>
        <v>IPS Pto De Vista Molinos</v>
      </c>
      <c r="Q1342" s="28" t="str">
        <f>IFERROR(VLOOKUP(P1342,Back!M:N,2,0),"")</f>
        <v>Antioquia</v>
      </c>
      <c r="R1342" s="27" t="str">
        <f>IF(N1342="Si",IFERROR(VLOOKUP(F1342,'TD Cumpl'!B:AB,27,0),"No Aplica"),"No Aplica")</f>
        <v>Cumple</v>
      </c>
      <c r="S1342" s="38">
        <v>99</v>
      </c>
      <c r="T1342" s="36">
        <v>10018978</v>
      </c>
      <c r="U1342" s="26">
        <v>261</v>
      </c>
      <c r="V1342" s="37">
        <v>29353304</v>
      </c>
      <c r="W1342" s="19">
        <v>109</v>
      </c>
      <c r="X1342" s="37">
        <v>10901329</v>
      </c>
      <c r="Y1342" s="46">
        <f t="shared" si="42"/>
        <v>6682727</v>
      </c>
      <c r="Z1342" s="19" t="s">
        <v>318</v>
      </c>
    </row>
    <row r="1343" spans="1:26" x14ac:dyDescent="0.25">
      <c r="A1343" s="20">
        <f>+VLOOKUP(D1343,Back!Q:R,2,0)</f>
        <v>5</v>
      </c>
      <c r="B1343" s="20" t="str">
        <f t="shared" si="43"/>
        <v>2018 MAY</v>
      </c>
      <c r="C1343" s="30">
        <v>2018</v>
      </c>
      <c r="D1343" s="30" t="s">
        <v>141</v>
      </c>
      <c r="E1343" s="30" t="s">
        <v>21</v>
      </c>
      <c r="F1343" s="30">
        <v>1035417626</v>
      </c>
      <c r="G1343" s="30" t="s">
        <v>80</v>
      </c>
      <c r="H1343" s="32">
        <v>63711045</v>
      </c>
      <c r="I1343" s="32">
        <v>996000</v>
      </c>
      <c r="J1343" s="32">
        <v>12701284</v>
      </c>
      <c r="K1343" s="33">
        <v>50013761</v>
      </c>
      <c r="L1343" s="33">
        <v>44000000</v>
      </c>
      <c r="M1343" s="34">
        <v>1.1366763863636364</v>
      </c>
      <c r="N1343" s="209" t="str">
        <f>IFERROR(VLOOKUP(F1343,Back!C:F,4,0),"NO")</f>
        <v>Si</v>
      </c>
      <c r="O1343" s="26">
        <v>25</v>
      </c>
      <c r="P1343" s="28" t="str">
        <f>IFERROR(VLOOKUP(F1343,Back!C:E,3,0),"")</f>
        <v>IPS Pto De Vista Unicentro</v>
      </c>
      <c r="Q1343" s="28" t="str">
        <f>IFERROR(VLOOKUP(P1343,Back!M:N,2,0),"")</f>
        <v>Antioquia</v>
      </c>
      <c r="R1343" s="27" t="str">
        <f>IF(N1343="Si",IFERROR(VLOOKUP(F1343,'TD Cumpl'!B:AB,27,0),"No Aplica"),"No Aplica")</f>
        <v>Cumple</v>
      </c>
      <c r="S1343" s="38">
        <v>90</v>
      </c>
      <c r="T1343" s="36">
        <v>10643701</v>
      </c>
      <c r="U1343" s="26">
        <v>252</v>
      </c>
      <c r="V1343" s="37">
        <v>33595166</v>
      </c>
      <c r="W1343" s="19">
        <v>120</v>
      </c>
      <c r="X1343" s="37">
        <v>12701284</v>
      </c>
      <c r="Y1343" s="46">
        <f t="shared" si="42"/>
        <v>6770894</v>
      </c>
      <c r="Z1343" s="19" t="s">
        <v>318</v>
      </c>
    </row>
    <row r="1344" spans="1:26" x14ac:dyDescent="0.25">
      <c r="A1344" s="20">
        <f>+VLOOKUP(D1344,Back!Q:R,2,0)</f>
        <v>5</v>
      </c>
      <c r="B1344" s="20" t="str">
        <f t="shared" si="43"/>
        <v>2018 MAY</v>
      </c>
      <c r="C1344" s="30">
        <v>2018</v>
      </c>
      <c r="D1344" s="30" t="s">
        <v>141</v>
      </c>
      <c r="E1344" s="30" t="s">
        <v>20</v>
      </c>
      <c r="F1344" s="30">
        <v>1017141451</v>
      </c>
      <c r="G1344" s="30" t="s">
        <v>44</v>
      </c>
      <c r="H1344" s="32">
        <v>67439441</v>
      </c>
      <c r="I1344" s="32">
        <v>1540000</v>
      </c>
      <c r="J1344" s="32">
        <v>10252802</v>
      </c>
      <c r="K1344" s="33">
        <v>55646639</v>
      </c>
      <c r="L1344" s="33">
        <v>44000000</v>
      </c>
      <c r="M1344" s="34">
        <v>1.264696340909091</v>
      </c>
      <c r="N1344" s="209" t="str">
        <f>IFERROR(VLOOKUP(F1344,Back!C:F,4,0),"NO")</f>
        <v>Si</v>
      </c>
      <c r="O1344" s="26">
        <v>25</v>
      </c>
      <c r="P1344" s="28" t="str">
        <f>IFERROR(VLOOKUP(F1344,Back!C:E,3,0),"")</f>
        <v>IPS Pto De Vista Molinos</v>
      </c>
      <c r="Q1344" s="28" t="str">
        <f>IFERROR(VLOOKUP(P1344,Back!M:N,2,0),"")</f>
        <v>Antioquia</v>
      </c>
      <c r="R1344" s="27" t="str">
        <f>IF(N1344="Si",IFERROR(VLOOKUP(F1344,'TD Cumpl'!B:AB,27,0),"No Aplica"),"No Aplica")</f>
        <v>Siempre Cumple</v>
      </c>
      <c r="S1344" s="38">
        <v>101</v>
      </c>
      <c r="T1344" s="36">
        <v>11720256</v>
      </c>
      <c r="U1344" s="26">
        <v>274</v>
      </c>
      <c r="V1344" s="37">
        <v>38511055</v>
      </c>
      <c r="W1344" s="19">
        <v>92</v>
      </c>
      <c r="X1344" s="37">
        <v>10252802</v>
      </c>
      <c r="Y1344" s="46">
        <f t="shared" si="42"/>
        <v>6955328</v>
      </c>
      <c r="Z1344" s="19" t="s">
        <v>318</v>
      </c>
    </row>
    <row r="1345" spans="1:26" x14ac:dyDescent="0.25">
      <c r="A1345" s="20">
        <f>+VLOOKUP(D1345,Back!Q:R,2,0)</f>
        <v>5</v>
      </c>
      <c r="B1345" s="20" t="str">
        <f t="shared" si="43"/>
        <v>2018 MAY</v>
      </c>
      <c r="C1345" s="30">
        <v>2018</v>
      </c>
      <c r="D1345" s="30" t="s">
        <v>141</v>
      </c>
      <c r="E1345" s="30" t="s">
        <v>103</v>
      </c>
      <c r="F1345" s="30">
        <v>1020409789</v>
      </c>
      <c r="G1345" s="30" t="s">
        <v>145</v>
      </c>
      <c r="H1345" s="32">
        <v>74828635</v>
      </c>
      <c r="I1345" s="32">
        <v>1054000</v>
      </c>
      <c r="J1345" s="32">
        <v>18004634</v>
      </c>
      <c r="K1345" s="33">
        <v>55770001</v>
      </c>
      <c r="L1345" s="33">
        <v>44000000</v>
      </c>
      <c r="M1345" s="34">
        <v>1.2675000227272728</v>
      </c>
      <c r="N1345" s="209" t="str">
        <f>IFERROR(VLOOKUP(F1345,Back!C:F,4,0),"NO")</f>
        <v>Si</v>
      </c>
      <c r="O1345" s="26">
        <v>25</v>
      </c>
      <c r="P1345" s="28" t="str">
        <f>IFERROR(VLOOKUP(F1345,Back!C:E,3,0),"")</f>
        <v>IPS Pto De Vista Molinos</v>
      </c>
      <c r="Q1345" s="28" t="str">
        <f>IFERROR(VLOOKUP(P1345,Back!M:N,2,0),"")</f>
        <v>Antioquia</v>
      </c>
      <c r="R1345" s="27" t="str">
        <f>IF(N1345="Si",IFERROR(VLOOKUP(F1345,'TD Cumpl'!B:AB,27,0),"No Aplica"),"No Aplica")</f>
        <v>Cumple</v>
      </c>
      <c r="S1345" s="38">
        <v>127</v>
      </c>
      <c r="T1345" s="36">
        <v>14870894</v>
      </c>
      <c r="U1345" s="26">
        <v>280</v>
      </c>
      <c r="V1345" s="37">
        <v>33887524</v>
      </c>
      <c r="W1345" s="19">
        <v>172</v>
      </c>
      <c r="X1345" s="37">
        <v>18004634</v>
      </c>
      <c r="Y1345" s="46">
        <f t="shared" ref="Y1345:Y1408" si="44">+H1345-X1345-V1345-T1345</f>
        <v>8065583</v>
      </c>
      <c r="Z1345" s="19" t="s">
        <v>318</v>
      </c>
    </row>
    <row r="1346" spans="1:26" x14ac:dyDescent="0.25">
      <c r="A1346" s="20">
        <f>+VLOOKUP(D1346,Back!Q:R,2,0)</f>
        <v>5</v>
      </c>
      <c r="B1346" s="20" t="str">
        <f t="shared" si="43"/>
        <v>2018 MAY</v>
      </c>
      <c r="C1346" s="30">
        <v>2018</v>
      </c>
      <c r="D1346" s="30" t="s">
        <v>141</v>
      </c>
      <c r="E1346" s="30" t="s">
        <v>8</v>
      </c>
      <c r="F1346" s="30">
        <v>43259130</v>
      </c>
      <c r="G1346" s="30" t="s">
        <v>51</v>
      </c>
      <c r="H1346" s="32">
        <v>67314837</v>
      </c>
      <c r="I1346" s="32">
        <v>248000</v>
      </c>
      <c r="J1346" s="32">
        <v>13725040</v>
      </c>
      <c r="K1346" s="33">
        <v>53341797</v>
      </c>
      <c r="L1346" s="33">
        <v>44000000</v>
      </c>
      <c r="M1346" s="34">
        <v>1.2123135681818182</v>
      </c>
      <c r="N1346" s="209" t="str">
        <f>IFERROR(VLOOKUP(F1346,Back!C:F,4,0),"NO")</f>
        <v>Si</v>
      </c>
      <c r="O1346" s="26">
        <v>25</v>
      </c>
      <c r="P1346" s="28" t="str">
        <f>IFERROR(VLOOKUP(F1346,Back!C:E,3,0),"")</f>
        <v>IPS Pto De Vista Molinos</v>
      </c>
      <c r="Q1346" s="28" t="str">
        <f>IFERROR(VLOOKUP(P1346,Back!M:N,2,0),"")</f>
        <v>Antioquia</v>
      </c>
      <c r="R1346" s="27" t="str">
        <f>IF(N1346="Si",IFERROR(VLOOKUP(F1346,'TD Cumpl'!B:AB,27,0),"No Aplica"),"No Aplica")</f>
        <v>Fluctúa</v>
      </c>
      <c r="S1346" s="38">
        <v>113</v>
      </c>
      <c r="T1346" s="36">
        <v>12114784</v>
      </c>
      <c r="U1346" s="26">
        <v>304</v>
      </c>
      <c r="V1346" s="37">
        <v>34850226</v>
      </c>
      <c r="W1346" s="19">
        <v>134</v>
      </c>
      <c r="X1346" s="37">
        <v>13725040</v>
      </c>
      <c r="Y1346" s="46">
        <f t="shared" si="44"/>
        <v>6624787</v>
      </c>
      <c r="Z1346" s="19" t="s">
        <v>318</v>
      </c>
    </row>
    <row r="1347" spans="1:26" x14ac:dyDescent="0.25">
      <c r="A1347" s="20">
        <f>+VLOOKUP(D1347,Back!Q:R,2,0)</f>
        <v>5</v>
      </c>
      <c r="B1347" s="20" t="str">
        <f t="shared" si="43"/>
        <v>2018 MAY</v>
      </c>
      <c r="C1347" s="30">
        <v>2018</v>
      </c>
      <c r="D1347" s="30" t="s">
        <v>141</v>
      </c>
      <c r="E1347" s="30" t="s">
        <v>56</v>
      </c>
      <c r="F1347" s="30">
        <v>43971430</v>
      </c>
      <c r="G1347" s="30" t="s">
        <v>142</v>
      </c>
      <c r="H1347" s="32">
        <v>67164169</v>
      </c>
      <c r="I1347" s="32">
        <v>746200</v>
      </c>
      <c r="J1347" s="32">
        <v>16538369</v>
      </c>
      <c r="K1347" s="33">
        <v>49879600</v>
      </c>
      <c r="L1347" s="33">
        <v>42000000</v>
      </c>
      <c r="M1347" s="34">
        <v>1.1876095238095239</v>
      </c>
      <c r="N1347" s="209" t="str">
        <f>IFERROR(VLOOKUP(F1347,Back!C:F,4,0),"NO")</f>
        <v>Si</v>
      </c>
      <c r="O1347" s="26">
        <v>25</v>
      </c>
      <c r="P1347" s="28" t="str">
        <f>IFERROR(VLOOKUP(F1347,Back!C:E,3,0),"")</f>
        <v>IPS Pto De Vista Centro</v>
      </c>
      <c r="Q1347" s="28" t="str">
        <f>IFERROR(VLOOKUP(P1347,Back!M:N,2,0),"")</f>
        <v>Antioquia</v>
      </c>
      <c r="R1347" s="27" t="str">
        <f>IF(N1347="Si",IFERROR(VLOOKUP(F1347,'TD Cumpl'!B:AB,27,0),"No Aplica"),"No Aplica")</f>
        <v>Siempre Cumple</v>
      </c>
      <c r="S1347" s="38">
        <v>118</v>
      </c>
      <c r="T1347" s="36">
        <v>10631634</v>
      </c>
      <c r="U1347" s="26">
        <v>310</v>
      </c>
      <c r="V1347" s="37">
        <v>34322811</v>
      </c>
      <c r="W1347" s="19">
        <v>163</v>
      </c>
      <c r="X1347" s="37">
        <v>16538369</v>
      </c>
      <c r="Y1347" s="46">
        <f t="shared" si="44"/>
        <v>5671355</v>
      </c>
      <c r="Z1347" s="19" t="s">
        <v>318</v>
      </c>
    </row>
    <row r="1348" spans="1:26" x14ac:dyDescent="0.25">
      <c r="A1348" s="20">
        <f>+VLOOKUP(D1348,Back!Q:R,2,0)</f>
        <v>5</v>
      </c>
      <c r="B1348" s="20" t="str">
        <f t="shared" si="43"/>
        <v>2018 MAY</v>
      </c>
      <c r="C1348" s="30">
        <v>2018</v>
      </c>
      <c r="D1348" s="30" t="s">
        <v>141</v>
      </c>
      <c r="E1348" s="30" t="s">
        <v>108</v>
      </c>
      <c r="F1348" s="30">
        <v>1020443426</v>
      </c>
      <c r="G1348" s="30" t="s">
        <v>109</v>
      </c>
      <c r="H1348" s="32">
        <v>37112588</v>
      </c>
      <c r="I1348" s="32">
        <v>2757000</v>
      </c>
      <c r="J1348" s="32">
        <v>11857239</v>
      </c>
      <c r="K1348" s="33">
        <v>22498349</v>
      </c>
      <c r="L1348" s="33">
        <v>42000000</v>
      </c>
      <c r="M1348" s="34">
        <v>0.53567497619047622</v>
      </c>
      <c r="N1348" s="209" t="str">
        <f>IFERROR(VLOOKUP(F1348,Back!C:F,4,0),"NO")</f>
        <v>Si</v>
      </c>
      <c r="O1348" s="26">
        <v>25</v>
      </c>
      <c r="P1348" s="28" t="str">
        <f>IFERROR(VLOOKUP(F1348,Back!C:E,3,0),"")</f>
        <v>IPS Pto De Vista San Diego</v>
      </c>
      <c r="Q1348" s="28" t="str">
        <f>IFERROR(VLOOKUP(P1348,Back!M:N,2,0),"")</f>
        <v>Antioquia</v>
      </c>
      <c r="R1348" s="27" t="str">
        <f>IF(N1348="Si",IFERROR(VLOOKUP(F1348,'TD Cumpl'!B:AB,27,0),"No Aplica"),"No Aplica")</f>
        <v>Fluctúa</v>
      </c>
      <c r="S1348" s="38">
        <v>74</v>
      </c>
      <c r="T1348" s="36">
        <v>5550293</v>
      </c>
      <c r="U1348" s="26">
        <v>166</v>
      </c>
      <c r="V1348" s="37">
        <v>13692813</v>
      </c>
      <c r="W1348" s="19">
        <v>115</v>
      </c>
      <c r="X1348" s="37">
        <v>11857239</v>
      </c>
      <c r="Y1348" s="46">
        <f t="shared" si="44"/>
        <v>6012243</v>
      </c>
      <c r="Z1348" s="19" t="s">
        <v>318</v>
      </c>
    </row>
    <row r="1349" spans="1:26" x14ac:dyDescent="0.25">
      <c r="A1349" s="20">
        <f>+VLOOKUP(D1349,Back!Q:R,2,0)</f>
        <v>5</v>
      </c>
      <c r="B1349" s="20" t="str">
        <f t="shared" si="43"/>
        <v>2018 MAY</v>
      </c>
      <c r="C1349" s="30">
        <v>2018</v>
      </c>
      <c r="D1349" s="30" t="s">
        <v>141</v>
      </c>
      <c r="E1349" s="30" t="s">
        <v>34</v>
      </c>
      <c r="F1349" s="30">
        <v>43554403</v>
      </c>
      <c r="G1349" s="30" t="s">
        <v>35</v>
      </c>
      <c r="H1349" s="32">
        <v>45092159</v>
      </c>
      <c r="I1349" s="32">
        <v>1278000</v>
      </c>
      <c r="J1349" s="32">
        <v>9598406</v>
      </c>
      <c r="K1349" s="33">
        <v>34215753</v>
      </c>
      <c r="L1349" s="33">
        <v>11760000</v>
      </c>
      <c r="M1349" s="34">
        <v>2.909502806122449</v>
      </c>
      <c r="N1349" s="209" t="str">
        <f>IFERROR(VLOOKUP(F1349,Back!C:F,4,0),"NO")</f>
        <v>Si</v>
      </c>
      <c r="O1349" s="26">
        <v>25</v>
      </c>
      <c r="P1349" s="28" t="str">
        <f>IFERROR(VLOOKUP(F1349,Back!C:E,3,0),"")</f>
        <v>IPS Pto De Vista Centro</v>
      </c>
      <c r="Q1349" s="28" t="str">
        <f>IFERROR(VLOOKUP(P1349,Back!M:N,2,0),"")</f>
        <v>Antioquia</v>
      </c>
      <c r="R1349" s="27" t="str">
        <f>IF(N1349="Si",IFERROR(VLOOKUP(F1349,'TD Cumpl'!B:AB,27,0),"No Aplica"),"No Aplica")</f>
        <v>Siempre Cumple</v>
      </c>
      <c r="S1349" s="38">
        <v>75</v>
      </c>
      <c r="T1349" s="36">
        <v>7143525</v>
      </c>
      <c r="U1349" s="26">
        <v>186</v>
      </c>
      <c r="V1349" s="37">
        <v>23140191</v>
      </c>
      <c r="W1349" s="19">
        <v>98</v>
      </c>
      <c r="X1349" s="37">
        <v>9598406</v>
      </c>
      <c r="Y1349" s="46">
        <f t="shared" si="44"/>
        <v>5210037</v>
      </c>
      <c r="Z1349" s="19" t="s">
        <v>317</v>
      </c>
    </row>
    <row r="1350" spans="1:26" x14ac:dyDescent="0.25">
      <c r="A1350" s="20">
        <f>+VLOOKUP(D1350,Back!Q:R,2,0)</f>
        <v>5</v>
      </c>
      <c r="B1350" s="20" t="str">
        <f t="shared" si="43"/>
        <v>2018 MAY</v>
      </c>
      <c r="C1350" s="30">
        <v>2018</v>
      </c>
      <c r="D1350" s="30" t="s">
        <v>141</v>
      </c>
      <c r="E1350" s="30" t="s">
        <v>101</v>
      </c>
      <c r="F1350" s="30">
        <v>21428423</v>
      </c>
      <c r="G1350" s="30" t="s">
        <v>154</v>
      </c>
      <c r="H1350" s="32">
        <v>58427445</v>
      </c>
      <c r="I1350" s="32">
        <v>812000</v>
      </c>
      <c r="J1350" s="32">
        <v>13198544</v>
      </c>
      <c r="K1350" s="33">
        <v>44416901</v>
      </c>
      <c r="L1350" s="33">
        <v>38640000</v>
      </c>
      <c r="M1350" s="34">
        <v>1.1495057194616978</v>
      </c>
      <c r="N1350" s="209" t="str">
        <f>IFERROR(VLOOKUP(F1350,Back!C:F,4,0),"NO")</f>
        <v>Si</v>
      </c>
      <c r="O1350" s="26">
        <v>25</v>
      </c>
      <c r="P1350" s="28" t="str">
        <f>IFERROR(VLOOKUP(F1350,Back!C:E,3,0),"")</f>
        <v>IPS Pto De Vista Centro</v>
      </c>
      <c r="Q1350" s="28" t="str">
        <f>IFERROR(VLOOKUP(P1350,Back!M:N,2,0),"")</f>
        <v>Antioquia</v>
      </c>
      <c r="R1350" s="27" t="str">
        <f>IF(N1350="Si",IFERROR(VLOOKUP(F1350,'TD Cumpl'!B:AB,27,0),"No Aplica"),"No Aplica")</f>
        <v>Fluctúa</v>
      </c>
      <c r="S1350" s="38">
        <v>116</v>
      </c>
      <c r="T1350" s="36">
        <v>9561371</v>
      </c>
      <c r="U1350" s="26">
        <v>262</v>
      </c>
      <c r="V1350" s="37">
        <v>30483020</v>
      </c>
      <c r="W1350" s="19">
        <v>136</v>
      </c>
      <c r="X1350" s="37">
        <v>13198544</v>
      </c>
      <c r="Y1350" s="46">
        <f t="shared" si="44"/>
        <v>5184510</v>
      </c>
      <c r="Z1350" s="19" t="s">
        <v>317</v>
      </c>
    </row>
    <row r="1351" spans="1:26" x14ac:dyDescent="0.25">
      <c r="A1351" s="20">
        <f>+VLOOKUP(D1351,Back!Q:R,2,0)</f>
        <v>5</v>
      </c>
      <c r="B1351" s="20" t="str">
        <f t="shared" si="43"/>
        <v>2018 MAY</v>
      </c>
      <c r="C1351" s="30">
        <v>2018</v>
      </c>
      <c r="D1351" s="30" t="s">
        <v>141</v>
      </c>
      <c r="E1351" s="30" t="s">
        <v>184</v>
      </c>
      <c r="F1351" s="30">
        <v>43906785</v>
      </c>
      <c r="G1351" s="30" t="s">
        <v>188</v>
      </c>
      <c r="H1351" s="32">
        <v>17803665</v>
      </c>
      <c r="I1351" s="32">
        <v>1459800</v>
      </c>
      <c r="J1351" s="32">
        <v>6726041</v>
      </c>
      <c r="K1351" s="33">
        <v>9617824</v>
      </c>
      <c r="L1351" s="33">
        <v>30240000</v>
      </c>
      <c r="M1351" s="34">
        <v>0.31804973544973547</v>
      </c>
      <c r="N1351" s="209" t="str">
        <f>IFERROR(VLOOKUP(F1351,Back!C:F,4,0),"NO")</f>
        <v>NO</v>
      </c>
      <c r="O1351" s="26">
        <v>25</v>
      </c>
      <c r="P1351" s="28" t="str">
        <f>IFERROR(VLOOKUP(F1351,Back!C:E,3,0),"")</f>
        <v/>
      </c>
      <c r="Q1351" s="28" t="str">
        <f>IFERROR(VLOOKUP(P1351,Back!M:N,2,0),"")</f>
        <v/>
      </c>
      <c r="R1351" s="27" t="str">
        <f>IF(N1351="Si",IFERROR(VLOOKUP(F1351,'TD Cumpl'!B:AB,27,0),"No Aplica"),"No Aplica")</f>
        <v>No Aplica</v>
      </c>
      <c r="S1351" s="38">
        <v>30</v>
      </c>
      <c r="T1351" s="36">
        <v>2214088</v>
      </c>
      <c r="U1351" s="26">
        <v>66</v>
      </c>
      <c r="V1351" s="37">
        <v>5535306</v>
      </c>
      <c r="W1351" s="19">
        <v>73</v>
      </c>
      <c r="X1351" s="37">
        <v>6726041</v>
      </c>
      <c r="Y1351" s="46">
        <f t="shared" si="44"/>
        <v>3328230</v>
      </c>
    </row>
    <row r="1352" spans="1:26" x14ac:dyDescent="0.25">
      <c r="A1352" s="20">
        <f>+VLOOKUP(D1352,Back!Q:R,2,0)</f>
        <v>5</v>
      </c>
      <c r="B1352" s="20" t="str">
        <f t="shared" si="43"/>
        <v>2018 MAY</v>
      </c>
      <c r="C1352" s="30">
        <v>2018</v>
      </c>
      <c r="D1352" s="30" t="s">
        <v>141</v>
      </c>
      <c r="E1352" s="30" t="s">
        <v>13</v>
      </c>
      <c r="F1352" s="30">
        <v>43866877</v>
      </c>
      <c r="G1352" s="30" t="s">
        <v>46</v>
      </c>
      <c r="H1352" s="32">
        <v>62036453</v>
      </c>
      <c r="I1352" s="32">
        <v>1456000</v>
      </c>
      <c r="J1352" s="32">
        <v>14354601</v>
      </c>
      <c r="K1352" s="33">
        <v>46225852</v>
      </c>
      <c r="L1352" s="33">
        <v>42000000</v>
      </c>
      <c r="M1352" s="34">
        <v>1.1006155238095239</v>
      </c>
      <c r="N1352" s="209" t="str">
        <f>IFERROR(VLOOKUP(F1352,Back!C:F,4,0),"NO")</f>
        <v>Si</v>
      </c>
      <c r="O1352" s="26">
        <v>25</v>
      </c>
      <c r="P1352" s="28" t="str">
        <f>IFERROR(VLOOKUP(F1352,Back!C:E,3,0),"")</f>
        <v>IPS Pto De Vista Centro</v>
      </c>
      <c r="Q1352" s="28" t="str">
        <f>IFERROR(VLOOKUP(P1352,Back!M:N,2,0),"")</f>
        <v>Antioquia</v>
      </c>
      <c r="R1352" s="27" t="str">
        <f>IF(N1352="Si",IFERROR(VLOOKUP(F1352,'TD Cumpl'!B:AB,27,0),"No Aplica"),"No Aplica")</f>
        <v>Siempre Cumple</v>
      </c>
      <c r="S1352" s="38">
        <v>101</v>
      </c>
      <c r="T1352" s="36">
        <v>11207707</v>
      </c>
      <c r="U1352" s="26">
        <v>218</v>
      </c>
      <c r="V1352" s="37">
        <v>28655767</v>
      </c>
      <c r="W1352" s="19">
        <v>151</v>
      </c>
      <c r="X1352" s="37">
        <v>14354601</v>
      </c>
      <c r="Y1352" s="46">
        <f t="shared" si="44"/>
        <v>7818378</v>
      </c>
      <c r="Z1352" s="19" t="s">
        <v>318</v>
      </c>
    </row>
    <row r="1353" spans="1:26" x14ac:dyDescent="0.25">
      <c r="A1353" s="20">
        <f>+VLOOKUP(D1353,Back!Q:R,2,0)</f>
        <v>5</v>
      </c>
      <c r="B1353" s="20" t="str">
        <f t="shared" si="43"/>
        <v>2018 MAY</v>
      </c>
      <c r="C1353" s="30">
        <v>2018</v>
      </c>
      <c r="D1353" s="30" t="s">
        <v>141</v>
      </c>
      <c r="E1353" s="30" t="s">
        <v>181</v>
      </c>
      <c r="F1353" s="30">
        <v>32183069</v>
      </c>
      <c r="G1353" s="30" t="s">
        <v>182</v>
      </c>
      <c r="H1353" s="32">
        <v>47409956</v>
      </c>
      <c r="I1353" s="32">
        <v>1460000</v>
      </c>
      <c r="J1353" s="32">
        <v>10655648</v>
      </c>
      <c r="K1353" s="33">
        <v>35294308</v>
      </c>
      <c r="L1353" s="33">
        <v>42560000</v>
      </c>
      <c r="M1353" s="34">
        <v>0.82928355263157894</v>
      </c>
      <c r="N1353" s="209" t="str">
        <f>IFERROR(VLOOKUP(F1353,Back!C:F,4,0),"NO")</f>
        <v>Si</v>
      </c>
      <c r="O1353" s="26">
        <v>25</v>
      </c>
      <c r="P1353" s="28" t="str">
        <f>IFERROR(VLOOKUP(F1353,Back!C:E,3,0),"")</f>
        <v>IPS Pto De Vista Molinos</v>
      </c>
      <c r="Q1353" s="28" t="str">
        <f>IFERROR(VLOOKUP(P1353,Back!M:N,2,0),"")</f>
        <v>Antioquia</v>
      </c>
      <c r="R1353" s="27" t="str">
        <f>IF(N1353="Si",IFERROR(VLOOKUP(F1353,'TD Cumpl'!B:AB,27,0),"No Aplica"),"No Aplica")</f>
        <v>No Cumple</v>
      </c>
      <c r="S1353" s="38">
        <v>82</v>
      </c>
      <c r="T1353" s="36">
        <v>7729142</v>
      </c>
      <c r="U1353" s="26">
        <v>199</v>
      </c>
      <c r="V1353" s="37">
        <v>23271564</v>
      </c>
      <c r="W1353" s="19">
        <v>109</v>
      </c>
      <c r="X1353" s="37">
        <v>10655648</v>
      </c>
      <c r="Y1353" s="46">
        <f t="shared" si="44"/>
        <v>5753602</v>
      </c>
      <c r="Z1353" s="19" t="s">
        <v>318</v>
      </c>
    </row>
    <row r="1354" spans="1:26" x14ac:dyDescent="0.25">
      <c r="A1354" s="20">
        <f>+VLOOKUP(D1354,Back!Q:R,2,0)</f>
        <v>5</v>
      </c>
      <c r="B1354" s="20" t="str">
        <f t="shared" si="43"/>
        <v>2018 MAY</v>
      </c>
      <c r="C1354" s="30">
        <v>2018</v>
      </c>
      <c r="D1354" s="30" t="s">
        <v>141</v>
      </c>
      <c r="E1354" s="30" t="s">
        <v>235</v>
      </c>
      <c r="F1354" s="30">
        <v>39275090</v>
      </c>
      <c r="G1354" s="30" t="s">
        <v>236</v>
      </c>
      <c r="H1354" s="32">
        <v>58089552</v>
      </c>
      <c r="I1354" s="32">
        <v>0</v>
      </c>
      <c r="J1354" s="32">
        <v>8915792</v>
      </c>
      <c r="K1354" s="33">
        <v>49173760</v>
      </c>
      <c r="L1354" s="33">
        <v>43440000</v>
      </c>
      <c r="M1354" s="34">
        <v>1.1319926335174955</v>
      </c>
      <c r="N1354" s="209" t="str">
        <f>IFERROR(VLOOKUP(F1354,Back!C:F,4,0),"NO")</f>
        <v>Si</v>
      </c>
      <c r="O1354" s="26">
        <v>25</v>
      </c>
      <c r="P1354" s="28" t="str">
        <f>IFERROR(VLOOKUP(F1354,Back!C:E,3,0),"")</f>
        <v>IPS Pto De Vista San Diego</v>
      </c>
      <c r="Q1354" s="28" t="str">
        <f>IFERROR(VLOOKUP(P1354,Back!M:N,2,0),"")</f>
        <v>Antioquia</v>
      </c>
      <c r="R1354" s="27" t="str">
        <f>IF(N1354="Si",IFERROR(VLOOKUP(F1354,'TD Cumpl'!B:AB,27,0),"No Aplica"),"No Aplica")</f>
        <v>Siempre Cumple</v>
      </c>
      <c r="S1354" s="38">
        <v>88</v>
      </c>
      <c r="T1354" s="36">
        <v>11287344</v>
      </c>
      <c r="U1354" s="26">
        <v>194</v>
      </c>
      <c r="V1354" s="37">
        <v>31468278</v>
      </c>
      <c r="W1354" s="19">
        <v>94</v>
      </c>
      <c r="X1354" s="37">
        <v>8915792</v>
      </c>
      <c r="Y1354" s="46">
        <f t="shared" si="44"/>
        <v>6418138</v>
      </c>
      <c r="Z1354" s="19" t="s">
        <v>318</v>
      </c>
    </row>
    <row r="1355" spans="1:26" x14ac:dyDescent="0.25">
      <c r="A1355" s="20">
        <f>+VLOOKUP(D1355,Back!Q:R,2,0)</f>
        <v>5</v>
      </c>
      <c r="B1355" s="20" t="str">
        <f t="shared" si="43"/>
        <v>2018 MAY</v>
      </c>
      <c r="C1355" s="30">
        <v>2018</v>
      </c>
      <c r="D1355" s="30" t="s">
        <v>141</v>
      </c>
      <c r="E1355" s="30" t="s">
        <v>177</v>
      </c>
      <c r="F1355" s="30">
        <v>1035913369</v>
      </c>
      <c r="G1355" s="30" t="s">
        <v>183</v>
      </c>
      <c r="H1355" s="32">
        <v>38871385</v>
      </c>
      <c r="I1355" s="32">
        <v>1473000</v>
      </c>
      <c r="J1355" s="32">
        <v>11734986</v>
      </c>
      <c r="K1355" s="33">
        <v>25663399</v>
      </c>
      <c r="L1355" s="33">
        <v>42000000</v>
      </c>
      <c r="M1355" s="34">
        <v>0.61103330952380952</v>
      </c>
      <c r="N1355" s="209" t="str">
        <f>IFERROR(VLOOKUP(F1355,Back!C:F,4,0),"NO")</f>
        <v>Si</v>
      </c>
      <c r="O1355" s="26">
        <v>25</v>
      </c>
      <c r="P1355" s="28" t="str">
        <f>IFERROR(VLOOKUP(F1355,Back!C:E,3,0),"")</f>
        <v>IPS Pto De Vista Centro</v>
      </c>
      <c r="Q1355" s="28" t="str">
        <f>IFERROR(VLOOKUP(P1355,Back!M:N,2,0),"")</f>
        <v>Antioquia</v>
      </c>
      <c r="R1355" s="27" t="str">
        <f>IF(N1355="Si",IFERROR(VLOOKUP(F1355,'TD Cumpl'!B:AB,27,0),"No Aplica"),"No Aplica")</f>
        <v>Fluctúa</v>
      </c>
      <c r="S1355" s="38">
        <v>70</v>
      </c>
      <c r="T1355" s="36">
        <v>5602497</v>
      </c>
      <c r="U1355" s="26">
        <v>162</v>
      </c>
      <c r="V1355" s="37">
        <v>15056085</v>
      </c>
      <c r="W1355" s="19">
        <v>122</v>
      </c>
      <c r="X1355" s="37">
        <v>11734986</v>
      </c>
      <c r="Y1355" s="46">
        <f t="shared" si="44"/>
        <v>6477817</v>
      </c>
      <c r="Z1355" s="19" t="s">
        <v>318</v>
      </c>
    </row>
    <row r="1356" spans="1:26" x14ac:dyDescent="0.25">
      <c r="A1356" s="20">
        <f>+VLOOKUP(D1356,Back!Q:R,2,0)</f>
        <v>5</v>
      </c>
      <c r="B1356" s="20" t="str">
        <f t="shared" si="43"/>
        <v>2018 MAY</v>
      </c>
      <c r="C1356" s="30">
        <v>2018</v>
      </c>
      <c r="D1356" s="30" t="s">
        <v>141</v>
      </c>
      <c r="E1356" s="30" t="s">
        <v>23</v>
      </c>
      <c r="F1356" s="30">
        <v>43907427</v>
      </c>
      <c r="G1356" s="30" t="s">
        <v>144</v>
      </c>
      <c r="H1356" s="32">
        <v>68662060</v>
      </c>
      <c r="I1356" s="32">
        <v>0</v>
      </c>
      <c r="J1356" s="32">
        <v>6554909</v>
      </c>
      <c r="K1356" s="33">
        <v>62107151</v>
      </c>
      <c r="L1356" s="33">
        <v>40000000</v>
      </c>
      <c r="M1356" s="34">
        <v>1.552678775</v>
      </c>
      <c r="N1356" s="209" t="str">
        <f>IFERROR(VLOOKUP(F1356,Back!C:F,4,0),"NO")</f>
        <v>Si</v>
      </c>
      <c r="O1356" s="26">
        <v>25</v>
      </c>
      <c r="P1356" s="28" t="str">
        <f>IFERROR(VLOOKUP(F1356,Back!C:E,3,0),"")</f>
        <v>IPS Pto De Vista Industriales</v>
      </c>
      <c r="Q1356" s="28" t="str">
        <f>IFERROR(VLOOKUP(P1356,Back!M:N,2,0),"")</f>
        <v>Antioquia</v>
      </c>
      <c r="R1356" s="27" t="str">
        <f>IF(N1356="Si",IFERROR(VLOOKUP(F1356,'TD Cumpl'!B:AB,27,0),"No Aplica"),"No Aplica")</f>
        <v>Siempre Cumple</v>
      </c>
      <c r="S1356" s="38">
        <v>78</v>
      </c>
      <c r="T1356" s="36">
        <v>14971728</v>
      </c>
      <c r="U1356" s="26">
        <v>205</v>
      </c>
      <c r="V1356" s="37">
        <v>38460509</v>
      </c>
      <c r="W1356" s="19">
        <v>71</v>
      </c>
      <c r="X1356" s="37">
        <v>6554909</v>
      </c>
      <c r="Y1356" s="46">
        <f t="shared" si="44"/>
        <v>8674914</v>
      </c>
      <c r="Z1356" s="19" t="s">
        <v>318</v>
      </c>
    </row>
    <row r="1357" spans="1:26" x14ac:dyDescent="0.25">
      <c r="A1357" s="20">
        <f>+VLOOKUP(D1357,Back!Q:R,2,0)</f>
        <v>5</v>
      </c>
      <c r="B1357" s="20" t="str">
        <f t="shared" si="43"/>
        <v>2018 MAY</v>
      </c>
      <c r="C1357" s="30">
        <v>2018</v>
      </c>
      <c r="D1357" s="30" t="s">
        <v>141</v>
      </c>
      <c r="E1357" s="30" t="s">
        <v>66</v>
      </c>
      <c r="F1357" s="30">
        <v>3438422</v>
      </c>
      <c r="G1357" s="30" t="s">
        <v>71</v>
      </c>
      <c r="H1357" s="32">
        <v>46050886</v>
      </c>
      <c r="I1357" s="32">
        <v>1068400</v>
      </c>
      <c r="J1357" s="32">
        <v>9210309</v>
      </c>
      <c r="K1357" s="33">
        <v>35772177</v>
      </c>
      <c r="L1357" s="33">
        <v>44000000</v>
      </c>
      <c r="M1357" s="34">
        <v>0.81300402272727268</v>
      </c>
      <c r="N1357" s="209" t="str">
        <f>IFERROR(VLOOKUP(F1357,Back!C:F,4,0),"NO")</f>
        <v>Si</v>
      </c>
      <c r="O1357" s="26">
        <v>25</v>
      </c>
      <c r="P1357" s="28" t="str">
        <f>IFERROR(VLOOKUP(F1357,Back!C:E,3,0),"")</f>
        <v>IPS Pto De Vista Punto Clave</v>
      </c>
      <c r="Q1357" s="28" t="str">
        <f>IFERROR(VLOOKUP(P1357,Back!M:N,2,0),"")</f>
        <v>Antioquia</v>
      </c>
      <c r="R1357" s="27" t="str">
        <f>IF(N1357="Si",IFERROR(VLOOKUP(F1357,'TD Cumpl'!B:AB,27,0),"No Aplica"),"No Aplica")</f>
        <v>Fluctúa</v>
      </c>
      <c r="S1357" s="38">
        <v>68</v>
      </c>
      <c r="T1357" s="36">
        <v>7340495</v>
      </c>
      <c r="U1357" s="26">
        <v>168</v>
      </c>
      <c r="V1357" s="37">
        <v>22937781</v>
      </c>
      <c r="W1357" s="19">
        <v>93</v>
      </c>
      <c r="X1357" s="37">
        <v>9210309</v>
      </c>
      <c r="Y1357" s="46">
        <f t="shared" si="44"/>
        <v>6562301</v>
      </c>
      <c r="Z1357" s="19" t="s">
        <v>318</v>
      </c>
    </row>
    <row r="1358" spans="1:26" x14ac:dyDescent="0.25">
      <c r="A1358" s="20">
        <f>+VLOOKUP(D1358,Back!Q:R,2,0)</f>
        <v>5</v>
      </c>
      <c r="B1358" s="20" t="str">
        <f t="shared" si="43"/>
        <v>2018 MAY</v>
      </c>
      <c r="C1358" s="30">
        <v>2018</v>
      </c>
      <c r="D1358" s="30" t="s">
        <v>141</v>
      </c>
      <c r="E1358" s="30" t="s">
        <v>166</v>
      </c>
      <c r="F1358" s="30">
        <v>1020451288</v>
      </c>
      <c r="G1358" s="30" t="s">
        <v>167</v>
      </c>
      <c r="H1358" s="32">
        <v>56765459</v>
      </c>
      <c r="I1358" s="32">
        <v>440000</v>
      </c>
      <c r="J1358" s="32">
        <v>11345759</v>
      </c>
      <c r="K1358" s="33">
        <v>44979700</v>
      </c>
      <c r="L1358" s="33">
        <v>44000000</v>
      </c>
      <c r="M1358" s="34">
        <v>1.0222659090909092</v>
      </c>
      <c r="N1358" s="209" t="str">
        <f>IFERROR(VLOOKUP(F1358,Back!C:F,4,0),"NO")</f>
        <v>Si</v>
      </c>
      <c r="O1358" s="26">
        <v>25</v>
      </c>
      <c r="P1358" s="28" t="str">
        <f>IFERROR(VLOOKUP(F1358,Back!C:E,3,0),"")</f>
        <v>IPS Pto De Vista Punto Clave</v>
      </c>
      <c r="Q1358" s="28" t="str">
        <f>IFERROR(VLOOKUP(P1358,Back!M:N,2,0),"")</f>
        <v>Antioquia</v>
      </c>
      <c r="R1358" s="27" t="str">
        <f>IF(N1358="Si",IFERROR(VLOOKUP(F1358,'TD Cumpl'!B:AB,27,0),"No Aplica"),"No Aplica")</f>
        <v>Cumple</v>
      </c>
      <c r="S1358" s="38">
        <v>86</v>
      </c>
      <c r="T1358" s="36">
        <v>7920267</v>
      </c>
      <c r="U1358" s="26">
        <v>250</v>
      </c>
      <c r="V1358" s="37">
        <v>30545230</v>
      </c>
      <c r="W1358" s="19">
        <v>121</v>
      </c>
      <c r="X1358" s="37">
        <v>11345759</v>
      </c>
      <c r="Y1358" s="46">
        <f t="shared" si="44"/>
        <v>6954203</v>
      </c>
      <c r="Z1358" s="19" t="s">
        <v>318</v>
      </c>
    </row>
    <row r="1359" spans="1:26" x14ac:dyDescent="0.25">
      <c r="A1359" s="20">
        <f>+VLOOKUP(D1359,Back!Q:R,2,0)</f>
        <v>5</v>
      </c>
      <c r="B1359" s="20" t="str">
        <f t="shared" si="43"/>
        <v>2018 MAY</v>
      </c>
      <c r="C1359" s="30">
        <v>2018</v>
      </c>
      <c r="D1359" s="30" t="s">
        <v>141</v>
      </c>
      <c r="E1359" s="30" t="s">
        <v>92</v>
      </c>
      <c r="F1359" s="30">
        <v>1017167720</v>
      </c>
      <c r="G1359" s="30" t="s">
        <v>96</v>
      </c>
      <c r="H1359" s="32">
        <v>58514263</v>
      </c>
      <c r="I1359" s="32">
        <v>1872000</v>
      </c>
      <c r="J1359" s="32">
        <v>9807697</v>
      </c>
      <c r="K1359" s="33">
        <v>46834566</v>
      </c>
      <c r="L1359" s="33">
        <v>44000000</v>
      </c>
      <c r="M1359" s="34">
        <v>1.0644219545454545</v>
      </c>
      <c r="N1359" s="209" t="str">
        <f>IFERROR(VLOOKUP(F1359,Back!C:F,4,0),"NO")</f>
        <v>Si</v>
      </c>
      <c r="O1359" s="26">
        <v>25</v>
      </c>
      <c r="P1359" s="28" t="str">
        <f>IFERROR(VLOOKUP(F1359,Back!C:E,3,0),"")</f>
        <v>IPS Pto De Vista Punto Clave</v>
      </c>
      <c r="Q1359" s="28" t="str">
        <f>IFERROR(VLOOKUP(P1359,Back!M:N,2,0),"")</f>
        <v>Antioquia</v>
      </c>
      <c r="R1359" s="27" t="str">
        <f>IF(N1359="Si",IFERROR(VLOOKUP(F1359,'TD Cumpl'!B:AB,27,0),"No Aplica"),"No Aplica")</f>
        <v>Cumple</v>
      </c>
      <c r="S1359" s="38">
        <v>87</v>
      </c>
      <c r="T1359" s="36">
        <v>9224846</v>
      </c>
      <c r="U1359" s="26">
        <v>214</v>
      </c>
      <c r="V1359" s="37">
        <v>31277380</v>
      </c>
      <c r="W1359" s="19">
        <v>99</v>
      </c>
      <c r="X1359" s="37">
        <v>9807697</v>
      </c>
      <c r="Y1359" s="46">
        <f t="shared" si="44"/>
        <v>8204340</v>
      </c>
      <c r="Z1359" s="19" t="s">
        <v>318</v>
      </c>
    </row>
    <row r="1360" spans="1:26" x14ac:dyDescent="0.25">
      <c r="A1360" s="20">
        <f>+VLOOKUP(D1360,Back!Q:R,2,0)</f>
        <v>5</v>
      </c>
      <c r="B1360" s="20" t="str">
        <f t="shared" si="43"/>
        <v>2018 MAY</v>
      </c>
      <c r="C1360" s="30">
        <v>2018</v>
      </c>
      <c r="D1360" s="30" t="s">
        <v>141</v>
      </c>
      <c r="E1360" s="30" t="s">
        <v>57</v>
      </c>
      <c r="F1360" s="30">
        <v>43874518</v>
      </c>
      <c r="G1360" s="30" t="s">
        <v>60</v>
      </c>
      <c r="H1360" s="32">
        <v>57907253</v>
      </c>
      <c r="I1360" s="32">
        <v>890000</v>
      </c>
      <c r="J1360" s="32">
        <v>11261660</v>
      </c>
      <c r="K1360" s="33">
        <v>45755593</v>
      </c>
      <c r="L1360" s="33">
        <v>44000000</v>
      </c>
      <c r="M1360" s="34">
        <v>1.0398998409090909</v>
      </c>
      <c r="N1360" s="209" t="str">
        <f>IFERROR(VLOOKUP(F1360,Back!C:F,4,0),"NO")</f>
        <v>Si</v>
      </c>
      <c r="O1360" s="26">
        <v>25</v>
      </c>
      <c r="P1360" s="28" t="str">
        <f>IFERROR(VLOOKUP(F1360,Back!C:E,3,0),"")</f>
        <v>IPS Pto De Vista Punto Clave</v>
      </c>
      <c r="Q1360" s="28" t="str">
        <f>IFERROR(VLOOKUP(P1360,Back!M:N,2,0),"")</f>
        <v>Antioquia</v>
      </c>
      <c r="R1360" s="27" t="str">
        <f>IF(N1360="Si",IFERROR(VLOOKUP(F1360,'TD Cumpl'!B:AB,27,0),"No Aplica"),"No Aplica")</f>
        <v>Fluctúa</v>
      </c>
      <c r="S1360" s="38">
        <v>106</v>
      </c>
      <c r="T1360" s="36">
        <v>9451279</v>
      </c>
      <c r="U1360" s="26">
        <v>282</v>
      </c>
      <c r="V1360" s="37">
        <v>28987177</v>
      </c>
      <c r="W1360" s="19">
        <v>112</v>
      </c>
      <c r="X1360" s="37">
        <v>11261660</v>
      </c>
      <c r="Y1360" s="46">
        <f t="shared" si="44"/>
        <v>8207137</v>
      </c>
      <c r="Z1360" s="19" t="s">
        <v>318</v>
      </c>
    </row>
    <row r="1361" spans="1:26" x14ac:dyDescent="0.25">
      <c r="A1361" s="20">
        <f>+VLOOKUP(D1361,Back!Q:R,2,0)</f>
        <v>5</v>
      </c>
      <c r="B1361" s="20" t="str">
        <f t="shared" si="43"/>
        <v>2018 MAY</v>
      </c>
      <c r="C1361" s="30">
        <v>2018</v>
      </c>
      <c r="D1361" s="30" t="s">
        <v>141</v>
      </c>
      <c r="E1361" s="30" t="s">
        <v>64</v>
      </c>
      <c r="F1361" s="30">
        <v>1036598360</v>
      </c>
      <c r="G1361" s="30" t="s">
        <v>146</v>
      </c>
      <c r="H1361" s="32">
        <v>59233289</v>
      </c>
      <c r="I1361" s="32">
        <v>918000</v>
      </c>
      <c r="J1361" s="32">
        <v>10562403</v>
      </c>
      <c r="K1361" s="33">
        <v>47752886</v>
      </c>
      <c r="L1361" s="33">
        <v>44000000</v>
      </c>
      <c r="M1361" s="34">
        <v>1.0852928636363637</v>
      </c>
      <c r="N1361" s="209" t="str">
        <f>IFERROR(VLOOKUP(F1361,Back!C:F,4,0),"NO")</f>
        <v>Si</v>
      </c>
      <c r="O1361" s="26">
        <v>25</v>
      </c>
      <c r="P1361" s="28" t="str">
        <f>IFERROR(VLOOKUP(F1361,Back!C:E,3,0),"")</f>
        <v>IPS Pto De Vista Punto Clave</v>
      </c>
      <c r="Q1361" s="28" t="str">
        <f>IFERROR(VLOOKUP(P1361,Back!M:N,2,0),"")</f>
        <v>Antioquia</v>
      </c>
      <c r="R1361" s="27" t="str">
        <f>IF(N1361="Si",IFERROR(VLOOKUP(F1361,'TD Cumpl'!B:AB,27,0),"No Aplica"),"No Aplica")</f>
        <v>Fluctúa</v>
      </c>
      <c r="S1361" s="38">
        <v>97</v>
      </c>
      <c r="T1361" s="36">
        <v>11139612</v>
      </c>
      <c r="U1361" s="26">
        <v>262</v>
      </c>
      <c r="V1361" s="37">
        <v>30831053</v>
      </c>
      <c r="W1361" s="19">
        <v>101</v>
      </c>
      <c r="X1361" s="37">
        <v>10377203</v>
      </c>
      <c r="Y1361" s="46">
        <f t="shared" si="44"/>
        <v>6885421</v>
      </c>
      <c r="Z1361" s="19" t="s">
        <v>318</v>
      </c>
    </row>
    <row r="1362" spans="1:26" x14ac:dyDescent="0.25">
      <c r="A1362" s="20">
        <f>+VLOOKUP(D1362,Back!Q:R,2,0)</f>
        <v>5</v>
      </c>
      <c r="B1362" s="20" t="str">
        <f t="shared" si="43"/>
        <v>2018 MAY</v>
      </c>
      <c r="C1362" s="30">
        <v>2018</v>
      </c>
      <c r="D1362" s="30" t="s">
        <v>141</v>
      </c>
      <c r="E1362" s="30" t="s">
        <v>90</v>
      </c>
      <c r="F1362" s="30">
        <v>1020419011</v>
      </c>
      <c r="G1362" s="30" t="s">
        <v>97</v>
      </c>
      <c r="H1362" s="32">
        <v>39321924</v>
      </c>
      <c r="I1362" s="32">
        <v>1216400</v>
      </c>
      <c r="J1362" s="32">
        <v>6372486</v>
      </c>
      <c r="K1362" s="33">
        <v>31733038</v>
      </c>
      <c r="L1362" s="33">
        <v>31680000</v>
      </c>
      <c r="M1362" s="34">
        <v>1.0016741792929293</v>
      </c>
      <c r="N1362" s="209" t="str">
        <f>IFERROR(VLOOKUP(F1362,Back!C:F,4,0),"NO")</f>
        <v>Si</v>
      </c>
      <c r="O1362" s="26">
        <v>25</v>
      </c>
      <c r="P1362" s="28" t="str">
        <f>IFERROR(VLOOKUP(F1362,Back!C:E,3,0),"")</f>
        <v>IPS Pto De Vista Punto Clave</v>
      </c>
      <c r="Q1362" s="28" t="str">
        <f>IFERROR(VLOOKUP(P1362,Back!M:N,2,0),"")</f>
        <v>Antioquia</v>
      </c>
      <c r="R1362" s="27" t="str">
        <f>IF(N1362="Si",IFERROR(VLOOKUP(F1362,'TD Cumpl'!B:AB,27,0),"No Aplica"),"No Aplica")</f>
        <v>Cumple</v>
      </c>
      <c r="S1362" s="38">
        <v>78</v>
      </c>
      <c r="T1362" s="36">
        <v>8403793</v>
      </c>
      <c r="U1362" s="26">
        <v>180</v>
      </c>
      <c r="V1362" s="37">
        <v>20627773</v>
      </c>
      <c r="W1362" s="19">
        <v>70</v>
      </c>
      <c r="X1362" s="37">
        <v>6372486</v>
      </c>
      <c r="Y1362" s="46">
        <f t="shared" si="44"/>
        <v>3917872</v>
      </c>
      <c r="Z1362" s="19" t="s">
        <v>319</v>
      </c>
    </row>
    <row r="1363" spans="1:26" x14ac:dyDescent="0.25">
      <c r="A1363" s="20">
        <f>+VLOOKUP(D1363,Back!Q:R,2,0)</f>
        <v>5</v>
      </c>
      <c r="B1363" s="20" t="str">
        <f t="shared" si="43"/>
        <v>2018 MAY</v>
      </c>
      <c r="C1363" s="30">
        <v>2018</v>
      </c>
      <c r="D1363" s="30" t="s">
        <v>141</v>
      </c>
      <c r="E1363" s="30" t="s">
        <v>117</v>
      </c>
      <c r="F1363" s="30">
        <v>1020419615</v>
      </c>
      <c r="G1363" s="30" t="s">
        <v>118</v>
      </c>
      <c r="H1363" s="31">
        <v>56621822</v>
      </c>
      <c r="I1363" s="32">
        <v>866000</v>
      </c>
      <c r="J1363" s="32">
        <v>11855773</v>
      </c>
      <c r="K1363" s="33">
        <v>43900049</v>
      </c>
      <c r="L1363" s="33">
        <v>44000000</v>
      </c>
      <c r="M1363" s="34">
        <v>0.99772838636363637</v>
      </c>
      <c r="N1363" s="209" t="str">
        <f>IFERROR(VLOOKUP(F1363,Back!C:F,4,0),"NO")</f>
        <v>Si</v>
      </c>
      <c r="O1363" s="26">
        <v>25</v>
      </c>
      <c r="P1363" s="28" t="str">
        <f>IFERROR(VLOOKUP(F1363,Back!C:E,3,0),"")</f>
        <v>IPS Pto De Vista Punto Clave</v>
      </c>
      <c r="Q1363" s="28" t="str">
        <f>IFERROR(VLOOKUP(P1363,Back!M:N,2,0),"")</f>
        <v>Antioquia</v>
      </c>
      <c r="R1363" s="27" t="str">
        <f>IF(N1363="Si",IFERROR(VLOOKUP(F1363,'TD Cumpl'!B:AB,27,0),"No Aplica"),"No Aplica")</f>
        <v>Cumple</v>
      </c>
      <c r="S1363" s="38">
        <v>92</v>
      </c>
      <c r="T1363" s="36">
        <v>9339559</v>
      </c>
      <c r="U1363" s="26">
        <v>260</v>
      </c>
      <c r="V1363" s="37">
        <v>28362826</v>
      </c>
      <c r="W1363" s="19">
        <v>113</v>
      </c>
      <c r="X1363" s="37">
        <v>11855773</v>
      </c>
      <c r="Y1363" s="46">
        <f t="shared" si="44"/>
        <v>7063664</v>
      </c>
      <c r="Z1363" s="19" t="s">
        <v>318</v>
      </c>
    </row>
    <row r="1364" spans="1:26" x14ac:dyDescent="0.25">
      <c r="A1364" s="20">
        <f>+VLOOKUP(D1364,Back!Q:R,2,0)</f>
        <v>5</v>
      </c>
      <c r="B1364" s="20" t="str">
        <f t="shared" si="43"/>
        <v>2018 MAY</v>
      </c>
      <c r="C1364" s="30">
        <v>2018</v>
      </c>
      <c r="D1364" s="30" t="s">
        <v>141</v>
      </c>
      <c r="E1364" s="30" t="s">
        <v>6</v>
      </c>
      <c r="F1364" s="30">
        <v>43821410</v>
      </c>
      <c r="G1364" s="30" t="s">
        <v>40</v>
      </c>
      <c r="H1364" s="32">
        <v>25690300</v>
      </c>
      <c r="I1364" s="32">
        <v>240800</v>
      </c>
      <c r="J1364" s="32">
        <v>2477283</v>
      </c>
      <c r="K1364" s="33">
        <v>22972217</v>
      </c>
      <c r="L1364" s="33">
        <v>12320000</v>
      </c>
      <c r="M1364" s="34">
        <v>1.8646280032467533</v>
      </c>
      <c r="N1364" s="209" t="str">
        <f>IFERROR(VLOOKUP(F1364,Back!C:F,4,0),"NO")</f>
        <v>Si</v>
      </c>
      <c r="O1364" s="26">
        <v>25</v>
      </c>
      <c r="P1364" s="28" t="str">
        <f>IFERROR(VLOOKUP(F1364,Back!C:E,3,0),"")</f>
        <v>IPS Pto De Vista Unicentro</v>
      </c>
      <c r="Q1364" s="28" t="str">
        <f>IFERROR(VLOOKUP(P1364,Back!M:N,2,0),"")</f>
        <v>Antioquia</v>
      </c>
      <c r="R1364" s="27" t="str">
        <f>IF(N1364="Si",IFERROR(VLOOKUP(F1364,'TD Cumpl'!B:AB,27,0),"No Aplica"),"No Aplica")</f>
        <v>Siempre Cumple</v>
      </c>
      <c r="S1364" s="38">
        <v>39</v>
      </c>
      <c r="T1364" s="36">
        <v>4453115</v>
      </c>
      <c r="U1364" s="26">
        <v>98</v>
      </c>
      <c r="V1364" s="37">
        <v>16398058</v>
      </c>
      <c r="W1364" s="19">
        <v>23</v>
      </c>
      <c r="X1364" s="37">
        <v>2236483</v>
      </c>
      <c r="Y1364" s="46">
        <f t="shared" si="44"/>
        <v>2602644</v>
      </c>
      <c r="Z1364" s="19" t="s">
        <v>317</v>
      </c>
    </row>
    <row r="1365" spans="1:26" x14ac:dyDescent="0.25">
      <c r="A1365" s="20">
        <f>+VLOOKUP(D1365,Back!Q:R,2,0)</f>
        <v>5</v>
      </c>
      <c r="B1365" s="20" t="str">
        <f t="shared" si="43"/>
        <v>2018 MAY</v>
      </c>
      <c r="C1365" s="30">
        <v>2018</v>
      </c>
      <c r="D1365" s="30" t="s">
        <v>141</v>
      </c>
      <c r="E1365" s="30" t="s">
        <v>22</v>
      </c>
      <c r="F1365" s="30">
        <v>42164020</v>
      </c>
      <c r="G1365" s="30" t="s">
        <v>105</v>
      </c>
      <c r="H1365" s="32">
        <v>63218218</v>
      </c>
      <c r="I1365" s="32">
        <v>440000</v>
      </c>
      <c r="J1365" s="32">
        <v>13041040</v>
      </c>
      <c r="K1365" s="33">
        <v>49737178</v>
      </c>
      <c r="L1365" s="33">
        <v>44000000</v>
      </c>
      <c r="M1365" s="34">
        <v>1.1303904090909092</v>
      </c>
      <c r="N1365" s="209" t="str">
        <f>IFERROR(VLOOKUP(F1365,Back!C:F,4,0),"NO")</f>
        <v>Si</v>
      </c>
      <c r="O1365" s="26">
        <v>25</v>
      </c>
      <c r="P1365" s="28" t="str">
        <f>IFERROR(VLOOKUP(F1365,Back!C:E,3,0),"")</f>
        <v>IPS Pto De Vista Molinos</v>
      </c>
      <c r="Q1365" s="28" t="str">
        <f>IFERROR(VLOOKUP(P1365,Back!M:N,2,0),"")</f>
        <v>Antioquia</v>
      </c>
      <c r="R1365" s="27" t="str">
        <f>IF(N1365="Si",IFERROR(VLOOKUP(F1365,'TD Cumpl'!B:AB,27,0),"No Aplica"),"No Aplica")</f>
        <v>Siempre Cumple</v>
      </c>
      <c r="S1365" s="38">
        <v>96</v>
      </c>
      <c r="T1365" s="36">
        <v>9404925</v>
      </c>
      <c r="U1365" s="26">
        <v>234</v>
      </c>
      <c r="V1365" s="37">
        <v>33979134</v>
      </c>
      <c r="W1365" s="19">
        <v>114</v>
      </c>
      <c r="X1365" s="37">
        <v>10959240</v>
      </c>
      <c r="Y1365" s="46">
        <f t="shared" si="44"/>
        <v>8874919</v>
      </c>
    </row>
    <row r="1366" spans="1:26" x14ac:dyDescent="0.25">
      <c r="A1366" s="20">
        <f>+VLOOKUP(D1366,Back!Q:R,2,0)</f>
        <v>5</v>
      </c>
      <c r="B1366" s="20" t="str">
        <f t="shared" si="43"/>
        <v>2018 MAY</v>
      </c>
      <c r="C1366" s="30">
        <v>2018</v>
      </c>
      <c r="D1366" s="30" t="s">
        <v>141</v>
      </c>
      <c r="E1366" s="30" t="s">
        <v>7</v>
      </c>
      <c r="F1366" s="30">
        <v>43745952</v>
      </c>
      <c r="G1366" s="30" t="s">
        <v>50</v>
      </c>
      <c r="H1366" s="32">
        <v>83536744</v>
      </c>
      <c r="I1366" s="32">
        <v>4803900</v>
      </c>
      <c r="J1366" s="32">
        <v>14819787</v>
      </c>
      <c r="K1366" s="33">
        <v>63913057</v>
      </c>
      <c r="L1366" s="33">
        <v>44000000</v>
      </c>
      <c r="M1366" s="34">
        <v>1.4525694772727273</v>
      </c>
      <c r="N1366" s="209" t="str">
        <f>IFERROR(VLOOKUP(F1366,Back!C:F,4,0),"NO")</f>
        <v>Si</v>
      </c>
      <c r="O1366" s="26">
        <v>25</v>
      </c>
      <c r="P1366" s="28" t="str">
        <f>IFERROR(VLOOKUP(F1366,Back!C:E,3,0),"")</f>
        <v>IPS Pto De Vista Unicentro</v>
      </c>
      <c r="Q1366" s="28" t="str">
        <f>IFERROR(VLOOKUP(P1366,Back!M:N,2,0),"")</f>
        <v>Antioquia</v>
      </c>
      <c r="R1366" s="27" t="str">
        <f>IF(N1366="Si",IFERROR(VLOOKUP(F1366,'TD Cumpl'!B:AB,27,0),"No Aplica"),"No Aplica")</f>
        <v>Siempre Cumple</v>
      </c>
      <c r="S1366" s="38">
        <v>109</v>
      </c>
      <c r="T1366" s="36">
        <v>12137347</v>
      </c>
      <c r="U1366" s="26">
        <v>285</v>
      </c>
      <c r="V1366" s="37">
        <v>42793592</v>
      </c>
      <c r="W1366" s="19">
        <v>151</v>
      </c>
      <c r="X1366" s="37">
        <v>14408787</v>
      </c>
      <c r="Y1366" s="46">
        <f t="shared" si="44"/>
        <v>14197018</v>
      </c>
      <c r="Z1366" s="19" t="s">
        <v>318</v>
      </c>
    </row>
    <row r="1367" spans="1:26" x14ac:dyDescent="0.25">
      <c r="A1367" s="20">
        <f>+VLOOKUP(D1367,Back!Q:R,2,0)</f>
        <v>5</v>
      </c>
      <c r="B1367" s="20" t="str">
        <f t="shared" si="43"/>
        <v>2018 MAY</v>
      </c>
      <c r="C1367" s="30">
        <v>2018</v>
      </c>
      <c r="D1367" s="30" t="s">
        <v>141</v>
      </c>
      <c r="E1367" s="30" t="s">
        <v>18</v>
      </c>
      <c r="F1367" s="30">
        <v>39442617</v>
      </c>
      <c r="G1367" s="30" t="s">
        <v>41</v>
      </c>
      <c r="H1367" s="31">
        <v>4382137</v>
      </c>
      <c r="I1367" s="32">
        <v>0</v>
      </c>
      <c r="J1367" s="32">
        <v>1494713</v>
      </c>
      <c r="K1367" s="33">
        <v>2887424</v>
      </c>
      <c r="L1367" s="33">
        <v>9360000</v>
      </c>
      <c r="M1367" s="34">
        <v>0.30848547008547006</v>
      </c>
      <c r="N1367" s="209" t="str">
        <f>IFERROR(VLOOKUP(F1367,Back!C:F,4,0),"NO")</f>
        <v>Si</v>
      </c>
      <c r="O1367" s="26">
        <v>25</v>
      </c>
      <c r="P1367" s="28" t="str">
        <f>IFERROR(VLOOKUP(F1367,Back!C:E,3,0),"")</f>
        <v>IPS Pto De Vista San Diego</v>
      </c>
      <c r="Q1367" s="28" t="str">
        <f>IFERROR(VLOOKUP(P1367,Back!M:N,2,0),"")</f>
        <v>Antioquia</v>
      </c>
      <c r="R1367" s="27" t="str">
        <f>IF(N1367="Si",IFERROR(VLOOKUP(F1367,'TD Cumpl'!B:AB,27,0),"No Aplica"),"No Aplica")</f>
        <v>Cumple</v>
      </c>
      <c r="S1367" s="38">
        <v>6</v>
      </c>
      <c r="T1367" s="36">
        <v>574572</v>
      </c>
      <c r="U1367" s="26">
        <v>12</v>
      </c>
      <c r="V1367" s="37">
        <v>1227213</v>
      </c>
      <c r="W1367" s="19">
        <v>15</v>
      </c>
      <c r="X1367" s="37">
        <v>1494713</v>
      </c>
      <c r="Y1367" s="46">
        <f t="shared" si="44"/>
        <v>1085639</v>
      </c>
      <c r="Z1367" s="19" t="s">
        <v>318</v>
      </c>
    </row>
    <row r="1368" spans="1:26" x14ac:dyDescent="0.25">
      <c r="A1368" s="20">
        <f>+VLOOKUP(D1368,Back!Q:R,2,0)</f>
        <v>5</v>
      </c>
      <c r="B1368" s="20" t="str">
        <f t="shared" si="43"/>
        <v>2018 MAY</v>
      </c>
      <c r="C1368" s="30">
        <v>2018</v>
      </c>
      <c r="D1368" s="30" t="s">
        <v>141</v>
      </c>
      <c r="E1368" s="30" t="s">
        <v>81</v>
      </c>
      <c r="F1368" s="30">
        <v>1017200970</v>
      </c>
      <c r="G1368" s="30" t="s">
        <v>82</v>
      </c>
      <c r="H1368" s="32">
        <v>48746470</v>
      </c>
      <c r="I1368" s="32">
        <v>1059100</v>
      </c>
      <c r="J1368" s="32">
        <v>9496922</v>
      </c>
      <c r="K1368" s="33">
        <v>38190448</v>
      </c>
      <c r="L1368" s="33">
        <v>36000000</v>
      </c>
      <c r="M1368" s="34">
        <v>1.0608457777777778</v>
      </c>
      <c r="N1368" s="209" t="str">
        <f>IFERROR(VLOOKUP(F1368,Back!C:F,4,0),"NO")</f>
        <v>Si</v>
      </c>
      <c r="O1368" s="26">
        <v>25</v>
      </c>
      <c r="P1368" s="28" t="str">
        <f>IFERROR(VLOOKUP(F1368,Back!C:E,3,0),"")</f>
        <v>IPS Pto De Vista San Diego</v>
      </c>
      <c r="Q1368" s="28" t="str">
        <f>IFERROR(VLOOKUP(P1368,Back!M:N,2,0),"")</f>
        <v>Antioquia</v>
      </c>
      <c r="R1368" s="27" t="str">
        <f>IF(N1368="Si",IFERROR(VLOOKUP(F1368,'TD Cumpl'!B:AB,27,0),"No Aplica"),"No Aplica")</f>
        <v>Cumple</v>
      </c>
      <c r="S1368" s="38">
        <v>77</v>
      </c>
      <c r="T1368" s="36">
        <v>8474186</v>
      </c>
      <c r="U1368" s="26">
        <v>176</v>
      </c>
      <c r="V1368" s="37">
        <v>21876874</v>
      </c>
      <c r="W1368" s="19">
        <v>94</v>
      </c>
      <c r="X1368" s="37">
        <v>9496922</v>
      </c>
      <c r="Y1368" s="46">
        <f t="shared" si="44"/>
        <v>8898488</v>
      </c>
      <c r="Z1368" s="19" t="s">
        <v>318</v>
      </c>
    </row>
    <row r="1369" spans="1:26" x14ac:dyDescent="0.25">
      <c r="A1369" s="20">
        <f>+VLOOKUP(D1369,Back!Q:R,2,0)</f>
        <v>5</v>
      </c>
      <c r="B1369" s="20" t="str">
        <f t="shared" si="43"/>
        <v>2018 MAY</v>
      </c>
      <c r="C1369" s="30">
        <v>2018</v>
      </c>
      <c r="D1369" s="30" t="s">
        <v>141</v>
      </c>
      <c r="E1369" s="30" t="s">
        <v>91</v>
      </c>
      <c r="F1369" s="30">
        <v>43114534</v>
      </c>
      <c r="G1369" s="30" t="s">
        <v>95</v>
      </c>
      <c r="H1369" s="32">
        <v>19394127</v>
      </c>
      <c r="I1369" s="32">
        <v>720000</v>
      </c>
      <c r="J1369" s="32">
        <v>0</v>
      </c>
      <c r="K1369" s="33">
        <v>18674127</v>
      </c>
      <c r="L1369" s="33">
        <v>36000000</v>
      </c>
      <c r="M1369" s="34">
        <v>0.51872574999999999</v>
      </c>
      <c r="N1369" s="209" t="str">
        <f>IFERROR(VLOOKUP(F1369,Back!C:F,4,0),"NO")</f>
        <v>No</v>
      </c>
      <c r="O1369" s="26">
        <v>25</v>
      </c>
      <c r="P1369" s="28" t="str">
        <f>IFERROR(VLOOKUP(F1369,Back!C:E,3,0),"")</f>
        <v>IPS Pto De Vista San Diego</v>
      </c>
      <c r="Q1369" s="28" t="str">
        <f>IFERROR(VLOOKUP(P1369,Back!M:N,2,0),"")</f>
        <v>Antioquia</v>
      </c>
      <c r="R1369" s="27" t="str">
        <f>IF(N1369="Si",IFERROR(VLOOKUP(F1369,'TD Cumpl'!B:AB,27,0),"No Aplica"),"No Aplica")</f>
        <v>No Aplica</v>
      </c>
      <c r="S1369" s="38">
        <v>45</v>
      </c>
      <c r="T1369" s="36">
        <v>4036308</v>
      </c>
      <c r="U1369" s="26">
        <v>106</v>
      </c>
      <c r="V1369" s="37">
        <v>12751940</v>
      </c>
      <c r="W1369" s="19">
        <v>0</v>
      </c>
      <c r="X1369" s="37">
        <v>0</v>
      </c>
      <c r="Y1369" s="46">
        <f t="shared" si="44"/>
        <v>2605879</v>
      </c>
    </row>
    <row r="1370" spans="1:26" x14ac:dyDescent="0.25">
      <c r="A1370" s="20">
        <f>+VLOOKUP(D1370,Back!Q:R,2,0)</f>
        <v>5</v>
      </c>
      <c r="B1370" s="20" t="str">
        <f t="shared" si="43"/>
        <v>2018 MAY</v>
      </c>
      <c r="C1370" s="30">
        <v>2018</v>
      </c>
      <c r="D1370" s="30" t="s">
        <v>141</v>
      </c>
      <c r="E1370" s="30" t="s">
        <v>17</v>
      </c>
      <c r="F1370" s="30">
        <v>43113640</v>
      </c>
      <c r="G1370" s="30" t="s">
        <v>47</v>
      </c>
      <c r="H1370" s="32">
        <v>58369410</v>
      </c>
      <c r="I1370" s="32">
        <v>1537600</v>
      </c>
      <c r="J1370" s="32">
        <v>13663288</v>
      </c>
      <c r="K1370" s="33">
        <v>43168522</v>
      </c>
      <c r="L1370" s="33">
        <v>36000000</v>
      </c>
      <c r="M1370" s="34">
        <v>1.199125611111111</v>
      </c>
      <c r="N1370" s="209" t="str">
        <f>IFERROR(VLOOKUP(F1370,Back!C:F,4,0),"NO")</f>
        <v>Si</v>
      </c>
      <c r="O1370" s="26">
        <v>25</v>
      </c>
      <c r="P1370" s="28" t="str">
        <f>IFERROR(VLOOKUP(F1370,Back!C:E,3,0),"")</f>
        <v>IPS Pto De Vista San Diego</v>
      </c>
      <c r="Q1370" s="28" t="str">
        <f>IFERROR(VLOOKUP(P1370,Back!M:N,2,0),"")</f>
        <v>Antioquia</v>
      </c>
      <c r="R1370" s="27" t="str">
        <f>IF(N1370="Si",IFERROR(VLOOKUP(F1370,'TD Cumpl'!B:AB,27,0),"No Aplica"),"No Aplica")</f>
        <v>Cumple</v>
      </c>
      <c r="S1370" s="38">
        <v>83</v>
      </c>
      <c r="T1370" s="36">
        <v>10310811</v>
      </c>
      <c r="U1370" s="26">
        <v>189</v>
      </c>
      <c r="V1370" s="37">
        <v>27618024</v>
      </c>
      <c r="W1370" s="19">
        <v>132</v>
      </c>
      <c r="X1370" s="37">
        <v>13663288</v>
      </c>
      <c r="Y1370" s="46">
        <f t="shared" si="44"/>
        <v>6777287</v>
      </c>
      <c r="Z1370" s="19" t="s">
        <v>318</v>
      </c>
    </row>
    <row r="1371" spans="1:26" x14ac:dyDescent="0.25">
      <c r="A1371" s="20">
        <f>+VLOOKUP(D1371,Back!Q:R,2,0)</f>
        <v>5</v>
      </c>
      <c r="B1371" s="20" t="str">
        <f t="shared" si="43"/>
        <v>2018 MAY</v>
      </c>
      <c r="C1371" s="30">
        <v>2018</v>
      </c>
      <c r="D1371" s="30" t="s">
        <v>141</v>
      </c>
      <c r="E1371" s="30" t="s">
        <v>84</v>
      </c>
      <c r="F1371" s="30">
        <v>1020736461</v>
      </c>
      <c r="G1371" s="30" t="s">
        <v>156</v>
      </c>
      <c r="H1371" s="32">
        <v>50477415</v>
      </c>
      <c r="I1371" s="32">
        <v>1239200</v>
      </c>
      <c r="J1371" s="32">
        <v>6077517</v>
      </c>
      <c r="K1371" s="33">
        <v>43160698</v>
      </c>
      <c r="L1371" s="33">
        <v>26880000</v>
      </c>
      <c r="M1371" s="34">
        <v>1.6056807291666666</v>
      </c>
      <c r="N1371" s="209" t="str">
        <f>IFERROR(VLOOKUP(F1371,Back!C:F,4,0),"NO")</f>
        <v>Si</v>
      </c>
      <c r="O1371" s="26">
        <v>25</v>
      </c>
      <c r="P1371" s="28" t="str">
        <f>IFERROR(VLOOKUP(F1371,Back!C:E,3,0),"")</f>
        <v>IPS Pto De Vista Santa Bárbara</v>
      </c>
      <c r="Q1371" s="28" t="str">
        <f>IFERROR(VLOOKUP(P1371,Back!M:N,2,0),"")</f>
        <v>Centro</v>
      </c>
      <c r="R1371" s="27" t="str">
        <f>IF(N1371="Si",IFERROR(VLOOKUP(F1371,'TD Cumpl'!B:AB,27,0),"No Aplica"),"No Aplica")</f>
        <v>Siempre Cumple</v>
      </c>
      <c r="S1371" s="38">
        <v>83</v>
      </c>
      <c r="T1371" s="36">
        <v>9024794</v>
      </c>
      <c r="U1371" s="26">
        <v>230</v>
      </c>
      <c r="V1371" s="37">
        <v>30847261</v>
      </c>
      <c r="W1371" s="19">
        <v>91</v>
      </c>
      <c r="X1371" s="37">
        <v>6077517</v>
      </c>
      <c r="Y1371" s="46">
        <f t="shared" si="44"/>
        <v>4527843</v>
      </c>
      <c r="Z1371" s="19" t="s">
        <v>318</v>
      </c>
    </row>
    <row r="1372" spans="1:26" x14ac:dyDescent="0.25">
      <c r="A1372" s="20">
        <f>+VLOOKUP(D1372,Back!Q:R,2,0)</f>
        <v>5</v>
      </c>
      <c r="B1372" s="20" t="str">
        <f t="shared" si="43"/>
        <v>2018 MAY</v>
      </c>
      <c r="C1372" s="30">
        <v>2018</v>
      </c>
      <c r="D1372" s="30" t="s">
        <v>141</v>
      </c>
      <c r="E1372" s="30" t="s">
        <v>102</v>
      </c>
      <c r="F1372" s="30">
        <v>79850984</v>
      </c>
      <c r="G1372" s="30" t="s">
        <v>106</v>
      </c>
      <c r="H1372" s="32">
        <v>28791351</v>
      </c>
      <c r="I1372" s="32">
        <v>842400</v>
      </c>
      <c r="J1372" s="32">
        <v>5794397</v>
      </c>
      <c r="K1372" s="33">
        <v>22154554</v>
      </c>
      <c r="L1372" s="33">
        <v>28000000</v>
      </c>
      <c r="M1372" s="34">
        <v>0.79123407142857138</v>
      </c>
      <c r="N1372" s="209" t="str">
        <f>IFERROR(VLOOKUP(F1372,Back!C:F,4,0),"NO")</f>
        <v>Si</v>
      </c>
      <c r="O1372" s="26">
        <v>25</v>
      </c>
      <c r="P1372" s="28" t="str">
        <f>IFERROR(VLOOKUP(F1372,Back!C:E,3,0),"")</f>
        <v>IPS Pto De Vista SSura Clle100</v>
      </c>
      <c r="Q1372" s="28" t="str">
        <f>IFERROR(VLOOKUP(P1372,Back!M:N,2,0),"")</f>
        <v>Centro</v>
      </c>
      <c r="R1372" s="27" t="str">
        <f>IF(N1372="Si",IFERROR(VLOOKUP(F1372,'TD Cumpl'!B:AB,27,0),"No Aplica"),"No Aplica")</f>
        <v>Fluctúa</v>
      </c>
      <c r="S1372" s="38">
        <v>64</v>
      </c>
      <c r="T1372" s="36">
        <v>5002810</v>
      </c>
      <c r="U1372" s="26">
        <v>138</v>
      </c>
      <c r="V1372" s="37">
        <v>14790682</v>
      </c>
      <c r="W1372" s="19">
        <v>73</v>
      </c>
      <c r="X1372" s="37">
        <v>5794397</v>
      </c>
      <c r="Y1372" s="46">
        <f t="shared" si="44"/>
        <v>3203462</v>
      </c>
      <c r="Z1372" s="19" t="s">
        <v>318</v>
      </c>
    </row>
    <row r="1373" spans="1:26" x14ac:dyDescent="0.25">
      <c r="A1373" s="20">
        <f>+VLOOKUP(D1373,Back!Q:R,2,0)</f>
        <v>5</v>
      </c>
      <c r="B1373" s="20" t="str">
        <f t="shared" si="43"/>
        <v>2018 MAY</v>
      </c>
      <c r="C1373" s="30">
        <v>2018</v>
      </c>
      <c r="D1373" s="30" t="s">
        <v>141</v>
      </c>
      <c r="E1373" s="30" t="s">
        <v>2</v>
      </c>
      <c r="F1373" s="30">
        <v>52260671</v>
      </c>
      <c r="G1373" s="30" t="s">
        <v>26</v>
      </c>
      <c r="H1373" s="32">
        <v>38050304</v>
      </c>
      <c r="I1373" s="32">
        <v>1114400</v>
      </c>
      <c r="J1373" s="32">
        <v>7794839</v>
      </c>
      <c r="K1373" s="33">
        <v>29141065</v>
      </c>
      <c r="L1373" s="33">
        <v>28000000</v>
      </c>
      <c r="M1373" s="34">
        <v>1.0407523214285714</v>
      </c>
      <c r="N1373" s="209" t="str">
        <f>IFERROR(VLOOKUP(F1373,Back!C:F,4,0),"NO")</f>
        <v>Si</v>
      </c>
      <c r="O1373" s="26">
        <v>25</v>
      </c>
      <c r="P1373" s="28" t="str">
        <f>IFERROR(VLOOKUP(F1373,Back!C:E,3,0),"")</f>
        <v>IPS Pto De Vista Santa Bárbara</v>
      </c>
      <c r="Q1373" s="28" t="str">
        <f>IFERROR(VLOOKUP(P1373,Back!M:N,2,0),"")</f>
        <v>Centro</v>
      </c>
      <c r="R1373" s="27" t="str">
        <f>IF(N1373="Si",IFERROR(VLOOKUP(F1373,'TD Cumpl'!B:AB,27,0),"No Aplica"),"No Aplica")</f>
        <v>Siempre Cumple</v>
      </c>
      <c r="S1373" s="38">
        <v>76</v>
      </c>
      <c r="T1373" s="36">
        <v>7314066</v>
      </c>
      <c r="U1373" s="26">
        <v>192</v>
      </c>
      <c r="V1373" s="37">
        <v>16741877</v>
      </c>
      <c r="W1373" s="19">
        <v>105</v>
      </c>
      <c r="X1373" s="37">
        <v>7794839</v>
      </c>
      <c r="Y1373" s="46">
        <f t="shared" si="44"/>
        <v>6199522</v>
      </c>
      <c r="Z1373" s="19" t="s">
        <v>318</v>
      </c>
    </row>
    <row r="1374" spans="1:26" x14ac:dyDescent="0.25">
      <c r="A1374" s="20">
        <f>+VLOOKUP(D1374,Back!Q:R,2,0)</f>
        <v>5</v>
      </c>
      <c r="B1374" s="20" t="str">
        <f t="shared" si="43"/>
        <v>2018 MAY</v>
      </c>
      <c r="C1374" s="30">
        <v>2018</v>
      </c>
      <c r="D1374" s="30" t="s">
        <v>141</v>
      </c>
      <c r="E1374" s="30" t="s">
        <v>38</v>
      </c>
      <c r="F1374" s="30">
        <v>43745192</v>
      </c>
      <c r="G1374" s="30" t="s">
        <v>45</v>
      </c>
      <c r="H1374" s="32">
        <v>34081946</v>
      </c>
      <c r="I1374" s="32">
        <v>0</v>
      </c>
      <c r="J1374" s="32">
        <v>3226825</v>
      </c>
      <c r="K1374" s="33">
        <v>30855121</v>
      </c>
      <c r="L1374" s="33">
        <v>30000000</v>
      </c>
      <c r="M1374" s="34">
        <v>1.0285040333333333</v>
      </c>
      <c r="N1374" s="209" t="str">
        <f>IFERROR(VLOOKUP(F1374,Back!C:F,4,0),"NO")</f>
        <v>Si</v>
      </c>
      <c r="O1374" s="26">
        <v>25</v>
      </c>
      <c r="P1374" s="28" t="str">
        <f>IFERROR(VLOOKUP(F1374,Back!C:E,3,0),"")</f>
        <v>IPS Punto de Vista Mayorca</v>
      </c>
      <c r="Q1374" s="28" t="str">
        <f>IFERROR(VLOOKUP(P1374,Back!M:N,2,0),"")</f>
        <v>Antioquia</v>
      </c>
      <c r="R1374" s="27" t="str">
        <f>IF(N1374="Si",IFERROR(VLOOKUP(F1374,'TD Cumpl'!B:AB,27,0),"No Aplica"),"No Aplica")</f>
        <v>Cumple</v>
      </c>
      <c r="S1374" s="38">
        <v>62</v>
      </c>
      <c r="T1374" s="36">
        <v>9534552</v>
      </c>
      <c r="U1374" s="26">
        <v>155</v>
      </c>
      <c r="V1374" s="37">
        <v>18878385</v>
      </c>
      <c r="W1374" s="19">
        <v>43</v>
      </c>
      <c r="X1374" s="37">
        <v>3226825</v>
      </c>
      <c r="Y1374" s="46">
        <f t="shared" si="44"/>
        <v>2442184</v>
      </c>
      <c r="Z1374" s="19" t="s">
        <v>318</v>
      </c>
    </row>
    <row r="1375" spans="1:26" x14ac:dyDescent="0.25">
      <c r="A1375" s="20">
        <f>+VLOOKUP(D1375,Back!Q:R,2,0)</f>
        <v>5</v>
      </c>
      <c r="B1375" s="20" t="str">
        <f t="shared" si="43"/>
        <v>2018 MAY</v>
      </c>
      <c r="C1375" s="30">
        <v>2018</v>
      </c>
      <c r="D1375" s="30" t="s">
        <v>141</v>
      </c>
      <c r="E1375" s="30" t="s">
        <v>5</v>
      </c>
      <c r="F1375" s="30">
        <v>34542470</v>
      </c>
      <c r="G1375" s="30" t="s">
        <v>28</v>
      </c>
      <c r="H1375" s="32">
        <v>52178442</v>
      </c>
      <c r="I1375" s="32">
        <v>2064040</v>
      </c>
      <c r="J1375" s="32">
        <v>6245377</v>
      </c>
      <c r="K1375" s="33">
        <v>43869025</v>
      </c>
      <c r="L1375" s="33">
        <v>35000000</v>
      </c>
      <c r="M1375" s="34">
        <v>1.2534007142857142</v>
      </c>
      <c r="N1375" s="209" t="str">
        <f>IFERROR(VLOOKUP(F1375,Back!C:F,4,0),"NO")</f>
        <v>Si</v>
      </c>
      <c r="O1375" s="26">
        <v>25</v>
      </c>
      <c r="P1375" s="28" t="str">
        <f>IFERROR(VLOOKUP(F1375,Back!C:E,3,0),"")</f>
        <v>Optica Salud Sura Chipichape</v>
      </c>
      <c r="Q1375" s="28" t="str">
        <f>IFERROR(VLOOKUP(P1375,Back!M:N,2,0),"")</f>
        <v>Occidente</v>
      </c>
      <c r="R1375" s="27" t="str">
        <f>IF(N1375="Si",IFERROR(VLOOKUP(F1375,'TD Cumpl'!B:AB,27,0),"No Aplica"),"No Aplica")</f>
        <v>Siempre Cumple</v>
      </c>
      <c r="S1375" s="38">
        <v>91</v>
      </c>
      <c r="T1375" s="36">
        <v>13998124</v>
      </c>
      <c r="U1375" s="26">
        <v>237</v>
      </c>
      <c r="V1375" s="37">
        <v>23271302</v>
      </c>
      <c r="W1375" s="19">
        <v>67</v>
      </c>
      <c r="X1375" s="37">
        <v>6245377</v>
      </c>
      <c r="Y1375" s="46">
        <f t="shared" si="44"/>
        <v>8663639</v>
      </c>
      <c r="Z1375" s="19" t="s">
        <v>318</v>
      </c>
    </row>
    <row r="1376" spans="1:26" x14ac:dyDescent="0.25">
      <c r="A1376" s="20">
        <f>+VLOOKUP(D1376,Back!Q:R,2,0)</f>
        <v>5</v>
      </c>
      <c r="B1376" s="20" t="str">
        <f t="shared" si="43"/>
        <v>2018 MAY</v>
      </c>
      <c r="C1376" s="30">
        <v>2018</v>
      </c>
      <c r="D1376" s="30" t="s">
        <v>141</v>
      </c>
      <c r="E1376" s="30" t="s">
        <v>254</v>
      </c>
      <c r="F1376" s="30">
        <v>1095794354</v>
      </c>
      <c r="G1376" s="30" t="s">
        <v>255</v>
      </c>
      <c r="H1376" s="32">
        <v>2174928</v>
      </c>
      <c r="I1376" s="32">
        <v>0</v>
      </c>
      <c r="J1376" s="32">
        <v>0</v>
      </c>
      <c r="K1376" s="33">
        <v>2174928</v>
      </c>
      <c r="L1376" s="33">
        <v>21189475</v>
      </c>
      <c r="M1376" s="34">
        <v>0.10264190122690628</v>
      </c>
      <c r="N1376" s="209" t="str">
        <f>IFERROR(VLOOKUP(F1376,Back!C:F,4,0),"NO")</f>
        <v>No</v>
      </c>
      <c r="O1376" s="26">
        <v>25</v>
      </c>
      <c r="P1376" s="28" t="str">
        <f>IFERROR(VLOOKUP(F1376,Back!C:E,3,0),"")</f>
        <v>Ferias Cali</v>
      </c>
      <c r="Q1376" s="28" t="str">
        <f>IFERROR(VLOOKUP(P1376,Back!M:N,2,0),"")</f>
        <v>Occidente</v>
      </c>
      <c r="R1376" s="27" t="str">
        <f>IF(N1376="Si",IFERROR(VLOOKUP(F1376,'TD Cumpl'!B:AB,27,0),"No Aplica"),"No Aplica")</f>
        <v>No Aplica</v>
      </c>
      <c r="S1376" s="38">
        <v>5</v>
      </c>
      <c r="T1376" s="36">
        <v>440092</v>
      </c>
      <c r="U1376" s="26">
        <v>20</v>
      </c>
      <c r="V1376" s="37">
        <v>1529610</v>
      </c>
      <c r="W1376" s="19">
        <v>0</v>
      </c>
      <c r="X1376" s="37">
        <v>0</v>
      </c>
      <c r="Y1376" s="46">
        <f t="shared" si="44"/>
        <v>205226</v>
      </c>
    </row>
    <row r="1377" spans="1:26" x14ac:dyDescent="0.25">
      <c r="A1377" s="20">
        <f>+VLOOKUP(D1377,Back!Q:R,2,0)</f>
        <v>5</v>
      </c>
      <c r="B1377" s="20" t="str">
        <f t="shared" si="43"/>
        <v>2018 MAY</v>
      </c>
      <c r="C1377" s="30">
        <v>2018</v>
      </c>
      <c r="D1377" s="30" t="s">
        <v>141</v>
      </c>
      <c r="E1377" s="30" t="s">
        <v>249</v>
      </c>
      <c r="F1377" s="30">
        <v>1144061613</v>
      </c>
      <c r="G1377" s="30" t="s">
        <v>256</v>
      </c>
      <c r="H1377" s="32">
        <v>16180078</v>
      </c>
      <c r="I1377" s="32">
        <v>0</v>
      </c>
      <c r="J1377" s="32">
        <v>702711</v>
      </c>
      <c r="K1377" s="33">
        <v>15477367</v>
      </c>
      <c r="L1377" s="33">
        <v>18000000</v>
      </c>
      <c r="M1377" s="34">
        <v>0.85985372222222223</v>
      </c>
      <c r="N1377" s="209" t="str">
        <f>IFERROR(VLOOKUP(F1377,Back!C:F,4,0),"NO")</f>
        <v>Si</v>
      </c>
      <c r="O1377" s="26">
        <v>25</v>
      </c>
      <c r="P1377" s="28" t="str">
        <f>IFERROR(VLOOKUP(F1377,Back!C:E,3,0),"")</f>
        <v>Punto de Vista Tequendama</v>
      </c>
      <c r="Q1377" s="28" t="str">
        <f>IFERROR(VLOOKUP(P1377,Back!M:N,2,0),"")</f>
        <v>Occidente</v>
      </c>
      <c r="R1377" s="27" t="str">
        <f>IF(N1377="Si",IFERROR(VLOOKUP(F1377,'TD Cumpl'!B:AB,27,0),"No Aplica"),"No Aplica")</f>
        <v>Fluctúa</v>
      </c>
      <c r="S1377" s="38">
        <v>40</v>
      </c>
      <c r="T1377" s="36">
        <v>4216893</v>
      </c>
      <c r="U1377" s="26">
        <v>122</v>
      </c>
      <c r="V1377" s="37">
        <v>10292811</v>
      </c>
      <c r="W1377" s="19">
        <v>9</v>
      </c>
      <c r="X1377" s="37">
        <v>702711</v>
      </c>
      <c r="Y1377" s="46">
        <f t="shared" si="44"/>
        <v>967663</v>
      </c>
      <c r="Z1377" s="19" t="s">
        <v>318</v>
      </c>
    </row>
    <row r="1378" spans="1:26" x14ac:dyDescent="0.25">
      <c r="A1378" s="20">
        <f>+VLOOKUP(D1378,Back!Q:R,2,0)</f>
        <v>5</v>
      </c>
      <c r="B1378" s="20" t="str">
        <f t="shared" si="43"/>
        <v>2018 MAY</v>
      </c>
      <c r="C1378" s="30">
        <v>2018</v>
      </c>
      <c r="D1378" s="30" t="s">
        <v>141</v>
      </c>
      <c r="E1378" s="30" t="s">
        <v>237</v>
      </c>
      <c r="F1378" s="30">
        <v>1151951440</v>
      </c>
      <c r="G1378" s="30" t="s">
        <v>238</v>
      </c>
      <c r="H1378" s="32">
        <v>28083187</v>
      </c>
      <c r="I1378" s="32">
        <v>426000</v>
      </c>
      <c r="J1378" s="32">
        <v>517579</v>
      </c>
      <c r="K1378" s="33">
        <v>27139608</v>
      </c>
      <c r="L1378" s="33">
        <v>30000000</v>
      </c>
      <c r="M1378" s="34">
        <v>0.90465359999999995</v>
      </c>
      <c r="N1378" s="209" t="str">
        <f>IFERROR(VLOOKUP(F1378,Back!C:F,4,0),"NO")</f>
        <v>No</v>
      </c>
      <c r="O1378" s="26">
        <v>25</v>
      </c>
      <c r="P1378" s="28" t="str">
        <f>IFERROR(VLOOKUP(F1378,Back!C:E,3,0),"")</f>
        <v>Punto de Vista Cali Norte</v>
      </c>
      <c r="Q1378" s="28" t="str">
        <f>IFERROR(VLOOKUP(P1378,Back!M:N,2,0),"")</f>
        <v>Occidente</v>
      </c>
      <c r="R1378" s="27" t="str">
        <f>IF(N1378="Si",IFERROR(VLOOKUP(F1378,'TD Cumpl'!B:AB,27,0),"No Aplica"),"No Aplica")</f>
        <v>No Aplica</v>
      </c>
      <c r="S1378" s="38">
        <v>59</v>
      </c>
      <c r="T1378" s="36">
        <v>6452709</v>
      </c>
      <c r="U1378" s="26">
        <v>188</v>
      </c>
      <c r="V1378" s="37">
        <v>19561404</v>
      </c>
      <c r="W1378" s="19">
        <v>5</v>
      </c>
      <c r="X1378" s="37">
        <v>517579</v>
      </c>
      <c r="Y1378" s="46">
        <f t="shared" si="44"/>
        <v>1551495</v>
      </c>
    </row>
    <row r="1379" spans="1:26" x14ac:dyDescent="0.25">
      <c r="A1379" s="20">
        <f>+VLOOKUP(D1379,Back!Q:R,2,0)</f>
        <v>5</v>
      </c>
      <c r="B1379" s="20" t="str">
        <f t="shared" si="43"/>
        <v>2018 MAY</v>
      </c>
      <c r="C1379" s="30">
        <v>2018</v>
      </c>
      <c r="D1379" s="30" t="s">
        <v>141</v>
      </c>
      <c r="E1379" s="30" t="s">
        <v>88</v>
      </c>
      <c r="F1379" s="30">
        <v>31445278</v>
      </c>
      <c r="G1379" s="30" t="s">
        <v>93</v>
      </c>
      <c r="H1379" s="32">
        <v>11369672</v>
      </c>
      <c r="I1379" s="32">
        <v>396000</v>
      </c>
      <c r="J1379" s="32">
        <v>1032336</v>
      </c>
      <c r="K1379" s="33">
        <v>9941336</v>
      </c>
      <c r="L1379" s="33">
        <v>10800000</v>
      </c>
      <c r="M1379" s="34">
        <v>0.92049407407407402</v>
      </c>
      <c r="N1379" s="209" t="str">
        <f>IFERROR(VLOOKUP(F1379,Back!C:F,4,0),"NO")</f>
        <v>Si</v>
      </c>
      <c r="O1379" s="26">
        <v>25</v>
      </c>
      <c r="P1379" s="28" t="str">
        <f>IFERROR(VLOOKUP(F1379,Back!C:E,3,0),"")</f>
        <v>Punto de Vista Tequendama</v>
      </c>
      <c r="Q1379" s="28" t="str">
        <f>IFERROR(VLOOKUP(P1379,Back!M:N,2,0),"")</f>
        <v>Occidente</v>
      </c>
      <c r="R1379" s="27" t="str">
        <f>IF(N1379="Si",IFERROR(VLOOKUP(F1379,'TD Cumpl'!B:AB,27,0),"No Aplica"),"No Aplica")</f>
        <v>Cumple</v>
      </c>
      <c r="S1379" s="38">
        <v>15</v>
      </c>
      <c r="T1379" s="36">
        <v>1753415</v>
      </c>
      <c r="U1379" s="26">
        <v>82</v>
      </c>
      <c r="V1379" s="37">
        <v>7238069</v>
      </c>
      <c r="W1379" s="19">
        <v>12</v>
      </c>
      <c r="X1379" s="37">
        <v>1032336</v>
      </c>
      <c r="Y1379" s="46">
        <f t="shared" si="44"/>
        <v>1345852</v>
      </c>
      <c r="Z1379" s="19" t="s">
        <v>318</v>
      </c>
    </row>
    <row r="1380" spans="1:26" x14ac:dyDescent="0.25">
      <c r="A1380" s="20">
        <f>+VLOOKUP(D1380,Back!Q:R,2,0)</f>
        <v>5</v>
      </c>
      <c r="B1380" s="20" t="str">
        <f t="shared" si="43"/>
        <v>2018 MAY</v>
      </c>
      <c r="C1380" s="30">
        <v>2018</v>
      </c>
      <c r="D1380" s="30" t="s">
        <v>141</v>
      </c>
      <c r="E1380" s="30" t="s">
        <v>149</v>
      </c>
      <c r="F1380" s="30">
        <v>1130597373</v>
      </c>
      <c r="G1380" s="30" t="s">
        <v>150</v>
      </c>
      <c r="H1380" s="32">
        <v>22294806</v>
      </c>
      <c r="I1380" s="32">
        <v>0</v>
      </c>
      <c r="J1380" s="32">
        <v>798099</v>
      </c>
      <c r="K1380" s="33">
        <v>21496707</v>
      </c>
      <c r="L1380" s="33">
        <v>30000000</v>
      </c>
      <c r="M1380" s="34">
        <v>0.71655690000000005</v>
      </c>
      <c r="N1380" s="209" t="str">
        <f>IFERROR(VLOOKUP(F1380,Back!C:F,4,0),"NO")</f>
        <v>Si</v>
      </c>
      <c r="O1380" s="26">
        <v>25</v>
      </c>
      <c r="P1380" s="28" t="str">
        <f>IFERROR(VLOOKUP(F1380,Back!C:E,3,0),"")</f>
        <v>Punto de Vista Cali Norte</v>
      </c>
      <c r="Q1380" s="28" t="str">
        <f>IFERROR(VLOOKUP(P1380,Back!M:N,2,0),"")</f>
        <v>Occidente</v>
      </c>
      <c r="R1380" s="27" t="str">
        <f>IF(N1380="Si",IFERROR(VLOOKUP(F1380,'TD Cumpl'!B:AB,27,0),"No Aplica"),"No Aplica")</f>
        <v>Fluctúa</v>
      </c>
      <c r="S1380" s="38">
        <v>42</v>
      </c>
      <c r="T1380" s="36">
        <v>5199347</v>
      </c>
      <c r="U1380" s="26">
        <v>146</v>
      </c>
      <c r="V1380" s="37">
        <v>15197199</v>
      </c>
      <c r="W1380" s="19">
        <v>9</v>
      </c>
      <c r="X1380" s="37">
        <v>798099</v>
      </c>
      <c r="Y1380" s="46">
        <f t="shared" si="44"/>
        <v>1100161</v>
      </c>
      <c r="Z1380" s="19" t="s">
        <v>318</v>
      </c>
    </row>
    <row r="1381" spans="1:26" x14ac:dyDescent="0.25">
      <c r="A1381" s="20">
        <f>+VLOOKUP(D1381,Back!Q:R,2,0)</f>
        <v>5</v>
      </c>
      <c r="B1381" s="20" t="str">
        <f t="shared" si="43"/>
        <v>2018 MAY</v>
      </c>
      <c r="C1381" s="30">
        <v>2018</v>
      </c>
      <c r="D1381" s="30" t="s">
        <v>141</v>
      </c>
      <c r="E1381" s="30" t="s">
        <v>151</v>
      </c>
      <c r="F1381" s="30"/>
      <c r="G1381" s="30"/>
      <c r="H1381" s="32">
        <v>98000</v>
      </c>
      <c r="I1381" s="32">
        <v>0</v>
      </c>
      <c r="J1381" s="32">
        <v>98000</v>
      </c>
      <c r="K1381" s="33">
        <v>0</v>
      </c>
      <c r="L1381" s="33"/>
      <c r="M1381" s="34"/>
      <c r="N1381" s="209" t="str">
        <f>IFERROR(VLOOKUP(F1381,Back!C:F,4,0),"NO")</f>
        <v>NO</v>
      </c>
      <c r="O1381" s="26">
        <v>25</v>
      </c>
      <c r="P1381" s="28" t="str">
        <f>IFERROR(VLOOKUP(F1381,Back!C:E,3,0),"")</f>
        <v/>
      </c>
      <c r="Q1381" s="28" t="str">
        <f>IFERROR(VLOOKUP(P1381,Back!M:N,2,0),"")</f>
        <v/>
      </c>
      <c r="R1381" s="27" t="str">
        <f>IF(N1381="Si",IFERROR(VLOOKUP(F1381,'TD Cumpl'!B:AB,27,0),"No Aplica"),"No Aplica")</f>
        <v>No Aplica</v>
      </c>
      <c r="S1381" s="38">
        <v>0</v>
      </c>
      <c r="T1381" s="36">
        <v>0</v>
      </c>
      <c r="U1381" s="26">
        <v>0</v>
      </c>
      <c r="V1381" s="37">
        <v>0</v>
      </c>
      <c r="W1381" s="19">
        <v>0</v>
      </c>
      <c r="X1381" s="37">
        <v>0</v>
      </c>
      <c r="Y1381" s="46">
        <f t="shared" si="44"/>
        <v>98000</v>
      </c>
    </row>
    <row r="1382" spans="1:26" x14ac:dyDescent="0.25">
      <c r="A1382" s="20">
        <f>+VLOOKUP(D1382,Back!Q:R,2,0)</f>
        <v>5</v>
      </c>
      <c r="B1382" s="20" t="str">
        <f t="shared" si="43"/>
        <v>2018 MAY</v>
      </c>
      <c r="C1382" s="30">
        <v>2018</v>
      </c>
      <c r="D1382" s="30" t="s">
        <v>141</v>
      </c>
      <c r="E1382" s="30" t="s">
        <v>257</v>
      </c>
      <c r="F1382" s="30"/>
      <c r="G1382" s="30"/>
      <c r="H1382" s="32">
        <v>94800</v>
      </c>
      <c r="I1382" s="32">
        <v>0</v>
      </c>
      <c r="J1382" s="32">
        <v>94800</v>
      </c>
      <c r="K1382" s="33">
        <v>0</v>
      </c>
      <c r="L1382" s="33"/>
      <c r="M1382" s="34"/>
      <c r="N1382" s="209" t="str">
        <f>IFERROR(VLOOKUP(F1382,Back!C:F,4,0),"NO")</f>
        <v>NO</v>
      </c>
      <c r="O1382" s="26">
        <v>25</v>
      </c>
      <c r="P1382" s="28" t="str">
        <f>IFERROR(VLOOKUP(F1382,Back!C:E,3,0),"")</f>
        <v/>
      </c>
      <c r="Q1382" s="28" t="str">
        <f>IFERROR(VLOOKUP(P1382,Back!M:N,2,0),"")</f>
        <v/>
      </c>
      <c r="R1382" s="27" t="str">
        <f>IF(N1382="Si",IFERROR(VLOOKUP(F1382,'TD Cumpl'!B:AB,27,0),"No Aplica"),"No Aplica")</f>
        <v>No Aplica</v>
      </c>
      <c r="S1382" s="38">
        <v>0</v>
      </c>
      <c r="T1382" s="36">
        <v>0</v>
      </c>
      <c r="U1382" s="26">
        <v>0</v>
      </c>
      <c r="V1382" s="37">
        <v>0</v>
      </c>
      <c r="W1382" s="19">
        <v>0</v>
      </c>
      <c r="X1382" s="37">
        <v>0</v>
      </c>
      <c r="Y1382" s="46">
        <f t="shared" si="44"/>
        <v>94800</v>
      </c>
    </row>
    <row r="1383" spans="1:26" x14ac:dyDescent="0.25">
      <c r="A1383" s="20">
        <f>+VLOOKUP(D1383,Back!Q:R,2,0)</f>
        <v>5</v>
      </c>
      <c r="B1383" s="20" t="str">
        <f t="shared" si="43"/>
        <v>2018 MAY</v>
      </c>
      <c r="C1383" s="30">
        <v>2018</v>
      </c>
      <c r="D1383" s="30" t="s">
        <v>141</v>
      </c>
      <c r="E1383" s="30" t="s">
        <v>59</v>
      </c>
      <c r="F1383" s="30"/>
      <c r="G1383" s="30"/>
      <c r="H1383" s="32">
        <v>440000</v>
      </c>
      <c r="I1383" s="32">
        <v>0</v>
      </c>
      <c r="J1383" s="32">
        <v>0</v>
      </c>
      <c r="K1383" s="33">
        <v>440000</v>
      </c>
      <c r="L1383" s="33"/>
      <c r="M1383" s="34"/>
      <c r="N1383" s="209" t="str">
        <f>IFERROR(VLOOKUP(F1383,Back!C:F,4,0),"NO")</f>
        <v>NO</v>
      </c>
      <c r="O1383" s="26">
        <v>25</v>
      </c>
      <c r="P1383" s="28" t="str">
        <f>IFERROR(VLOOKUP(F1383,Back!C:E,3,0),"")</f>
        <v/>
      </c>
      <c r="Q1383" s="28" t="str">
        <f>IFERROR(VLOOKUP(P1383,Back!M:N,2,0),"")</f>
        <v/>
      </c>
      <c r="R1383" s="27" t="str">
        <f>IF(N1383="Si",IFERROR(VLOOKUP(F1383,'TD Cumpl'!B:AB,27,0),"No Aplica"),"No Aplica")</f>
        <v>No Aplica</v>
      </c>
      <c r="S1383" s="38">
        <v>0</v>
      </c>
      <c r="T1383" s="36">
        <v>0</v>
      </c>
      <c r="U1383" s="26">
        <v>0</v>
      </c>
      <c r="V1383" s="37">
        <v>0</v>
      </c>
      <c r="W1383" s="19">
        <v>0</v>
      </c>
      <c r="X1383" s="37">
        <v>0</v>
      </c>
      <c r="Y1383" s="46">
        <f t="shared" si="44"/>
        <v>440000</v>
      </c>
    </row>
    <row r="1384" spans="1:26" x14ac:dyDescent="0.25">
      <c r="A1384" s="20">
        <f>+VLOOKUP(D1384,Back!Q:R,2,0)</f>
        <v>5</v>
      </c>
      <c r="B1384" s="20" t="str">
        <f t="shared" si="43"/>
        <v>2018 MAY</v>
      </c>
      <c r="C1384" s="30">
        <v>2018</v>
      </c>
      <c r="D1384" s="30" t="s">
        <v>141</v>
      </c>
      <c r="E1384" s="30" t="s">
        <v>119</v>
      </c>
      <c r="F1384" s="30"/>
      <c r="G1384" s="30"/>
      <c r="H1384" s="32">
        <v>138849</v>
      </c>
      <c r="I1384" s="32">
        <v>0</v>
      </c>
      <c r="J1384" s="32">
        <v>138849</v>
      </c>
      <c r="K1384" s="33">
        <v>0</v>
      </c>
      <c r="L1384" s="33"/>
      <c r="M1384" s="34"/>
      <c r="N1384" s="209" t="str">
        <f>IFERROR(VLOOKUP(F1384,Back!C:F,4,0),"NO")</f>
        <v>NO</v>
      </c>
      <c r="O1384" s="26">
        <v>25</v>
      </c>
      <c r="P1384" s="28" t="str">
        <f>IFERROR(VLOOKUP(F1384,Back!C:E,3,0),"")</f>
        <v/>
      </c>
      <c r="Q1384" s="28" t="str">
        <f>IFERROR(VLOOKUP(P1384,Back!M:N,2,0),"")</f>
        <v/>
      </c>
      <c r="R1384" s="27" t="str">
        <f>IF(N1384="Si",IFERROR(VLOOKUP(F1384,'TD Cumpl'!B:AB,27,0),"No Aplica"),"No Aplica")</f>
        <v>No Aplica</v>
      </c>
      <c r="S1384" s="38">
        <v>0</v>
      </c>
      <c r="T1384" s="36">
        <v>0</v>
      </c>
      <c r="U1384" s="26">
        <v>0</v>
      </c>
      <c r="V1384" s="37">
        <v>0</v>
      </c>
      <c r="W1384" s="19">
        <v>3</v>
      </c>
      <c r="X1384" s="37">
        <v>138849</v>
      </c>
      <c r="Y1384" s="46">
        <f t="shared" si="44"/>
        <v>0</v>
      </c>
    </row>
    <row r="1385" spans="1:26" x14ac:dyDescent="0.25">
      <c r="A1385" s="20">
        <f>+VLOOKUP(D1385,Back!Q:R,2,0)</f>
        <v>5</v>
      </c>
      <c r="B1385" s="20" t="str">
        <f t="shared" si="43"/>
        <v>2018 MAY</v>
      </c>
      <c r="C1385" s="30">
        <v>2018</v>
      </c>
      <c r="D1385" s="30" t="s">
        <v>141</v>
      </c>
      <c r="E1385" s="30" t="s">
        <v>111</v>
      </c>
      <c r="F1385" s="30"/>
      <c r="G1385" s="30"/>
      <c r="H1385" s="32">
        <v>312800</v>
      </c>
      <c r="I1385" s="32">
        <v>0</v>
      </c>
      <c r="J1385" s="32">
        <v>312800</v>
      </c>
      <c r="K1385" s="33">
        <v>0</v>
      </c>
      <c r="L1385" s="33"/>
      <c r="M1385" s="34"/>
      <c r="N1385" s="209" t="str">
        <f>IFERROR(VLOOKUP(F1385,Back!C:F,4,0),"NO")</f>
        <v>NO</v>
      </c>
      <c r="O1385" s="26">
        <v>25</v>
      </c>
      <c r="P1385" s="28" t="str">
        <f>IFERROR(VLOOKUP(F1385,Back!C:E,3,0),"")</f>
        <v/>
      </c>
      <c r="Q1385" s="28" t="str">
        <f>IFERROR(VLOOKUP(P1385,Back!M:N,2,0),"")</f>
        <v/>
      </c>
      <c r="R1385" s="27" t="str">
        <f>IF(N1385="Si",IFERROR(VLOOKUP(F1385,'TD Cumpl'!B:AB,27,0),"No Aplica"),"No Aplica")</f>
        <v>No Aplica</v>
      </c>
      <c r="S1385" s="38">
        <v>0</v>
      </c>
      <c r="T1385" s="36">
        <v>0</v>
      </c>
      <c r="U1385" s="26">
        <v>0</v>
      </c>
      <c r="V1385" s="37">
        <v>0</v>
      </c>
      <c r="W1385" s="19">
        <v>0</v>
      </c>
      <c r="X1385" s="37">
        <v>0</v>
      </c>
      <c r="Y1385" s="46">
        <f t="shared" si="44"/>
        <v>312800</v>
      </c>
    </row>
    <row r="1386" spans="1:26" x14ac:dyDescent="0.25">
      <c r="A1386" s="20">
        <f>+VLOOKUP(D1386,Back!Q:R,2,0)</f>
        <v>5</v>
      </c>
      <c r="B1386" s="20" t="str">
        <f t="shared" si="43"/>
        <v>2018 MAY</v>
      </c>
      <c r="C1386" s="30">
        <v>2018</v>
      </c>
      <c r="D1386" s="30" t="s">
        <v>141</v>
      </c>
      <c r="E1386" s="30" t="s">
        <v>190</v>
      </c>
      <c r="F1386" s="30"/>
      <c r="G1386" s="30"/>
      <c r="H1386" s="32">
        <v>3330792</v>
      </c>
      <c r="I1386" s="32">
        <v>0</v>
      </c>
      <c r="J1386" s="32">
        <v>3330792</v>
      </c>
      <c r="K1386" s="33">
        <v>0</v>
      </c>
      <c r="L1386" s="33"/>
      <c r="M1386" s="34"/>
      <c r="N1386" s="209" t="str">
        <f>IFERROR(VLOOKUP(F1386,Back!C:F,4,0),"NO")</f>
        <v>NO</v>
      </c>
      <c r="O1386" s="26">
        <v>25</v>
      </c>
      <c r="P1386" s="28" t="str">
        <f>IFERROR(VLOOKUP(F1386,Back!C:E,3,0),"")</f>
        <v/>
      </c>
      <c r="Q1386" s="28" t="str">
        <f>IFERROR(VLOOKUP(P1386,Back!M:N,2,0),"")</f>
        <v/>
      </c>
      <c r="R1386" s="27" t="str">
        <f>IF(N1386="Si",IFERROR(VLOOKUP(F1386,'TD Cumpl'!B:AB,27,0),"No Aplica"),"No Aplica")</f>
        <v>No Aplica</v>
      </c>
      <c r="S1386" s="38">
        <v>0</v>
      </c>
      <c r="T1386" s="36">
        <v>0</v>
      </c>
      <c r="U1386" s="26">
        <v>0</v>
      </c>
      <c r="V1386" s="37">
        <v>0</v>
      </c>
      <c r="W1386" s="19">
        <v>32</v>
      </c>
      <c r="X1386" s="37">
        <v>3330792</v>
      </c>
      <c r="Y1386" s="46">
        <f t="shared" si="44"/>
        <v>0</v>
      </c>
    </row>
    <row r="1387" spans="1:26" x14ac:dyDescent="0.25">
      <c r="A1387" s="20">
        <f>+VLOOKUP(D1387,Back!Q:R,2,0)</f>
        <v>5</v>
      </c>
      <c r="B1387" s="20" t="str">
        <f t="shared" si="43"/>
        <v>2018 MAY</v>
      </c>
      <c r="C1387" s="30">
        <v>2018</v>
      </c>
      <c r="D1387" s="30" t="s">
        <v>141</v>
      </c>
      <c r="E1387" s="30" t="s">
        <v>258</v>
      </c>
      <c r="F1387" s="30"/>
      <c r="G1387" s="30"/>
      <c r="H1387" s="32">
        <v>6720995</v>
      </c>
      <c r="I1387" s="32">
        <v>0</v>
      </c>
      <c r="J1387" s="32">
        <v>0</v>
      </c>
      <c r="K1387" s="33">
        <v>6720995</v>
      </c>
      <c r="L1387" s="33"/>
      <c r="M1387" s="34"/>
      <c r="N1387" s="209" t="str">
        <f>IFERROR(VLOOKUP(F1387,Back!C:F,4,0),"NO")</f>
        <v>NO</v>
      </c>
      <c r="O1387" s="26">
        <v>25</v>
      </c>
      <c r="P1387" s="28" t="str">
        <f>IFERROR(VLOOKUP(F1387,Back!C:E,3,0),"")</f>
        <v/>
      </c>
      <c r="Q1387" s="28" t="str">
        <f>IFERROR(VLOOKUP(P1387,Back!M:N,2,0),"")</f>
        <v/>
      </c>
      <c r="R1387" s="27" t="str">
        <f>IF(N1387="Si",IFERROR(VLOOKUP(F1387,'TD Cumpl'!B:AB,27,0),"No Aplica"),"No Aplica")</f>
        <v>No Aplica</v>
      </c>
      <c r="S1387" s="38">
        <v>14</v>
      </c>
      <c r="T1387" s="36">
        <v>1340572</v>
      </c>
      <c r="U1387" s="26">
        <v>58</v>
      </c>
      <c r="V1387" s="37">
        <v>4530889</v>
      </c>
      <c r="W1387" s="19">
        <v>0</v>
      </c>
      <c r="X1387" s="37">
        <v>0</v>
      </c>
      <c r="Y1387" s="46">
        <f t="shared" si="44"/>
        <v>849534</v>
      </c>
    </row>
    <row r="1388" spans="1:26" x14ac:dyDescent="0.25">
      <c r="A1388" s="20">
        <f>+VLOOKUP(D1388,Back!Q:R,2,0)</f>
        <v>5</v>
      </c>
      <c r="B1388" s="20" t="str">
        <f t="shared" si="43"/>
        <v>2018 MAY</v>
      </c>
      <c r="C1388" s="30">
        <v>2018</v>
      </c>
      <c r="D1388" s="30" t="s">
        <v>141</v>
      </c>
      <c r="E1388" s="30" t="s">
        <v>87</v>
      </c>
      <c r="F1388" s="30"/>
      <c r="G1388" s="30"/>
      <c r="H1388" s="32">
        <v>-95388</v>
      </c>
      <c r="I1388" s="32">
        <v>0</v>
      </c>
      <c r="J1388" s="32">
        <v>0</v>
      </c>
      <c r="K1388" s="33">
        <v>-95388</v>
      </c>
      <c r="L1388" s="33"/>
      <c r="M1388" s="34"/>
      <c r="N1388" s="209" t="str">
        <f>IFERROR(VLOOKUP(F1388,Back!C:F,4,0),"NO")</f>
        <v>NO</v>
      </c>
      <c r="O1388" s="26">
        <v>25</v>
      </c>
      <c r="P1388" s="28" t="str">
        <f>IFERROR(VLOOKUP(F1388,Back!C:E,3,0),"")</f>
        <v/>
      </c>
      <c r="Q1388" s="28" t="str">
        <f>IFERROR(VLOOKUP(P1388,Back!M:N,2,0),"")</f>
        <v/>
      </c>
      <c r="R1388" s="27" t="str">
        <f>IF(N1388="Si",IFERROR(VLOOKUP(F1388,'TD Cumpl'!B:AB,27,0),"No Aplica"),"No Aplica")</f>
        <v>No Aplica</v>
      </c>
      <c r="S1388" s="38">
        <v>0</v>
      </c>
      <c r="T1388" s="36">
        <v>0</v>
      </c>
      <c r="U1388" s="26">
        <v>0</v>
      </c>
      <c r="V1388" s="37">
        <v>0</v>
      </c>
      <c r="W1388" s="19">
        <v>0</v>
      </c>
      <c r="X1388" s="37">
        <v>0</v>
      </c>
      <c r="Y1388" s="46">
        <f t="shared" si="44"/>
        <v>-95388</v>
      </c>
    </row>
    <row r="1389" spans="1:26" x14ac:dyDescent="0.25">
      <c r="A1389" s="20">
        <f>+VLOOKUP(D1389,Back!Q:R,2,0)</f>
        <v>6</v>
      </c>
      <c r="B1389" s="20" t="str">
        <f t="shared" si="43"/>
        <v>2018 JUN</v>
      </c>
      <c r="C1389" s="30">
        <v>2018</v>
      </c>
      <c r="D1389" s="30" t="s">
        <v>153</v>
      </c>
      <c r="E1389" s="30" t="s">
        <v>3</v>
      </c>
      <c r="F1389" s="30">
        <v>52725011</v>
      </c>
      <c r="G1389" s="30" t="s">
        <v>42</v>
      </c>
      <c r="H1389" s="32">
        <v>33216868</v>
      </c>
      <c r="I1389" s="32">
        <v>1856000</v>
      </c>
      <c r="J1389" s="32">
        <v>5864049</v>
      </c>
      <c r="K1389" s="33">
        <v>25496819</v>
      </c>
      <c r="L1389" s="33">
        <v>25000008</v>
      </c>
      <c r="M1389" s="34">
        <v>1.0198724336408211</v>
      </c>
      <c r="N1389" s="209" t="str">
        <f>IFERROR(VLOOKUP(F1389,Back!C:F,4,0),"NO")</f>
        <v>Si</v>
      </c>
      <c r="O1389" s="26">
        <v>24</v>
      </c>
      <c r="P1389" s="28" t="str">
        <f>IFERROR(VLOOKUP(F1389,Back!C:E,3,0),"")</f>
        <v>IPS Pto De Vista Olaya</v>
      </c>
      <c r="Q1389" s="28" t="str">
        <f>IFERROR(VLOOKUP(P1389,Back!M:N,2,0),"")</f>
        <v>Centro</v>
      </c>
      <c r="R1389" s="27" t="str">
        <f>IF(N1389="Si",IFERROR(VLOOKUP(F1389,'TD Cumpl'!B:AB,27,0),"No Aplica"),"No Aplica")</f>
        <v>Fluctúa</v>
      </c>
      <c r="S1389" s="38">
        <v>83</v>
      </c>
      <c r="T1389" s="36">
        <v>5428657</v>
      </c>
      <c r="U1389" s="26">
        <v>210</v>
      </c>
      <c r="V1389" s="37">
        <v>18372276</v>
      </c>
      <c r="W1389" s="19">
        <v>77</v>
      </c>
      <c r="X1389" s="37">
        <v>5864049</v>
      </c>
      <c r="Y1389" s="46">
        <f t="shared" si="44"/>
        <v>3551886</v>
      </c>
      <c r="Z1389" s="19" t="s">
        <v>318</v>
      </c>
    </row>
    <row r="1390" spans="1:26" x14ac:dyDescent="0.25">
      <c r="A1390" s="20">
        <f>+VLOOKUP(D1390,Back!Q:R,2,0)</f>
        <v>6</v>
      </c>
      <c r="B1390" s="20" t="str">
        <f t="shared" si="43"/>
        <v>2018 JUN</v>
      </c>
      <c r="C1390" s="30">
        <v>2018</v>
      </c>
      <c r="D1390" s="30" t="s">
        <v>153</v>
      </c>
      <c r="E1390" s="30" t="s">
        <v>191</v>
      </c>
      <c r="F1390" s="30">
        <v>1010207310</v>
      </c>
      <c r="G1390" s="30" t="s">
        <v>253</v>
      </c>
      <c r="H1390" s="32">
        <v>23524142</v>
      </c>
      <c r="I1390" s="32">
        <v>528000</v>
      </c>
      <c r="J1390" s="32">
        <v>5646408</v>
      </c>
      <c r="K1390" s="33">
        <v>17349734</v>
      </c>
      <c r="L1390" s="33">
        <v>25000008</v>
      </c>
      <c r="M1390" s="34">
        <v>0.69398913792347583</v>
      </c>
      <c r="N1390" s="209" t="str">
        <f>IFERROR(VLOOKUP(F1390,Back!C:F,4,0),"NO")</f>
        <v>Si</v>
      </c>
      <c r="O1390" s="26">
        <v>24</v>
      </c>
      <c r="P1390" s="28" t="str">
        <f>IFERROR(VLOOKUP(F1390,Back!C:E,3,0),"")</f>
        <v>IPS Pto De Vista Olaya</v>
      </c>
      <c r="Q1390" s="28" t="str">
        <f>IFERROR(VLOOKUP(P1390,Back!M:N,2,0),"")</f>
        <v>Centro</v>
      </c>
      <c r="R1390" s="27" t="str">
        <f>IF(N1390="Si",IFERROR(VLOOKUP(F1390,'TD Cumpl'!B:AB,27,0),"No Aplica"),"No Aplica")</f>
        <v>Cumple</v>
      </c>
      <c r="S1390" s="38">
        <v>50</v>
      </c>
      <c r="T1390" s="36">
        <v>4041717</v>
      </c>
      <c r="U1390" s="26">
        <v>144</v>
      </c>
      <c r="V1390" s="37">
        <v>11927267</v>
      </c>
      <c r="W1390" s="19">
        <v>84</v>
      </c>
      <c r="X1390" s="37">
        <v>5646408</v>
      </c>
      <c r="Y1390" s="46">
        <f t="shared" si="44"/>
        <v>1908750</v>
      </c>
      <c r="Z1390" s="19" t="s">
        <v>318</v>
      </c>
    </row>
    <row r="1391" spans="1:26" x14ac:dyDescent="0.25">
      <c r="A1391" s="20">
        <f>+VLOOKUP(D1391,Back!Q:R,2,0)</f>
        <v>6</v>
      </c>
      <c r="B1391" s="20" t="str">
        <f t="shared" si="43"/>
        <v>2018 JUN</v>
      </c>
      <c r="C1391" s="30">
        <v>2018</v>
      </c>
      <c r="D1391" s="30" t="s">
        <v>153</v>
      </c>
      <c r="E1391" s="30" t="s">
        <v>4</v>
      </c>
      <c r="F1391" s="30">
        <v>79701425</v>
      </c>
      <c r="G1391" s="30" t="s">
        <v>27</v>
      </c>
      <c r="H1391" s="32">
        <v>31991642</v>
      </c>
      <c r="I1391" s="32">
        <v>142000</v>
      </c>
      <c r="J1391" s="32">
        <v>6528939</v>
      </c>
      <c r="K1391" s="33">
        <v>25320703</v>
      </c>
      <c r="L1391" s="33">
        <v>25000008</v>
      </c>
      <c r="M1391" s="34">
        <v>1.0128277958951053</v>
      </c>
      <c r="N1391" s="209" t="str">
        <f>IFERROR(VLOOKUP(F1391,Back!C:F,4,0),"NO")</f>
        <v>No</v>
      </c>
      <c r="O1391" s="26">
        <v>24</v>
      </c>
      <c r="P1391" s="28" t="str">
        <f>IFERROR(VLOOKUP(F1391,Back!C:E,3,0),"")</f>
        <v>IPS Pto De Vista Olaya</v>
      </c>
      <c r="Q1391" s="28" t="str">
        <f>IFERROR(VLOOKUP(P1391,Back!M:N,2,0),"")</f>
        <v>Centro</v>
      </c>
      <c r="R1391" s="27" t="str">
        <f>IF(N1391="Si",IFERROR(VLOOKUP(F1391,'TD Cumpl'!B:AB,27,0),"No Aplica"),"No Aplica")</f>
        <v>No Aplica</v>
      </c>
      <c r="S1391" s="38">
        <v>76</v>
      </c>
      <c r="T1391" s="36">
        <v>5970359</v>
      </c>
      <c r="U1391" s="26">
        <v>209</v>
      </c>
      <c r="V1391" s="37">
        <v>16999950</v>
      </c>
      <c r="W1391" s="19">
        <v>91</v>
      </c>
      <c r="X1391" s="37">
        <v>6370339</v>
      </c>
      <c r="Y1391" s="46">
        <f t="shared" si="44"/>
        <v>2650994</v>
      </c>
    </row>
    <row r="1392" spans="1:26" x14ac:dyDescent="0.25">
      <c r="A1392" s="20">
        <f>+VLOOKUP(D1392,Back!Q:R,2,0)</f>
        <v>6</v>
      </c>
      <c r="B1392" s="20" t="str">
        <f t="shared" si="43"/>
        <v>2018 JUN</v>
      </c>
      <c r="C1392" s="30">
        <v>2018</v>
      </c>
      <c r="D1392" s="30" t="s">
        <v>153</v>
      </c>
      <c r="E1392" s="30" t="s">
        <v>13</v>
      </c>
      <c r="F1392" s="30">
        <v>43866877</v>
      </c>
      <c r="G1392" s="30" t="s">
        <v>46</v>
      </c>
      <c r="H1392" s="32">
        <v>93951741</v>
      </c>
      <c r="I1392" s="32">
        <v>912600</v>
      </c>
      <c r="J1392" s="32">
        <v>14341244</v>
      </c>
      <c r="K1392" s="33">
        <v>78697897</v>
      </c>
      <c r="L1392" s="33">
        <v>43333328</v>
      </c>
      <c r="M1392" s="34">
        <v>1.8161055389052971</v>
      </c>
      <c r="N1392" s="209" t="str">
        <f>IFERROR(VLOOKUP(F1392,Back!C:F,4,0),"NO")</f>
        <v>Si</v>
      </c>
      <c r="O1392" s="26">
        <v>24</v>
      </c>
      <c r="P1392" s="28" t="str">
        <f>IFERROR(VLOOKUP(F1392,Back!C:E,3,0),"")</f>
        <v>IPS Pto De Vista Centro</v>
      </c>
      <c r="Q1392" s="28" t="str">
        <f>IFERROR(VLOOKUP(P1392,Back!M:N,2,0),"")</f>
        <v>Antioquia</v>
      </c>
      <c r="R1392" s="27" t="str">
        <f>IF(N1392="Si",IFERROR(VLOOKUP(F1392,'TD Cumpl'!B:AB,27,0),"No Aplica"),"No Aplica")</f>
        <v>Siempre Cumple</v>
      </c>
      <c r="S1392" s="38">
        <v>176</v>
      </c>
      <c r="T1392" s="36">
        <v>29315678</v>
      </c>
      <c r="U1392" s="26">
        <v>316</v>
      </c>
      <c r="V1392" s="37">
        <v>42543878</v>
      </c>
      <c r="W1392" s="19">
        <v>160</v>
      </c>
      <c r="X1392" s="37">
        <v>13699644</v>
      </c>
      <c r="Y1392" s="46">
        <f t="shared" si="44"/>
        <v>8392541</v>
      </c>
      <c r="Z1392" s="19" t="s">
        <v>318</v>
      </c>
    </row>
    <row r="1393" spans="1:26" x14ac:dyDescent="0.25">
      <c r="A1393" s="20">
        <f>+VLOOKUP(D1393,Back!Q:R,2,0)</f>
        <v>6</v>
      </c>
      <c r="B1393" s="20" t="str">
        <f t="shared" si="43"/>
        <v>2018 JUN</v>
      </c>
      <c r="C1393" s="30">
        <v>2018</v>
      </c>
      <c r="D1393" s="30" t="s">
        <v>153</v>
      </c>
      <c r="E1393" s="30" t="s">
        <v>181</v>
      </c>
      <c r="F1393" s="30">
        <v>32183069</v>
      </c>
      <c r="G1393" s="30" t="s">
        <v>182</v>
      </c>
      <c r="H1393" s="32">
        <v>56055725</v>
      </c>
      <c r="I1393" s="32">
        <v>145800</v>
      </c>
      <c r="J1393" s="32">
        <v>7394095</v>
      </c>
      <c r="K1393" s="33">
        <v>48515830</v>
      </c>
      <c r="L1393" s="33">
        <v>41541661</v>
      </c>
      <c r="M1393" s="34">
        <v>1.167883730022254</v>
      </c>
      <c r="N1393" s="209" t="str">
        <f>IFERROR(VLOOKUP(F1393,Back!C:F,4,0),"NO")</f>
        <v>Si</v>
      </c>
      <c r="O1393" s="26">
        <v>24</v>
      </c>
      <c r="P1393" s="28" t="str">
        <f>IFERROR(VLOOKUP(F1393,Back!C:E,3,0),"")</f>
        <v>IPS Pto De Vista Molinos</v>
      </c>
      <c r="Q1393" s="28" t="str">
        <f>IFERROR(VLOOKUP(P1393,Back!M:N,2,0),"")</f>
        <v>Antioquia</v>
      </c>
      <c r="R1393" s="27" t="str">
        <f>IF(N1393="Si",IFERROR(VLOOKUP(F1393,'TD Cumpl'!B:AB,27,0),"No Aplica"),"No Aplica")</f>
        <v>No Cumple</v>
      </c>
      <c r="S1393" s="38">
        <v>121</v>
      </c>
      <c r="T1393" s="36">
        <v>15944110</v>
      </c>
      <c r="U1393" s="26">
        <v>246</v>
      </c>
      <c r="V1393" s="37">
        <v>27765087</v>
      </c>
      <c r="W1393" s="19">
        <v>87</v>
      </c>
      <c r="X1393" s="37">
        <v>7394095</v>
      </c>
      <c r="Y1393" s="46">
        <f t="shared" si="44"/>
        <v>4952433</v>
      </c>
      <c r="Z1393" s="19" t="s">
        <v>318</v>
      </c>
    </row>
    <row r="1394" spans="1:26" x14ac:dyDescent="0.25">
      <c r="A1394" s="20">
        <f>+VLOOKUP(D1394,Back!Q:R,2,0)</f>
        <v>6</v>
      </c>
      <c r="B1394" s="20" t="str">
        <f t="shared" si="43"/>
        <v>2018 JUN</v>
      </c>
      <c r="C1394" s="30">
        <v>2018</v>
      </c>
      <c r="D1394" s="30" t="s">
        <v>153</v>
      </c>
      <c r="E1394" s="30" t="s">
        <v>62</v>
      </c>
      <c r="F1394" s="30">
        <v>32256379</v>
      </c>
      <c r="G1394" s="30" t="s">
        <v>61</v>
      </c>
      <c r="H1394" s="32">
        <v>73524529</v>
      </c>
      <c r="I1394" s="32">
        <v>0</v>
      </c>
      <c r="J1394" s="32">
        <v>7638270</v>
      </c>
      <c r="K1394" s="33">
        <v>65886259</v>
      </c>
      <c r="L1394" s="33">
        <v>43999992</v>
      </c>
      <c r="M1394" s="34">
        <v>1.4974152495300455</v>
      </c>
      <c r="N1394" s="209" t="str">
        <f>IFERROR(VLOOKUP(F1394,Back!C:F,4,0),"NO")</f>
        <v>Si</v>
      </c>
      <c r="O1394" s="26">
        <v>24</v>
      </c>
      <c r="P1394" s="28" t="str">
        <f>IFERROR(VLOOKUP(F1394,Back!C:E,3,0),"")</f>
        <v>Ferias Empresariales Antioquia</v>
      </c>
      <c r="Q1394" s="28" t="str">
        <f>IFERROR(VLOOKUP(P1394,Back!M:N,2,0),"")</f>
        <v>Antioquia</v>
      </c>
      <c r="R1394" s="27" t="str">
        <f>IF(N1394="Si",IFERROR(VLOOKUP(F1394,'TD Cumpl'!B:AB,27,0),"No Aplica"),"No Aplica")</f>
        <v>Fluctúa</v>
      </c>
      <c r="S1394" s="38">
        <v>102</v>
      </c>
      <c r="T1394" s="36">
        <v>11454196</v>
      </c>
      <c r="U1394" s="26">
        <v>190</v>
      </c>
      <c r="V1394" s="37">
        <v>14398855</v>
      </c>
      <c r="W1394" s="19">
        <v>100</v>
      </c>
      <c r="X1394" s="37">
        <v>7638270</v>
      </c>
      <c r="Y1394" s="46">
        <f t="shared" si="44"/>
        <v>40033208</v>
      </c>
      <c r="Z1394" s="19" t="s">
        <v>318</v>
      </c>
    </row>
    <row r="1395" spans="1:26" x14ac:dyDescent="0.25">
      <c r="A1395" s="20">
        <f>+VLOOKUP(D1395,Back!Q:R,2,0)</f>
        <v>6</v>
      </c>
      <c r="B1395" s="20" t="str">
        <f t="shared" si="43"/>
        <v>2018 JUN</v>
      </c>
      <c r="C1395" s="30">
        <v>2018</v>
      </c>
      <c r="D1395" s="30" t="s">
        <v>153</v>
      </c>
      <c r="E1395" s="30" t="s">
        <v>25</v>
      </c>
      <c r="F1395" s="30">
        <v>1040030764</v>
      </c>
      <c r="G1395" s="30" t="s">
        <v>43</v>
      </c>
      <c r="H1395" s="32">
        <v>48063192</v>
      </c>
      <c r="I1395" s="32">
        <v>3157200</v>
      </c>
      <c r="J1395" s="32">
        <v>9328740</v>
      </c>
      <c r="K1395" s="33">
        <v>35577252</v>
      </c>
      <c r="L1395" s="33">
        <v>34999992</v>
      </c>
      <c r="M1395" s="34">
        <v>1.0164931466270049</v>
      </c>
      <c r="N1395" s="209" t="str">
        <f>IFERROR(VLOOKUP(F1395,Back!C:F,4,0),"NO")</f>
        <v>Si</v>
      </c>
      <c r="O1395" s="26">
        <v>24</v>
      </c>
      <c r="P1395" s="28" t="str">
        <f>IFERROR(VLOOKUP(F1395,Back!C:E,3,0),"")</f>
        <v>IPS Pto De Vista Rionegro</v>
      </c>
      <c r="Q1395" s="28" t="str">
        <f>IFERROR(VLOOKUP(P1395,Back!M:N,2,0),"")</f>
        <v>Antioquia</v>
      </c>
      <c r="R1395" s="27" t="str">
        <f>IF(N1395="Si",IFERROR(VLOOKUP(F1395,'TD Cumpl'!B:AB,27,0),"No Aplica"),"No Aplica")</f>
        <v>Cumple</v>
      </c>
      <c r="S1395" s="38">
        <v>80</v>
      </c>
      <c r="T1395" s="36">
        <v>7637997</v>
      </c>
      <c r="U1395" s="26">
        <v>202</v>
      </c>
      <c r="V1395" s="37">
        <v>25022671</v>
      </c>
      <c r="W1395" s="19">
        <v>102</v>
      </c>
      <c r="X1395" s="37">
        <v>9328740</v>
      </c>
      <c r="Y1395" s="46">
        <f t="shared" si="44"/>
        <v>6073784</v>
      </c>
      <c r="Z1395" s="19" t="s">
        <v>318</v>
      </c>
    </row>
    <row r="1396" spans="1:26" x14ac:dyDescent="0.25">
      <c r="A1396" s="20">
        <f>+VLOOKUP(D1396,Back!Q:R,2,0)</f>
        <v>6</v>
      </c>
      <c r="B1396" s="20" t="str">
        <f t="shared" si="43"/>
        <v>2018 JUN</v>
      </c>
      <c r="C1396" s="30">
        <v>2018</v>
      </c>
      <c r="D1396" s="30" t="s">
        <v>153</v>
      </c>
      <c r="E1396" s="30" t="s">
        <v>37</v>
      </c>
      <c r="F1396" s="30">
        <v>1036779770</v>
      </c>
      <c r="G1396" s="30" t="s">
        <v>52</v>
      </c>
      <c r="H1396" s="32">
        <v>39435323</v>
      </c>
      <c r="I1396" s="32">
        <v>1498000</v>
      </c>
      <c r="J1396" s="32">
        <v>8198661</v>
      </c>
      <c r="K1396" s="33">
        <v>29738662</v>
      </c>
      <c r="L1396" s="33">
        <v>27708327</v>
      </c>
      <c r="M1396" s="34">
        <v>1.0732752648689328</v>
      </c>
      <c r="N1396" s="209" t="str">
        <f>IFERROR(VLOOKUP(F1396,Back!C:F,4,0),"NO")</f>
        <v>No</v>
      </c>
      <c r="O1396" s="26">
        <v>24</v>
      </c>
      <c r="P1396" s="28" t="str">
        <f>IFERROR(VLOOKUP(F1396,Back!C:E,3,0),"")</f>
        <v>IPS Pto De Vista Rionegro</v>
      </c>
      <c r="Q1396" s="28" t="str">
        <f>IFERROR(VLOOKUP(P1396,Back!M:N,2,0),"")</f>
        <v>Antioquia</v>
      </c>
      <c r="R1396" s="27" t="str">
        <f>IF(N1396="Si",IFERROR(VLOOKUP(F1396,'TD Cumpl'!B:AB,27,0),"No Aplica"),"No Aplica")</f>
        <v>No Aplica</v>
      </c>
      <c r="S1396" s="38">
        <v>84</v>
      </c>
      <c r="T1396" s="36">
        <v>8238140</v>
      </c>
      <c r="U1396" s="26">
        <v>190</v>
      </c>
      <c r="V1396" s="37">
        <v>18740305</v>
      </c>
      <c r="W1396" s="19">
        <v>89</v>
      </c>
      <c r="X1396" s="37">
        <v>8198661</v>
      </c>
      <c r="Y1396" s="46">
        <f t="shared" si="44"/>
        <v>4258217</v>
      </c>
    </row>
    <row r="1397" spans="1:26" x14ac:dyDescent="0.25">
      <c r="A1397" s="20">
        <f>+VLOOKUP(D1397,Back!Q:R,2,0)</f>
        <v>6</v>
      </c>
      <c r="B1397" s="20" t="str">
        <f t="shared" si="43"/>
        <v>2018 JUN</v>
      </c>
      <c r="C1397" s="30">
        <v>2018</v>
      </c>
      <c r="D1397" s="30" t="s">
        <v>153</v>
      </c>
      <c r="E1397" s="30" t="s">
        <v>24</v>
      </c>
      <c r="F1397" s="30">
        <v>39448823</v>
      </c>
      <c r="G1397" s="30" t="s">
        <v>48</v>
      </c>
      <c r="H1397" s="32">
        <v>46208776</v>
      </c>
      <c r="I1397" s="32">
        <v>383100</v>
      </c>
      <c r="J1397" s="32">
        <v>8298097</v>
      </c>
      <c r="K1397" s="33">
        <v>37527579</v>
      </c>
      <c r="L1397" s="33">
        <v>34999992</v>
      </c>
      <c r="M1397" s="34">
        <v>1.0722167879352658</v>
      </c>
      <c r="N1397" s="209" t="str">
        <f>IFERROR(VLOOKUP(F1397,Back!C:F,4,0),"NO")</f>
        <v>Si</v>
      </c>
      <c r="O1397" s="26">
        <v>24</v>
      </c>
      <c r="P1397" s="28" t="str">
        <f>IFERROR(VLOOKUP(F1397,Back!C:E,3,0),"")</f>
        <v>IPS Pto De Vista Rionegro</v>
      </c>
      <c r="Q1397" s="28" t="str">
        <f>IFERROR(VLOOKUP(P1397,Back!M:N,2,0),"")</f>
        <v>Antioquia</v>
      </c>
      <c r="R1397" s="27" t="str">
        <f>IF(N1397="Si",IFERROR(VLOOKUP(F1397,'TD Cumpl'!B:AB,27,0),"No Aplica"),"No Aplica")</f>
        <v>Siempre Cumple</v>
      </c>
      <c r="S1397" s="38">
        <v>82</v>
      </c>
      <c r="T1397" s="36">
        <v>7783424</v>
      </c>
      <c r="U1397" s="26">
        <v>204</v>
      </c>
      <c r="V1397" s="37">
        <v>24838266</v>
      </c>
      <c r="W1397" s="19">
        <v>91</v>
      </c>
      <c r="X1397" s="37">
        <v>8298097</v>
      </c>
      <c r="Y1397" s="46">
        <f t="shared" si="44"/>
        <v>5288989</v>
      </c>
      <c r="Z1397" s="19" t="s">
        <v>318</v>
      </c>
    </row>
    <row r="1398" spans="1:26" x14ac:dyDescent="0.25">
      <c r="A1398" s="20">
        <f>+VLOOKUP(D1398,Back!Q:R,2,0)</f>
        <v>6</v>
      </c>
      <c r="B1398" s="20" t="str">
        <f t="shared" si="43"/>
        <v>2018 JUN</v>
      </c>
      <c r="C1398" s="30">
        <v>2018</v>
      </c>
      <c r="D1398" s="30" t="s">
        <v>153</v>
      </c>
      <c r="E1398" s="30" t="s">
        <v>11</v>
      </c>
      <c r="F1398" s="30">
        <v>43253531</v>
      </c>
      <c r="G1398" s="30" t="s">
        <v>39</v>
      </c>
      <c r="H1398" s="31">
        <v>51021069</v>
      </c>
      <c r="I1398" s="32">
        <v>1250400</v>
      </c>
      <c r="J1398" s="32">
        <v>11977239</v>
      </c>
      <c r="K1398" s="33">
        <v>37793430</v>
      </c>
      <c r="L1398" s="33">
        <v>34999992</v>
      </c>
      <c r="M1398" s="34">
        <v>1.0798125325285788</v>
      </c>
      <c r="N1398" s="209" t="str">
        <f>IFERROR(VLOOKUP(F1398,Back!C:F,4,0),"NO")</f>
        <v>Si</v>
      </c>
      <c r="O1398" s="26">
        <v>24</v>
      </c>
      <c r="P1398" s="28" t="str">
        <f>IFERROR(VLOOKUP(F1398,Back!C:E,3,0),"")</f>
        <v>IPS Punto de Vista Bello</v>
      </c>
      <c r="Q1398" s="28" t="str">
        <f>IFERROR(VLOOKUP(P1398,Back!M:N,2,0),"")</f>
        <v>Antioquia</v>
      </c>
      <c r="R1398" s="27" t="str">
        <f>IF(N1398="Si",IFERROR(VLOOKUP(F1398,'TD Cumpl'!B:AB,27,0),"No Aplica"),"No Aplica")</f>
        <v>Cumple</v>
      </c>
      <c r="S1398" s="38">
        <v>88</v>
      </c>
      <c r="T1398" s="36">
        <v>7614101</v>
      </c>
      <c r="U1398" s="26">
        <v>196</v>
      </c>
      <c r="V1398" s="37">
        <v>25874675</v>
      </c>
      <c r="W1398" s="19">
        <v>119</v>
      </c>
      <c r="X1398" s="37">
        <v>11977239</v>
      </c>
      <c r="Y1398" s="46">
        <f t="shared" si="44"/>
        <v>5555054</v>
      </c>
      <c r="Z1398" s="19" t="s">
        <v>318</v>
      </c>
    </row>
    <row r="1399" spans="1:26" x14ac:dyDescent="0.25">
      <c r="A1399" s="20">
        <f>+VLOOKUP(D1399,Back!Q:R,2,0)</f>
        <v>6</v>
      </c>
      <c r="B1399" s="20" t="str">
        <f t="shared" si="43"/>
        <v>2018 JUN</v>
      </c>
      <c r="C1399" s="30">
        <v>2018</v>
      </c>
      <c r="D1399" s="30" t="s">
        <v>153</v>
      </c>
      <c r="E1399" s="30" t="s">
        <v>121</v>
      </c>
      <c r="F1399" s="30">
        <v>21982241</v>
      </c>
      <c r="G1399" s="30" t="s">
        <v>143</v>
      </c>
      <c r="H1399" s="31">
        <v>32354943</v>
      </c>
      <c r="I1399" s="32">
        <v>0</v>
      </c>
      <c r="J1399" s="32">
        <v>8133949</v>
      </c>
      <c r="K1399" s="33">
        <v>24220994</v>
      </c>
      <c r="L1399" s="33">
        <v>34999992</v>
      </c>
      <c r="M1399" s="34">
        <v>0.69202855817795617</v>
      </c>
      <c r="N1399" s="209" t="str">
        <f>IFERROR(VLOOKUP(F1399,Back!C:F,4,0),"NO")</f>
        <v>Si</v>
      </c>
      <c r="O1399" s="26">
        <v>24</v>
      </c>
      <c r="P1399" s="28" t="str">
        <f>IFERROR(VLOOKUP(F1399,Back!C:E,3,0),"")</f>
        <v>IPS Punto de Vista Bello</v>
      </c>
      <c r="Q1399" s="28" t="str">
        <f>IFERROR(VLOOKUP(P1399,Back!M:N,2,0),"")</f>
        <v>Antioquia</v>
      </c>
      <c r="R1399" s="27" t="str">
        <f>IF(N1399="Si",IFERROR(VLOOKUP(F1399,'TD Cumpl'!B:AB,27,0),"No Aplica"),"No Aplica")</f>
        <v>Fluctúa</v>
      </c>
      <c r="S1399" s="38">
        <v>50</v>
      </c>
      <c r="T1399" s="36">
        <v>3698871</v>
      </c>
      <c r="U1399" s="26">
        <v>136</v>
      </c>
      <c r="V1399" s="37">
        <v>17387590</v>
      </c>
      <c r="W1399" s="19">
        <v>83</v>
      </c>
      <c r="X1399" s="37">
        <v>8133949</v>
      </c>
      <c r="Y1399" s="46">
        <f t="shared" si="44"/>
        <v>3134533</v>
      </c>
      <c r="Z1399" s="19" t="s">
        <v>318</v>
      </c>
    </row>
    <row r="1400" spans="1:26" x14ac:dyDescent="0.25">
      <c r="A1400" s="20">
        <f>+VLOOKUP(D1400,Back!Q:R,2,0)</f>
        <v>6</v>
      </c>
      <c r="B1400" s="20" t="str">
        <f t="shared" si="43"/>
        <v>2018 JUN</v>
      </c>
      <c r="C1400" s="30">
        <v>2018</v>
      </c>
      <c r="D1400" s="30" t="s">
        <v>153</v>
      </c>
      <c r="E1400" s="30" t="s">
        <v>9</v>
      </c>
      <c r="F1400" s="30">
        <v>43169964</v>
      </c>
      <c r="G1400" s="30" t="s">
        <v>155</v>
      </c>
      <c r="H1400" s="32">
        <v>73455213</v>
      </c>
      <c r="I1400" s="32">
        <v>2352380</v>
      </c>
      <c r="J1400" s="32">
        <v>15918064</v>
      </c>
      <c r="K1400" s="33">
        <v>55184769</v>
      </c>
      <c r="L1400" s="33">
        <v>43999992</v>
      </c>
      <c r="M1400" s="34">
        <v>1.2541995234908225</v>
      </c>
      <c r="N1400" s="209" t="str">
        <f>IFERROR(VLOOKUP(F1400,Back!C:F,4,0),"NO")</f>
        <v>Si</v>
      </c>
      <c r="O1400" s="26">
        <v>24</v>
      </c>
      <c r="P1400" s="28" t="str">
        <f>IFERROR(VLOOKUP(F1400,Back!C:E,3,0),"")</f>
        <v>IPS Pto De Vista Molinos</v>
      </c>
      <c r="Q1400" s="28" t="str">
        <f>IFERROR(VLOOKUP(P1400,Back!M:N,2,0),"")</f>
        <v>Antioquia</v>
      </c>
      <c r="R1400" s="27" t="str">
        <f>IF(N1400="Si",IFERROR(VLOOKUP(F1400,'TD Cumpl'!B:AB,27,0),"No Aplica"),"No Aplica")</f>
        <v>Cumple</v>
      </c>
      <c r="S1400" s="38">
        <v>122</v>
      </c>
      <c r="T1400" s="36">
        <v>12269886</v>
      </c>
      <c r="U1400" s="26">
        <v>309</v>
      </c>
      <c r="V1400" s="37">
        <v>34898555</v>
      </c>
      <c r="W1400" s="19">
        <v>162</v>
      </c>
      <c r="X1400" s="37">
        <v>15918064</v>
      </c>
      <c r="Y1400" s="46">
        <f t="shared" si="44"/>
        <v>10368708</v>
      </c>
      <c r="Z1400" s="19" t="s">
        <v>318</v>
      </c>
    </row>
    <row r="1401" spans="1:26" x14ac:dyDescent="0.25">
      <c r="A1401" s="20">
        <f>+VLOOKUP(D1401,Back!Q:R,2,0)</f>
        <v>6</v>
      </c>
      <c r="B1401" s="20" t="str">
        <f t="shared" si="43"/>
        <v>2018 JUN</v>
      </c>
      <c r="C1401" s="30">
        <v>2018</v>
      </c>
      <c r="D1401" s="30" t="s">
        <v>153</v>
      </c>
      <c r="E1401" s="30" t="s">
        <v>259</v>
      </c>
      <c r="F1401" s="30">
        <v>1020399898</v>
      </c>
      <c r="G1401" s="30" t="s">
        <v>260</v>
      </c>
      <c r="H1401" s="32">
        <v>5750412</v>
      </c>
      <c r="I1401" s="32">
        <v>162000</v>
      </c>
      <c r="J1401" s="32">
        <v>1062363</v>
      </c>
      <c r="K1401" s="33">
        <v>4526049</v>
      </c>
      <c r="L1401" s="33">
        <v>31166661</v>
      </c>
      <c r="M1401" s="34">
        <v>0.14522084993320267</v>
      </c>
      <c r="N1401" s="209" t="str">
        <f>IFERROR(VLOOKUP(F1401,Back!C:F,4,0),"NO")</f>
        <v>Si</v>
      </c>
      <c r="O1401" s="26">
        <v>24</v>
      </c>
      <c r="P1401" s="28" t="str">
        <f>IFERROR(VLOOKUP(F1401,Back!C:E,3,0),"")</f>
        <v>IPS Punto de Vista Mayorca</v>
      </c>
      <c r="Q1401" s="28" t="str">
        <f>IFERROR(VLOOKUP(P1401,Back!M:N,2,0),"")</f>
        <v>Antioquia</v>
      </c>
      <c r="R1401" s="27" t="str">
        <f>IF(N1401="Si",IFERROR(VLOOKUP(F1401,'TD Cumpl'!B:AB,27,0),"No Aplica"),"No Aplica")</f>
        <v>Fluctúa</v>
      </c>
      <c r="S1401" s="38">
        <v>14</v>
      </c>
      <c r="T1401" s="36">
        <v>1283644</v>
      </c>
      <c r="U1401" s="26">
        <v>34</v>
      </c>
      <c r="V1401" s="37">
        <v>2677801</v>
      </c>
      <c r="W1401" s="19">
        <v>15</v>
      </c>
      <c r="X1401" s="37">
        <v>1062363</v>
      </c>
      <c r="Y1401" s="46">
        <f t="shared" si="44"/>
        <v>726604</v>
      </c>
      <c r="Z1401" s="19" t="s">
        <v>318</v>
      </c>
    </row>
    <row r="1402" spans="1:26" x14ac:dyDescent="0.25">
      <c r="A1402" s="20">
        <f>+VLOOKUP(D1402,Back!Q:R,2,0)</f>
        <v>6</v>
      </c>
      <c r="B1402" s="20" t="str">
        <f t="shared" si="43"/>
        <v>2018 JUN</v>
      </c>
      <c r="C1402" s="30">
        <v>2018</v>
      </c>
      <c r="D1402" s="30" t="s">
        <v>153</v>
      </c>
      <c r="E1402" s="30" t="s">
        <v>20</v>
      </c>
      <c r="F1402" s="30">
        <v>1017141451</v>
      </c>
      <c r="G1402" s="30" t="s">
        <v>44</v>
      </c>
      <c r="H1402" s="32">
        <v>59100041</v>
      </c>
      <c r="I1402" s="32">
        <v>1232000</v>
      </c>
      <c r="J1402" s="32">
        <v>12715961</v>
      </c>
      <c r="K1402" s="33">
        <v>45152080</v>
      </c>
      <c r="L1402" s="33">
        <v>43999992</v>
      </c>
      <c r="M1402" s="34">
        <v>1.0261838229425133</v>
      </c>
      <c r="N1402" s="209" t="str">
        <f>IFERROR(VLOOKUP(F1402,Back!C:F,4,0),"NO")</f>
        <v>Si</v>
      </c>
      <c r="O1402" s="26">
        <v>24</v>
      </c>
      <c r="P1402" s="28" t="str">
        <f>IFERROR(VLOOKUP(F1402,Back!C:E,3,0),"")</f>
        <v>IPS Pto De Vista Molinos</v>
      </c>
      <c r="Q1402" s="28" t="str">
        <f>IFERROR(VLOOKUP(P1402,Back!M:N,2,0),"")</f>
        <v>Antioquia</v>
      </c>
      <c r="R1402" s="27" t="str">
        <f>IF(N1402="Si",IFERROR(VLOOKUP(F1402,'TD Cumpl'!B:AB,27,0),"No Aplica"),"No Aplica")</f>
        <v>Siempre Cumple</v>
      </c>
      <c r="S1402" s="38">
        <v>102</v>
      </c>
      <c r="T1402" s="36">
        <v>11741116</v>
      </c>
      <c r="U1402" s="26">
        <v>258</v>
      </c>
      <c r="V1402" s="37">
        <v>28813392</v>
      </c>
      <c r="W1402" s="19">
        <v>139</v>
      </c>
      <c r="X1402" s="37">
        <v>12715961</v>
      </c>
      <c r="Y1402" s="46">
        <f t="shared" si="44"/>
        <v>5829572</v>
      </c>
      <c r="Z1402" s="19" t="s">
        <v>318</v>
      </c>
    </row>
    <row r="1403" spans="1:26" x14ac:dyDescent="0.25">
      <c r="A1403" s="20">
        <f>+VLOOKUP(D1403,Back!Q:R,2,0)</f>
        <v>6</v>
      </c>
      <c r="B1403" s="20" t="str">
        <f t="shared" si="43"/>
        <v>2018 JUN</v>
      </c>
      <c r="C1403" s="30">
        <v>2018</v>
      </c>
      <c r="D1403" s="30" t="s">
        <v>153</v>
      </c>
      <c r="E1403" s="30" t="s">
        <v>103</v>
      </c>
      <c r="F1403" s="30">
        <v>1020409789</v>
      </c>
      <c r="G1403" s="30" t="s">
        <v>145</v>
      </c>
      <c r="H1403" s="32">
        <v>70398823</v>
      </c>
      <c r="I1403" s="32">
        <v>440000</v>
      </c>
      <c r="J1403" s="32">
        <v>14830300</v>
      </c>
      <c r="K1403" s="33">
        <v>55128523</v>
      </c>
      <c r="L1403" s="33">
        <v>43999992</v>
      </c>
      <c r="M1403" s="34">
        <v>1.2529212050765828</v>
      </c>
      <c r="N1403" s="209" t="str">
        <f>IFERROR(VLOOKUP(F1403,Back!C:F,4,0),"NO")</f>
        <v>Si</v>
      </c>
      <c r="O1403" s="26">
        <v>24</v>
      </c>
      <c r="P1403" s="28" t="str">
        <f>IFERROR(VLOOKUP(F1403,Back!C:E,3,0),"")</f>
        <v>IPS Pto De Vista Molinos</v>
      </c>
      <c r="Q1403" s="28" t="str">
        <f>IFERROR(VLOOKUP(P1403,Back!M:N,2,0),"")</f>
        <v>Antioquia</v>
      </c>
      <c r="R1403" s="27" t="str">
        <f>IF(N1403="Si",IFERROR(VLOOKUP(F1403,'TD Cumpl'!B:AB,27,0),"No Aplica"),"No Aplica")</f>
        <v>Cumple</v>
      </c>
      <c r="S1403" s="38">
        <v>110</v>
      </c>
      <c r="T1403" s="36">
        <v>12909378</v>
      </c>
      <c r="U1403" s="26">
        <v>294</v>
      </c>
      <c r="V1403" s="37">
        <v>35982724</v>
      </c>
      <c r="W1403" s="19">
        <v>158</v>
      </c>
      <c r="X1403" s="37">
        <v>14830300</v>
      </c>
      <c r="Y1403" s="46">
        <f t="shared" si="44"/>
        <v>6676421</v>
      </c>
      <c r="Z1403" s="19" t="s">
        <v>318</v>
      </c>
    </row>
    <row r="1404" spans="1:26" x14ac:dyDescent="0.25">
      <c r="A1404" s="20">
        <f>+VLOOKUP(D1404,Back!Q:R,2,0)</f>
        <v>6</v>
      </c>
      <c r="B1404" s="20" t="str">
        <f t="shared" si="43"/>
        <v>2018 JUN</v>
      </c>
      <c r="C1404" s="30">
        <v>2018</v>
      </c>
      <c r="D1404" s="30" t="s">
        <v>153</v>
      </c>
      <c r="E1404" s="30" t="s">
        <v>8</v>
      </c>
      <c r="F1404" s="30">
        <v>43259130</v>
      </c>
      <c r="G1404" s="30" t="s">
        <v>51</v>
      </c>
      <c r="H1404" s="32">
        <v>66243539</v>
      </c>
      <c r="I1404" s="32">
        <v>910200</v>
      </c>
      <c r="J1404" s="32">
        <v>12188446</v>
      </c>
      <c r="K1404" s="33">
        <v>53144893</v>
      </c>
      <c r="L1404" s="33">
        <v>43999992</v>
      </c>
      <c r="M1404" s="34">
        <v>1.207838696879763</v>
      </c>
      <c r="N1404" s="209" t="str">
        <f>IFERROR(VLOOKUP(F1404,Back!C:F,4,0),"NO")</f>
        <v>Si</v>
      </c>
      <c r="O1404" s="26">
        <v>24</v>
      </c>
      <c r="P1404" s="28" t="str">
        <f>IFERROR(VLOOKUP(F1404,Back!C:E,3,0),"")</f>
        <v>IPS Pto De Vista Molinos</v>
      </c>
      <c r="Q1404" s="28" t="str">
        <f>IFERROR(VLOOKUP(P1404,Back!M:N,2,0),"")</f>
        <v>Antioquia</v>
      </c>
      <c r="R1404" s="27" t="str">
        <f>IF(N1404="Si",IFERROR(VLOOKUP(F1404,'TD Cumpl'!B:AB,27,0),"No Aplica"),"No Aplica")</f>
        <v>Fluctúa</v>
      </c>
      <c r="S1404" s="38">
        <v>97</v>
      </c>
      <c r="T1404" s="36">
        <v>10198131</v>
      </c>
      <c r="U1404" s="26">
        <v>286</v>
      </c>
      <c r="V1404" s="37">
        <v>35378461</v>
      </c>
      <c r="W1404" s="19">
        <v>122</v>
      </c>
      <c r="X1404" s="37">
        <v>12188446</v>
      </c>
      <c r="Y1404" s="46">
        <f t="shared" si="44"/>
        <v>8478501</v>
      </c>
      <c r="Z1404" s="19" t="s">
        <v>318</v>
      </c>
    </row>
    <row r="1405" spans="1:26" x14ac:dyDescent="0.25">
      <c r="A1405" s="20">
        <f>+VLOOKUP(D1405,Back!Q:R,2,0)</f>
        <v>6</v>
      </c>
      <c r="B1405" s="20" t="str">
        <f t="shared" si="43"/>
        <v>2018 JUN</v>
      </c>
      <c r="C1405" s="30">
        <v>2018</v>
      </c>
      <c r="D1405" s="30" t="s">
        <v>153</v>
      </c>
      <c r="E1405" s="30" t="s">
        <v>56</v>
      </c>
      <c r="F1405" s="30">
        <v>43971430</v>
      </c>
      <c r="G1405" s="30" t="s">
        <v>142</v>
      </c>
      <c r="H1405" s="32">
        <v>61004406</v>
      </c>
      <c r="I1405" s="32">
        <v>324000</v>
      </c>
      <c r="J1405" s="32">
        <v>16888310</v>
      </c>
      <c r="K1405" s="33">
        <v>43792096</v>
      </c>
      <c r="L1405" s="33">
        <v>42000000</v>
      </c>
      <c r="M1405" s="34">
        <v>1.0426689523809525</v>
      </c>
      <c r="N1405" s="209" t="str">
        <f>IFERROR(VLOOKUP(F1405,Back!C:F,4,0),"NO")</f>
        <v>Si</v>
      </c>
      <c r="O1405" s="26">
        <v>24</v>
      </c>
      <c r="P1405" s="28" t="str">
        <f>IFERROR(VLOOKUP(F1405,Back!C:E,3,0),"")</f>
        <v>IPS Pto De Vista Centro</v>
      </c>
      <c r="Q1405" s="28" t="str">
        <f>IFERROR(VLOOKUP(P1405,Back!M:N,2,0),"")</f>
        <v>Antioquia</v>
      </c>
      <c r="R1405" s="27" t="str">
        <f>IF(N1405="Si",IFERROR(VLOOKUP(F1405,'TD Cumpl'!B:AB,27,0),"No Aplica"),"No Aplica")</f>
        <v>Siempre Cumple</v>
      </c>
      <c r="S1405" s="38">
        <v>122</v>
      </c>
      <c r="T1405" s="36">
        <v>10391028</v>
      </c>
      <c r="U1405" s="26">
        <v>314</v>
      </c>
      <c r="V1405" s="37">
        <v>27679691</v>
      </c>
      <c r="W1405" s="19">
        <v>176</v>
      </c>
      <c r="X1405" s="37">
        <v>16888310</v>
      </c>
      <c r="Y1405" s="46">
        <f t="shared" si="44"/>
        <v>6045377</v>
      </c>
      <c r="Z1405" s="19" t="s">
        <v>318</v>
      </c>
    </row>
    <row r="1406" spans="1:26" x14ac:dyDescent="0.25">
      <c r="A1406" s="20">
        <f>+VLOOKUP(D1406,Back!Q:R,2,0)</f>
        <v>6</v>
      </c>
      <c r="B1406" s="20" t="str">
        <f t="shared" ref="B1406:B1469" si="45">MID(UPPER(C1406&amp;" "&amp;D1406),1,8)</f>
        <v>2018 JUN</v>
      </c>
      <c r="C1406" s="30">
        <v>2018</v>
      </c>
      <c r="D1406" s="30" t="s">
        <v>153</v>
      </c>
      <c r="E1406" s="30" t="s">
        <v>108</v>
      </c>
      <c r="F1406" s="30">
        <v>1020443426</v>
      </c>
      <c r="G1406" s="30" t="s">
        <v>109</v>
      </c>
      <c r="H1406" s="32">
        <v>55940559</v>
      </c>
      <c r="I1406" s="32">
        <v>1790000</v>
      </c>
      <c r="J1406" s="32">
        <v>11441032</v>
      </c>
      <c r="K1406" s="33">
        <v>42709527</v>
      </c>
      <c r="L1406" s="33">
        <v>42000000</v>
      </c>
      <c r="M1406" s="34">
        <v>1.0168934999999999</v>
      </c>
      <c r="N1406" s="209" t="str">
        <f>IFERROR(VLOOKUP(F1406,Back!C:F,4,0),"NO")</f>
        <v>Si</v>
      </c>
      <c r="O1406" s="26">
        <v>24</v>
      </c>
      <c r="P1406" s="28" t="str">
        <f>IFERROR(VLOOKUP(F1406,Back!C:E,3,0),"")</f>
        <v>IPS Pto De Vista San Diego</v>
      </c>
      <c r="Q1406" s="28" t="str">
        <f>IFERROR(VLOOKUP(P1406,Back!M:N,2,0),"")</f>
        <v>Antioquia</v>
      </c>
      <c r="R1406" s="27" t="str">
        <f>IF(N1406="Si",IFERROR(VLOOKUP(F1406,'TD Cumpl'!B:AB,27,0),"No Aplica"),"No Aplica")</f>
        <v>Fluctúa</v>
      </c>
      <c r="S1406" s="38">
        <v>95</v>
      </c>
      <c r="T1406" s="36">
        <v>8534625</v>
      </c>
      <c r="U1406" s="26">
        <v>279</v>
      </c>
      <c r="V1406" s="37">
        <v>28176989</v>
      </c>
      <c r="W1406" s="19">
        <v>118</v>
      </c>
      <c r="X1406" s="37">
        <v>11441032</v>
      </c>
      <c r="Y1406" s="46">
        <f t="shared" si="44"/>
        <v>7787913</v>
      </c>
      <c r="Z1406" s="19" t="s">
        <v>318</v>
      </c>
    </row>
    <row r="1407" spans="1:26" x14ac:dyDescent="0.25">
      <c r="A1407" s="20">
        <f>+VLOOKUP(D1407,Back!Q:R,2,0)</f>
        <v>6</v>
      </c>
      <c r="B1407" s="20" t="str">
        <f t="shared" si="45"/>
        <v>2018 JUN</v>
      </c>
      <c r="C1407" s="30">
        <v>2018</v>
      </c>
      <c r="D1407" s="30" t="s">
        <v>153</v>
      </c>
      <c r="E1407" s="30" t="s">
        <v>34</v>
      </c>
      <c r="F1407" s="30">
        <v>43554403</v>
      </c>
      <c r="G1407" s="30" t="s">
        <v>35</v>
      </c>
      <c r="H1407" s="32">
        <v>55504913</v>
      </c>
      <c r="I1407" s="32">
        <v>702000</v>
      </c>
      <c r="J1407" s="32">
        <v>10386459</v>
      </c>
      <c r="K1407" s="33">
        <v>44416454</v>
      </c>
      <c r="L1407" s="33">
        <v>42000000</v>
      </c>
      <c r="M1407" s="34">
        <v>1.0575346190476191</v>
      </c>
      <c r="N1407" s="209" t="str">
        <f>IFERROR(VLOOKUP(F1407,Back!C:F,4,0),"NO")</f>
        <v>Si</v>
      </c>
      <c r="O1407" s="26">
        <v>24</v>
      </c>
      <c r="P1407" s="28" t="str">
        <f>IFERROR(VLOOKUP(F1407,Back!C:E,3,0),"")</f>
        <v>IPS Pto De Vista Centro</v>
      </c>
      <c r="Q1407" s="28" t="str">
        <f>IFERROR(VLOOKUP(P1407,Back!M:N,2,0),"")</f>
        <v>Antioquia</v>
      </c>
      <c r="R1407" s="27" t="str">
        <f>IF(N1407="Si",IFERROR(VLOOKUP(F1407,'TD Cumpl'!B:AB,27,0),"No Aplica"),"No Aplica")</f>
        <v>Siempre Cumple</v>
      </c>
      <c r="S1407" s="38">
        <v>92</v>
      </c>
      <c r="T1407" s="36">
        <v>9636178</v>
      </c>
      <c r="U1407" s="26">
        <v>228</v>
      </c>
      <c r="V1407" s="37">
        <v>28926721</v>
      </c>
      <c r="W1407" s="19">
        <v>107</v>
      </c>
      <c r="X1407" s="37">
        <v>10386459</v>
      </c>
      <c r="Y1407" s="46">
        <f t="shared" si="44"/>
        <v>6555555</v>
      </c>
      <c r="Z1407" s="19" t="s">
        <v>318</v>
      </c>
    </row>
    <row r="1408" spans="1:26" x14ac:dyDescent="0.25">
      <c r="A1408" s="20">
        <f>+VLOOKUP(D1408,Back!Q:R,2,0)</f>
        <v>6</v>
      </c>
      <c r="B1408" s="20" t="str">
        <f t="shared" si="45"/>
        <v>2018 JUN</v>
      </c>
      <c r="C1408" s="30">
        <v>2018</v>
      </c>
      <c r="D1408" s="30" t="s">
        <v>153</v>
      </c>
      <c r="E1408" s="30" t="s">
        <v>101</v>
      </c>
      <c r="F1408" s="30">
        <v>21428423</v>
      </c>
      <c r="G1408" s="30" t="s">
        <v>154</v>
      </c>
      <c r="H1408" s="32">
        <v>26746114</v>
      </c>
      <c r="I1408" s="32">
        <v>639000</v>
      </c>
      <c r="J1408" s="32">
        <v>7140106</v>
      </c>
      <c r="K1408" s="33">
        <v>18967008</v>
      </c>
      <c r="L1408" s="33">
        <v>31500000</v>
      </c>
      <c r="M1408" s="34">
        <v>0.60212723809523805</v>
      </c>
      <c r="N1408" s="209" t="str">
        <f>IFERROR(VLOOKUP(F1408,Back!C:F,4,0),"NO")</f>
        <v>Si</v>
      </c>
      <c r="O1408" s="26">
        <v>24</v>
      </c>
      <c r="P1408" s="28" t="str">
        <f>IFERROR(VLOOKUP(F1408,Back!C:E,3,0),"")</f>
        <v>IPS Pto De Vista Centro</v>
      </c>
      <c r="Q1408" s="28" t="str">
        <f>IFERROR(VLOOKUP(P1408,Back!M:N,2,0),"")</f>
        <v>Antioquia</v>
      </c>
      <c r="R1408" s="27" t="str">
        <f>IF(N1408="Si",IFERROR(VLOOKUP(F1408,'TD Cumpl'!B:AB,27,0),"No Aplica"),"No Aplica")</f>
        <v>Fluctúa</v>
      </c>
      <c r="S1408" s="38">
        <v>52</v>
      </c>
      <c r="T1408" s="36">
        <v>4125397</v>
      </c>
      <c r="U1408" s="26">
        <v>130</v>
      </c>
      <c r="V1408" s="37">
        <v>12928544</v>
      </c>
      <c r="W1408" s="19">
        <v>68</v>
      </c>
      <c r="X1408" s="37">
        <v>7140106</v>
      </c>
      <c r="Y1408" s="46">
        <f t="shared" si="44"/>
        <v>2552067</v>
      </c>
      <c r="Z1408" s="19" t="s">
        <v>319</v>
      </c>
    </row>
    <row r="1409" spans="1:26" x14ac:dyDescent="0.25">
      <c r="A1409" s="20">
        <f>+VLOOKUP(D1409,Back!Q:R,2,0)</f>
        <v>6</v>
      </c>
      <c r="B1409" s="20" t="str">
        <f t="shared" si="45"/>
        <v>2018 JUN</v>
      </c>
      <c r="C1409" s="30">
        <v>2018</v>
      </c>
      <c r="D1409" s="30" t="s">
        <v>153</v>
      </c>
      <c r="E1409" s="30" t="s">
        <v>235</v>
      </c>
      <c r="F1409" s="30">
        <v>39275090</v>
      </c>
      <c r="G1409" s="30" t="s">
        <v>236</v>
      </c>
      <c r="H1409" s="32">
        <v>61571269</v>
      </c>
      <c r="I1409" s="32">
        <v>440000</v>
      </c>
      <c r="J1409" s="32">
        <v>12182367</v>
      </c>
      <c r="K1409" s="33">
        <v>48948902</v>
      </c>
      <c r="L1409" s="33">
        <v>42999996</v>
      </c>
      <c r="M1409" s="34">
        <v>1.1383466640322477</v>
      </c>
      <c r="N1409" s="209" t="str">
        <f>IFERROR(VLOOKUP(F1409,Back!C:F,4,0),"NO")</f>
        <v>Si</v>
      </c>
      <c r="O1409" s="26">
        <v>24</v>
      </c>
      <c r="P1409" s="28" t="str">
        <f>IFERROR(VLOOKUP(F1409,Back!C:E,3,0),"")</f>
        <v>IPS Pto De Vista San Diego</v>
      </c>
      <c r="Q1409" s="28" t="str">
        <f>IFERROR(VLOOKUP(P1409,Back!M:N,2,0),"")</f>
        <v>Antioquia</v>
      </c>
      <c r="R1409" s="27" t="str">
        <f>IF(N1409="Si",IFERROR(VLOOKUP(F1409,'TD Cumpl'!B:AB,27,0),"No Aplica"),"No Aplica")</f>
        <v>Siempre Cumple</v>
      </c>
      <c r="S1409" s="38">
        <v>92</v>
      </c>
      <c r="T1409" s="36">
        <v>9925612</v>
      </c>
      <c r="U1409" s="26">
        <v>216</v>
      </c>
      <c r="V1409" s="37">
        <v>33946944</v>
      </c>
      <c r="W1409" s="19">
        <v>119</v>
      </c>
      <c r="X1409" s="37">
        <v>12084367</v>
      </c>
      <c r="Y1409" s="46">
        <f t="shared" ref="Y1409:Y1472" si="46">+H1409-X1409-V1409-T1409</f>
        <v>5614346</v>
      </c>
      <c r="Z1409" s="19" t="s">
        <v>318</v>
      </c>
    </row>
    <row r="1410" spans="1:26" x14ac:dyDescent="0.25">
      <c r="A1410" s="20">
        <f>+VLOOKUP(D1410,Back!Q:R,2,0)</f>
        <v>6</v>
      </c>
      <c r="B1410" s="20" t="str">
        <f t="shared" si="45"/>
        <v>2018 JUN</v>
      </c>
      <c r="C1410" s="30">
        <v>2018</v>
      </c>
      <c r="D1410" s="30" t="s">
        <v>153</v>
      </c>
      <c r="E1410" s="30" t="s">
        <v>177</v>
      </c>
      <c r="F1410" s="30">
        <v>1035913369</v>
      </c>
      <c r="G1410" s="30" t="s">
        <v>183</v>
      </c>
      <c r="H1410" s="32">
        <v>54151760</v>
      </c>
      <c r="I1410" s="32">
        <v>1338600</v>
      </c>
      <c r="J1410" s="32">
        <v>10240837</v>
      </c>
      <c r="K1410" s="33">
        <v>42572323</v>
      </c>
      <c r="L1410" s="33">
        <v>42000000</v>
      </c>
      <c r="M1410" s="34">
        <v>1.0136267380952382</v>
      </c>
      <c r="N1410" s="209" t="str">
        <f>IFERROR(VLOOKUP(F1410,Back!C:F,4,0),"NO")</f>
        <v>Si</v>
      </c>
      <c r="O1410" s="26">
        <v>24</v>
      </c>
      <c r="P1410" s="28" t="str">
        <f>IFERROR(VLOOKUP(F1410,Back!C:E,3,0),"")</f>
        <v>IPS Pto De Vista Centro</v>
      </c>
      <c r="Q1410" s="28" t="str">
        <f>IFERROR(VLOOKUP(P1410,Back!M:N,2,0),"")</f>
        <v>Antioquia</v>
      </c>
      <c r="R1410" s="27" t="str">
        <f>IF(N1410="Si",IFERROR(VLOOKUP(F1410,'TD Cumpl'!B:AB,27,0),"No Aplica"),"No Aplica")</f>
        <v>Fluctúa</v>
      </c>
      <c r="S1410" s="38">
        <v>99</v>
      </c>
      <c r="T1410" s="36">
        <v>9426716</v>
      </c>
      <c r="U1410" s="26">
        <v>266</v>
      </c>
      <c r="V1410" s="37">
        <v>26944206</v>
      </c>
      <c r="W1410" s="19">
        <v>111</v>
      </c>
      <c r="X1410" s="37">
        <v>10240837</v>
      </c>
      <c r="Y1410" s="46">
        <f t="shared" si="46"/>
        <v>7540001</v>
      </c>
      <c r="Z1410" s="19" t="s">
        <v>318</v>
      </c>
    </row>
    <row r="1411" spans="1:26" x14ac:dyDescent="0.25">
      <c r="A1411" s="20">
        <f>+VLOOKUP(D1411,Back!Q:R,2,0)</f>
        <v>6</v>
      </c>
      <c r="B1411" s="20" t="str">
        <f t="shared" si="45"/>
        <v>2018 JUN</v>
      </c>
      <c r="C1411" s="30">
        <v>2018</v>
      </c>
      <c r="D1411" s="30" t="s">
        <v>153</v>
      </c>
      <c r="E1411" s="30" t="s">
        <v>23</v>
      </c>
      <c r="F1411" s="30">
        <v>43907427</v>
      </c>
      <c r="G1411" s="30" t="s">
        <v>144</v>
      </c>
      <c r="H1411" s="31">
        <v>63072591</v>
      </c>
      <c r="I1411" s="32">
        <v>429300</v>
      </c>
      <c r="J1411" s="32">
        <v>6277098</v>
      </c>
      <c r="K1411" s="33">
        <v>56366193</v>
      </c>
      <c r="L1411" s="33">
        <v>40000008</v>
      </c>
      <c r="M1411" s="34">
        <v>1.4091545431690913</v>
      </c>
      <c r="N1411" s="209" t="str">
        <f>IFERROR(VLOOKUP(F1411,Back!C:F,4,0),"NO")</f>
        <v>Si</v>
      </c>
      <c r="O1411" s="26">
        <v>24</v>
      </c>
      <c r="P1411" s="28" t="str">
        <f>IFERROR(VLOOKUP(F1411,Back!C:E,3,0),"")</f>
        <v>IPS Pto De Vista Industriales</v>
      </c>
      <c r="Q1411" s="28" t="str">
        <f>IFERROR(VLOOKUP(P1411,Back!M:N,2,0),"")</f>
        <v>Antioquia</v>
      </c>
      <c r="R1411" s="27" t="str">
        <f>IF(N1411="Si",IFERROR(VLOOKUP(F1411,'TD Cumpl'!B:AB,27,0),"No Aplica"),"No Aplica")</f>
        <v>Siempre Cumple</v>
      </c>
      <c r="S1411" s="38">
        <v>62</v>
      </c>
      <c r="T1411" s="36">
        <v>12071245</v>
      </c>
      <c r="U1411" s="26">
        <v>183</v>
      </c>
      <c r="V1411" s="37">
        <v>39041938</v>
      </c>
      <c r="W1411" s="19">
        <v>70</v>
      </c>
      <c r="X1411" s="37">
        <v>6277098</v>
      </c>
      <c r="Y1411" s="46">
        <f t="shared" si="46"/>
        <v>5682310</v>
      </c>
      <c r="Z1411" s="19" t="s">
        <v>318</v>
      </c>
    </row>
    <row r="1412" spans="1:26" x14ac:dyDescent="0.25">
      <c r="A1412" s="20">
        <f>+VLOOKUP(D1412,Back!Q:R,2,0)</f>
        <v>6</v>
      </c>
      <c r="B1412" s="20" t="str">
        <f t="shared" si="45"/>
        <v>2018 JUN</v>
      </c>
      <c r="C1412" s="30">
        <v>2018</v>
      </c>
      <c r="D1412" s="30" t="s">
        <v>153</v>
      </c>
      <c r="E1412" s="30" t="s">
        <v>66</v>
      </c>
      <c r="F1412" s="30">
        <v>3438422</v>
      </c>
      <c r="G1412" s="30" t="s">
        <v>71</v>
      </c>
      <c r="H1412" s="32">
        <v>58694433</v>
      </c>
      <c r="I1412" s="32">
        <v>2254500</v>
      </c>
      <c r="J1412" s="32">
        <v>10791944</v>
      </c>
      <c r="K1412" s="33">
        <v>45647989</v>
      </c>
      <c r="L1412" s="33">
        <v>43999992</v>
      </c>
      <c r="M1412" s="34">
        <v>1.0374544840826334</v>
      </c>
      <c r="N1412" s="209" t="str">
        <f>IFERROR(VLOOKUP(F1412,Back!C:F,4,0),"NO")</f>
        <v>Si</v>
      </c>
      <c r="O1412" s="26">
        <v>24</v>
      </c>
      <c r="P1412" s="28" t="str">
        <f>IFERROR(VLOOKUP(F1412,Back!C:E,3,0),"")</f>
        <v>IPS Pto De Vista Punto Clave</v>
      </c>
      <c r="Q1412" s="28" t="str">
        <f>IFERROR(VLOOKUP(P1412,Back!M:N,2,0),"")</f>
        <v>Antioquia</v>
      </c>
      <c r="R1412" s="27" t="str">
        <f>IF(N1412="Si",IFERROR(VLOOKUP(F1412,'TD Cumpl'!B:AB,27,0),"No Aplica"),"No Aplica")</f>
        <v>Fluctúa</v>
      </c>
      <c r="S1412" s="38">
        <v>84</v>
      </c>
      <c r="T1412" s="36">
        <v>10004279</v>
      </c>
      <c r="U1412" s="26">
        <v>206</v>
      </c>
      <c r="V1412" s="37">
        <v>28538534</v>
      </c>
      <c r="W1412" s="19">
        <v>114</v>
      </c>
      <c r="X1412" s="37">
        <v>10791944</v>
      </c>
      <c r="Y1412" s="46">
        <f t="shared" si="46"/>
        <v>9359676</v>
      </c>
      <c r="Z1412" s="19" t="s">
        <v>318</v>
      </c>
    </row>
    <row r="1413" spans="1:26" x14ac:dyDescent="0.25">
      <c r="A1413" s="20">
        <f>+VLOOKUP(D1413,Back!Q:R,2,0)</f>
        <v>6</v>
      </c>
      <c r="B1413" s="20" t="str">
        <f t="shared" si="45"/>
        <v>2018 JUN</v>
      </c>
      <c r="C1413" s="30">
        <v>2018</v>
      </c>
      <c r="D1413" s="30" t="s">
        <v>153</v>
      </c>
      <c r="E1413" s="30" t="s">
        <v>166</v>
      </c>
      <c r="F1413" s="30">
        <v>1020451288</v>
      </c>
      <c r="G1413" s="30" t="s">
        <v>167</v>
      </c>
      <c r="H1413" s="32">
        <v>29936982</v>
      </c>
      <c r="I1413" s="32">
        <v>1244310</v>
      </c>
      <c r="J1413" s="32">
        <v>8526449</v>
      </c>
      <c r="K1413" s="33">
        <v>20166223</v>
      </c>
      <c r="L1413" s="33">
        <v>43999992</v>
      </c>
      <c r="M1413" s="34">
        <v>0.45832333333151515</v>
      </c>
      <c r="N1413" s="209" t="str">
        <f>IFERROR(VLOOKUP(F1413,Back!C:F,4,0),"NO")</f>
        <v>Si</v>
      </c>
      <c r="O1413" s="26">
        <v>24</v>
      </c>
      <c r="P1413" s="28" t="str">
        <f>IFERROR(VLOOKUP(F1413,Back!C:E,3,0),"")</f>
        <v>IPS Pto De Vista Punto Clave</v>
      </c>
      <c r="Q1413" s="28" t="str">
        <f>IFERROR(VLOOKUP(P1413,Back!M:N,2,0),"")</f>
        <v>Antioquia</v>
      </c>
      <c r="R1413" s="27" t="str">
        <f>IF(N1413="Si",IFERROR(VLOOKUP(F1413,'TD Cumpl'!B:AB,27,0),"No Aplica"),"No Aplica")</f>
        <v>Cumple</v>
      </c>
      <c r="S1413" s="38">
        <v>49</v>
      </c>
      <c r="T1413" s="36">
        <v>5430639</v>
      </c>
      <c r="U1413" s="26">
        <v>108</v>
      </c>
      <c r="V1413" s="37">
        <v>11930211</v>
      </c>
      <c r="W1413" s="19">
        <v>91</v>
      </c>
      <c r="X1413" s="37">
        <v>8526449</v>
      </c>
      <c r="Y1413" s="46">
        <f t="shared" si="46"/>
        <v>4049683</v>
      </c>
      <c r="Z1413" s="19" t="s">
        <v>318</v>
      </c>
    </row>
    <row r="1414" spans="1:26" x14ac:dyDescent="0.25">
      <c r="A1414" s="20">
        <f>+VLOOKUP(D1414,Back!Q:R,2,0)</f>
        <v>6</v>
      </c>
      <c r="B1414" s="20" t="str">
        <f t="shared" si="45"/>
        <v>2018 JUN</v>
      </c>
      <c r="C1414" s="30">
        <v>2018</v>
      </c>
      <c r="D1414" s="30" t="s">
        <v>153</v>
      </c>
      <c r="E1414" s="30" t="s">
        <v>92</v>
      </c>
      <c r="F1414" s="30">
        <v>1017167720</v>
      </c>
      <c r="G1414" s="30" t="s">
        <v>96</v>
      </c>
      <c r="H1414" s="32">
        <v>56043906</v>
      </c>
      <c r="I1414" s="32">
        <v>858400</v>
      </c>
      <c r="J1414" s="32">
        <v>9061865</v>
      </c>
      <c r="K1414" s="33">
        <v>46123641</v>
      </c>
      <c r="L1414" s="33">
        <v>43999992</v>
      </c>
      <c r="M1414" s="34">
        <v>1.0482647587754106</v>
      </c>
      <c r="N1414" s="209" t="str">
        <f>IFERROR(VLOOKUP(F1414,Back!C:F,4,0),"NO")</f>
        <v>Si</v>
      </c>
      <c r="O1414" s="26">
        <v>24</v>
      </c>
      <c r="P1414" s="28" t="str">
        <f>IFERROR(VLOOKUP(F1414,Back!C:E,3,0),"")</f>
        <v>IPS Pto De Vista Punto Clave</v>
      </c>
      <c r="Q1414" s="28" t="str">
        <f>IFERROR(VLOOKUP(P1414,Back!M:N,2,0),"")</f>
        <v>Antioquia</v>
      </c>
      <c r="R1414" s="27" t="str">
        <f>IF(N1414="Si",IFERROR(VLOOKUP(F1414,'TD Cumpl'!B:AB,27,0),"No Aplica"),"No Aplica")</f>
        <v>Cumple</v>
      </c>
      <c r="S1414" s="38">
        <v>91</v>
      </c>
      <c r="T1414" s="36">
        <v>10885911</v>
      </c>
      <c r="U1414" s="26">
        <v>200</v>
      </c>
      <c r="V1414" s="37">
        <v>25410079</v>
      </c>
      <c r="W1414" s="19">
        <v>99</v>
      </c>
      <c r="X1414" s="37">
        <v>9061865</v>
      </c>
      <c r="Y1414" s="46">
        <f t="shared" si="46"/>
        <v>10686051</v>
      </c>
      <c r="Z1414" s="19" t="s">
        <v>318</v>
      </c>
    </row>
    <row r="1415" spans="1:26" x14ac:dyDescent="0.25">
      <c r="A1415" s="20">
        <f>+VLOOKUP(D1415,Back!Q:R,2,0)</f>
        <v>6</v>
      </c>
      <c r="B1415" s="20" t="str">
        <f t="shared" si="45"/>
        <v>2018 JUN</v>
      </c>
      <c r="C1415" s="30">
        <v>2018</v>
      </c>
      <c r="D1415" s="30" t="s">
        <v>153</v>
      </c>
      <c r="E1415" s="30" t="s">
        <v>57</v>
      </c>
      <c r="F1415" s="30">
        <v>43874518</v>
      </c>
      <c r="G1415" s="30" t="s">
        <v>60</v>
      </c>
      <c r="H1415" s="32">
        <v>39814638</v>
      </c>
      <c r="I1415" s="32">
        <v>1090200</v>
      </c>
      <c r="J1415" s="32">
        <v>6866584</v>
      </c>
      <c r="K1415" s="33">
        <v>31857854</v>
      </c>
      <c r="L1415" s="33">
        <v>21999996</v>
      </c>
      <c r="M1415" s="34">
        <v>1.4480845360153702</v>
      </c>
      <c r="N1415" s="209" t="str">
        <f>IFERROR(VLOOKUP(F1415,Back!C:F,4,0),"NO")</f>
        <v>Si</v>
      </c>
      <c r="O1415" s="26">
        <v>24</v>
      </c>
      <c r="P1415" s="28" t="str">
        <f>IFERROR(VLOOKUP(F1415,Back!C:E,3,0),"")</f>
        <v>IPS Pto De Vista Punto Clave</v>
      </c>
      <c r="Q1415" s="28" t="str">
        <f>IFERROR(VLOOKUP(P1415,Back!M:N,2,0),"")</f>
        <v>Antioquia</v>
      </c>
      <c r="R1415" s="27" t="str">
        <f>IF(N1415="Si",IFERROR(VLOOKUP(F1415,'TD Cumpl'!B:AB,27,0),"No Aplica"),"No Aplica")</f>
        <v>Fluctúa</v>
      </c>
      <c r="S1415" s="38">
        <v>62</v>
      </c>
      <c r="T1415" s="36">
        <v>6934672</v>
      </c>
      <c r="U1415" s="26">
        <v>166</v>
      </c>
      <c r="V1415" s="37">
        <v>18606372</v>
      </c>
      <c r="W1415" s="19">
        <v>76</v>
      </c>
      <c r="X1415" s="37">
        <v>6866584</v>
      </c>
      <c r="Y1415" s="46">
        <f t="shared" si="46"/>
        <v>7407010</v>
      </c>
      <c r="Z1415" s="19" t="s">
        <v>317</v>
      </c>
    </row>
    <row r="1416" spans="1:26" x14ac:dyDescent="0.25">
      <c r="A1416" s="20">
        <f>+VLOOKUP(D1416,Back!Q:R,2,0)</f>
        <v>6</v>
      </c>
      <c r="B1416" s="20" t="str">
        <f t="shared" si="45"/>
        <v>2018 JUN</v>
      </c>
      <c r="C1416" s="30">
        <v>2018</v>
      </c>
      <c r="D1416" s="30" t="s">
        <v>153</v>
      </c>
      <c r="E1416" s="30" t="s">
        <v>64</v>
      </c>
      <c r="F1416" s="30">
        <v>1036598360</v>
      </c>
      <c r="G1416" s="30" t="s">
        <v>146</v>
      </c>
      <c r="H1416" s="32">
        <v>58108152</v>
      </c>
      <c r="I1416" s="32">
        <v>827100</v>
      </c>
      <c r="J1416" s="32">
        <v>9486991</v>
      </c>
      <c r="K1416" s="33">
        <v>47794061</v>
      </c>
      <c r="L1416" s="33">
        <v>43999992</v>
      </c>
      <c r="M1416" s="34">
        <v>1.0862288565870648</v>
      </c>
      <c r="N1416" s="209" t="str">
        <f>IFERROR(VLOOKUP(F1416,Back!C:F,4,0),"NO")</f>
        <v>Si</v>
      </c>
      <c r="O1416" s="26">
        <v>24</v>
      </c>
      <c r="P1416" s="28" t="str">
        <f>IFERROR(VLOOKUP(F1416,Back!C:E,3,0),"")</f>
        <v>IPS Pto De Vista Punto Clave</v>
      </c>
      <c r="Q1416" s="28" t="str">
        <f>IFERROR(VLOOKUP(P1416,Back!M:N,2,0),"")</f>
        <v>Antioquia</v>
      </c>
      <c r="R1416" s="27" t="str">
        <f>IF(N1416="Si",IFERROR(VLOOKUP(F1416,'TD Cumpl'!B:AB,27,0),"No Aplica"),"No Aplica")</f>
        <v>Fluctúa</v>
      </c>
      <c r="S1416" s="38">
        <v>92</v>
      </c>
      <c r="T1416" s="36">
        <v>10965723</v>
      </c>
      <c r="U1416" s="26">
        <v>244</v>
      </c>
      <c r="V1416" s="37">
        <v>31354972</v>
      </c>
      <c r="W1416" s="19">
        <v>97</v>
      </c>
      <c r="X1416" s="37">
        <v>9486991</v>
      </c>
      <c r="Y1416" s="46">
        <f t="shared" si="46"/>
        <v>6300466</v>
      </c>
      <c r="Z1416" s="19" t="s">
        <v>318</v>
      </c>
    </row>
    <row r="1417" spans="1:26" x14ac:dyDescent="0.25">
      <c r="A1417" s="20">
        <f>+VLOOKUP(D1417,Back!Q:R,2,0)</f>
        <v>6</v>
      </c>
      <c r="B1417" s="20" t="str">
        <f t="shared" si="45"/>
        <v>2018 JUN</v>
      </c>
      <c r="C1417" s="30">
        <v>2018</v>
      </c>
      <c r="D1417" s="30" t="s">
        <v>153</v>
      </c>
      <c r="E1417" s="30" t="s">
        <v>90</v>
      </c>
      <c r="F1417" s="30">
        <v>1020419011</v>
      </c>
      <c r="G1417" s="30" t="s">
        <v>97</v>
      </c>
      <c r="H1417" s="32">
        <v>31321038</v>
      </c>
      <c r="I1417" s="32">
        <v>1370400</v>
      </c>
      <c r="J1417" s="32">
        <v>11118747</v>
      </c>
      <c r="K1417" s="33">
        <v>18831891</v>
      </c>
      <c r="L1417" s="33">
        <v>43999992</v>
      </c>
      <c r="M1417" s="34">
        <v>0.42799760054501829</v>
      </c>
      <c r="N1417" s="209" t="str">
        <f>IFERROR(VLOOKUP(F1417,Back!C:F,4,0),"NO")</f>
        <v>Si</v>
      </c>
      <c r="O1417" s="26">
        <v>24</v>
      </c>
      <c r="P1417" s="28" t="str">
        <f>IFERROR(VLOOKUP(F1417,Back!C:E,3,0),"")</f>
        <v>IPS Pto De Vista Punto Clave</v>
      </c>
      <c r="Q1417" s="28" t="str">
        <f>IFERROR(VLOOKUP(P1417,Back!M:N,2,0),"")</f>
        <v>Antioquia</v>
      </c>
      <c r="R1417" s="27" t="str">
        <f>IF(N1417="Si",IFERROR(VLOOKUP(F1417,'TD Cumpl'!B:AB,27,0),"No Aplica"),"No Aplica")</f>
        <v>Cumple</v>
      </c>
      <c r="S1417" s="38">
        <v>43</v>
      </c>
      <c r="T1417" s="36">
        <v>3881608</v>
      </c>
      <c r="U1417" s="26">
        <v>112</v>
      </c>
      <c r="V1417" s="37">
        <v>9727956</v>
      </c>
      <c r="W1417" s="19">
        <v>119</v>
      </c>
      <c r="X1417" s="37">
        <v>11118747</v>
      </c>
      <c r="Y1417" s="46">
        <f t="shared" si="46"/>
        <v>6592727</v>
      </c>
      <c r="Z1417" s="19" t="s">
        <v>318</v>
      </c>
    </row>
    <row r="1418" spans="1:26" x14ac:dyDescent="0.25">
      <c r="A1418" s="20">
        <f>+VLOOKUP(D1418,Back!Q:R,2,0)</f>
        <v>6</v>
      </c>
      <c r="B1418" s="20" t="str">
        <f t="shared" si="45"/>
        <v>2018 JUN</v>
      </c>
      <c r="C1418" s="30">
        <v>2018</v>
      </c>
      <c r="D1418" s="30" t="s">
        <v>153</v>
      </c>
      <c r="E1418" s="30" t="s">
        <v>117</v>
      </c>
      <c r="F1418" s="30">
        <v>1020419615</v>
      </c>
      <c r="G1418" s="30" t="s">
        <v>118</v>
      </c>
      <c r="H1418" s="31">
        <v>64133490</v>
      </c>
      <c r="I1418" s="32">
        <v>790000</v>
      </c>
      <c r="J1418" s="32">
        <v>11856226</v>
      </c>
      <c r="K1418" s="33">
        <v>51487264</v>
      </c>
      <c r="L1418" s="33">
        <v>43999992</v>
      </c>
      <c r="M1418" s="34">
        <v>1.1701653036664188</v>
      </c>
      <c r="N1418" s="209" t="str">
        <f>IFERROR(VLOOKUP(F1418,Back!C:F,4,0),"NO")</f>
        <v>Si</v>
      </c>
      <c r="O1418" s="26">
        <v>24</v>
      </c>
      <c r="P1418" s="28" t="str">
        <f>IFERROR(VLOOKUP(F1418,Back!C:E,3,0),"")</f>
        <v>IPS Pto De Vista Punto Clave</v>
      </c>
      <c r="Q1418" s="28" t="str">
        <f>IFERROR(VLOOKUP(P1418,Back!M:N,2,0),"")</f>
        <v>Antioquia</v>
      </c>
      <c r="R1418" s="27" t="str">
        <f>IF(N1418="Si",IFERROR(VLOOKUP(F1418,'TD Cumpl'!B:AB,27,0),"No Aplica"),"No Aplica")</f>
        <v>Cumple</v>
      </c>
      <c r="S1418" s="38">
        <v>109</v>
      </c>
      <c r="T1418" s="36">
        <v>11871564</v>
      </c>
      <c r="U1418" s="26">
        <v>271</v>
      </c>
      <c r="V1418" s="37">
        <v>30814793</v>
      </c>
      <c r="W1418" s="19">
        <v>120</v>
      </c>
      <c r="X1418" s="37">
        <v>11856226</v>
      </c>
      <c r="Y1418" s="46">
        <f t="shared" si="46"/>
        <v>9590907</v>
      </c>
      <c r="Z1418" s="19" t="s">
        <v>318</v>
      </c>
    </row>
    <row r="1419" spans="1:26" x14ac:dyDescent="0.25">
      <c r="A1419" s="20">
        <f>+VLOOKUP(D1419,Back!Q:R,2,0)</f>
        <v>6</v>
      </c>
      <c r="B1419" s="20" t="str">
        <f t="shared" si="45"/>
        <v>2018 JUN</v>
      </c>
      <c r="C1419" s="30">
        <v>2018</v>
      </c>
      <c r="D1419" s="30" t="s">
        <v>153</v>
      </c>
      <c r="E1419" s="30" t="s">
        <v>6</v>
      </c>
      <c r="F1419" s="30">
        <v>43821410</v>
      </c>
      <c r="G1419" s="30" t="s">
        <v>40</v>
      </c>
      <c r="H1419" s="32">
        <v>79445947</v>
      </c>
      <c r="I1419" s="32">
        <v>648000</v>
      </c>
      <c r="J1419" s="32">
        <v>13350375</v>
      </c>
      <c r="K1419" s="33">
        <v>65447572</v>
      </c>
      <c r="L1419" s="33">
        <v>43999992</v>
      </c>
      <c r="M1419" s="34">
        <v>1.4874450886263797</v>
      </c>
      <c r="N1419" s="209" t="str">
        <f>IFERROR(VLOOKUP(F1419,Back!C:F,4,0),"NO")</f>
        <v>Si</v>
      </c>
      <c r="O1419" s="26">
        <v>24</v>
      </c>
      <c r="P1419" s="28" t="str">
        <f>IFERROR(VLOOKUP(F1419,Back!C:E,3,0),"")</f>
        <v>IPS Pto De Vista Unicentro</v>
      </c>
      <c r="Q1419" s="28" t="str">
        <f>IFERROR(VLOOKUP(P1419,Back!M:N,2,0),"")</f>
        <v>Antioquia</v>
      </c>
      <c r="R1419" s="27" t="str">
        <f>IF(N1419="Si",IFERROR(VLOOKUP(F1419,'TD Cumpl'!B:AB,27,0),"No Aplica"),"No Aplica")</f>
        <v>Siempre Cumple</v>
      </c>
      <c r="S1419" s="38">
        <v>117</v>
      </c>
      <c r="T1419" s="36">
        <v>16822712</v>
      </c>
      <c r="U1419" s="26">
        <v>248</v>
      </c>
      <c r="V1419" s="37">
        <v>41384809</v>
      </c>
      <c r="W1419" s="19">
        <v>131</v>
      </c>
      <c r="X1419" s="37">
        <v>13350375</v>
      </c>
      <c r="Y1419" s="46">
        <f t="shared" si="46"/>
        <v>7888051</v>
      </c>
      <c r="Z1419" s="19" t="s">
        <v>318</v>
      </c>
    </row>
    <row r="1420" spans="1:26" x14ac:dyDescent="0.25">
      <c r="A1420" s="20">
        <f>+VLOOKUP(D1420,Back!Q:R,2,0)</f>
        <v>6</v>
      </c>
      <c r="B1420" s="20" t="str">
        <f t="shared" si="45"/>
        <v>2018 JUN</v>
      </c>
      <c r="C1420" s="30">
        <v>2018</v>
      </c>
      <c r="D1420" s="30" t="s">
        <v>153</v>
      </c>
      <c r="E1420" s="30" t="s">
        <v>22</v>
      </c>
      <c r="F1420" s="30">
        <v>42164020</v>
      </c>
      <c r="G1420" s="30" t="s">
        <v>105</v>
      </c>
      <c r="H1420" s="32">
        <v>34323139</v>
      </c>
      <c r="I1420" s="32">
        <v>1139100</v>
      </c>
      <c r="J1420" s="32">
        <v>5211348</v>
      </c>
      <c r="K1420" s="33">
        <v>27972691</v>
      </c>
      <c r="L1420" s="33">
        <v>12833331</v>
      </c>
      <c r="M1420" s="34">
        <v>2.1796906040995903</v>
      </c>
      <c r="N1420" s="209" t="str">
        <f>IFERROR(VLOOKUP(F1420,Back!C:F,4,0),"NO")</f>
        <v>Si</v>
      </c>
      <c r="O1420" s="26">
        <v>24</v>
      </c>
      <c r="P1420" s="28" t="str">
        <f>IFERROR(VLOOKUP(F1420,Back!C:E,3,0),"")</f>
        <v>IPS Pto De Vista Molinos</v>
      </c>
      <c r="Q1420" s="28" t="str">
        <f>IFERROR(VLOOKUP(P1420,Back!M:N,2,0),"")</f>
        <v>Antioquia</v>
      </c>
      <c r="R1420" s="27" t="str">
        <f>IF(N1420="Si",IFERROR(VLOOKUP(F1420,'TD Cumpl'!B:AB,27,0),"No Aplica"),"No Aplica")</f>
        <v>Siempre Cumple</v>
      </c>
      <c r="S1420" s="38">
        <v>46</v>
      </c>
      <c r="T1420" s="36">
        <v>5172518</v>
      </c>
      <c r="U1420" s="26">
        <v>121</v>
      </c>
      <c r="V1420" s="37">
        <v>18902652</v>
      </c>
      <c r="W1420" s="19">
        <v>54</v>
      </c>
      <c r="X1420" s="37">
        <v>5211348</v>
      </c>
      <c r="Y1420" s="46">
        <f t="shared" si="46"/>
        <v>5036621</v>
      </c>
    </row>
    <row r="1421" spans="1:26" x14ac:dyDescent="0.25">
      <c r="A1421" s="20">
        <f>+VLOOKUP(D1421,Back!Q:R,2,0)</f>
        <v>6</v>
      </c>
      <c r="B1421" s="20" t="str">
        <f t="shared" si="45"/>
        <v>2018 JUN</v>
      </c>
      <c r="C1421" s="30">
        <v>2018</v>
      </c>
      <c r="D1421" s="30" t="s">
        <v>153</v>
      </c>
      <c r="E1421" s="30" t="s">
        <v>21</v>
      </c>
      <c r="F1421" s="30">
        <v>1035417626</v>
      </c>
      <c r="G1421" s="30" t="s">
        <v>80</v>
      </c>
      <c r="H1421" s="32">
        <v>63538198</v>
      </c>
      <c r="I1421" s="32">
        <v>1126980</v>
      </c>
      <c r="J1421" s="32">
        <v>10586154</v>
      </c>
      <c r="K1421" s="33">
        <v>51825064</v>
      </c>
      <c r="L1421" s="33">
        <v>43999992</v>
      </c>
      <c r="M1421" s="34">
        <v>1.1778425777895596</v>
      </c>
      <c r="N1421" s="209" t="str">
        <f>IFERROR(VLOOKUP(F1421,Back!C:F,4,0),"NO")</f>
        <v>Si</v>
      </c>
      <c r="O1421" s="26">
        <v>24</v>
      </c>
      <c r="P1421" s="28" t="str">
        <f>IFERROR(VLOOKUP(F1421,Back!C:E,3,0),"")</f>
        <v>IPS Pto De Vista Unicentro</v>
      </c>
      <c r="Q1421" s="28" t="str">
        <f>IFERROR(VLOOKUP(P1421,Back!M:N,2,0),"")</f>
        <v>Antioquia</v>
      </c>
      <c r="R1421" s="27" t="str">
        <f>IF(N1421="Si",IFERROR(VLOOKUP(F1421,'TD Cumpl'!B:AB,27,0),"No Aplica"),"No Aplica")</f>
        <v>Cumple</v>
      </c>
      <c r="S1421" s="38">
        <v>101</v>
      </c>
      <c r="T1421" s="36">
        <v>13438377</v>
      </c>
      <c r="U1421" s="26">
        <v>232</v>
      </c>
      <c r="V1421" s="37">
        <v>31326233</v>
      </c>
      <c r="W1421" s="19">
        <v>108</v>
      </c>
      <c r="X1421" s="37">
        <v>10586154</v>
      </c>
      <c r="Y1421" s="46">
        <f t="shared" si="46"/>
        <v>8187434</v>
      </c>
      <c r="Z1421" s="19" t="s">
        <v>318</v>
      </c>
    </row>
    <row r="1422" spans="1:26" x14ac:dyDescent="0.25">
      <c r="A1422" s="20">
        <f>+VLOOKUP(D1422,Back!Q:R,2,0)</f>
        <v>6</v>
      </c>
      <c r="B1422" s="20" t="str">
        <f t="shared" si="45"/>
        <v>2018 JUN</v>
      </c>
      <c r="C1422" s="30">
        <v>2018</v>
      </c>
      <c r="D1422" s="30" t="s">
        <v>153</v>
      </c>
      <c r="E1422" s="30" t="s">
        <v>7</v>
      </c>
      <c r="F1422" s="30">
        <v>43745952</v>
      </c>
      <c r="G1422" s="30" t="s">
        <v>50</v>
      </c>
      <c r="H1422" s="32">
        <v>82152793</v>
      </c>
      <c r="I1422" s="32">
        <v>792000</v>
      </c>
      <c r="J1422" s="32">
        <v>15857784</v>
      </c>
      <c r="K1422" s="33">
        <v>65503009</v>
      </c>
      <c r="L1422" s="33">
        <v>43999992</v>
      </c>
      <c r="M1422" s="34">
        <v>1.4887050206736401</v>
      </c>
      <c r="N1422" s="209" t="str">
        <f>IFERROR(VLOOKUP(F1422,Back!C:F,4,0),"NO")</f>
        <v>Si</v>
      </c>
      <c r="O1422" s="26">
        <v>24</v>
      </c>
      <c r="P1422" s="28" t="str">
        <f>IFERROR(VLOOKUP(F1422,Back!C:E,3,0),"")</f>
        <v>IPS Pto De Vista Unicentro</v>
      </c>
      <c r="Q1422" s="28" t="str">
        <f>IFERROR(VLOOKUP(P1422,Back!M:N,2,0),"")</f>
        <v>Antioquia</v>
      </c>
      <c r="R1422" s="27" t="str">
        <f>IF(N1422="Si",IFERROR(VLOOKUP(F1422,'TD Cumpl'!B:AB,27,0),"No Aplica"),"No Aplica")</f>
        <v>Siempre Cumple</v>
      </c>
      <c r="S1422" s="38">
        <v>128</v>
      </c>
      <c r="T1422" s="36">
        <v>15148716</v>
      </c>
      <c r="U1422" s="26">
        <v>292</v>
      </c>
      <c r="V1422" s="37">
        <v>40814686</v>
      </c>
      <c r="W1422" s="19">
        <v>166</v>
      </c>
      <c r="X1422" s="37">
        <v>15857784</v>
      </c>
      <c r="Y1422" s="46">
        <f t="shared" si="46"/>
        <v>10331607</v>
      </c>
      <c r="Z1422" s="19" t="s">
        <v>318</v>
      </c>
    </row>
    <row r="1423" spans="1:26" x14ac:dyDescent="0.25">
      <c r="A1423" s="20">
        <f>+VLOOKUP(D1423,Back!Q:R,2,0)</f>
        <v>6</v>
      </c>
      <c r="B1423" s="20" t="str">
        <f t="shared" si="45"/>
        <v>2018 JUN</v>
      </c>
      <c r="C1423" s="30">
        <v>2018</v>
      </c>
      <c r="D1423" s="30" t="s">
        <v>153</v>
      </c>
      <c r="E1423" s="30" t="s">
        <v>18</v>
      </c>
      <c r="F1423" s="30">
        <v>39442617</v>
      </c>
      <c r="G1423" s="30" t="s">
        <v>41</v>
      </c>
      <c r="H1423" s="32">
        <v>28213946</v>
      </c>
      <c r="I1423" s="32">
        <v>0</v>
      </c>
      <c r="J1423" s="32">
        <v>5899609</v>
      </c>
      <c r="K1423" s="33">
        <v>22314337</v>
      </c>
      <c r="L1423" s="33">
        <v>16500000</v>
      </c>
      <c r="M1423" s="34">
        <v>1.3523840606060606</v>
      </c>
      <c r="N1423" s="209" t="str">
        <f>IFERROR(VLOOKUP(F1423,Back!C:F,4,0),"NO")</f>
        <v>Si</v>
      </c>
      <c r="O1423" s="26">
        <v>24</v>
      </c>
      <c r="P1423" s="28" t="str">
        <f>IFERROR(VLOOKUP(F1423,Back!C:E,3,0),"")</f>
        <v>IPS Pto De Vista San Diego</v>
      </c>
      <c r="Q1423" s="28" t="str">
        <f>IFERROR(VLOOKUP(P1423,Back!M:N,2,0),"")</f>
        <v>Antioquia</v>
      </c>
      <c r="R1423" s="27" t="str">
        <f>IF(N1423="Si",IFERROR(VLOOKUP(F1423,'TD Cumpl'!B:AB,27,0),"No Aplica"),"No Aplica")</f>
        <v>Cumple</v>
      </c>
      <c r="S1423" s="38">
        <v>43</v>
      </c>
      <c r="T1423" s="36">
        <v>5378389</v>
      </c>
      <c r="U1423" s="26">
        <v>104</v>
      </c>
      <c r="V1423" s="37">
        <v>13418245</v>
      </c>
      <c r="W1423" s="19">
        <v>61</v>
      </c>
      <c r="X1423" s="37">
        <v>5899609</v>
      </c>
      <c r="Y1423" s="46">
        <f t="shared" si="46"/>
        <v>3517703</v>
      </c>
      <c r="Z1423" s="19" t="s">
        <v>318</v>
      </c>
    </row>
    <row r="1424" spans="1:26" x14ac:dyDescent="0.25">
      <c r="A1424" s="20">
        <f>+VLOOKUP(D1424,Back!Q:R,2,0)</f>
        <v>6</v>
      </c>
      <c r="B1424" s="20" t="str">
        <f t="shared" si="45"/>
        <v>2018 JUN</v>
      </c>
      <c r="C1424" s="30">
        <v>2018</v>
      </c>
      <c r="D1424" s="30" t="s">
        <v>153</v>
      </c>
      <c r="E1424" s="30" t="s">
        <v>81</v>
      </c>
      <c r="F1424" s="30">
        <v>1017200970</v>
      </c>
      <c r="G1424" s="30" t="s">
        <v>82</v>
      </c>
      <c r="H1424" s="32">
        <v>26830618</v>
      </c>
      <c r="I1424" s="32">
        <v>220000</v>
      </c>
      <c r="J1424" s="32">
        <v>5124991</v>
      </c>
      <c r="K1424" s="33">
        <v>21485627</v>
      </c>
      <c r="L1424" s="33">
        <v>18000000</v>
      </c>
      <c r="M1424" s="34">
        <v>1.1936459444444445</v>
      </c>
      <c r="N1424" s="209" t="str">
        <f>IFERROR(VLOOKUP(F1424,Back!C:F,4,0),"NO")</f>
        <v>Si</v>
      </c>
      <c r="O1424" s="26">
        <v>24</v>
      </c>
      <c r="P1424" s="28" t="str">
        <f>IFERROR(VLOOKUP(F1424,Back!C:E,3,0),"")</f>
        <v>IPS Pto De Vista San Diego</v>
      </c>
      <c r="Q1424" s="28" t="str">
        <f>IFERROR(VLOOKUP(P1424,Back!M:N,2,0),"")</f>
        <v>Antioquia</v>
      </c>
      <c r="R1424" s="27" t="str">
        <f>IF(N1424="Si",IFERROR(VLOOKUP(F1424,'TD Cumpl'!B:AB,27,0),"No Aplica"),"No Aplica")</f>
        <v>Cumple</v>
      </c>
      <c r="S1424" s="38">
        <v>42</v>
      </c>
      <c r="T1424" s="36">
        <v>5135785</v>
      </c>
      <c r="U1424" s="26">
        <v>94</v>
      </c>
      <c r="V1424" s="37">
        <v>14114114</v>
      </c>
      <c r="W1424" s="19">
        <v>51</v>
      </c>
      <c r="X1424" s="37">
        <v>5124991</v>
      </c>
      <c r="Y1424" s="46">
        <f t="shared" si="46"/>
        <v>2455728</v>
      </c>
      <c r="Z1424" s="19" t="s">
        <v>318</v>
      </c>
    </row>
    <row r="1425" spans="1:26" x14ac:dyDescent="0.25">
      <c r="A1425" s="20">
        <f>+VLOOKUP(D1425,Back!Q:R,2,0)</f>
        <v>6</v>
      </c>
      <c r="B1425" s="20" t="str">
        <f t="shared" si="45"/>
        <v>2018 JUN</v>
      </c>
      <c r="C1425" s="30">
        <v>2018</v>
      </c>
      <c r="D1425" s="30" t="s">
        <v>153</v>
      </c>
      <c r="E1425" s="30" t="s">
        <v>91</v>
      </c>
      <c r="F1425" s="30">
        <v>43114534</v>
      </c>
      <c r="G1425" s="30" t="s">
        <v>95</v>
      </c>
      <c r="H1425" s="32">
        <v>38518756</v>
      </c>
      <c r="I1425" s="32">
        <v>0</v>
      </c>
      <c r="J1425" s="32">
        <v>959863</v>
      </c>
      <c r="K1425" s="33">
        <v>37558893</v>
      </c>
      <c r="L1425" s="33">
        <v>36000000</v>
      </c>
      <c r="M1425" s="34">
        <v>1.0433025833333334</v>
      </c>
      <c r="N1425" s="209" t="str">
        <f>IFERROR(VLOOKUP(F1425,Back!C:F,4,0),"NO")</f>
        <v>No</v>
      </c>
      <c r="O1425" s="26">
        <v>24</v>
      </c>
      <c r="P1425" s="28" t="str">
        <f>IFERROR(VLOOKUP(F1425,Back!C:E,3,0),"")</f>
        <v>IPS Pto De Vista San Diego</v>
      </c>
      <c r="Q1425" s="28" t="str">
        <f>IFERROR(VLOOKUP(P1425,Back!M:N,2,0),"")</f>
        <v>Antioquia</v>
      </c>
      <c r="R1425" s="27" t="str">
        <f>IF(N1425="Si",IFERROR(VLOOKUP(F1425,'TD Cumpl'!B:AB,27,0),"No Aplica"),"No Aplica")</f>
        <v>No Aplica</v>
      </c>
      <c r="S1425" s="38">
        <v>77</v>
      </c>
      <c r="T1425" s="36">
        <v>7512944</v>
      </c>
      <c r="U1425" s="26">
        <v>214</v>
      </c>
      <c r="V1425" s="37">
        <v>25439310</v>
      </c>
      <c r="W1425" s="19">
        <v>9</v>
      </c>
      <c r="X1425" s="37">
        <v>959863</v>
      </c>
      <c r="Y1425" s="46">
        <f t="shared" si="46"/>
        <v>4606639</v>
      </c>
    </row>
    <row r="1426" spans="1:26" x14ac:dyDescent="0.25">
      <c r="A1426" s="20">
        <f>+VLOOKUP(D1426,Back!Q:R,2,0)</f>
        <v>6</v>
      </c>
      <c r="B1426" s="20" t="str">
        <f t="shared" si="45"/>
        <v>2018 JUN</v>
      </c>
      <c r="C1426" s="30">
        <v>2018</v>
      </c>
      <c r="D1426" s="30" t="s">
        <v>153</v>
      </c>
      <c r="E1426" s="30" t="s">
        <v>261</v>
      </c>
      <c r="F1426" s="30">
        <v>1020425089</v>
      </c>
      <c r="G1426" s="30" t="s">
        <v>271</v>
      </c>
      <c r="H1426" s="32">
        <v>28915864</v>
      </c>
      <c r="I1426" s="32">
        <v>324000</v>
      </c>
      <c r="J1426" s="32">
        <v>7588486</v>
      </c>
      <c r="K1426" s="33">
        <v>21003378</v>
      </c>
      <c r="L1426" s="33">
        <v>36000000</v>
      </c>
      <c r="M1426" s="34">
        <v>0.58342716666666672</v>
      </c>
      <c r="N1426" s="209" t="str">
        <f>IFERROR(VLOOKUP(F1426,Back!C:F,4,0),"NO")</f>
        <v>Si</v>
      </c>
      <c r="O1426" s="26">
        <v>24</v>
      </c>
      <c r="P1426" s="28" t="str">
        <f>IFERROR(VLOOKUP(F1426,Back!C:E,3,0),"")</f>
        <v>IPS Pto De Vista Punto Clave</v>
      </c>
      <c r="Q1426" s="28" t="str">
        <f>IFERROR(VLOOKUP(P1426,Back!M:N,2,0),"")</f>
        <v>Antioquia</v>
      </c>
      <c r="R1426" s="27" t="str">
        <f>IF(N1426="Si",IFERROR(VLOOKUP(F1426,'TD Cumpl'!B:AB,27,0),"No Aplica"),"No Aplica")</f>
        <v>Cumple</v>
      </c>
      <c r="S1426" s="38">
        <v>47</v>
      </c>
      <c r="T1426" s="36">
        <v>5136769</v>
      </c>
      <c r="U1426" s="26">
        <v>110</v>
      </c>
      <c r="V1426" s="37">
        <v>11699283</v>
      </c>
      <c r="W1426" s="19">
        <v>76</v>
      </c>
      <c r="X1426" s="37">
        <v>7588486</v>
      </c>
      <c r="Y1426" s="46">
        <f t="shared" si="46"/>
        <v>4491326</v>
      </c>
      <c r="Z1426" s="19" t="s">
        <v>318</v>
      </c>
    </row>
    <row r="1427" spans="1:26" x14ac:dyDescent="0.25">
      <c r="A1427" s="20">
        <f>+VLOOKUP(D1427,Back!Q:R,2,0)</f>
        <v>6</v>
      </c>
      <c r="B1427" s="20" t="str">
        <f t="shared" si="45"/>
        <v>2018 JUN</v>
      </c>
      <c r="C1427" s="30">
        <v>2018</v>
      </c>
      <c r="D1427" s="30" t="s">
        <v>153</v>
      </c>
      <c r="E1427" s="30" t="s">
        <v>17</v>
      </c>
      <c r="F1427" s="30">
        <v>43113640</v>
      </c>
      <c r="G1427" s="30" t="s">
        <v>47</v>
      </c>
      <c r="H1427" s="32">
        <v>60693158</v>
      </c>
      <c r="I1427" s="32">
        <v>882200</v>
      </c>
      <c r="J1427" s="32">
        <v>19626904</v>
      </c>
      <c r="K1427" s="33">
        <v>40184054</v>
      </c>
      <c r="L1427" s="33">
        <v>36000000</v>
      </c>
      <c r="M1427" s="34">
        <v>1.1162237222222222</v>
      </c>
      <c r="N1427" s="209" t="str">
        <f>IFERROR(VLOOKUP(F1427,Back!C:F,4,0),"NO")</f>
        <v>Si</v>
      </c>
      <c r="O1427" s="26">
        <v>24</v>
      </c>
      <c r="P1427" s="28" t="str">
        <f>IFERROR(VLOOKUP(F1427,Back!C:E,3,0),"")</f>
        <v>IPS Pto De Vista San Diego</v>
      </c>
      <c r="Q1427" s="28" t="str">
        <f>IFERROR(VLOOKUP(P1427,Back!M:N,2,0),"")</f>
        <v>Antioquia</v>
      </c>
      <c r="R1427" s="27" t="str">
        <f>IF(N1427="Si",IFERROR(VLOOKUP(F1427,'TD Cumpl'!B:AB,27,0),"No Aplica"),"No Aplica")</f>
        <v>Cumple</v>
      </c>
      <c r="S1427" s="38">
        <v>86</v>
      </c>
      <c r="T1427" s="36">
        <v>9603237</v>
      </c>
      <c r="U1427" s="26">
        <v>199</v>
      </c>
      <c r="V1427" s="37">
        <v>26267178</v>
      </c>
      <c r="W1427" s="19">
        <v>202</v>
      </c>
      <c r="X1427" s="37">
        <v>19626904</v>
      </c>
      <c r="Y1427" s="46">
        <f t="shared" si="46"/>
        <v>5195839</v>
      </c>
      <c r="Z1427" s="19" t="s">
        <v>318</v>
      </c>
    </row>
    <row r="1428" spans="1:26" x14ac:dyDescent="0.25">
      <c r="A1428" s="20">
        <f>+VLOOKUP(D1428,Back!Q:R,2,0)</f>
        <v>6</v>
      </c>
      <c r="B1428" s="20" t="str">
        <f t="shared" si="45"/>
        <v>2018 JUN</v>
      </c>
      <c r="C1428" s="30">
        <v>2018</v>
      </c>
      <c r="D1428" s="30" t="s">
        <v>153</v>
      </c>
      <c r="E1428" s="30" t="s">
        <v>84</v>
      </c>
      <c r="F1428" s="30">
        <v>1020736461</v>
      </c>
      <c r="G1428" s="30" t="s">
        <v>156</v>
      </c>
      <c r="H1428" s="32">
        <v>49736292</v>
      </c>
      <c r="I1428" s="32">
        <v>565200</v>
      </c>
      <c r="J1428" s="32">
        <v>8645545</v>
      </c>
      <c r="K1428" s="33">
        <v>40525547</v>
      </c>
      <c r="L1428" s="33">
        <v>28000008</v>
      </c>
      <c r="M1428" s="34">
        <v>1.4473405507598427</v>
      </c>
      <c r="N1428" s="209" t="str">
        <f>IFERROR(VLOOKUP(F1428,Back!C:F,4,0),"NO")</f>
        <v>Si</v>
      </c>
      <c r="O1428" s="26">
        <v>24</v>
      </c>
      <c r="P1428" s="28" t="str">
        <f>IFERROR(VLOOKUP(F1428,Back!C:E,3,0),"")</f>
        <v>IPS Pto De Vista Santa Bárbara</v>
      </c>
      <c r="Q1428" s="28" t="str">
        <f>IFERROR(VLOOKUP(P1428,Back!M:N,2,0),"")</f>
        <v>Centro</v>
      </c>
      <c r="R1428" s="27" t="str">
        <f>IF(N1428="Si",IFERROR(VLOOKUP(F1428,'TD Cumpl'!B:AB,27,0),"No Aplica"),"No Aplica")</f>
        <v>Siempre Cumple</v>
      </c>
      <c r="S1428" s="38">
        <v>74</v>
      </c>
      <c r="T1428" s="36">
        <v>7770518</v>
      </c>
      <c r="U1428" s="26">
        <v>207</v>
      </c>
      <c r="V1428" s="37">
        <v>29863578</v>
      </c>
      <c r="W1428" s="19">
        <v>107</v>
      </c>
      <c r="X1428" s="37">
        <v>8645545</v>
      </c>
      <c r="Y1428" s="46">
        <f t="shared" si="46"/>
        <v>3456651</v>
      </c>
      <c r="Z1428" s="19" t="s">
        <v>318</v>
      </c>
    </row>
    <row r="1429" spans="1:26" x14ac:dyDescent="0.25">
      <c r="A1429" s="20">
        <f>+VLOOKUP(D1429,Back!Q:R,2,0)</f>
        <v>6</v>
      </c>
      <c r="B1429" s="20" t="str">
        <f t="shared" si="45"/>
        <v>2018 JUN</v>
      </c>
      <c r="C1429" s="30">
        <v>2018</v>
      </c>
      <c r="D1429" s="30" t="s">
        <v>153</v>
      </c>
      <c r="E1429" s="30" t="s">
        <v>102</v>
      </c>
      <c r="F1429" s="30">
        <v>79850984</v>
      </c>
      <c r="G1429" s="30" t="s">
        <v>106</v>
      </c>
      <c r="H1429" s="32">
        <v>40740922</v>
      </c>
      <c r="I1429" s="32">
        <v>1484400</v>
      </c>
      <c r="J1429" s="32">
        <v>5933812</v>
      </c>
      <c r="K1429" s="33">
        <v>33322710</v>
      </c>
      <c r="L1429" s="33">
        <v>28000008</v>
      </c>
      <c r="M1429" s="34">
        <v>1.1900964456867298</v>
      </c>
      <c r="N1429" s="209" t="str">
        <f>IFERROR(VLOOKUP(F1429,Back!C:F,4,0),"NO")</f>
        <v>Si</v>
      </c>
      <c r="O1429" s="26">
        <v>24</v>
      </c>
      <c r="P1429" s="28" t="str">
        <f>IFERROR(VLOOKUP(F1429,Back!C:E,3,0),"")</f>
        <v>IPS Pto De Vista SSura Clle100</v>
      </c>
      <c r="Q1429" s="28" t="str">
        <f>IFERROR(VLOOKUP(P1429,Back!M:N,2,0),"")</f>
        <v>Centro</v>
      </c>
      <c r="R1429" s="27" t="str">
        <f>IF(N1429="Si",IFERROR(VLOOKUP(F1429,'TD Cumpl'!B:AB,27,0),"No Aplica"),"No Aplica")</f>
        <v>Fluctúa</v>
      </c>
      <c r="S1429" s="38">
        <v>73</v>
      </c>
      <c r="T1429" s="36">
        <v>7459941</v>
      </c>
      <c r="U1429" s="26">
        <v>186</v>
      </c>
      <c r="V1429" s="37">
        <v>21681244</v>
      </c>
      <c r="W1429" s="19">
        <v>78</v>
      </c>
      <c r="X1429" s="37">
        <v>5933812</v>
      </c>
      <c r="Y1429" s="46">
        <f t="shared" si="46"/>
        <v>5665925</v>
      </c>
      <c r="Z1429" s="19" t="s">
        <v>318</v>
      </c>
    </row>
    <row r="1430" spans="1:26" x14ac:dyDescent="0.25">
      <c r="A1430" s="20">
        <f>+VLOOKUP(D1430,Back!Q:R,2,0)</f>
        <v>6</v>
      </c>
      <c r="B1430" s="20" t="str">
        <f t="shared" si="45"/>
        <v>2018 JUN</v>
      </c>
      <c r="C1430" s="30">
        <v>2018</v>
      </c>
      <c r="D1430" s="30" t="s">
        <v>153</v>
      </c>
      <c r="E1430" s="30" t="s">
        <v>2</v>
      </c>
      <c r="F1430" s="30">
        <v>52260671</v>
      </c>
      <c r="G1430" s="30" t="s">
        <v>26</v>
      </c>
      <c r="H1430" s="32">
        <v>39185604</v>
      </c>
      <c r="I1430" s="32">
        <v>0</v>
      </c>
      <c r="J1430" s="32">
        <v>6520210</v>
      </c>
      <c r="K1430" s="33">
        <v>32665394</v>
      </c>
      <c r="L1430" s="33">
        <v>28000008</v>
      </c>
      <c r="M1430" s="34">
        <v>1.1666208809654626</v>
      </c>
      <c r="N1430" s="209" t="str">
        <f>IFERROR(VLOOKUP(F1430,Back!C:F,4,0),"NO")</f>
        <v>Si</v>
      </c>
      <c r="O1430" s="26">
        <v>24</v>
      </c>
      <c r="P1430" s="28" t="str">
        <f>IFERROR(VLOOKUP(F1430,Back!C:E,3,0),"")</f>
        <v>IPS Pto De Vista Santa Bárbara</v>
      </c>
      <c r="Q1430" s="28" t="str">
        <f>IFERROR(VLOOKUP(P1430,Back!M:N,2,0),"")</f>
        <v>Centro</v>
      </c>
      <c r="R1430" s="27" t="str">
        <f>IF(N1430="Si",IFERROR(VLOOKUP(F1430,'TD Cumpl'!B:AB,27,0),"No Aplica"),"No Aplica")</f>
        <v>Siempre Cumple</v>
      </c>
      <c r="S1430" s="38">
        <v>71</v>
      </c>
      <c r="T1430" s="36">
        <v>7406424</v>
      </c>
      <c r="U1430" s="26">
        <v>199</v>
      </c>
      <c r="V1430" s="37">
        <v>23527328</v>
      </c>
      <c r="W1430" s="19">
        <v>93</v>
      </c>
      <c r="X1430" s="37">
        <v>6520210</v>
      </c>
      <c r="Y1430" s="46">
        <f t="shared" si="46"/>
        <v>1731642</v>
      </c>
      <c r="Z1430" s="19" t="s">
        <v>318</v>
      </c>
    </row>
    <row r="1431" spans="1:26" x14ac:dyDescent="0.25">
      <c r="A1431" s="20">
        <f>+VLOOKUP(D1431,Back!Q:R,2,0)</f>
        <v>6</v>
      </c>
      <c r="B1431" s="20" t="str">
        <f t="shared" si="45"/>
        <v>2018 JUN</v>
      </c>
      <c r="C1431" s="30">
        <v>2018</v>
      </c>
      <c r="D1431" s="30" t="s">
        <v>153</v>
      </c>
      <c r="E1431" s="30" t="s">
        <v>38</v>
      </c>
      <c r="F1431" s="30">
        <v>43745192</v>
      </c>
      <c r="G1431" s="30" t="s">
        <v>45</v>
      </c>
      <c r="H1431" s="32">
        <v>30555086</v>
      </c>
      <c r="I1431" s="32">
        <v>475200</v>
      </c>
      <c r="J1431" s="32">
        <v>3543016</v>
      </c>
      <c r="K1431" s="33">
        <v>26536870</v>
      </c>
      <c r="L1431" s="33">
        <v>30000000</v>
      </c>
      <c r="M1431" s="34">
        <v>0.88456233333333334</v>
      </c>
      <c r="N1431" s="209" t="str">
        <f>IFERROR(VLOOKUP(F1431,Back!C:F,4,0),"NO")</f>
        <v>Si</v>
      </c>
      <c r="O1431" s="26">
        <v>24</v>
      </c>
      <c r="P1431" s="28" t="str">
        <f>IFERROR(VLOOKUP(F1431,Back!C:E,3,0),"")</f>
        <v>IPS Punto de Vista Mayorca</v>
      </c>
      <c r="Q1431" s="28" t="str">
        <f>IFERROR(VLOOKUP(P1431,Back!M:N,2,0),"")</f>
        <v>Antioquia</v>
      </c>
      <c r="R1431" s="27" t="str">
        <f>IF(N1431="Si",IFERROR(VLOOKUP(F1431,'TD Cumpl'!B:AB,27,0),"No Aplica"),"No Aplica")</f>
        <v>Cumple</v>
      </c>
      <c r="S1431" s="38">
        <v>41</v>
      </c>
      <c r="T1431" s="36">
        <v>6408991</v>
      </c>
      <c r="U1431" s="26">
        <v>138</v>
      </c>
      <c r="V1431" s="37">
        <v>17984173</v>
      </c>
      <c r="W1431" s="19">
        <v>46</v>
      </c>
      <c r="X1431" s="37">
        <v>3543016</v>
      </c>
      <c r="Y1431" s="46">
        <f t="shared" si="46"/>
        <v>2618906</v>
      </c>
      <c r="Z1431" s="19" t="s">
        <v>318</v>
      </c>
    </row>
    <row r="1432" spans="1:26" x14ac:dyDescent="0.25">
      <c r="A1432" s="20">
        <f>+VLOOKUP(D1432,Back!Q:R,2,0)</f>
        <v>6</v>
      </c>
      <c r="B1432" s="20" t="str">
        <f t="shared" si="45"/>
        <v>2018 JUN</v>
      </c>
      <c r="C1432" s="30">
        <v>2018</v>
      </c>
      <c r="D1432" s="30" t="s">
        <v>153</v>
      </c>
      <c r="E1432" s="30" t="s">
        <v>5</v>
      </c>
      <c r="F1432" s="30">
        <v>34542470</v>
      </c>
      <c r="G1432" s="30" t="s">
        <v>28</v>
      </c>
      <c r="H1432" s="32">
        <v>49072187</v>
      </c>
      <c r="I1432" s="32">
        <v>921240</v>
      </c>
      <c r="J1432" s="32">
        <v>7316771</v>
      </c>
      <c r="K1432" s="33">
        <v>40834176</v>
      </c>
      <c r="L1432" s="33">
        <v>34999992</v>
      </c>
      <c r="M1432" s="34">
        <v>1.1666910095293737</v>
      </c>
      <c r="N1432" s="209" t="str">
        <f>IFERROR(VLOOKUP(F1432,Back!C:F,4,0),"NO")</f>
        <v>Si</v>
      </c>
      <c r="O1432" s="26">
        <v>24</v>
      </c>
      <c r="P1432" s="28" t="str">
        <f>IFERROR(VLOOKUP(F1432,Back!C:E,3,0),"")</f>
        <v>Optica Salud Sura Chipichape</v>
      </c>
      <c r="Q1432" s="28" t="str">
        <f>IFERROR(VLOOKUP(P1432,Back!M:N,2,0),"")</f>
        <v>Occidente</v>
      </c>
      <c r="R1432" s="27" t="str">
        <f>IF(N1432="Si",IFERROR(VLOOKUP(F1432,'TD Cumpl'!B:AB,27,0),"No Aplica"),"No Aplica")</f>
        <v>Siempre Cumple</v>
      </c>
      <c r="S1432" s="38">
        <v>77</v>
      </c>
      <c r="T1432" s="36">
        <v>12103466</v>
      </c>
      <c r="U1432" s="26">
        <v>208</v>
      </c>
      <c r="V1432" s="37">
        <v>25556767</v>
      </c>
      <c r="W1432" s="19">
        <v>79</v>
      </c>
      <c r="X1432" s="37">
        <v>7316771</v>
      </c>
      <c r="Y1432" s="46">
        <f t="shared" si="46"/>
        <v>4095183</v>
      </c>
      <c r="Z1432" s="19" t="s">
        <v>318</v>
      </c>
    </row>
    <row r="1433" spans="1:26" x14ac:dyDescent="0.25">
      <c r="A1433" s="20">
        <f>+VLOOKUP(D1433,Back!Q:R,2,0)</f>
        <v>6</v>
      </c>
      <c r="B1433" s="20" t="str">
        <f t="shared" si="45"/>
        <v>2018 JUN</v>
      </c>
      <c r="C1433" s="30">
        <v>2018</v>
      </c>
      <c r="D1433" s="30" t="s">
        <v>153</v>
      </c>
      <c r="E1433" s="30" t="s">
        <v>254</v>
      </c>
      <c r="F1433" s="30">
        <v>1095794354</v>
      </c>
      <c r="G1433" s="30" t="s">
        <v>255</v>
      </c>
      <c r="H1433" s="32">
        <v>34033003</v>
      </c>
      <c r="I1433" s="32">
        <v>409590</v>
      </c>
      <c r="J1433" s="32">
        <v>3935746</v>
      </c>
      <c r="K1433" s="33">
        <v>29687667</v>
      </c>
      <c r="L1433" s="33">
        <v>26306832</v>
      </c>
      <c r="M1433" s="34">
        <v>1.1285154746113102</v>
      </c>
      <c r="N1433" s="209" t="str">
        <f>IFERROR(VLOOKUP(F1433,Back!C:F,4,0),"NO")</f>
        <v>No</v>
      </c>
      <c r="O1433" s="26">
        <v>24</v>
      </c>
      <c r="P1433" s="28" t="str">
        <f>IFERROR(VLOOKUP(F1433,Back!C:E,3,0),"")</f>
        <v>Ferias Cali</v>
      </c>
      <c r="Q1433" s="28" t="str">
        <f>IFERROR(VLOOKUP(P1433,Back!M:N,2,0),"")</f>
        <v>Occidente</v>
      </c>
      <c r="R1433" s="27" t="str">
        <f>IF(N1433="Si",IFERROR(VLOOKUP(F1433,'TD Cumpl'!B:AB,27,0),"No Aplica"),"No Aplica")</f>
        <v>No Aplica</v>
      </c>
      <c r="S1433" s="38">
        <v>66</v>
      </c>
      <c r="T1433" s="36">
        <v>5261628</v>
      </c>
      <c r="U1433" s="26">
        <v>138</v>
      </c>
      <c r="V1433" s="37">
        <v>14546588</v>
      </c>
      <c r="W1433" s="19">
        <v>50</v>
      </c>
      <c r="X1433" s="37">
        <v>3935746</v>
      </c>
      <c r="Y1433" s="46">
        <f t="shared" si="46"/>
        <v>10289041</v>
      </c>
    </row>
    <row r="1434" spans="1:26" x14ac:dyDescent="0.25">
      <c r="A1434" s="20">
        <f>+VLOOKUP(D1434,Back!Q:R,2,0)</f>
        <v>6</v>
      </c>
      <c r="B1434" s="20" t="str">
        <f t="shared" si="45"/>
        <v>2018 JUN</v>
      </c>
      <c r="C1434" s="30">
        <v>2018</v>
      </c>
      <c r="D1434" s="30" t="s">
        <v>153</v>
      </c>
      <c r="E1434" s="30" t="s">
        <v>249</v>
      </c>
      <c r="F1434" s="30">
        <v>1144061613</v>
      </c>
      <c r="G1434" s="30" t="s">
        <v>256</v>
      </c>
      <c r="H1434" s="32">
        <v>45229294</v>
      </c>
      <c r="I1434" s="32">
        <v>112800</v>
      </c>
      <c r="J1434" s="32">
        <v>14625416</v>
      </c>
      <c r="K1434" s="33">
        <v>30491078</v>
      </c>
      <c r="L1434" s="33">
        <v>30000000</v>
      </c>
      <c r="M1434" s="34">
        <v>1.0163692666666666</v>
      </c>
      <c r="N1434" s="209" t="str">
        <f>IFERROR(VLOOKUP(F1434,Back!C:F,4,0),"NO")</f>
        <v>Si</v>
      </c>
      <c r="O1434" s="26">
        <v>24</v>
      </c>
      <c r="P1434" s="28" t="str">
        <f>IFERROR(VLOOKUP(F1434,Back!C:E,3,0),"")</f>
        <v>Punto de Vista Tequendama</v>
      </c>
      <c r="Q1434" s="28" t="str">
        <f>IFERROR(VLOOKUP(P1434,Back!M:N,2,0),"")</f>
        <v>Occidente</v>
      </c>
      <c r="R1434" s="27" t="str">
        <f>IF(N1434="Si",IFERROR(VLOOKUP(F1434,'TD Cumpl'!B:AB,27,0),"No Aplica"),"No Aplica")</f>
        <v>Fluctúa</v>
      </c>
      <c r="S1434" s="38">
        <v>76</v>
      </c>
      <c r="T1434" s="36">
        <v>7976255</v>
      </c>
      <c r="U1434" s="26">
        <v>202</v>
      </c>
      <c r="V1434" s="37">
        <v>20205415</v>
      </c>
      <c r="W1434" s="19">
        <v>176</v>
      </c>
      <c r="X1434" s="37">
        <v>14625416</v>
      </c>
      <c r="Y1434" s="46">
        <f t="shared" si="46"/>
        <v>2422208</v>
      </c>
      <c r="Z1434" s="19" t="s">
        <v>318</v>
      </c>
    </row>
    <row r="1435" spans="1:26" x14ac:dyDescent="0.25">
      <c r="A1435" s="20">
        <f>+VLOOKUP(D1435,Back!Q:R,2,0)</f>
        <v>6</v>
      </c>
      <c r="B1435" s="20" t="str">
        <f t="shared" si="45"/>
        <v>2018 JUN</v>
      </c>
      <c r="C1435" s="30">
        <v>2018</v>
      </c>
      <c r="D1435" s="30" t="s">
        <v>153</v>
      </c>
      <c r="E1435" s="30" t="s">
        <v>258</v>
      </c>
      <c r="F1435" s="30">
        <v>1130676531</v>
      </c>
      <c r="G1435" s="30" t="s">
        <v>262</v>
      </c>
      <c r="H1435" s="32">
        <v>29764812</v>
      </c>
      <c r="I1435" s="32">
        <v>0</v>
      </c>
      <c r="J1435" s="32">
        <v>14291838</v>
      </c>
      <c r="K1435" s="33">
        <v>15472974</v>
      </c>
      <c r="L1435" s="33">
        <v>30000000</v>
      </c>
      <c r="M1435" s="34">
        <v>0.51576580000000005</v>
      </c>
      <c r="N1435" s="209" t="str">
        <f>IFERROR(VLOOKUP(F1435,Back!C:F,4,0),"NO")</f>
        <v>Si</v>
      </c>
      <c r="O1435" s="26">
        <v>24</v>
      </c>
      <c r="P1435" s="28" t="str">
        <f>IFERROR(VLOOKUP(F1435,Back!C:E,3,0),"")</f>
        <v>Punto de Vista Cali Norte</v>
      </c>
      <c r="Q1435" s="28" t="str">
        <f>IFERROR(VLOOKUP(P1435,Back!M:N,2,0),"")</f>
        <v>Occidente</v>
      </c>
      <c r="R1435" s="27" t="str">
        <f>IF(N1435="Si",IFERROR(VLOOKUP(F1435,'TD Cumpl'!B:AB,27,0),"No Aplica"),"No Aplica")</f>
        <v>No Cumple</v>
      </c>
      <c r="S1435" s="38">
        <v>30</v>
      </c>
      <c r="T1435" s="36">
        <v>3683714</v>
      </c>
      <c r="U1435" s="26">
        <v>116</v>
      </c>
      <c r="V1435" s="37">
        <v>10723952</v>
      </c>
      <c r="W1435" s="19">
        <v>142</v>
      </c>
      <c r="X1435" s="37">
        <v>14291838</v>
      </c>
      <c r="Y1435" s="46">
        <f t="shared" si="46"/>
        <v>1065308</v>
      </c>
      <c r="Z1435" s="19" t="s">
        <v>318</v>
      </c>
    </row>
    <row r="1436" spans="1:26" x14ac:dyDescent="0.25">
      <c r="A1436" s="20">
        <f>+VLOOKUP(D1436,Back!Q:R,2,0)</f>
        <v>6</v>
      </c>
      <c r="B1436" s="20" t="str">
        <f t="shared" si="45"/>
        <v>2018 JUN</v>
      </c>
      <c r="C1436" s="30">
        <v>2018</v>
      </c>
      <c r="D1436" s="30" t="s">
        <v>153</v>
      </c>
      <c r="E1436" s="30" t="s">
        <v>237</v>
      </c>
      <c r="F1436" s="30">
        <v>1151951440</v>
      </c>
      <c r="G1436" s="30" t="s">
        <v>238</v>
      </c>
      <c r="H1436" s="32">
        <v>39121039</v>
      </c>
      <c r="I1436" s="32">
        <v>0</v>
      </c>
      <c r="J1436" s="32">
        <v>16044156</v>
      </c>
      <c r="K1436" s="33">
        <v>23076883</v>
      </c>
      <c r="L1436" s="33">
        <v>30000000</v>
      </c>
      <c r="M1436" s="34">
        <v>0.76922943333333338</v>
      </c>
      <c r="N1436" s="209" t="str">
        <f>IFERROR(VLOOKUP(F1436,Back!C:F,4,0),"NO")</f>
        <v>No</v>
      </c>
      <c r="O1436" s="26">
        <v>24</v>
      </c>
      <c r="P1436" s="28" t="str">
        <f>IFERROR(VLOOKUP(F1436,Back!C:E,3,0),"")</f>
        <v>Punto de Vista Cali Norte</v>
      </c>
      <c r="Q1436" s="28" t="str">
        <f>IFERROR(VLOOKUP(P1436,Back!M:N,2,0),"")</f>
        <v>Occidente</v>
      </c>
      <c r="R1436" s="27" t="str">
        <f>IF(N1436="Si",IFERROR(VLOOKUP(F1436,'TD Cumpl'!B:AB,27,0),"No Aplica"),"No Aplica")</f>
        <v>No Aplica</v>
      </c>
      <c r="S1436" s="38">
        <v>53</v>
      </c>
      <c r="T1436" s="36">
        <v>5811497</v>
      </c>
      <c r="U1436" s="26">
        <v>174</v>
      </c>
      <c r="V1436" s="37">
        <v>15736016</v>
      </c>
      <c r="W1436" s="19">
        <v>164</v>
      </c>
      <c r="X1436" s="37">
        <v>16044156</v>
      </c>
      <c r="Y1436" s="46">
        <f t="shared" si="46"/>
        <v>1529370</v>
      </c>
    </row>
    <row r="1437" spans="1:26" x14ac:dyDescent="0.25">
      <c r="A1437" s="20">
        <f>+VLOOKUP(D1437,Back!Q:R,2,0)</f>
        <v>6</v>
      </c>
      <c r="B1437" s="20" t="str">
        <f t="shared" si="45"/>
        <v>2018 JUN</v>
      </c>
      <c r="C1437" s="30">
        <v>2018</v>
      </c>
      <c r="D1437" s="30" t="s">
        <v>153</v>
      </c>
      <c r="E1437" s="30" t="s">
        <v>88</v>
      </c>
      <c r="F1437" s="30">
        <v>31445278</v>
      </c>
      <c r="G1437" s="30" t="s">
        <v>93</v>
      </c>
      <c r="H1437" s="32">
        <v>43634310</v>
      </c>
      <c r="I1437" s="32">
        <v>0</v>
      </c>
      <c r="J1437" s="32">
        <v>11817167</v>
      </c>
      <c r="K1437" s="33">
        <v>31817143</v>
      </c>
      <c r="L1437" s="33">
        <v>30000000</v>
      </c>
      <c r="M1437" s="34">
        <v>1.0605714333333334</v>
      </c>
      <c r="N1437" s="209" t="str">
        <f>IFERROR(VLOOKUP(F1437,Back!C:F,4,0),"NO")</f>
        <v>Si</v>
      </c>
      <c r="O1437" s="26">
        <v>24</v>
      </c>
      <c r="P1437" s="28" t="str">
        <f>IFERROR(VLOOKUP(F1437,Back!C:E,3,0),"")</f>
        <v>Punto de Vista Tequendama</v>
      </c>
      <c r="Q1437" s="28" t="str">
        <f>IFERROR(VLOOKUP(P1437,Back!M:N,2,0),"")</f>
        <v>Occidente</v>
      </c>
      <c r="R1437" s="27" t="str">
        <f>IF(N1437="Si",IFERROR(VLOOKUP(F1437,'TD Cumpl'!B:AB,27,0),"No Aplica"),"No Aplica")</f>
        <v>Cumple</v>
      </c>
      <c r="S1437" s="38">
        <v>62</v>
      </c>
      <c r="T1437" s="36">
        <v>6764719</v>
      </c>
      <c r="U1437" s="26">
        <v>186</v>
      </c>
      <c r="V1437" s="37">
        <v>21689121</v>
      </c>
      <c r="W1437" s="19">
        <v>121</v>
      </c>
      <c r="X1437" s="37">
        <v>11817167</v>
      </c>
      <c r="Y1437" s="46">
        <f t="shared" si="46"/>
        <v>3363303</v>
      </c>
      <c r="Z1437" s="19" t="s">
        <v>318</v>
      </c>
    </row>
    <row r="1438" spans="1:26" x14ac:dyDescent="0.25">
      <c r="A1438" s="20">
        <f>+VLOOKUP(D1438,Back!Q:R,2,0)</f>
        <v>6</v>
      </c>
      <c r="B1438" s="20" t="str">
        <f t="shared" si="45"/>
        <v>2018 JUN</v>
      </c>
      <c r="C1438" s="30">
        <v>2018</v>
      </c>
      <c r="D1438" s="30" t="s">
        <v>153</v>
      </c>
      <c r="E1438" s="30" t="s">
        <v>149</v>
      </c>
      <c r="F1438" s="30">
        <v>1130597373</v>
      </c>
      <c r="G1438" s="30" t="s">
        <v>150</v>
      </c>
      <c r="H1438" s="32">
        <v>32780935</v>
      </c>
      <c r="I1438" s="32">
        <v>0</v>
      </c>
      <c r="J1438" s="32">
        <v>11217749</v>
      </c>
      <c r="K1438" s="33">
        <v>21563186</v>
      </c>
      <c r="L1438" s="33">
        <v>30000000</v>
      </c>
      <c r="M1438" s="34">
        <v>0.71877286666666662</v>
      </c>
      <c r="N1438" s="209" t="str">
        <f>IFERROR(VLOOKUP(F1438,Back!C:F,4,0),"NO")</f>
        <v>Si</v>
      </c>
      <c r="O1438" s="26">
        <v>24</v>
      </c>
      <c r="P1438" s="28" t="str">
        <f>IFERROR(VLOOKUP(F1438,Back!C:E,3,0),"")</f>
        <v>Punto de Vista Cali Norte</v>
      </c>
      <c r="Q1438" s="28" t="str">
        <f>IFERROR(VLOOKUP(P1438,Back!M:N,2,0),"")</f>
        <v>Occidente</v>
      </c>
      <c r="R1438" s="27" t="str">
        <f>IF(N1438="Si",IFERROR(VLOOKUP(F1438,'TD Cumpl'!B:AB,27,0),"No Aplica"),"No Aplica")</f>
        <v>Fluctúa</v>
      </c>
      <c r="S1438" s="38">
        <v>51</v>
      </c>
      <c r="T1438" s="36">
        <v>5248485</v>
      </c>
      <c r="U1438" s="26">
        <v>141</v>
      </c>
      <c r="V1438" s="37">
        <v>14590951</v>
      </c>
      <c r="W1438" s="19">
        <v>137</v>
      </c>
      <c r="X1438" s="37">
        <v>11217749</v>
      </c>
      <c r="Y1438" s="46">
        <f t="shared" si="46"/>
        <v>1723750</v>
      </c>
      <c r="Z1438" s="19" t="s">
        <v>318</v>
      </c>
    </row>
    <row r="1439" spans="1:26" x14ac:dyDescent="0.25">
      <c r="A1439" s="20">
        <f>+VLOOKUP(D1439,Back!Q:R,2,0)</f>
        <v>6</v>
      </c>
      <c r="B1439" s="20" t="str">
        <f t="shared" si="45"/>
        <v>2018 JUN</v>
      </c>
      <c r="C1439" s="30">
        <v>2018</v>
      </c>
      <c r="D1439" s="30" t="s">
        <v>153</v>
      </c>
      <c r="E1439" s="30" t="s">
        <v>184</v>
      </c>
      <c r="F1439" s="30"/>
      <c r="G1439" s="30"/>
      <c r="H1439" s="32">
        <v>195326</v>
      </c>
      <c r="I1439" s="32">
        <v>0</v>
      </c>
      <c r="J1439" s="32">
        <v>0</v>
      </c>
      <c r="K1439" s="33">
        <v>195326</v>
      </c>
      <c r="L1439" s="33"/>
      <c r="M1439" s="34"/>
      <c r="N1439" s="209" t="str">
        <f>IFERROR(VLOOKUP(F1439,Back!C:F,4,0),"NO")</f>
        <v>NO</v>
      </c>
      <c r="O1439" s="26">
        <v>24</v>
      </c>
      <c r="P1439" s="28" t="str">
        <f>IFERROR(VLOOKUP(F1439,Back!C:E,3,0),"")</f>
        <v/>
      </c>
      <c r="Q1439" s="28" t="str">
        <f>IFERROR(VLOOKUP(P1439,Back!M:N,2,0),"")</f>
        <v/>
      </c>
      <c r="R1439" s="27" t="str">
        <f>IF(N1439="Si",IFERROR(VLOOKUP(F1439,'TD Cumpl'!B:AB,27,0),"No Aplica"),"No Aplica")</f>
        <v>No Aplica</v>
      </c>
      <c r="S1439" s="38">
        <v>1</v>
      </c>
      <c r="T1439" s="36">
        <v>61429</v>
      </c>
      <c r="U1439" s="26">
        <v>2</v>
      </c>
      <c r="V1439" s="37">
        <v>133897</v>
      </c>
      <c r="W1439" s="19">
        <v>0</v>
      </c>
      <c r="X1439" s="37">
        <v>0</v>
      </c>
      <c r="Y1439" s="46">
        <f t="shared" si="46"/>
        <v>0</v>
      </c>
    </row>
    <row r="1440" spans="1:26" x14ac:dyDescent="0.25">
      <c r="A1440" s="20">
        <f>+VLOOKUP(D1440,Back!Q:R,2,0)</f>
        <v>6</v>
      </c>
      <c r="B1440" s="20" t="str">
        <f t="shared" si="45"/>
        <v>2018 JUN</v>
      </c>
      <c r="C1440" s="30">
        <v>2018</v>
      </c>
      <c r="D1440" s="30" t="s">
        <v>153</v>
      </c>
      <c r="E1440" s="30" t="s">
        <v>147</v>
      </c>
      <c r="F1440" s="30"/>
      <c r="G1440" s="30"/>
      <c r="H1440" s="32">
        <v>148255</v>
      </c>
      <c r="I1440" s="32">
        <v>0</v>
      </c>
      <c r="J1440" s="32">
        <v>0</v>
      </c>
      <c r="K1440" s="33">
        <v>148255</v>
      </c>
      <c r="L1440" s="33"/>
      <c r="M1440" s="34"/>
      <c r="N1440" s="209" t="str">
        <f>IFERROR(VLOOKUP(F1440,Back!C:F,4,0),"NO")</f>
        <v>NO</v>
      </c>
      <c r="O1440" s="26">
        <v>24</v>
      </c>
      <c r="P1440" s="28" t="str">
        <f>IFERROR(VLOOKUP(F1440,Back!C:E,3,0),"")</f>
        <v/>
      </c>
      <c r="Q1440" s="28" t="str">
        <f>IFERROR(VLOOKUP(P1440,Back!M:N,2,0),"")</f>
        <v/>
      </c>
      <c r="R1440" s="27" t="str">
        <f>IF(N1440="Si",IFERROR(VLOOKUP(F1440,'TD Cumpl'!B:AB,27,0),"No Aplica"),"No Aplica")</f>
        <v>No Aplica</v>
      </c>
      <c r="S1440" s="38">
        <v>0</v>
      </c>
      <c r="T1440" s="36">
        <v>0</v>
      </c>
      <c r="U1440" s="26">
        <v>2</v>
      </c>
      <c r="V1440" s="37">
        <v>55255</v>
      </c>
      <c r="W1440" s="19">
        <v>0</v>
      </c>
      <c r="X1440" s="37">
        <v>0</v>
      </c>
      <c r="Y1440" s="46">
        <f t="shared" si="46"/>
        <v>93000</v>
      </c>
    </row>
    <row r="1441" spans="1:26" x14ac:dyDescent="0.25">
      <c r="A1441" s="20">
        <f>+VLOOKUP(D1441,Back!Q:R,2,0)</f>
        <v>6</v>
      </c>
      <c r="B1441" s="20" t="str">
        <f t="shared" si="45"/>
        <v>2018 JUN</v>
      </c>
      <c r="C1441" s="30">
        <v>2018</v>
      </c>
      <c r="D1441" s="30" t="s">
        <v>153</v>
      </c>
      <c r="E1441" s="30" t="s">
        <v>119</v>
      </c>
      <c r="F1441" s="30"/>
      <c r="G1441" s="30"/>
      <c r="H1441" s="32">
        <v>46283</v>
      </c>
      <c r="I1441" s="32">
        <v>0</v>
      </c>
      <c r="J1441" s="32">
        <v>46283</v>
      </c>
      <c r="K1441" s="33">
        <v>0</v>
      </c>
      <c r="L1441" s="33"/>
      <c r="M1441" s="34"/>
      <c r="N1441" s="209" t="str">
        <f>IFERROR(VLOOKUP(F1441,Back!C:F,4,0),"NO")</f>
        <v>NO</v>
      </c>
      <c r="O1441" s="26">
        <v>24</v>
      </c>
      <c r="P1441" s="28" t="str">
        <f>IFERROR(VLOOKUP(F1441,Back!C:E,3,0),"")</f>
        <v/>
      </c>
      <c r="Q1441" s="28" t="str">
        <f>IFERROR(VLOOKUP(P1441,Back!M:N,2,0),"")</f>
        <v/>
      </c>
      <c r="R1441" s="27" t="str">
        <f>IF(N1441="Si",IFERROR(VLOOKUP(F1441,'TD Cumpl'!B:AB,27,0),"No Aplica"),"No Aplica")</f>
        <v>No Aplica</v>
      </c>
      <c r="S1441" s="38">
        <v>0</v>
      </c>
      <c r="T1441" s="36">
        <v>0</v>
      </c>
      <c r="U1441" s="26">
        <v>0</v>
      </c>
      <c r="V1441" s="37">
        <v>0</v>
      </c>
      <c r="W1441" s="19">
        <v>1</v>
      </c>
      <c r="X1441" s="37">
        <v>46283</v>
      </c>
      <c r="Y1441" s="46">
        <f t="shared" si="46"/>
        <v>0</v>
      </c>
    </row>
    <row r="1442" spans="1:26" x14ac:dyDescent="0.25">
      <c r="A1442" s="20">
        <f>+VLOOKUP(D1442,Back!Q:R,2,0)</f>
        <v>6</v>
      </c>
      <c r="B1442" s="20" t="str">
        <f t="shared" si="45"/>
        <v>2018 JUN</v>
      </c>
      <c r="C1442" s="30">
        <v>2018</v>
      </c>
      <c r="D1442" s="30" t="s">
        <v>153</v>
      </c>
      <c r="E1442" s="30" t="s">
        <v>171</v>
      </c>
      <c r="F1442" s="30"/>
      <c r="G1442" s="30"/>
      <c r="H1442" s="32">
        <v>57600</v>
      </c>
      <c r="I1442" s="32">
        <v>0</v>
      </c>
      <c r="J1442" s="32">
        <v>0</v>
      </c>
      <c r="K1442" s="33">
        <v>57600</v>
      </c>
      <c r="L1442" s="33"/>
      <c r="M1442" s="34"/>
      <c r="N1442" s="209" t="str">
        <f>IFERROR(VLOOKUP(F1442,Back!C:F,4,0),"NO")</f>
        <v>NO</v>
      </c>
      <c r="O1442" s="26">
        <v>24</v>
      </c>
      <c r="P1442" s="28" t="str">
        <f>IFERROR(VLOOKUP(F1442,Back!C:E,3,0),"")</f>
        <v/>
      </c>
      <c r="Q1442" s="28" t="str">
        <f>IFERROR(VLOOKUP(P1442,Back!M:N,2,0),"")</f>
        <v/>
      </c>
      <c r="R1442" s="27" t="str">
        <f>IF(N1442="Si",IFERROR(VLOOKUP(F1442,'TD Cumpl'!B:AB,27,0),"No Aplica"),"No Aplica")</f>
        <v>No Aplica</v>
      </c>
      <c r="S1442" s="38">
        <v>0</v>
      </c>
      <c r="T1442" s="36">
        <v>0</v>
      </c>
      <c r="U1442" s="26">
        <v>2</v>
      </c>
      <c r="V1442" s="37">
        <v>57600</v>
      </c>
      <c r="W1442" s="19">
        <v>0</v>
      </c>
      <c r="X1442" s="37">
        <v>0</v>
      </c>
      <c r="Y1442" s="46">
        <f t="shared" si="46"/>
        <v>0</v>
      </c>
    </row>
    <row r="1443" spans="1:26" x14ac:dyDescent="0.25">
      <c r="A1443" s="20">
        <f>+VLOOKUP(D1443,Back!Q:R,2,0)</f>
        <v>6</v>
      </c>
      <c r="B1443" s="20" t="str">
        <f t="shared" si="45"/>
        <v>2018 JUN</v>
      </c>
      <c r="C1443" s="30">
        <v>2018</v>
      </c>
      <c r="D1443" s="30" t="s">
        <v>153</v>
      </c>
      <c r="E1443" s="30" t="s">
        <v>33</v>
      </c>
      <c r="F1443" s="30"/>
      <c r="G1443" s="30"/>
      <c r="H1443" s="32">
        <v>107575</v>
      </c>
      <c r="I1443" s="32">
        <v>0</v>
      </c>
      <c r="J1443" s="32">
        <v>0</v>
      </c>
      <c r="K1443" s="33">
        <v>107575</v>
      </c>
      <c r="L1443" s="33"/>
      <c r="M1443" s="34"/>
      <c r="N1443" s="209" t="str">
        <f>IFERROR(VLOOKUP(F1443,Back!C:F,4,0),"NO")</f>
        <v>NO</v>
      </c>
      <c r="O1443" s="26">
        <v>24</v>
      </c>
      <c r="P1443" s="28" t="str">
        <f>IFERROR(VLOOKUP(F1443,Back!C:E,3,0),"")</f>
        <v/>
      </c>
      <c r="Q1443" s="28" t="str">
        <f>IFERROR(VLOOKUP(P1443,Back!M:N,2,0),"")</f>
        <v/>
      </c>
      <c r="R1443" s="27" t="str">
        <f>IF(N1443="Si",IFERROR(VLOOKUP(F1443,'TD Cumpl'!B:AB,27,0),"No Aplica"),"No Aplica")</f>
        <v>No Aplica</v>
      </c>
      <c r="S1443" s="38">
        <v>1</v>
      </c>
      <c r="T1443" s="36">
        <v>66000</v>
      </c>
      <c r="U1443" s="26">
        <v>2</v>
      </c>
      <c r="V1443" s="37">
        <v>41575</v>
      </c>
      <c r="W1443" s="19">
        <v>0</v>
      </c>
      <c r="X1443" s="37">
        <v>0</v>
      </c>
      <c r="Y1443" s="46">
        <f t="shared" si="46"/>
        <v>0</v>
      </c>
    </row>
    <row r="1444" spans="1:26" x14ac:dyDescent="0.25">
      <c r="A1444" s="20">
        <f>+VLOOKUP(D1444,Back!Q:R,2,0)</f>
        <v>6</v>
      </c>
      <c r="B1444" s="20" t="str">
        <f t="shared" si="45"/>
        <v>2018 JUN</v>
      </c>
      <c r="C1444" s="30">
        <v>2018</v>
      </c>
      <c r="D1444" s="30" t="s">
        <v>153</v>
      </c>
      <c r="E1444" s="30" t="s">
        <v>263</v>
      </c>
      <c r="F1444" s="30"/>
      <c r="G1444" s="30"/>
      <c r="H1444" s="32">
        <v>109600</v>
      </c>
      <c r="I1444" s="32">
        <v>0</v>
      </c>
      <c r="J1444" s="32">
        <v>109600</v>
      </c>
      <c r="K1444" s="33">
        <v>0</v>
      </c>
      <c r="L1444" s="33"/>
      <c r="M1444" s="34"/>
      <c r="N1444" s="209" t="str">
        <f>IFERROR(VLOOKUP(F1444,Back!C:F,4,0),"NO")</f>
        <v>NO</v>
      </c>
      <c r="O1444" s="26">
        <v>24</v>
      </c>
      <c r="P1444" s="28" t="str">
        <f>IFERROR(VLOOKUP(F1444,Back!C:E,3,0),"")</f>
        <v/>
      </c>
      <c r="Q1444" s="28" t="str">
        <f>IFERROR(VLOOKUP(P1444,Back!M:N,2,0),"")</f>
        <v/>
      </c>
      <c r="R1444" s="27" t="str">
        <f>IF(N1444="Si",IFERROR(VLOOKUP(F1444,'TD Cumpl'!B:AB,27,0),"No Aplica"),"No Aplica")</f>
        <v>No Aplica</v>
      </c>
      <c r="S1444" s="38">
        <v>0</v>
      </c>
      <c r="T1444" s="36">
        <v>0</v>
      </c>
      <c r="U1444" s="26">
        <v>0</v>
      </c>
      <c r="V1444" s="37">
        <v>0</v>
      </c>
      <c r="W1444" s="19">
        <v>0</v>
      </c>
      <c r="X1444" s="37">
        <v>0</v>
      </c>
      <c r="Y1444" s="46">
        <f t="shared" si="46"/>
        <v>109600</v>
      </c>
    </row>
    <row r="1445" spans="1:26" x14ac:dyDescent="0.25">
      <c r="A1445" s="20">
        <f>+VLOOKUP(D1445,Back!Q:R,2,0)</f>
        <v>6</v>
      </c>
      <c r="B1445" s="20" t="str">
        <f t="shared" si="45"/>
        <v>2018 JUN</v>
      </c>
      <c r="C1445" s="30">
        <v>2018</v>
      </c>
      <c r="D1445" s="30" t="s">
        <v>153</v>
      </c>
      <c r="E1445" s="30" t="s">
        <v>264</v>
      </c>
      <c r="F1445" s="30"/>
      <c r="G1445" s="30"/>
      <c r="H1445" s="32">
        <v>190600</v>
      </c>
      <c r="I1445" s="32">
        <v>0</v>
      </c>
      <c r="J1445" s="32">
        <v>190600</v>
      </c>
      <c r="K1445" s="33">
        <v>0</v>
      </c>
      <c r="L1445" s="33"/>
      <c r="M1445" s="34"/>
      <c r="N1445" s="209" t="str">
        <f>IFERROR(VLOOKUP(F1445,Back!C:F,4,0),"NO")</f>
        <v>NO</v>
      </c>
      <c r="O1445" s="26">
        <v>24</v>
      </c>
      <c r="P1445" s="28" t="str">
        <f>IFERROR(VLOOKUP(F1445,Back!C:E,3,0),"")</f>
        <v/>
      </c>
      <c r="Q1445" s="28" t="str">
        <f>IFERROR(VLOOKUP(P1445,Back!M:N,2,0),"")</f>
        <v/>
      </c>
      <c r="R1445" s="27" t="str">
        <f>IF(N1445="Si",IFERROR(VLOOKUP(F1445,'TD Cumpl'!B:AB,27,0),"No Aplica"),"No Aplica")</f>
        <v>No Aplica</v>
      </c>
      <c r="S1445" s="38">
        <v>0</v>
      </c>
      <c r="T1445" s="36">
        <v>0</v>
      </c>
      <c r="U1445" s="26">
        <v>0</v>
      </c>
      <c r="V1445" s="37">
        <v>0</v>
      </c>
      <c r="W1445" s="19">
        <v>0</v>
      </c>
      <c r="X1445" s="37">
        <v>0</v>
      </c>
      <c r="Y1445" s="46">
        <f t="shared" si="46"/>
        <v>190600</v>
      </c>
    </row>
    <row r="1446" spans="1:26" x14ac:dyDescent="0.25">
      <c r="A1446" s="20">
        <f>+VLOOKUP(D1446,Back!Q:R,2,0)</f>
        <v>6</v>
      </c>
      <c r="B1446" s="20" t="str">
        <f t="shared" si="45"/>
        <v>2018 JUN</v>
      </c>
      <c r="C1446" s="30">
        <v>2018</v>
      </c>
      <c r="D1446" s="30" t="s">
        <v>153</v>
      </c>
      <c r="E1446" s="30" t="s">
        <v>99</v>
      </c>
      <c r="F1446" s="30"/>
      <c r="G1446" s="30"/>
      <c r="H1446" s="32">
        <v>94800</v>
      </c>
      <c r="I1446" s="32">
        <v>0</v>
      </c>
      <c r="J1446" s="32">
        <v>94800</v>
      </c>
      <c r="K1446" s="33">
        <v>0</v>
      </c>
      <c r="L1446" s="33"/>
      <c r="M1446" s="34"/>
      <c r="N1446" s="209" t="str">
        <f>IFERROR(VLOOKUP(F1446,Back!C:F,4,0),"NO")</f>
        <v>NO</v>
      </c>
      <c r="O1446" s="26">
        <v>24</v>
      </c>
      <c r="P1446" s="28" t="str">
        <f>IFERROR(VLOOKUP(F1446,Back!C:E,3,0),"")</f>
        <v/>
      </c>
      <c r="Q1446" s="28" t="str">
        <f>IFERROR(VLOOKUP(P1446,Back!M:N,2,0),"")</f>
        <v/>
      </c>
      <c r="R1446" s="27" t="str">
        <f>IF(N1446="Si",IFERROR(VLOOKUP(F1446,'TD Cumpl'!B:AB,27,0),"No Aplica"),"No Aplica")</f>
        <v>No Aplica</v>
      </c>
      <c r="S1446" s="38">
        <v>0</v>
      </c>
      <c r="T1446" s="36">
        <v>0</v>
      </c>
      <c r="U1446" s="26">
        <v>0</v>
      </c>
      <c r="V1446" s="37">
        <v>0</v>
      </c>
      <c r="W1446" s="19">
        <v>0</v>
      </c>
      <c r="X1446" s="37">
        <v>0</v>
      </c>
      <c r="Y1446" s="46">
        <f t="shared" si="46"/>
        <v>94800</v>
      </c>
    </row>
    <row r="1447" spans="1:26" x14ac:dyDescent="0.25">
      <c r="A1447" s="20">
        <f>+VLOOKUP(D1447,Back!Q:R,2,0)</f>
        <v>6</v>
      </c>
      <c r="B1447" s="20" t="str">
        <f t="shared" si="45"/>
        <v>2018 JUN</v>
      </c>
      <c r="C1447" s="30">
        <v>2018</v>
      </c>
      <c r="D1447" s="30" t="s">
        <v>153</v>
      </c>
      <c r="E1447" s="30" t="s">
        <v>265</v>
      </c>
      <c r="F1447" s="30"/>
      <c r="G1447" s="30"/>
      <c r="H1447" s="32">
        <v>2189876</v>
      </c>
      <c r="I1447" s="32">
        <v>0</v>
      </c>
      <c r="J1447" s="32">
        <v>326803</v>
      </c>
      <c r="K1447" s="33">
        <v>1863073</v>
      </c>
      <c r="L1447" s="33"/>
      <c r="M1447" s="34"/>
      <c r="N1447" s="209" t="str">
        <f>IFERROR(VLOOKUP(F1447,Back!C:F,4,0),"NO")</f>
        <v>NO</v>
      </c>
      <c r="O1447" s="26">
        <v>24</v>
      </c>
      <c r="P1447" s="28" t="str">
        <f>IFERROR(VLOOKUP(F1447,Back!C:E,3,0),"")</f>
        <v/>
      </c>
      <c r="Q1447" s="28" t="str">
        <f>IFERROR(VLOOKUP(P1447,Back!M:N,2,0),"")</f>
        <v/>
      </c>
      <c r="R1447" s="27" t="str">
        <f>IF(N1447="Si",IFERROR(VLOOKUP(F1447,'TD Cumpl'!B:AB,27,0),"No Aplica"),"No Aplica")</f>
        <v>No Aplica</v>
      </c>
      <c r="S1447" s="38">
        <v>5</v>
      </c>
      <c r="T1447" s="36">
        <v>975405</v>
      </c>
      <c r="U1447" s="26">
        <v>8</v>
      </c>
      <c r="V1447" s="37">
        <v>887668</v>
      </c>
      <c r="W1447" s="19">
        <v>5</v>
      </c>
      <c r="X1447" s="37">
        <v>326803</v>
      </c>
      <c r="Y1447" s="46">
        <f t="shared" si="46"/>
        <v>0</v>
      </c>
    </row>
    <row r="1448" spans="1:26" x14ac:dyDescent="0.25">
      <c r="A1448" s="20">
        <f>+VLOOKUP(D1448,Back!Q:R,2,0)</f>
        <v>6</v>
      </c>
      <c r="B1448" s="20" t="str">
        <f t="shared" si="45"/>
        <v>2018 JUN</v>
      </c>
      <c r="C1448" s="30">
        <v>2018</v>
      </c>
      <c r="D1448" s="30" t="s">
        <v>153</v>
      </c>
      <c r="E1448" s="30" t="s">
        <v>266</v>
      </c>
      <c r="F1448" s="30"/>
      <c r="G1448" s="30"/>
      <c r="H1448" s="32">
        <v>4900048</v>
      </c>
      <c r="I1448" s="32">
        <v>0</v>
      </c>
      <c r="J1448" s="32">
        <v>2397119</v>
      </c>
      <c r="K1448" s="33">
        <v>2502929</v>
      </c>
      <c r="L1448" s="33"/>
      <c r="M1448" s="34"/>
      <c r="N1448" s="209" t="str">
        <f>IFERROR(VLOOKUP(F1448,Back!C:F,4,0),"NO")</f>
        <v>NO</v>
      </c>
      <c r="O1448" s="26">
        <v>24</v>
      </c>
      <c r="P1448" s="28" t="str">
        <f>IFERROR(VLOOKUP(F1448,Back!C:E,3,0),"")</f>
        <v/>
      </c>
      <c r="Q1448" s="28" t="str">
        <f>IFERROR(VLOOKUP(P1448,Back!M:N,2,0),"")</f>
        <v/>
      </c>
      <c r="R1448" s="27" t="str">
        <f>IF(N1448="Si",IFERROR(VLOOKUP(F1448,'TD Cumpl'!B:AB,27,0),"No Aplica"),"No Aplica")</f>
        <v>No Aplica</v>
      </c>
      <c r="S1448" s="38">
        <v>6</v>
      </c>
      <c r="T1448" s="36">
        <v>813530</v>
      </c>
      <c r="U1448" s="26">
        <v>18</v>
      </c>
      <c r="V1448" s="37">
        <v>1234821</v>
      </c>
      <c r="W1448" s="19">
        <v>25</v>
      </c>
      <c r="X1448" s="37">
        <v>2397119</v>
      </c>
      <c r="Y1448" s="46">
        <f t="shared" si="46"/>
        <v>454578</v>
      </c>
    </row>
    <row r="1449" spans="1:26" x14ac:dyDescent="0.25">
      <c r="A1449" s="20">
        <f>+VLOOKUP(D1449,Back!Q:R,2,0)</f>
        <v>6</v>
      </c>
      <c r="B1449" s="20" t="str">
        <f t="shared" si="45"/>
        <v>2018 JUN</v>
      </c>
      <c r="C1449" s="30">
        <v>2018</v>
      </c>
      <c r="D1449" s="30" t="s">
        <v>153</v>
      </c>
      <c r="E1449" s="30" t="s">
        <v>87</v>
      </c>
      <c r="F1449" s="30"/>
      <c r="G1449" s="30"/>
      <c r="H1449" s="32">
        <v>269729</v>
      </c>
      <c r="I1449" s="32">
        <v>0</v>
      </c>
      <c r="J1449" s="32">
        <v>0</v>
      </c>
      <c r="K1449" s="33">
        <v>269729</v>
      </c>
      <c r="L1449" s="33"/>
      <c r="M1449" s="34"/>
      <c r="N1449" s="209" t="str">
        <f>IFERROR(VLOOKUP(F1449,Back!C:F,4,0),"NO")</f>
        <v>NO</v>
      </c>
      <c r="O1449" s="26">
        <v>24</v>
      </c>
      <c r="P1449" s="28" t="str">
        <f>IFERROR(VLOOKUP(F1449,Back!C:E,3,0),"")</f>
        <v/>
      </c>
      <c r="Q1449" s="28" t="str">
        <f>IFERROR(VLOOKUP(P1449,Back!M:N,2,0),"")</f>
        <v/>
      </c>
      <c r="R1449" s="27" t="str">
        <f>IF(N1449="Si",IFERROR(VLOOKUP(F1449,'TD Cumpl'!B:AB,27,0),"No Aplica"),"No Aplica")</f>
        <v>No Aplica</v>
      </c>
      <c r="S1449" s="38">
        <v>1</v>
      </c>
      <c r="T1449" s="36">
        <v>194719</v>
      </c>
      <c r="U1449" s="26">
        <v>2</v>
      </c>
      <c r="V1449" s="37">
        <v>162996</v>
      </c>
      <c r="W1449" s="19">
        <v>0</v>
      </c>
      <c r="X1449" s="37">
        <v>0</v>
      </c>
      <c r="Y1449" s="46">
        <f t="shared" si="46"/>
        <v>-87986</v>
      </c>
    </row>
    <row r="1450" spans="1:26" x14ac:dyDescent="0.25">
      <c r="A1450" s="20">
        <f>+VLOOKUP(D1450,Back!Q:R,2,0)</f>
        <v>7</v>
      </c>
      <c r="B1450" s="20" t="str">
        <f t="shared" si="45"/>
        <v>2018 JUL</v>
      </c>
      <c r="C1450" s="30">
        <v>2018</v>
      </c>
      <c r="D1450" s="30" t="s">
        <v>157</v>
      </c>
      <c r="E1450" s="30" t="s">
        <v>3</v>
      </c>
      <c r="F1450" s="30">
        <v>52725011</v>
      </c>
      <c r="G1450" s="30" t="s">
        <v>42</v>
      </c>
      <c r="H1450" s="32">
        <v>32941018</v>
      </c>
      <c r="I1450" s="32">
        <v>144000</v>
      </c>
      <c r="J1450" s="32">
        <v>7098563</v>
      </c>
      <c r="K1450" s="33">
        <v>25698455</v>
      </c>
      <c r="L1450" s="33">
        <v>25000008</v>
      </c>
      <c r="M1450" s="34">
        <v>1.0279378710598812</v>
      </c>
      <c r="N1450" s="209" t="str">
        <f>IFERROR(VLOOKUP(F1450,Back!C:F,4,0),"NO")</f>
        <v>Si</v>
      </c>
      <c r="O1450" s="26">
        <v>24</v>
      </c>
      <c r="P1450" s="28" t="str">
        <f>IFERROR(VLOOKUP(F1450,Back!C:E,3,0),"")</f>
        <v>IPS Pto De Vista Olaya</v>
      </c>
      <c r="Q1450" s="28" t="str">
        <f>IFERROR(VLOOKUP(P1450,Back!M:N,2,0),"")</f>
        <v>Centro</v>
      </c>
      <c r="R1450" s="27" t="str">
        <f>IF(N1450="Si",IFERROR(VLOOKUP(F1450,'TD Cumpl'!B:AB,27,0),"No Aplica"),"No Aplica")</f>
        <v>Fluctúa</v>
      </c>
      <c r="S1450" s="38">
        <v>93</v>
      </c>
      <c r="T1450" s="36">
        <v>6295117</v>
      </c>
      <c r="U1450" s="26">
        <v>242</v>
      </c>
      <c r="V1450" s="37">
        <v>18010439</v>
      </c>
      <c r="W1450" s="19">
        <v>103</v>
      </c>
      <c r="X1450" s="37">
        <v>7098563</v>
      </c>
      <c r="Y1450" s="46">
        <f t="shared" si="46"/>
        <v>1536899</v>
      </c>
      <c r="Z1450" s="19" t="s">
        <v>318</v>
      </c>
    </row>
    <row r="1451" spans="1:26" x14ac:dyDescent="0.25">
      <c r="A1451" s="20">
        <f>+VLOOKUP(D1451,Back!Q:R,2,0)</f>
        <v>7</v>
      </c>
      <c r="B1451" s="20" t="str">
        <f t="shared" si="45"/>
        <v>2018 JUL</v>
      </c>
      <c r="C1451" s="30">
        <v>2018</v>
      </c>
      <c r="D1451" s="30" t="s">
        <v>157</v>
      </c>
      <c r="E1451" s="30" t="s">
        <v>191</v>
      </c>
      <c r="F1451" s="30">
        <v>1010207310</v>
      </c>
      <c r="G1451" s="30" t="s">
        <v>253</v>
      </c>
      <c r="H1451" s="32">
        <v>36231587</v>
      </c>
      <c r="I1451" s="32">
        <v>0</v>
      </c>
      <c r="J1451" s="32">
        <v>8237800</v>
      </c>
      <c r="K1451" s="33">
        <v>27993787</v>
      </c>
      <c r="L1451" s="33">
        <v>25000008</v>
      </c>
      <c r="M1451" s="34">
        <v>1.119751121679641</v>
      </c>
      <c r="N1451" s="209" t="str">
        <f>IFERROR(VLOOKUP(F1451,Back!C:F,4,0),"NO")</f>
        <v>Si</v>
      </c>
      <c r="O1451" s="26">
        <v>24</v>
      </c>
      <c r="P1451" s="28" t="str">
        <f>IFERROR(VLOOKUP(F1451,Back!C:E,3,0),"")</f>
        <v>IPS Pto De Vista Olaya</v>
      </c>
      <c r="Q1451" s="28" t="str">
        <f>IFERROR(VLOOKUP(P1451,Back!M:N,2,0),"")</f>
        <v>Centro</v>
      </c>
      <c r="R1451" s="27" t="str">
        <f>IF(N1451="Si",IFERROR(VLOOKUP(F1451,'TD Cumpl'!B:AB,27,0),"No Aplica"),"No Aplica")</f>
        <v>Cumple</v>
      </c>
      <c r="S1451" s="38">
        <v>81</v>
      </c>
      <c r="T1451" s="36">
        <v>6479695</v>
      </c>
      <c r="U1451" s="26">
        <v>222</v>
      </c>
      <c r="V1451" s="37">
        <v>18536515</v>
      </c>
      <c r="W1451" s="19">
        <v>126</v>
      </c>
      <c r="X1451" s="37">
        <v>8237800</v>
      </c>
      <c r="Y1451" s="46">
        <f t="shared" si="46"/>
        <v>2977577</v>
      </c>
      <c r="Z1451" s="19" t="s">
        <v>318</v>
      </c>
    </row>
    <row r="1452" spans="1:26" x14ac:dyDescent="0.25">
      <c r="A1452" s="20">
        <f>+VLOOKUP(D1452,Back!Q:R,2,0)</f>
        <v>7</v>
      </c>
      <c r="B1452" s="20" t="str">
        <f t="shared" si="45"/>
        <v>2018 JUL</v>
      </c>
      <c r="C1452" s="30">
        <v>2018</v>
      </c>
      <c r="D1452" s="30" t="s">
        <v>157</v>
      </c>
      <c r="E1452" s="30" t="s">
        <v>4</v>
      </c>
      <c r="F1452" s="30">
        <v>79701425</v>
      </c>
      <c r="G1452" s="30" t="s">
        <v>27</v>
      </c>
      <c r="H1452" s="32">
        <v>33161155</v>
      </c>
      <c r="I1452" s="32">
        <v>0</v>
      </c>
      <c r="J1452" s="32">
        <v>7430621</v>
      </c>
      <c r="K1452" s="33">
        <v>25730534</v>
      </c>
      <c r="L1452" s="33">
        <v>25000008</v>
      </c>
      <c r="M1452" s="34">
        <v>1.0292210306492702</v>
      </c>
      <c r="N1452" s="209" t="str">
        <f>IFERROR(VLOOKUP(F1452,Back!C:F,4,0),"NO")</f>
        <v>No</v>
      </c>
      <c r="O1452" s="26">
        <v>24</v>
      </c>
      <c r="P1452" s="28" t="str">
        <f>IFERROR(VLOOKUP(F1452,Back!C:E,3,0),"")</f>
        <v>IPS Pto De Vista Olaya</v>
      </c>
      <c r="Q1452" s="28" t="str">
        <f>IFERROR(VLOOKUP(P1452,Back!M:N,2,0),"")</f>
        <v>Centro</v>
      </c>
      <c r="R1452" s="27" t="str">
        <f>IF(N1452="Si",IFERROR(VLOOKUP(F1452,'TD Cumpl'!B:AB,27,0),"No Aplica"),"No Aplica")</f>
        <v>No Aplica</v>
      </c>
      <c r="S1452" s="38">
        <v>86</v>
      </c>
      <c r="T1452" s="36">
        <v>6216915</v>
      </c>
      <c r="U1452" s="26">
        <v>217</v>
      </c>
      <c r="V1452" s="37">
        <v>18187647</v>
      </c>
      <c r="W1452" s="19">
        <v>97</v>
      </c>
      <c r="X1452" s="37">
        <v>7094721</v>
      </c>
      <c r="Y1452" s="46">
        <f t="shared" si="46"/>
        <v>1661872</v>
      </c>
    </row>
    <row r="1453" spans="1:26" x14ac:dyDescent="0.25">
      <c r="A1453" s="20">
        <f>+VLOOKUP(D1453,Back!Q:R,2,0)</f>
        <v>7</v>
      </c>
      <c r="B1453" s="20" t="str">
        <f t="shared" si="45"/>
        <v>2018 JUL</v>
      </c>
      <c r="C1453" s="30">
        <v>2018</v>
      </c>
      <c r="D1453" s="30" t="s">
        <v>157</v>
      </c>
      <c r="E1453" s="30" t="s">
        <v>62</v>
      </c>
      <c r="F1453" s="30">
        <v>32256379</v>
      </c>
      <c r="G1453" s="30" t="s">
        <v>61</v>
      </c>
      <c r="H1453" s="32">
        <v>30526639</v>
      </c>
      <c r="I1453" s="32">
        <v>0</v>
      </c>
      <c r="J1453" s="32">
        <v>3143178</v>
      </c>
      <c r="K1453" s="33">
        <v>27383461</v>
      </c>
      <c r="L1453" s="33">
        <v>43999992</v>
      </c>
      <c r="M1453" s="34">
        <v>0.62235149951845448</v>
      </c>
      <c r="N1453" s="209" t="str">
        <f>IFERROR(VLOOKUP(F1453,Back!C:F,4,0),"NO")</f>
        <v>Si</v>
      </c>
      <c r="O1453" s="26">
        <v>24</v>
      </c>
      <c r="P1453" s="28" t="str">
        <f>IFERROR(VLOOKUP(F1453,Back!C:E,3,0),"")</f>
        <v>Ferias Empresariales Antioquia</v>
      </c>
      <c r="Q1453" s="28" t="str">
        <f>IFERROR(VLOOKUP(P1453,Back!M:N,2,0),"")</f>
        <v>Antioquia</v>
      </c>
      <c r="R1453" s="27" t="str">
        <f>IF(N1453="Si",IFERROR(VLOOKUP(F1453,'TD Cumpl'!B:AB,27,0),"No Aplica"),"No Aplica")</f>
        <v>Fluctúa</v>
      </c>
      <c r="S1453" s="38">
        <v>53</v>
      </c>
      <c r="T1453" s="36">
        <v>8143748</v>
      </c>
      <c r="U1453" s="26">
        <v>104</v>
      </c>
      <c r="V1453" s="37">
        <v>16764458</v>
      </c>
      <c r="W1453" s="19">
        <v>42</v>
      </c>
      <c r="X1453" s="37">
        <v>3143178</v>
      </c>
      <c r="Y1453" s="46">
        <f t="shared" si="46"/>
        <v>2475255</v>
      </c>
      <c r="Z1453" s="19" t="s">
        <v>318</v>
      </c>
    </row>
    <row r="1454" spans="1:26" x14ac:dyDescent="0.25">
      <c r="A1454" s="20">
        <f>+VLOOKUP(D1454,Back!Q:R,2,0)</f>
        <v>7</v>
      </c>
      <c r="B1454" s="20" t="str">
        <f t="shared" si="45"/>
        <v>2018 JUL</v>
      </c>
      <c r="C1454" s="30">
        <v>2018</v>
      </c>
      <c r="D1454" s="30" t="s">
        <v>157</v>
      </c>
      <c r="E1454" s="30" t="s">
        <v>266</v>
      </c>
      <c r="F1454" s="30">
        <v>1128476466</v>
      </c>
      <c r="G1454" s="30" t="s">
        <v>267</v>
      </c>
      <c r="H1454" s="32">
        <v>32451648</v>
      </c>
      <c r="I1454" s="32">
        <v>221100</v>
      </c>
      <c r="J1454" s="32">
        <v>3845776</v>
      </c>
      <c r="K1454" s="33">
        <v>28384772</v>
      </c>
      <c r="L1454" s="33">
        <v>20166663</v>
      </c>
      <c r="M1454" s="34">
        <v>1.4075096112827392</v>
      </c>
      <c r="N1454" s="209" t="str">
        <f>IFERROR(VLOOKUP(F1454,Back!C:F,4,0),"NO")</f>
        <v>Si</v>
      </c>
      <c r="O1454" s="26">
        <v>24</v>
      </c>
      <c r="P1454" s="28" t="str">
        <f>IFERROR(VLOOKUP(F1454,Back!C:E,3,0),"")</f>
        <v>IPS Pto De Vista San Diego</v>
      </c>
      <c r="Q1454" s="28" t="str">
        <f>IFERROR(VLOOKUP(P1454,Back!M:N,2,0),"")</f>
        <v>Antioquia</v>
      </c>
      <c r="R1454" s="27" t="str">
        <f>IF(N1454="Si",IFERROR(VLOOKUP(F1454,'TD Cumpl'!B:AB,27,0),"No Aplica"),"No Aplica")</f>
        <v>Fluctúa</v>
      </c>
      <c r="S1454" s="38">
        <v>64</v>
      </c>
      <c r="T1454" s="36">
        <v>8588970</v>
      </c>
      <c r="U1454" s="26">
        <v>131</v>
      </c>
      <c r="V1454" s="37">
        <v>16573118</v>
      </c>
      <c r="W1454" s="19">
        <v>56</v>
      </c>
      <c r="X1454" s="37">
        <v>3845776</v>
      </c>
      <c r="Y1454" s="46">
        <f t="shared" si="46"/>
        <v>3443784</v>
      </c>
      <c r="Z1454" s="19" t="s">
        <v>318</v>
      </c>
    </row>
    <row r="1455" spans="1:26" x14ac:dyDescent="0.25">
      <c r="A1455" s="20">
        <f>+VLOOKUP(D1455,Back!Q:R,2,0)</f>
        <v>7</v>
      </c>
      <c r="B1455" s="20" t="str">
        <f t="shared" si="45"/>
        <v>2018 JUL</v>
      </c>
      <c r="C1455" s="30">
        <v>2018</v>
      </c>
      <c r="D1455" s="30" t="s">
        <v>157</v>
      </c>
      <c r="E1455" s="30" t="s">
        <v>25</v>
      </c>
      <c r="F1455" s="30">
        <v>1040030764</v>
      </c>
      <c r="G1455" s="30" t="s">
        <v>43</v>
      </c>
      <c r="H1455" s="32">
        <v>48467586</v>
      </c>
      <c r="I1455" s="32">
        <v>4053090</v>
      </c>
      <c r="J1455" s="32">
        <v>9669073</v>
      </c>
      <c r="K1455" s="33">
        <v>34745423</v>
      </c>
      <c r="L1455" s="33">
        <v>34999992</v>
      </c>
      <c r="M1455" s="34">
        <v>0.9927265983375082</v>
      </c>
      <c r="N1455" s="209" t="str">
        <f>IFERROR(VLOOKUP(F1455,Back!C:F,4,0),"NO")</f>
        <v>Si</v>
      </c>
      <c r="O1455" s="26">
        <v>24</v>
      </c>
      <c r="P1455" s="28" t="str">
        <f>IFERROR(VLOOKUP(F1455,Back!C:E,3,0),"")</f>
        <v>IPS Pto De Vista Rionegro</v>
      </c>
      <c r="Q1455" s="28" t="str">
        <f>IFERROR(VLOOKUP(P1455,Back!M:N,2,0),"")</f>
        <v>Antioquia</v>
      </c>
      <c r="R1455" s="27" t="str">
        <f>IF(N1455="Si",IFERROR(VLOOKUP(F1455,'TD Cumpl'!B:AB,27,0),"No Aplica"),"No Aplica")</f>
        <v>Cumple</v>
      </c>
      <c r="S1455" s="38">
        <v>66</v>
      </c>
      <c r="T1455" s="36">
        <v>8194779</v>
      </c>
      <c r="U1455" s="26">
        <v>189</v>
      </c>
      <c r="V1455" s="37">
        <v>24625896</v>
      </c>
      <c r="W1455" s="19">
        <v>105</v>
      </c>
      <c r="X1455" s="37">
        <v>9669073</v>
      </c>
      <c r="Y1455" s="46">
        <f t="shared" si="46"/>
        <v>5977838</v>
      </c>
      <c r="Z1455" s="19" t="s">
        <v>318</v>
      </c>
    </row>
    <row r="1456" spans="1:26" x14ac:dyDescent="0.25">
      <c r="A1456" s="20">
        <f>+VLOOKUP(D1456,Back!Q:R,2,0)</f>
        <v>7</v>
      </c>
      <c r="B1456" s="20" t="str">
        <f t="shared" si="45"/>
        <v>2018 JUL</v>
      </c>
      <c r="C1456" s="30">
        <v>2018</v>
      </c>
      <c r="D1456" s="30" t="s">
        <v>157</v>
      </c>
      <c r="E1456" s="30" t="s">
        <v>37</v>
      </c>
      <c r="F1456" s="30">
        <v>1036779770</v>
      </c>
      <c r="G1456" s="30" t="s">
        <v>52</v>
      </c>
      <c r="H1456" s="32">
        <v>19071363</v>
      </c>
      <c r="I1456" s="32">
        <v>954000</v>
      </c>
      <c r="J1456" s="32">
        <v>1389279</v>
      </c>
      <c r="K1456" s="33">
        <v>16728084</v>
      </c>
      <c r="L1456" s="33">
        <v>16041663</v>
      </c>
      <c r="M1456" s="34">
        <v>1.0427898903000268</v>
      </c>
      <c r="N1456" s="209" t="str">
        <f>IFERROR(VLOOKUP(F1456,Back!C:F,4,0),"NO")</f>
        <v>No</v>
      </c>
      <c r="O1456" s="26">
        <v>24</v>
      </c>
      <c r="P1456" s="28" t="str">
        <f>IFERROR(VLOOKUP(F1456,Back!C:E,3,0),"")</f>
        <v>IPS Pto De Vista Rionegro</v>
      </c>
      <c r="Q1456" s="28" t="str">
        <f>IFERROR(VLOOKUP(P1456,Back!M:N,2,0),"")</f>
        <v>Antioquia</v>
      </c>
      <c r="R1456" s="27" t="str">
        <f>IF(N1456="Si",IFERROR(VLOOKUP(F1456,'TD Cumpl'!B:AB,27,0),"No Aplica"),"No Aplica")</f>
        <v>No Aplica</v>
      </c>
      <c r="S1456" s="38">
        <v>44</v>
      </c>
      <c r="T1456" s="36">
        <v>4400900</v>
      </c>
      <c r="U1456" s="26">
        <v>116</v>
      </c>
      <c r="V1456" s="37">
        <v>11357657</v>
      </c>
      <c r="W1456" s="19">
        <v>15</v>
      </c>
      <c r="X1456" s="37">
        <v>1389279</v>
      </c>
      <c r="Y1456" s="46">
        <f t="shared" si="46"/>
        <v>1923527</v>
      </c>
    </row>
    <row r="1457" spans="1:26" x14ac:dyDescent="0.25">
      <c r="A1457" s="20">
        <f>+VLOOKUP(D1457,Back!Q:R,2,0)</f>
        <v>7</v>
      </c>
      <c r="B1457" s="20" t="str">
        <f t="shared" si="45"/>
        <v>2018 JUL</v>
      </c>
      <c r="C1457" s="30">
        <v>2018</v>
      </c>
      <c r="D1457" s="30" t="s">
        <v>157</v>
      </c>
      <c r="E1457" s="30" t="s">
        <v>24</v>
      </c>
      <c r="F1457" s="30">
        <v>39448823</v>
      </c>
      <c r="G1457" s="30" t="s">
        <v>48</v>
      </c>
      <c r="H1457" s="32">
        <v>52538201</v>
      </c>
      <c r="I1457" s="32">
        <v>3038100</v>
      </c>
      <c r="J1457" s="32">
        <v>9478975</v>
      </c>
      <c r="K1457" s="33">
        <v>40021126</v>
      </c>
      <c r="L1457" s="33">
        <v>34999992</v>
      </c>
      <c r="M1457" s="34">
        <v>1.143461004219658</v>
      </c>
      <c r="N1457" s="209" t="str">
        <f>IFERROR(VLOOKUP(F1457,Back!C:F,4,0),"NO")</f>
        <v>Si</v>
      </c>
      <c r="O1457" s="26">
        <v>24</v>
      </c>
      <c r="P1457" s="28" t="str">
        <f>IFERROR(VLOOKUP(F1457,Back!C:E,3,0),"")</f>
        <v>IPS Pto De Vista Rionegro</v>
      </c>
      <c r="Q1457" s="28" t="str">
        <f>IFERROR(VLOOKUP(P1457,Back!M:N,2,0),"")</f>
        <v>Antioquia</v>
      </c>
      <c r="R1457" s="27" t="str">
        <f>IF(N1457="Si",IFERROR(VLOOKUP(F1457,'TD Cumpl'!B:AB,27,0),"No Aplica"),"No Aplica")</f>
        <v>Siempre Cumple</v>
      </c>
      <c r="S1457" s="38">
        <v>89</v>
      </c>
      <c r="T1457" s="36">
        <v>9975073</v>
      </c>
      <c r="U1457" s="26">
        <v>210</v>
      </c>
      <c r="V1457" s="37">
        <v>24624771</v>
      </c>
      <c r="W1457" s="19">
        <v>103</v>
      </c>
      <c r="X1457" s="37">
        <v>9478975</v>
      </c>
      <c r="Y1457" s="46">
        <f t="shared" si="46"/>
        <v>8459382</v>
      </c>
      <c r="Z1457" s="19" t="s">
        <v>318</v>
      </c>
    </row>
    <row r="1458" spans="1:26" x14ac:dyDescent="0.25">
      <c r="A1458" s="20">
        <f>+VLOOKUP(D1458,Back!Q:R,2,0)</f>
        <v>7</v>
      </c>
      <c r="B1458" s="20" t="str">
        <f t="shared" si="45"/>
        <v>2018 JUL</v>
      </c>
      <c r="C1458" s="30">
        <v>2018</v>
      </c>
      <c r="D1458" s="30" t="s">
        <v>157</v>
      </c>
      <c r="E1458" s="30" t="s">
        <v>11</v>
      </c>
      <c r="F1458" s="30">
        <v>43253531</v>
      </c>
      <c r="G1458" s="30" t="s">
        <v>39</v>
      </c>
      <c r="H1458" s="35">
        <v>64802971</v>
      </c>
      <c r="I1458" s="32">
        <v>1533300</v>
      </c>
      <c r="J1458" s="32">
        <v>18327939</v>
      </c>
      <c r="K1458" s="33">
        <v>44941732</v>
      </c>
      <c r="L1458" s="33">
        <v>34999992</v>
      </c>
      <c r="M1458" s="34">
        <v>1.2840497792113781</v>
      </c>
      <c r="N1458" s="209" t="str">
        <f>IFERROR(VLOOKUP(F1458,Back!C:F,4,0),"NO")</f>
        <v>Si</v>
      </c>
      <c r="O1458" s="26">
        <v>24</v>
      </c>
      <c r="P1458" s="28" t="str">
        <f>IFERROR(VLOOKUP(F1458,Back!C:E,3,0),"")</f>
        <v>IPS Punto de Vista Bello</v>
      </c>
      <c r="Q1458" s="28" t="str">
        <f>IFERROR(VLOOKUP(P1458,Back!M:N,2,0),"")</f>
        <v>Antioquia</v>
      </c>
      <c r="R1458" s="27" t="str">
        <f>IF(N1458="Si",IFERROR(VLOOKUP(F1458,'TD Cumpl'!B:AB,27,0),"No Aplica"),"No Aplica")</f>
        <v>Cumple</v>
      </c>
      <c r="S1458" s="38">
        <v>96</v>
      </c>
      <c r="T1458" s="36">
        <v>8418436</v>
      </c>
      <c r="U1458" s="26">
        <v>250</v>
      </c>
      <c r="V1458" s="37">
        <v>32260486</v>
      </c>
      <c r="W1458" s="19">
        <v>189</v>
      </c>
      <c r="X1458" s="37">
        <v>18327939</v>
      </c>
      <c r="Y1458" s="46">
        <f t="shared" si="46"/>
        <v>5796110</v>
      </c>
      <c r="Z1458" s="19" t="s">
        <v>318</v>
      </c>
    </row>
    <row r="1459" spans="1:26" x14ac:dyDescent="0.25">
      <c r="A1459" s="20">
        <f>+VLOOKUP(D1459,Back!Q:R,2,0)</f>
        <v>7</v>
      </c>
      <c r="B1459" s="20" t="str">
        <f t="shared" si="45"/>
        <v>2018 JUL</v>
      </c>
      <c r="C1459" s="30">
        <v>2018</v>
      </c>
      <c r="D1459" s="30" t="s">
        <v>157</v>
      </c>
      <c r="E1459" s="30" t="s">
        <v>261</v>
      </c>
      <c r="F1459" s="30">
        <v>1020425089</v>
      </c>
      <c r="G1459" s="30" t="s">
        <v>271</v>
      </c>
      <c r="H1459" s="35">
        <v>34550139</v>
      </c>
      <c r="I1459" s="32">
        <v>1103100</v>
      </c>
      <c r="J1459" s="32">
        <v>5827589</v>
      </c>
      <c r="K1459" s="33">
        <v>27619450</v>
      </c>
      <c r="L1459" s="33">
        <v>42124992</v>
      </c>
      <c r="M1459" s="34">
        <v>0.65565472392255886</v>
      </c>
      <c r="N1459" s="209" t="str">
        <f>IFERROR(VLOOKUP(F1459,Back!C:F,4,0),"NO")</f>
        <v>Si</v>
      </c>
      <c r="O1459" s="26">
        <v>24</v>
      </c>
      <c r="P1459" s="28" t="str">
        <f>IFERROR(VLOOKUP(F1459,Back!C:E,3,0),"")</f>
        <v>IPS Pto De Vista Punto Clave</v>
      </c>
      <c r="Q1459" s="28" t="str">
        <f>IFERROR(VLOOKUP(P1459,Back!M:N,2,0),"")</f>
        <v>Antioquia</v>
      </c>
      <c r="R1459" s="27" t="str">
        <f>IF(N1459="Si",IFERROR(VLOOKUP(F1459,'TD Cumpl'!B:AB,27,0),"No Aplica"),"No Aplica")</f>
        <v>Cumple</v>
      </c>
      <c r="S1459" s="38">
        <v>60</v>
      </c>
      <c r="T1459" s="36">
        <v>7051831</v>
      </c>
      <c r="U1459" s="26">
        <v>144</v>
      </c>
      <c r="V1459" s="37">
        <v>16441144</v>
      </c>
      <c r="W1459" s="19">
        <v>65</v>
      </c>
      <c r="X1459" s="37">
        <v>5827589</v>
      </c>
      <c r="Y1459" s="46">
        <f t="shared" si="46"/>
        <v>5229575</v>
      </c>
      <c r="Z1459" s="19" t="s">
        <v>318</v>
      </c>
    </row>
    <row r="1460" spans="1:26" x14ac:dyDescent="0.25">
      <c r="A1460" s="20">
        <f>+VLOOKUP(D1460,Back!Q:R,2,0)</f>
        <v>7</v>
      </c>
      <c r="B1460" s="20" t="str">
        <f t="shared" si="45"/>
        <v>2018 JUL</v>
      </c>
      <c r="C1460" s="30">
        <v>2018</v>
      </c>
      <c r="D1460" s="30" t="s">
        <v>157</v>
      </c>
      <c r="E1460" s="30" t="s">
        <v>121</v>
      </c>
      <c r="F1460" s="30">
        <v>21982241</v>
      </c>
      <c r="G1460" s="30" t="s">
        <v>143</v>
      </c>
      <c r="H1460" s="32">
        <v>40987181</v>
      </c>
      <c r="I1460" s="32">
        <v>792000</v>
      </c>
      <c r="J1460" s="32">
        <v>5663116</v>
      </c>
      <c r="K1460" s="33">
        <v>34532065</v>
      </c>
      <c r="L1460" s="33">
        <v>20416662</v>
      </c>
      <c r="M1460" s="34">
        <v>1.6913668355777256</v>
      </c>
      <c r="N1460" s="209" t="str">
        <f>IFERROR(VLOOKUP(F1460,Back!C:F,4,0),"NO")</f>
        <v>Si</v>
      </c>
      <c r="O1460" s="26">
        <v>24</v>
      </c>
      <c r="P1460" s="28" t="str">
        <f>IFERROR(VLOOKUP(F1460,Back!C:E,3,0),"")</f>
        <v>IPS Punto de Vista Bello</v>
      </c>
      <c r="Q1460" s="28" t="str">
        <f>IFERROR(VLOOKUP(P1460,Back!M:N,2,0),"")</f>
        <v>Antioquia</v>
      </c>
      <c r="R1460" s="27" t="str">
        <f>IF(N1460="Si",IFERROR(VLOOKUP(F1460,'TD Cumpl'!B:AB,27,0),"No Aplica"),"No Aplica")</f>
        <v>Fluctúa</v>
      </c>
      <c r="S1460" s="38">
        <v>82</v>
      </c>
      <c r="T1460" s="36">
        <v>7741238</v>
      </c>
      <c r="U1460" s="26">
        <v>214</v>
      </c>
      <c r="V1460" s="37">
        <v>23551375</v>
      </c>
      <c r="W1460" s="19">
        <v>62</v>
      </c>
      <c r="X1460" s="37">
        <v>5663116</v>
      </c>
      <c r="Y1460" s="46">
        <f t="shared" si="46"/>
        <v>4031452</v>
      </c>
      <c r="Z1460" s="19" t="s">
        <v>318</v>
      </c>
    </row>
    <row r="1461" spans="1:26" x14ac:dyDescent="0.25">
      <c r="A1461" s="20">
        <f>+VLOOKUP(D1461,Back!Q:R,2,0)</f>
        <v>7</v>
      </c>
      <c r="B1461" s="20" t="str">
        <f t="shared" si="45"/>
        <v>2018 JUL</v>
      </c>
      <c r="C1461" s="30">
        <v>2018</v>
      </c>
      <c r="D1461" s="30" t="s">
        <v>157</v>
      </c>
      <c r="E1461" s="30" t="s">
        <v>9</v>
      </c>
      <c r="F1461" s="30">
        <v>43169964</v>
      </c>
      <c r="G1461" s="30" t="s">
        <v>155</v>
      </c>
      <c r="H1461" s="32">
        <v>57213434</v>
      </c>
      <c r="I1461" s="32">
        <v>960000</v>
      </c>
      <c r="J1461" s="32">
        <v>11807685</v>
      </c>
      <c r="K1461" s="33">
        <v>44445749</v>
      </c>
      <c r="L1461" s="33">
        <v>43999992</v>
      </c>
      <c r="M1461" s="34">
        <v>1.0101308427510622</v>
      </c>
      <c r="N1461" s="209" t="str">
        <f>IFERROR(VLOOKUP(F1461,Back!C:F,4,0),"NO")</f>
        <v>Si</v>
      </c>
      <c r="O1461" s="26">
        <v>24</v>
      </c>
      <c r="P1461" s="28" t="str">
        <f>IFERROR(VLOOKUP(F1461,Back!C:E,3,0),"")</f>
        <v>IPS Pto De Vista Molinos</v>
      </c>
      <c r="Q1461" s="28" t="str">
        <f>IFERROR(VLOOKUP(P1461,Back!M:N,2,0),"")</f>
        <v>Antioquia</v>
      </c>
      <c r="R1461" s="27" t="str">
        <f>IF(N1461="Si",IFERROR(VLOOKUP(F1461,'TD Cumpl'!B:AB,27,0),"No Aplica"),"No Aplica")</f>
        <v>Cumple</v>
      </c>
      <c r="S1461" s="38">
        <v>92</v>
      </c>
      <c r="T1461" s="36">
        <v>9904803</v>
      </c>
      <c r="U1461" s="26">
        <v>272</v>
      </c>
      <c r="V1461" s="37">
        <v>29212746</v>
      </c>
      <c r="W1461" s="19">
        <v>115</v>
      </c>
      <c r="X1461" s="37">
        <v>11807685</v>
      </c>
      <c r="Y1461" s="46">
        <f t="shared" si="46"/>
        <v>6288200</v>
      </c>
      <c r="Z1461" s="19" t="s">
        <v>318</v>
      </c>
    </row>
    <row r="1462" spans="1:26" x14ac:dyDescent="0.25">
      <c r="A1462" s="20">
        <f>+VLOOKUP(D1462,Back!Q:R,2,0)</f>
        <v>7</v>
      </c>
      <c r="B1462" s="20" t="str">
        <f t="shared" si="45"/>
        <v>2018 JUL</v>
      </c>
      <c r="C1462" s="30">
        <v>2018</v>
      </c>
      <c r="D1462" s="30" t="s">
        <v>157</v>
      </c>
      <c r="E1462" s="30" t="s">
        <v>259</v>
      </c>
      <c r="F1462" s="30">
        <v>1020399898</v>
      </c>
      <c r="G1462" s="30" t="s">
        <v>260</v>
      </c>
      <c r="H1462" s="32">
        <v>35180241</v>
      </c>
      <c r="I1462" s="32">
        <v>1794600</v>
      </c>
      <c r="J1462" s="32">
        <v>7419834</v>
      </c>
      <c r="K1462" s="33">
        <v>25965807</v>
      </c>
      <c r="L1462" s="33">
        <v>39499992</v>
      </c>
      <c r="M1462" s="34">
        <v>0.65736233566832114</v>
      </c>
      <c r="N1462" s="209" t="str">
        <f>IFERROR(VLOOKUP(F1462,Back!C:F,4,0),"NO")</f>
        <v>Si</v>
      </c>
      <c r="O1462" s="26">
        <v>24</v>
      </c>
      <c r="P1462" s="28" t="str">
        <f>IFERROR(VLOOKUP(F1462,Back!C:E,3,0),"")</f>
        <v>IPS Punto de Vista Mayorca</v>
      </c>
      <c r="Q1462" s="28" t="str">
        <f>IFERROR(VLOOKUP(P1462,Back!M:N,2,0),"")</f>
        <v>Antioquia</v>
      </c>
      <c r="R1462" s="27" t="str">
        <f>IF(N1462="Si",IFERROR(VLOOKUP(F1462,'TD Cumpl'!B:AB,27,0),"No Aplica"),"No Aplica")</f>
        <v>Fluctúa</v>
      </c>
      <c r="S1462" s="38">
        <v>62</v>
      </c>
      <c r="T1462" s="36">
        <v>5774660</v>
      </c>
      <c r="U1462" s="26">
        <v>150</v>
      </c>
      <c r="V1462" s="37">
        <v>16055309</v>
      </c>
      <c r="W1462" s="19">
        <v>80</v>
      </c>
      <c r="X1462" s="37">
        <v>7419834</v>
      </c>
      <c r="Y1462" s="46">
        <f t="shared" si="46"/>
        <v>5930438</v>
      </c>
      <c r="Z1462" s="19" t="s">
        <v>318</v>
      </c>
    </row>
    <row r="1463" spans="1:26" x14ac:dyDescent="0.25">
      <c r="A1463" s="20">
        <f>+VLOOKUP(D1463,Back!Q:R,2,0)</f>
        <v>7</v>
      </c>
      <c r="B1463" s="20" t="str">
        <f t="shared" si="45"/>
        <v>2018 JUL</v>
      </c>
      <c r="C1463" s="30">
        <v>2018</v>
      </c>
      <c r="D1463" s="30" t="s">
        <v>157</v>
      </c>
      <c r="E1463" s="30" t="s">
        <v>20</v>
      </c>
      <c r="F1463" s="30">
        <v>1017141451</v>
      </c>
      <c r="G1463" s="30" t="s">
        <v>44</v>
      </c>
      <c r="H1463" s="32">
        <v>56630487</v>
      </c>
      <c r="I1463" s="32">
        <v>1404000</v>
      </c>
      <c r="J1463" s="32">
        <v>9258170</v>
      </c>
      <c r="K1463" s="33">
        <v>45968317</v>
      </c>
      <c r="L1463" s="33">
        <v>43999992</v>
      </c>
      <c r="M1463" s="34">
        <v>1.044734667224485</v>
      </c>
      <c r="N1463" s="209" t="str">
        <f>IFERROR(VLOOKUP(F1463,Back!C:F,4,0),"NO")</f>
        <v>Si</v>
      </c>
      <c r="O1463" s="26">
        <v>24</v>
      </c>
      <c r="P1463" s="28" t="str">
        <f>IFERROR(VLOOKUP(F1463,Back!C:E,3,0),"")</f>
        <v>IPS Pto De Vista Molinos</v>
      </c>
      <c r="Q1463" s="28" t="str">
        <f>IFERROR(VLOOKUP(P1463,Back!M:N,2,0),"")</f>
        <v>Antioquia</v>
      </c>
      <c r="R1463" s="27" t="str">
        <f>IF(N1463="Si",IFERROR(VLOOKUP(F1463,'TD Cumpl'!B:AB,27,0),"No Aplica"),"No Aplica")</f>
        <v>Siempre Cumple</v>
      </c>
      <c r="S1463" s="38">
        <v>88</v>
      </c>
      <c r="T1463" s="36">
        <v>10349434</v>
      </c>
      <c r="U1463" s="26">
        <v>212</v>
      </c>
      <c r="V1463" s="37">
        <v>29614333</v>
      </c>
      <c r="W1463" s="19">
        <v>92</v>
      </c>
      <c r="X1463" s="37">
        <v>9258170</v>
      </c>
      <c r="Y1463" s="46">
        <f t="shared" si="46"/>
        <v>7408550</v>
      </c>
      <c r="Z1463" s="19" t="s">
        <v>318</v>
      </c>
    </row>
    <row r="1464" spans="1:26" x14ac:dyDescent="0.25">
      <c r="A1464" s="20">
        <f>+VLOOKUP(D1464,Back!Q:R,2,0)</f>
        <v>7</v>
      </c>
      <c r="B1464" s="20" t="str">
        <f t="shared" si="45"/>
        <v>2018 JUL</v>
      </c>
      <c r="C1464" s="30">
        <v>2018</v>
      </c>
      <c r="D1464" s="30" t="s">
        <v>157</v>
      </c>
      <c r="E1464" s="30" t="s">
        <v>181</v>
      </c>
      <c r="F1464" s="30">
        <v>32183069</v>
      </c>
      <c r="G1464" s="30" t="s">
        <v>182</v>
      </c>
      <c r="H1464" s="32">
        <v>56192349</v>
      </c>
      <c r="I1464" s="32">
        <v>558000</v>
      </c>
      <c r="J1464" s="32">
        <v>12674529</v>
      </c>
      <c r="K1464" s="33">
        <v>42959820</v>
      </c>
      <c r="L1464" s="33">
        <v>43624992</v>
      </c>
      <c r="M1464" s="34">
        <v>0.98475250150189142</v>
      </c>
      <c r="N1464" s="209" t="str">
        <f>IFERROR(VLOOKUP(F1464,Back!C:F,4,0),"NO")</f>
        <v>Si</v>
      </c>
      <c r="O1464" s="26">
        <v>24</v>
      </c>
      <c r="P1464" s="28" t="str">
        <f>IFERROR(VLOOKUP(F1464,Back!C:E,3,0),"")</f>
        <v>IPS Pto De Vista Molinos</v>
      </c>
      <c r="Q1464" s="28" t="str">
        <f>IFERROR(VLOOKUP(P1464,Back!M:N,2,0),"")</f>
        <v>Antioquia</v>
      </c>
      <c r="R1464" s="27" t="str">
        <f>IF(N1464="Si",IFERROR(VLOOKUP(F1464,'TD Cumpl'!B:AB,27,0),"No Aplica"),"No Aplica")</f>
        <v>No Cumple</v>
      </c>
      <c r="S1464" s="38">
        <v>100</v>
      </c>
      <c r="T1464" s="36">
        <v>8291787</v>
      </c>
      <c r="U1464" s="26">
        <v>252</v>
      </c>
      <c r="V1464" s="37">
        <v>26995277</v>
      </c>
      <c r="W1464" s="19">
        <v>115</v>
      </c>
      <c r="X1464" s="37">
        <v>12674529</v>
      </c>
      <c r="Y1464" s="46">
        <f t="shared" si="46"/>
        <v>8230756</v>
      </c>
      <c r="Z1464" s="19" t="s">
        <v>318</v>
      </c>
    </row>
    <row r="1465" spans="1:26" x14ac:dyDescent="0.25">
      <c r="A1465" s="20">
        <f>+VLOOKUP(D1465,Back!Q:R,2,0)</f>
        <v>7</v>
      </c>
      <c r="B1465" s="20" t="str">
        <f t="shared" si="45"/>
        <v>2018 JUL</v>
      </c>
      <c r="C1465" s="30">
        <v>2018</v>
      </c>
      <c r="D1465" s="30" t="s">
        <v>157</v>
      </c>
      <c r="E1465" s="30" t="s">
        <v>103</v>
      </c>
      <c r="F1465" s="30">
        <v>1020409789</v>
      </c>
      <c r="G1465" s="30" t="s">
        <v>145</v>
      </c>
      <c r="H1465" s="32">
        <v>55309901</v>
      </c>
      <c r="I1465" s="32">
        <v>2050400</v>
      </c>
      <c r="J1465" s="32">
        <v>11431211</v>
      </c>
      <c r="K1465" s="33">
        <v>41828290</v>
      </c>
      <c r="L1465" s="33">
        <v>23833329</v>
      </c>
      <c r="M1465" s="34">
        <v>1.7550334659501408</v>
      </c>
      <c r="N1465" s="209" t="str">
        <f>IFERROR(VLOOKUP(F1465,Back!C:F,4,0),"NO")</f>
        <v>Si</v>
      </c>
      <c r="O1465" s="26">
        <v>24</v>
      </c>
      <c r="P1465" s="28" t="str">
        <f>IFERROR(VLOOKUP(F1465,Back!C:E,3,0),"")</f>
        <v>IPS Pto De Vista Molinos</v>
      </c>
      <c r="Q1465" s="28" t="str">
        <f>IFERROR(VLOOKUP(P1465,Back!M:N,2,0),"")</f>
        <v>Antioquia</v>
      </c>
      <c r="R1465" s="27" t="str">
        <f>IF(N1465="Si",IFERROR(VLOOKUP(F1465,'TD Cumpl'!B:AB,27,0),"No Aplica"),"No Aplica")</f>
        <v>Cumple</v>
      </c>
      <c r="S1465" s="38">
        <v>91</v>
      </c>
      <c r="T1465" s="36">
        <v>10465996</v>
      </c>
      <c r="U1465" s="26">
        <v>196</v>
      </c>
      <c r="V1465" s="37">
        <v>25733099</v>
      </c>
      <c r="W1465" s="19">
        <v>109</v>
      </c>
      <c r="X1465" s="37">
        <v>11431211</v>
      </c>
      <c r="Y1465" s="46">
        <f t="shared" si="46"/>
        <v>7679595</v>
      </c>
      <c r="Z1465" s="19" t="s">
        <v>317</v>
      </c>
    </row>
    <row r="1466" spans="1:26" x14ac:dyDescent="0.25">
      <c r="A1466" s="20">
        <f>+VLOOKUP(D1466,Back!Q:R,2,0)</f>
        <v>7</v>
      </c>
      <c r="B1466" s="20" t="str">
        <f t="shared" si="45"/>
        <v>2018 JUL</v>
      </c>
      <c r="C1466" s="30">
        <v>2018</v>
      </c>
      <c r="D1466" s="30" t="s">
        <v>157</v>
      </c>
      <c r="E1466" s="30" t="s">
        <v>8</v>
      </c>
      <c r="F1466" s="30">
        <v>43259130</v>
      </c>
      <c r="G1466" s="30" t="s">
        <v>51</v>
      </c>
      <c r="H1466" s="32">
        <v>54134277</v>
      </c>
      <c r="I1466" s="32">
        <v>1607300</v>
      </c>
      <c r="J1466" s="32">
        <v>9622340</v>
      </c>
      <c r="K1466" s="33">
        <v>42904637</v>
      </c>
      <c r="L1466" s="33">
        <v>42166659</v>
      </c>
      <c r="M1466" s="34">
        <v>1.0175014577275379</v>
      </c>
      <c r="N1466" s="209" t="str">
        <f>IFERROR(VLOOKUP(F1466,Back!C:F,4,0),"NO")</f>
        <v>Si</v>
      </c>
      <c r="O1466" s="26">
        <v>24</v>
      </c>
      <c r="P1466" s="28" t="str">
        <f>IFERROR(VLOOKUP(F1466,Back!C:E,3,0),"")</f>
        <v>IPS Pto De Vista Molinos</v>
      </c>
      <c r="Q1466" s="28" t="str">
        <f>IFERROR(VLOOKUP(P1466,Back!M:N,2,0),"")</f>
        <v>Antioquia</v>
      </c>
      <c r="R1466" s="27" t="str">
        <f>IF(N1466="Si",IFERROR(VLOOKUP(F1466,'TD Cumpl'!B:AB,27,0),"No Aplica"),"No Aplica")</f>
        <v>Fluctúa</v>
      </c>
      <c r="S1466" s="38">
        <v>100</v>
      </c>
      <c r="T1466" s="36">
        <v>11254968</v>
      </c>
      <c r="U1466" s="26">
        <v>257</v>
      </c>
      <c r="V1466" s="37">
        <v>26810302</v>
      </c>
      <c r="W1466" s="19">
        <v>104</v>
      </c>
      <c r="X1466" s="37">
        <v>9622340</v>
      </c>
      <c r="Y1466" s="46">
        <f t="shared" si="46"/>
        <v>6446667</v>
      </c>
      <c r="Z1466" s="19" t="s">
        <v>318</v>
      </c>
    </row>
    <row r="1467" spans="1:26" x14ac:dyDescent="0.25">
      <c r="A1467" s="20">
        <f>+VLOOKUP(D1467,Back!Q:R,2,0)</f>
        <v>7</v>
      </c>
      <c r="B1467" s="20" t="str">
        <f t="shared" si="45"/>
        <v>2018 JUL</v>
      </c>
      <c r="C1467" s="30">
        <v>2018</v>
      </c>
      <c r="D1467" s="30" t="s">
        <v>157</v>
      </c>
      <c r="E1467" s="30" t="s">
        <v>56</v>
      </c>
      <c r="F1467" s="30">
        <v>43971430</v>
      </c>
      <c r="G1467" s="30" t="s">
        <v>142</v>
      </c>
      <c r="H1467" s="32">
        <v>62938600</v>
      </c>
      <c r="I1467" s="32">
        <v>838200</v>
      </c>
      <c r="J1467" s="32">
        <v>16105565</v>
      </c>
      <c r="K1467" s="33">
        <v>45994835</v>
      </c>
      <c r="L1467" s="33">
        <v>42000000</v>
      </c>
      <c r="M1467" s="34">
        <v>1.0951151190476192</v>
      </c>
      <c r="N1467" s="209" t="str">
        <f>IFERROR(VLOOKUP(F1467,Back!C:F,4,0),"NO")</f>
        <v>Si</v>
      </c>
      <c r="O1467" s="26">
        <v>24</v>
      </c>
      <c r="P1467" s="28" t="str">
        <f>IFERROR(VLOOKUP(F1467,Back!C:E,3,0),"")</f>
        <v>IPS Pto De Vista Centro</v>
      </c>
      <c r="Q1467" s="28" t="str">
        <f>IFERROR(VLOOKUP(P1467,Back!M:N,2,0),"")</f>
        <v>Antioquia</v>
      </c>
      <c r="R1467" s="27" t="str">
        <f>IF(N1467="Si",IFERROR(VLOOKUP(F1467,'TD Cumpl'!B:AB,27,0),"No Aplica"),"No Aplica")</f>
        <v>Siempre Cumple</v>
      </c>
      <c r="S1467" s="38">
        <v>109</v>
      </c>
      <c r="T1467" s="36">
        <v>10986591</v>
      </c>
      <c r="U1467" s="26">
        <v>290</v>
      </c>
      <c r="V1467" s="37">
        <v>30157874</v>
      </c>
      <c r="W1467" s="19">
        <v>157</v>
      </c>
      <c r="X1467" s="37">
        <v>16105565</v>
      </c>
      <c r="Y1467" s="46">
        <f t="shared" si="46"/>
        <v>5688570</v>
      </c>
      <c r="Z1467" s="19" t="s">
        <v>318</v>
      </c>
    </row>
    <row r="1468" spans="1:26" x14ac:dyDescent="0.25">
      <c r="A1468" s="20">
        <f>+VLOOKUP(D1468,Back!Q:R,2,0)</f>
        <v>7</v>
      </c>
      <c r="B1468" s="20" t="str">
        <f t="shared" si="45"/>
        <v>2018 JUL</v>
      </c>
      <c r="C1468" s="30">
        <v>2018</v>
      </c>
      <c r="D1468" s="30" t="s">
        <v>157</v>
      </c>
      <c r="E1468" s="30" t="s">
        <v>108</v>
      </c>
      <c r="F1468" s="30">
        <v>1020443426</v>
      </c>
      <c r="G1468" s="30" t="s">
        <v>109</v>
      </c>
      <c r="H1468" s="32">
        <v>33963532</v>
      </c>
      <c r="I1468" s="32">
        <v>1243400</v>
      </c>
      <c r="J1468" s="32">
        <v>12529809</v>
      </c>
      <c r="K1468" s="33">
        <v>20190323</v>
      </c>
      <c r="L1468" s="33">
        <v>42000000</v>
      </c>
      <c r="M1468" s="34">
        <v>0.48072197619047619</v>
      </c>
      <c r="N1468" s="209" t="str">
        <f>IFERROR(VLOOKUP(F1468,Back!C:F,4,0),"NO")</f>
        <v>Si</v>
      </c>
      <c r="O1468" s="26">
        <v>24</v>
      </c>
      <c r="P1468" s="28" t="str">
        <f>IFERROR(VLOOKUP(F1468,Back!C:E,3,0),"")</f>
        <v>IPS Pto De Vista San Diego</v>
      </c>
      <c r="Q1468" s="28" t="str">
        <f>IFERROR(VLOOKUP(P1468,Back!M:N,2,0),"")</f>
        <v>Antioquia</v>
      </c>
      <c r="R1468" s="27" t="str">
        <f>IF(N1468="Si",IFERROR(VLOOKUP(F1468,'TD Cumpl'!B:AB,27,0),"No Aplica"),"No Aplica")</f>
        <v>Fluctúa</v>
      </c>
      <c r="S1468" s="38">
        <v>49</v>
      </c>
      <c r="T1468" s="36">
        <v>4446164</v>
      </c>
      <c r="U1468" s="26">
        <v>140</v>
      </c>
      <c r="V1468" s="37">
        <v>11983961</v>
      </c>
      <c r="W1468" s="19">
        <v>127</v>
      </c>
      <c r="X1468" s="37">
        <v>12529809</v>
      </c>
      <c r="Y1468" s="46">
        <f t="shared" si="46"/>
        <v>5003598</v>
      </c>
      <c r="Z1468" s="19" t="s">
        <v>318</v>
      </c>
    </row>
    <row r="1469" spans="1:26" x14ac:dyDescent="0.25">
      <c r="A1469" s="20">
        <f>+VLOOKUP(D1469,Back!Q:R,2,0)</f>
        <v>7</v>
      </c>
      <c r="B1469" s="20" t="str">
        <f t="shared" si="45"/>
        <v>2018 JUL</v>
      </c>
      <c r="C1469" s="30">
        <v>2018</v>
      </c>
      <c r="D1469" s="30" t="s">
        <v>157</v>
      </c>
      <c r="E1469" s="30" t="s">
        <v>34</v>
      </c>
      <c r="F1469" s="30">
        <v>43554403</v>
      </c>
      <c r="G1469" s="30" t="s">
        <v>35</v>
      </c>
      <c r="H1469" s="32">
        <v>68378234</v>
      </c>
      <c r="I1469" s="32">
        <v>540000</v>
      </c>
      <c r="J1469" s="32">
        <v>14727684</v>
      </c>
      <c r="K1469" s="33">
        <v>53110550</v>
      </c>
      <c r="L1469" s="33">
        <v>42000000</v>
      </c>
      <c r="M1469" s="34">
        <v>1.2645369047619048</v>
      </c>
      <c r="N1469" s="209" t="str">
        <f>IFERROR(VLOOKUP(F1469,Back!C:F,4,0),"NO")</f>
        <v>Si</v>
      </c>
      <c r="O1469" s="26">
        <v>24</v>
      </c>
      <c r="P1469" s="28" t="str">
        <f>IFERROR(VLOOKUP(F1469,Back!C:E,3,0),"")</f>
        <v>IPS Pto De Vista Centro</v>
      </c>
      <c r="Q1469" s="28" t="str">
        <f>IFERROR(VLOOKUP(P1469,Back!M:N,2,0),"")</f>
        <v>Antioquia</v>
      </c>
      <c r="R1469" s="27" t="str">
        <f>IF(N1469="Si",IFERROR(VLOOKUP(F1469,'TD Cumpl'!B:AB,27,0),"No Aplica"),"No Aplica")</f>
        <v>Siempre Cumple</v>
      </c>
      <c r="S1469" s="38">
        <v>108</v>
      </c>
      <c r="T1469" s="36">
        <v>12929543</v>
      </c>
      <c r="U1469" s="26">
        <v>245</v>
      </c>
      <c r="V1469" s="37">
        <v>28901743</v>
      </c>
      <c r="W1469" s="19">
        <v>150</v>
      </c>
      <c r="X1469" s="37">
        <v>14727684</v>
      </c>
      <c r="Y1469" s="46">
        <f t="shared" si="46"/>
        <v>11819264</v>
      </c>
      <c r="Z1469" s="19" t="s">
        <v>318</v>
      </c>
    </row>
    <row r="1470" spans="1:26" x14ac:dyDescent="0.25">
      <c r="A1470" s="20">
        <f>+VLOOKUP(D1470,Back!Q:R,2,0)</f>
        <v>7</v>
      </c>
      <c r="B1470" s="20" t="str">
        <f t="shared" ref="B1470:B1533" si="47">MID(UPPER(C1470&amp;" "&amp;D1470),1,8)</f>
        <v>2018 JUL</v>
      </c>
      <c r="C1470" s="30">
        <v>2018</v>
      </c>
      <c r="D1470" s="30" t="s">
        <v>157</v>
      </c>
      <c r="E1470" s="30" t="s">
        <v>101</v>
      </c>
      <c r="F1470" s="30">
        <v>21428423</v>
      </c>
      <c r="G1470" s="30" t="s">
        <v>154</v>
      </c>
      <c r="H1470" s="32">
        <v>52519112</v>
      </c>
      <c r="I1470" s="32">
        <v>688000</v>
      </c>
      <c r="J1470" s="32">
        <v>10165656</v>
      </c>
      <c r="K1470" s="33">
        <v>41665456</v>
      </c>
      <c r="L1470" s="33">
        <v>40250000</v>
      </c>
      <c r="M1470" s="34">
        <v>1.0351666086956521</v>
      </c>
      <c r="N1470" s="209" t="str">
        <f>IFERROR(VLOOKUP(F1470,Back!C:F,4,0),"NO")</f>
        <v>Si</v>
      </c>
      <c r="O1470" s="26">
        <v>24</v>
      </c>
      <c r="P1470" s="28" t="str">
        <f>IFERROR(VLOOKUP(F1470,Back!C:E,3,0),"")</f>
        <v>IPS Pto De Vista Centro</v>
      </c>
      <c r="Q1470" s="28" t="str">
        <f>IFERROR(VLOOKUP(P1470,Back!M:N,2,0),"")</f>
        <v>Antioquia</v>
      </c>
      <c r="R1470" s="27" t="str">
        <f>IF(N1470="Si",IFERROR(VLOOKUP(F1470,'TD Cumpl'!B:AB,27,0),"No Aplica"),"No Aplica")</f>
        <v>Fluctúa</v>
      </c>
      <c r="S1470" s="38">
        <v>108</v>
      </c>
      <c r="T1470" s="36">
        <v>10525670</v>
      </c>
      <c r="U1470" s="26">
        <v>260</v>
      </c>
      <c r="V1470" s="37">
        <v>25814444</v>
      </c>
      <c r="W1470" s="19">
        <v>104</v>
      </c>
      <c r="X1470" s="37">
        <v>10165656</v>
      </c>
      <c r="Y1470" s="46">
        <f t="shared" si="46"/>
        <v>6013342</v>
      </c>
      <c r="Z1470" s="19" t="s">
        <v>318</v>
      </c>
    </row>
    <row r="1471" spans="1:26" x14ac:dyDescent="0.25">
      <c r="A1471" s="20">
        <f>+VLOOKUP(D1471,Back!Q:R,2,0)</f>
        <v>7</v>
      </c>
      <c r="B1471" s="20" t="str">
        <f t="shared" si="47"/>
        <v>2018 JUL</v>
      </c>
      <c r="C1471" s="30">
        <v>2018</v>
      </c>
      <c r="D1471" s="30" t="s">
        <v>157</v>
      </c>
      <c r="E1471" s="30" t="s">
        <v>13</v>
      </c>
      <c r="F1471" s="30">
        <v>43866877</v>
      </c>
      <c r="G1471" s="30" t="s">
        <v>46</v>
      </c>
      <c r="H1471" s="32">
        <v>73976611</v>
      </c>
      <c r="I1471" s="32">
        <v>1915000</v>
      </c>
      <c r="J1471" s="32">
        <v>8126272</v>
      </c>
      <c r="K1471" s="33">
        <v>63935339</v>
      </c>
      <c r="L1471" s="33">
        <v>42749997</v>
      </c>
      <c r="M1471" s="34">
        <v>1.495563590331948</v>
      </c>
      <c r="N1471" s="209" t="str">
        <f>IFERROR(VLOOKUP(F1471,Back!C:F,4,0),"NO")</f>
        <v>Si</v>
      </c>
      <c r="O1471" s="26">
        <v>24</v>
      </c>
      <c r="P1471" s="28" t="str">
        <f>IFERROR(VLOOKUP(F1471,Back!C:E,3,0),"")</f>
        <v>IPS Pto De Vista Centro</v>
      </c>
      <c r="Q1471" s="28" t="str">
        <f>IFERROR(VLOOKUP(P1471,Back!M:N,2,0),"")</f>
        <v>Antioquia</v>
      </c>
      <c r="R1471" s="27" t="str">
        <f>IF(N1471="Si",IFERROR(VLOOKUP(F1471,'TD Cumpl'!B:AB,27,0),"No Aplica"),"No Aplica")</f>
        <v>Siempre Cumple</v>
      </c>
      <c r="S1471" s="38">
        <v>116</v>
      </c>
      <c r="T1471" s="36">
        <v>19319512</v>
      </c>
      <c r="U1471" s="26">
        <v>222</v>
      </c>
      <c r="V1471" s="37">
        <v>30387037</v>
      </c>
      <c r="W1471" s="19">
        <v>102</v>
      </c>
      <c r="X1471" s="37">
        <v>8126272</v>
      </c>
      <c r="Y1471" s="46">
        <f t="shared" si="46"/>
        <v>16143790</v>
      </c>
      <c r="Z1471" s="19" t="s">
        <v>318</v>
      </c>
    </row>
    <row r="1472" spans="1:26" x14ac:dyDescent="0.25">
      <c r="A1472" s="20">
        <f>+VLOOKUP(D1472,Back!Q:R,2,0)</f>
        <v>7</v>
      </c>
      <c r="B1472" s="20" t="str">
        <f t="shared" si="47"/>
        <v>2018 JUL</v>
      </c>
      <c r="C1472" s="30">
        <v>2018</v>
      </c>
      <c r="D1472" s="30" t="s">
        <v>157</v>
      </c>
      <c r="E1472" s="30" t="s">
        <v>265</v>
      </c>
      <c r="F1472" s="30">
        <v>39175639</v>
      </c>
      <c r="G1472" s="30" t="s">
        <v>268</v>
      </c>
      <c r="H1472" s="32">
        <v>29257160</v>
      </c>
      <c r="I1472" s="32">
        <v>2435100</v>
      </c>
      <c r="J1472" s="32">
        <v>8451268</v>
      </c>
      <c r="K1472" s="33">
        <v>18370792</v>
      </c>
      <c r="L1472" s="33">
        <v>42000000</v>
      </c>
      <c r="M1472" s="34">
        <v>0.43739980952380952</v>
      </c>
      <c r="N1472" s="209" t="str">
        <f>IFERROR(VLOOKUP(F1472,Back!C:F,4,0),"NO")</f>
        <v>Si</v>
      </c>
      <c r="O1472" s="26">
        <v>24</v>
      </c>
      <c r="P1472" s="28" t="str">
        <f>IFERROR(VLOOKUP(F1472,Back!C:E,3,0),"")</f>
        <v>IPS Pto De Vista Centro</v>
      </c>
      <c r="Q1472" s="28" t="str">
        <f>IFERROR(VLOOKUP(P1472,Back!M:N,2,0),"")</f>
        <v>Antioquia</v>
      </c>
      <c r="R1472" s="27" t="str">
        <f>IF(N1472="Si",IFERROR(VLOOKUP(F1472,'TD Cumpl'!B:AB,27,0),"No Aplica"),"No Aplica")</f>
        <v>Fluctúa</v>
      </c>
      <c r="S1472" s="38">
        <v>42</v>
      </c>
      <c r="T1472" s="36">
        <v>4222959</v>
      </c>
      <c r="U1472" s="26">
        <v>116</v>
      </c>
      <c r="V1472" s="37">
        <v>11010707</v>
      </c>
      <c r="W1472" s="19">
        <v>84</v>
      </c>
      <c r="X1472" s="37">
        <v>8451268</v>
      </c>
      <c r="Y1472" s="46">
        <f t="shared" si="46"/>
        <v>5572226</v>
      </c>
      <c r="Z1472" s="19" t="s">
        <v>318</v>
      </c>
    </row>
    <row r="1473" spans="1:26" x14ac:dyDescent="0.25">
      <c r="A1473" s="20">
        <f>+VLOOKUP(D1473,Back!Q:R,2,0)</f>
        <v>7</v>
      </c>
      <c r="B1473" s="20" t="str">
        <f t="shared" si="47"/>
        <v>2018 JUL</v>
      </c>
      <c r="C1473" s="30">
        <v>2018</v>
      </c>
      <c r="D1473" s="30" t="s">
        <v>157</v>
      </c>
      <c r="E1473" s="30" t="s">
        <v>177</v>
      </c>
      <c r="F1473" s="30">
        <v>1035913369</v>
      </c>
      <c r="G1473" s="30" t="s">
        <v>183</v>
      </c>
      <c r="H1473" s="32">
        <v>55957546</v>
      </c>
      <c r="I1473" s="32">
        <v>908000</v>
      </c>
      <c r="J1473" s="32">
        <v>11221358</v>
      </c>
      <c r="K1473" s="33">
        <v>43828188</v>
      </c>
      <c r="L1473" s="33">
        <v>42000000</v>
      </c>
      <c r="M1473" s="34">
        <v>1.0435282857142858</v>
      </c>
      <c r="N1473" s="209" t="str">
        <f>IFERROR(VLOOKUP(F1473,Back!C:F,4,0),"NO")</f>
        <v>Si</v>
      </c>
      <c r="O1473" s="26">
        <v>24</v>
      </c>
      <c r="P1473" s="28" t="str">
        <f>IFERROR(VLOOKUP(F1473,Back!C:E,3,0),"")</f>
        <v>IPS Pto De Vista Centro</v>
      </c>
      <c r="Q1473" s="28" t="str">
        <f>IFERROR(VLOOKUP(P1473,Back!M:N,2,0),"")</f>
        <v>Antioquia</v>
      </c>
      <c r="R1473" s="27" t="str">
        <f>IF(N1473="Si",IFERROR(VLOOKUP(F1473,'TD Cumpl'!B:AB,27,0),"No Aplica"),"No Aplica")</f>
        <v>Fluctúa</v>
      </c>
      <c r="S1473" s="38">
        <v>98</v>
      </c>
      <c r="T1473" s="36">
        <v>9387598</v>
      </c>
      <c r="U1473" s="26">
        <v>221</v>
      </c>
      <c r="V1473" s="37">
        <v>26379199</v>
      </c>
      <c r="W1473" s="19">
        <v>112</v>
      </c>
      <c r="X1473" s="37">
        <v>11221358</v>
      </c>
      <c r="Y1473" s="46">
        <f t="shared" ref="Y1473:Y1536" si="48">+H1473-X1473-V1473-T1473</f>
        <v>8969391</v>
      </c>
      <c r="Z1473" s="19" t="s">
        <v>318</v>
      </c>
    </row>
    <row r="1474" spans="1:26" x14ac:dyDescent="0.25">
      <c r="A1474" s="20">
        <f>+VLOOKUP(D1474,Back!Q:R,2,0)</f>
        <v>7</v>
      </c>
      <c r="B1474" s="20" t="str">
        <f t="shared" si="47"/>
        <v>2018 JUL</v>
      </c>
      <c r="C1474" s="30">
        <v>2018</v>
      </c>
      <c r="D1474" s="30" t="s">
        <v>157</v>
      </c>
      <c r="E1474" s="30" t="s">
        <v>23</v>
      </c>
      <c r="F1474" s="30">
        <v>43907427</v>
      </c>
      <c r="G1474" s="30" t="s">
        <v>144</v>
      </c>
      <c r="H1474" s="32">
        <v>50615786</v>
      </c>
      <c r="I1474" s="32">
        <v>1193940</v>
      </c>
      <c r="J1474" s="32">
        <v>4231504</v>
      </c>
      <c r="K1474" s="33">
        <v>45190342</v>
      </c>
      <c r="L1474" s="33">
        <v>40000008</v>
      </c>
      <c r="M1474" s="34">
        <v>1.1297583240483351</v>
      </c>
      <c r="N1474" s="209" t="str">
        <f>IFERROR(VLOOKUP(F1474,Back!C:F,4,0),"NO")</f>
        <v>Si</v>
      </c>
      <c r="O1474" s="26">
        <v>24</v>
      </c>
      <c r="P1474" s="28" t="str">
        <f>IFERROR(VLOOKUP(F1474,Back!C:E,3,0),"")</f>
        <v>IPS Pto De Vista Industriales</v>
      </c>
      <c r="Q1474" s="28" t="str">
        <f>IFERROR(VLOOKUP(P1474,Back!M:N,2,0),"")</f>
        <v>Antioquia</v>
      </c>
      <c r="R1474" s="27" t="str">
        <f>IF(N1474="Si",IFERROR(VLOOKUP(F1474,'TD Cumpl'!B:AB,27,0),"No Aplica"),"No Aplica")</f>
        <v>Siempre Cumple</v>
      </c>
      <c r="S1474" s="38">
        <v>55</v>
      </c>
      <c r="T1474" s="36">
        <v>9457612</v>
      </c>
      <c r="U1474" s="26">
        <v>134</v>
      </c>
      <c r="V1474" s="37">
        <v>31385374</v>
      </c>
      <c r="W1474" s="19">
        <v>42</v>
      </c>
      <c r="X1474" s="37">
        <v>4231504</v>
      </c>
      <c r="Y1474" s="46">
        <f t="shared" si="48"/>
        <v>5541296</v>
      </c>
      <c r="Z1474" s="19" t="s">
        <v>318</v>
      </c>
    </row>
    <row r="1475" spans="1:26" x14ac:dyDescent="0.25">
      <c r="A1475" s="20">
        <f>+VLOOKUP(D1475,Back!Q:R,2,0)</f>
        <v>7</v>
      </c>
      <c r="B1475" s="20" t="str">
        <f t="shared" si="47"/>
        <v>2018 JUL</v>
      </c>
      <c r="C1475" s="30">
        <v>2018</v>
      </c>
      <c r="D1475" s="30" t="s">
        <v>157</v>
      </c>
      <c r="E1475" s="30" t="s">
        <v>66</v>
      </c>
      <c r="F1475" s="30">
        <v>3438422</v>
      </c>
      <c r="G1475" s="30" t="s">
        <v>71</v>
      </c>
      <c r="H1475" s="32">
        <v>56687052</v>
      </c>
      <c r="I1475" s="32">
        <v>2353700</v>
      </c>
      <c r="J1475" s="32">
        <v>9283909</v>
      </c>
      <c r="K1475" s="33">
        <v>45049443</v>
      </c>
      <c r="L1475" s="33">
        <v>43999992</v>
      </c>
      <c r="M1475" s="34">
        <v>1.0238511634274843</v>
      </c>
      <c r="N1475" s="209" t="str">
        <f>IFERROR(VLOOKUP(F1475,Back!C:F,4,0),"NO")</f>
        <v>Si</v>
      </c>
      <c r="O1475" s="26">
        <v>24</v>
      </c>
      <c r="P1475" s="28" t="str">
        <f>IFERROR(VLOOKUP(F1475,Back!C:E,3,0),"")</f>
        <v>IPS Pto De Vista Punto Clave</v>
      </c>
      <c r="Q1475" s="28" t="str">
        <f>IFERROR(VLOOKUP(P1475,Back!M:N,2,0),"")</f>
        <v>Antioquia</v>
      </c>
      <c r="R1475" s="27" t="str">
        <f>IF(N1475="Si",IFERROR(VLOOKUP(F1475,'TD Cumpl'!B:AB,27,0),"No Aplica"),"No Aplica")</f>
        <v>Fluctúa</v>
      </c>
      <c r="S1475" s="38">
        <v>76</v>
      </c>
      <c r="T1475" s="36">
        <v>8885905</v>
      </c>
      <c r="U1475" s="26">
        <v>212</v>
      </c>
      <c r="V1475" s="37">
        <v>28176520</v>
      </c>
      <c r="W1475" s="19">
        <v>95</v>
      </c>
      <c r="X1475" s="37">
        <v>9283909</v>
      </c>
      <c r="Y1475" s="46">
        <f t="shared" si="48"/>
        <v>10340718</v>
      </c>
      <c r="Z1475" s="19" t="s">
        <v>318</v>
      </c>
    </row>
    <row r="1476" spans="1:26" x14ac:dyDescent="0.25">
      <c r="A1476" s="20">
        <f>+VLOOKUP(D1476,Back!Q:R,2,0)</f>
        <v>7</v>
      </c>
      <c r="B1476" s="20" t="str">
        <f t="shared" si="47"/>
        <v>2018 JUL</v>
      </c>
      <c r="C1476" s="30">
        <v>2018</v>
      </c>
      <c r="D1476" s="30" t="s">
        <v>157</v>
      </c>
      <c r="E1476" s="30" t="s">
        <v>166</v>
      </c>
      <c r="F1476" s="30">
        <v>1020451288</v>
      </c>
      <c r="G1476" s="30" t="s">
        <v>167</v>
      </c>
      <c r="H1476" s="35">
        <v>55532959</v>
      </c>
      <c r="I1476" s="32">
        <v>1208400</v>
      </c>
      <c r="J1476" s="32">
        <v>10071962</v>
      </c>
      <c r="K1476" s="33">
        <v>44252597</v>
      </c>
      <c r="L1476" s="33">
        <v>43999992</v>
      </c>
      <c r="M1476" s="34">
        <v>1.0057410237710953</v>
      </c>
      <c r="N1476" s="209" t="str">
        <f>IFERROR(VLOOKUP(F1476,Back!C:F,4,0),"NO")</f>
        <v>Si</v>
      </c>
      <c r="O1476" s="26">
        <v>24</v>
      </c>
      <c r="P1476" s="28" t="str">
        <f>IFERROR(VLOOKUP(F1476,Back!C:E,3,0),"")</f>
        <v>IPS Pto De Vista Punto Clave</v>
      </c>
      <c r="Q1476" s="28" t="str">
        <f>IFERROR(VLOOKUP(P1476,Back!M:N,2,0),"")</f>
        <v>Antioquia</v>
      </c>
      <c r="R1476" s="27" t="str">
        <f>IF(N1476="Si",IFERROR(VLOOKUP(F1476,'TD Cumpl'!B:AB,27,0),"No Aplica"),"No Aplica")</f>
        <v>Cumple</v>
      </c>
      <c r="S1476" s="38">
        <v>74</v>
      </c>
      <c r="T1476" s="36">
        <v>8389811</v>
      </c>
      <c r="U1476" s="26">
        <v>223</v>
      </c>
      <c r="V1476" s="37">
        <v>29494968</v>
      </c>
      <c r="W1476" s="19">
        <v>104</v>
      </c>
      <c r="X1476" s="37">
        <v>10071962</v>
      </c>
      <c r="Y1476" s="46">
        <f t="shared" si="48"/>
        <v>7576218</v>
      </c>
      <c r="Z1476" s="19" t="s">
        <v>318</v>
      </c>
    </row>
    <row r="1477" spans="1:26" x14ac:dyDescent="0.25">
      <c r="A1477" s="20">
        <f>+VLOOKUP(D1477,Back!Q:R,2,0)</f>
        <v>7</v>
      </c>
      <c r="B1477" s="20" t="str">
        <f t="shared" si="47"/>
        <v>2018 JUL</v>
      </c>
      <c r="C1477" s="30">
        <v>2018</v>
      </c>
      <c r="D1477" s="30" t="s">
        <v>157</v>
      </c>
      <c r="E1477" s="30" t="s">
        <v>92</v>
      </c>
      <c r="F1477" s="30">
        <v>1017167720</v>
      </c>
      <c r="G1477" s="30" t="s">
        <v>96</v>
      </c>
      <c r="H1477" s="32">
        <v>55650027</v>
      </c>
      <c r="I1477" s="32">
        <v>1260000</v>
      </c>
      <c r="J1477" s="32">
        <v>9329064</v>
      </c>
      <c r="K1477" s="33">
        <v>45060963</v>
      </c>
      <c r="L1477" s="33">
        <v>43999992</v>
      </c>
      <c r="M1477" s="34">
        <v>1.0241129816569057</v>
      </c>
      <c r="N1477" s="209" t="str">
        <f>IFERROR(VLOOKUP(F1477,Back!C:F,4,0),"NO")</f>
        <v>Si</v>
      </c>
      <c r="O1477" s="26">
        <v>24</v>
      </c>
      <c r="P1477" s="28" t="str">
        <f>IFERROR(VLOOKUP(F1477,Back!C:E,3,0),"")</f>
        <v>IPS Pto De Vista Punto Clave</v>
      </c>
      <c r="Q1477" s="28" t="str">
        <f>IFERROR(VLOOKUP(P1477,Back!M:N,2,0),"")</f>
        <v>Antioquia</v>
      </c>
      <c r="R1477" s="27" t="str">
        <f>IF(N1477="Si",IFERROR(VLOOKUP(F1477,'TD Cumpl'!B:AB,27,0),"No Aplica"),"No Aplica")</f>
        <v>Cumple</v>
      </c>
      <c r="S1477" s="38">
        <v>82</v>
      </c>
      <c r="T1477" s="36">
        <v>8406583</v>
      </c>
      <c r="U1477" s="26">
        <v>200</v>
      </c>
      <c r="V1477" s="37">
        <v>27768044</v>
      </c>
      <c r="W1477" s="19">
        <v>98</v>
      </c>
      <c r="X1477" s="37">
        <v>9329064</v>
      </c>
      <c r="Y1477" s="46">
        <f t="shared" si="48"/>
        <v>10146336</v>
      </c>
      <c r="Z1477" s="19" t="s">
        <v>318</v>
      </c>
    </row>
    <row r="1478" spans="1:26" x14ac:dyDescent="0.25">
      <c r="A1478" s="20">
        <f>+VLOOKUP(D1478,Back!Q:R,2,0)</f>
        <v>7</v>
      </c>
      <c r="B1478" s="20" t="str">
        <f t="shared" si="47"/>
        <v>2018 JUL</v>
      </c>
      <c r="C1478" s="30">
        <v>2018</v>
      </c>
      <c r="D1478" s="30" t="s">
        <v>157</v>
      </c>
      <c r="E1478" s="30" t="s">
        <v>57</v>
      </c>
      <c r="F1478" s="30">
        <v>43874518</v>
      </c>
      <c r="G1478" s="30" t="s">
        <v>60</v>
      </c>
      <c r="H1478" s="32">
        <v>21556942</v>
      </c>
      <c r="I1478" s="32">
        <v>468000</v>
      </c>
      <c r="J1478" s="32">
        <v>3429342</v>
      </c>
      <c r="K1478" s="33">
        <v>17659600</v>
      </c>
      <c r="L1478" s="33">
        <v>32999994</v>
      </c>
      <c r="M1478" s="34">
        <v>0.53513949123748328</v>
      </c>
      <c r="N1478" s="209" t="str">
        <f>IFERROR(VLOOKUP(F1478,Back!C:F,4,0),"NO")</f>
        <v>Si</v>
      </c>
      <c r="O1478" s="26">
        <v>24</v>
      </c>
      <c r="P1478" s="28" t="str">
        <f>IFERROR(VLOOKUP(F1478,Back!C:E,3,0),"")</f>
        <v>IPS Pto De Vista Punto Clave</v>
      </c>
      <c r="Q1478" s="28" t="str">
        <f>IFERROR(VLOOKUP(P1478,Back!M:N,2,0),"")</f>
        <v>Antioquia</v>
      </c>
      <c r="R1478" s="27" t="str">
        <f>IF(N1478="Si",IFERROR(VLOOKUP(F1478,'TD Cumpl'!B:AB,27,0),"No Aplica"),"No Aplica")</f>
        <v>Fluctúa</v>
      </c>
      <c r="S1478" s="38">
        <v>45</v>
      </c>
      <c r="T1478" s="36">
        <v>4015250</v>
      </c>
      <c r="U1478" s="26">
        <v>122</v>
      </c>
      <c r="V1478" s="37">
        <v>10977621</v>
      </c>
      <c r="W1478" s="19">
        <v>42</v>
      </c>
      <c r="X1478" s="37">
        <v>3429342</v>
      </c>
      <c r="Y1478" s="46">
        <f t="shared" si="48"/>
        <v>3134729</v>
      </c>
      <c r="Z1478" s="19" t="s">
        <v>319</v>
      </c>
    </row>
    <row r="1479" spans="1:26" x14ac:dyDescent="0.25">
      <c r="A1479" s="20">
        <f>+VLOOKUP(D1479,Back!Q:R,2,0)</f>
        <v>7</v>
      </c>
      <c r="B1479" s="20" t="str">
        <f t="shared" si="47"/>
        <v>2018 JUL</v>
      </c>
      <c r="C1479" s="30">
        <v>2018</v>
      </c>
      <c r="D1479" s="30" t="s">
        <v>157</v>
      </c>
      <c r="E1479" s="30" t="s">
        <v>64</v>
      </c>
      <c r="F1479" s="30">
        <v>1036598360</v>
      </c>
      <c r="G1479" s="30" t="s">
        <v>146</v>
      </c>
      <c r="H1479" s="32">
        <v>50962788</v>
      </c>
      <c r="I1479" s="32">
        <v>1306700</v>
      </c>
      <c r="J1479" s="32">
        <v>10184058</v>
      </c>
      <c r="K1479" s="33">
        <v>39472030</v>
      </c>
      <c r="L1479" s="33">
        <v>43999992</v>
      </c>
      <c r="M1479" s="34">
        <v>0.89709175401668251</v>
      </c>
      <c r="N1479" s="209" t="str">
        <f>IFERROR(VLOOKUP(F1479,Back!C:F,4,0),"NO")</f>
        <v>Si</v>
      </c>
      <c r="O1479" s="26">
        <v>24</v>
      </c>
      <c r="P1479" s="28" t="str">
        <f>IFERROR(VLOOKUP(F1479,Back!C:E,3,0),"")</f>
        <v>IPS Pto De Vista Punto Clave</v>
      </c>
      <c r="Q1479" s="28" t="str">
        <f>IFERROR(VLOOKUP(P1479,Back!M:N,2,0),"")</f>
        <v>Antioquia</v>
      </c>
      <c r="R1479" s="27" t="str">
        <f>IF(N1479="Si",IFERROR(VLOOKUP(F1479,'TD Cumpl'!B:AB,27,0),"No Aplica"),"No Aplica")</f>
        <v>Fluctúa</v>
      </c>
      <c r="S1479" s="38">
        <v>83</v>
      </c>
      <c r="T1479" s="36">
        <v>9445015</v>
      </c>
      <c r="U1479" s="26">
        <v>220</v>
      </c>
      <c r="V1479" s="37">
        <v>25791232</v>
      </c>
      <c r="W1479" s="19">
        <v>110</v>
      </c>
      <c r="X1479" s="37">
        <v>10184058</v>
      </c>
      <c r="Y1479" s="46">
        <f t="shared" si="48"/>
        <v>5542483</v>
      </c>
      <c r="Z1479" s="19" t="s">
        <v>318</v>
      </c>
    </row>
    <row r="1480" spans="1:26" x14ac:dyDescent="0.25">
      <c r="A1480" s="20">
        <f>+VLOOKUP(D1480,Back!Q:R,2,0)</f>
        <v>7</v>
      </c>
      <c r="B1480" s="20" t="str">
        <f t="shared" si="47"/>
        <v>2018 JUL</v>
      </c>
      <c r="C1480" s="30">
        <v>2018</v>
      </c>
      <c r="D1480" s="30" t="s">
        <v>157</v>
      </c>
      <c r="E1480" s="30" t="s">
        <v>235</v>
      </c>
      <c r="F1480" s="30">
        <v>39275090</v>
      </c>
      <c r="G1480" s="30" t="s">
        <v>236</v>
      </c>
      <c r="H1480" s="35">
        <v>58116184</v>
      </c>
      <c r="I1480" s="32">
        <v>928200</v>
      </c>
      <c r="J1480" s="32">
        <v>11952630</v>
      </c>
      <c r="K1480" s="33">
        <v>45235354</v>
      </c>
      <c r="L1480" s="33">
        <v>37999998</v>
      </c>
      <c r="M1480" s="34">
        <v>1.1904041152844271</v>
      </c>
      <c r="N1480" s="209" t="str">
        <f>IFERROR(VLOOKUP(F1480,Back!C:F,4,0),"NO")</f>
        <v>Si</v>
      </c>
      <c r="O1480" s="26">
        <v>24</v>
      </c>
      <c r="P1480" s="28" t="str">
        <f>IFERROR(VLOOKUP(F1480,Back!C:E,3,0),"")</f>
        <v>IPS Pto De Vista San Diego</v>
      </c>
      <c r="Q1480" s="28" t="str">
        <f>IFERROR(VLOOKUP(P1480,Back!M:N,2,0),"")</f>
        <v>Antioquia</v>
      </c>
      <c r="R1480" s="27" t="str">
        <f>IF(N1480="Si",IFERROR(VLOOKUP(F1480,'TD Cumpl'!B:AB,27,0),"No Aplica"),"No Aplica")</f>
        <v>Siempre Cumple</v>
      </c>
      <c r="S1480" s="38">
        <v>80</v>
      </c>
      <c r="T1480" s="36">
        <v>8496946</v>
      </c>
      <c r="U1480" s="26">
        <v>208</v>
      </c>
      <c r="V1480" s="37">
        <v>31466267</v>
      </c>
      <c r="W1480" s="19">
        <v>122</v>
      </c>
      <c r="X1480" s="37">
        <v>11952630</v>
      </c>
      <c r="Y1480" s="46">
        <f t="shared" si="48"/>
        <v>6200341</v>
      </c>
      <c r="Z1480" s="19" t="s">
        <v>318</v>
      </c>
    </row>
    <row r="1481" spans="1:26" x14ac:dyDescent="0.25">
      <c r="A1481" s="20">
        <f>+VLOOKUP(D1481,Back!Q:R,2,0)</f>
        <v>7</v>
      </c>
      <c r="B1481" s="20" t="str">
        <f t="shared" si="47"/>
        <v>2018 JUL</v>
      </c>
      <c r="C1481" s="30">
        <v>2018</v>
      </c>
      <c r="D1481" s="30" t="s">
        <v>157</v>
      </c>
      <c r="E1481" s="30" t="s">
        <v>90</v>
      </c>
      <c r="F1481" s="30">
        <v>1020419011</v>
      </c>
      <c r="G1481" s="30" t="s">
        <v>97</v>
      </c>
      <c r="H1481" s="32">
        <v>62299109</v>
      </c>
      <c r="I1481" s="32">
        <v>2052000</v>
      </c>
      <c r="J1481" s="32">
        <v>11041646</v>
      </c>
      <c r="K1481" s="33">
        <v>49205463</v>
      </c>
      <c r="L1481" s="33">
        <v>43999992</v>
      </c>
      <c r="M1481" s="34">
        <v>1.1183061806011239</v>
      </c>
      <c r="N1481" s="209" t="str">
        <f>IFERROR(VLOOKUP(F1481,Back!C:F,4,0),"NO")</f>
        <v>Si</v>
      </c>
      <c r="O1481" s="26">
        <v>24</v>
      </c>
      <c r="P1481" s="28" t="str">
        <f>IFERROR(VLOOKUP(F1481,Back!C:E,3,0),"")</f>
        <v>IPS Pto De Vista Punto Clave</v>
      </c>
      <c r="Q1481" s="28" t="str">
        <f>IFERROR(VLOOKUP(P1481,Back!M:N,2,0),"")</f>
        <v>Antioquia</v>
      </c>
      <c r="R1481" s="27" t="str">
        <f>IF(N1481="Si",IFERROR(VLOOKUP(F1481,'TD Cumpl'!B:AB,27,0),"No Aplica"),"No Aplica")</f>
        <v>Cumple</v>
      </c>
      <c r="S1481" s="38">
        <v>100</v>
      </c>
      <c r="T1481" s="36">
        <v>10686122</v>
      </c>
      <c r="U1481" s="26">
        <v>268</v>
      </c>
      <c r="V1481" s="37">
        <v>30126721</v>
      </c>
      <c r="W1481" s="19">
        <v>122</v>
      </c>
      <c r="X1481" s="37">
        <v>11041646</v>
      </c>
      <c r="Y1481" s="46">
        <f t="shared" si="48"/>
        <v>10444620</v>
      </c>
      <c r="Z1481" s="19" t="s">
        <v>318</v>
      </c>
    </row>
    <row r="1482" spans="1:26" x14ac:dyDescent="0.25">
      <c r="A1482" s="20">
        <f>+VLOOKUP(D1482,Back!Q:R,2,0)</f>
        <v>7</v>
      </c>
      <c r="B1482" s="20" t="str">
        <f t="shared" si="47"/>
        <v>2018 JUL</v>
      </c>
      <c r="C1482" s="30">
        <v>2018</v>
      </c>
      <c r="D1482" s="30" t="s">
        <v>157</v>
      </c>
      <c r="E1482" s="30" t="s">
        <v>117</v>
      </c>
      <c r="F1482" s="30">
        <v>1020419615</v>
      </c>
      <c r="G1482" s="30" t="s">
        <v>118</v>
      </c>
      <c r="H1482" s="32">
        <v>69801176</v>
      </c>
      <c r="I1482" s="32">
        <v>1378200</v>
      </c>
      <c r="J1482" s="32">
        <v>12729620</v>
      </c>
      <c r="K1482" s="33">
        <v>55693356</v>
      </c>
      <c r="L1482" s="33">
        <v>43999992</v>
      </c>
      <c r="M1482" s="34">
        <v>1.2657583210469674</v>
      </c>
      <c r="N1482" s="209" t="str">
        <f>IFERROR(VLOOKUP(F1482,Back!C:F,4,0),"NO")</f>
        <v>Si</v>
      </c>
      <c r="O1482" s="26">
        <v>24</v>
      </c>
      <c r="P1482" s="28" t="str">
        <f>IFERROR(VLOOKUP(F1482,Back!C:E,3,0),"")</f>
        <v>IPS Pto De Vista Punto Clave</v>
      </c>
      <c r="Q1482" s="28" t="str">
        <f>IFERROR(VLOOKUP(P1482,Back!M:N,2,0),"")</f>
        <v>Antioquia</v>
      </c>
      <c r="R1482" s="27" t="str">
        <f>IF(N1482="Si",IFERROR(VLOOKUP(F1482,'TD Cumpl'!B:AB,27,0),"No Aplica"),"No Aplica")</f>
        <v>Cumple</v>
      </c>
      <c r="S1482" s="38">
        <v>110</v>
      </c>
      <c r="T1482" s="36">
        <v>11169037</v>
      </c>
      <c r="U1482" s="26">
        <v>278</v>
      </c>
      <c r="V1482" s="37">
        <v>35477052</v>
      </c>
      <c r="W1482" s="19">
        <v>130</v>
      </c>
      <c r="X1482" s="37">
        <v>12729620</v>
      </c>
      <c r="Y1482" s="46">
        <f t="shared" si="48"/>
        <v>10425467</v>
      </c>
      <c r="Z1482" s="19" t="s">
        <v>318</v>
      </c>
    </row>
    <row r="1483" spans="1:26" x14ac:dyDescent="0.25">
      <c r="A1483" s="20">
        <f>+VLOOKUP(D1483,Back!Q:R,2,0)</f>
        <v>7</v>
      </c>
      <c r="B1483" s="20" t="str">
        <f t="shared" si="47"/>
        <v>2018 JUL</v>
      </c>
      <c r="C1483" s="30">
        <v>2018</v>
      </c>
      <c r="D1483" s="30" t="s">
        <v>157</v>
      </c>
      <c r="E1483" s="30" t="s">
        <v>6</v>
      </c>
      <c r="F1483" s="30">
        <v>43821410</v>
      </c>
      <c r="G1483" s="30" t="s">
        <v>40</v>
      </c>
      <c r="H1483" s="32">
        <v>78186791</v>
      </c>
      <c r="I1483" s="32">
        <v>1728000</v>
      </c>
      <c r="J1483" s="32">
        <v>11385833</v>
      </c>
      <c r="K1483" s="33">
        <v>65072958</v>
      </c>
      <c r="L1483" s="33">
        <v>43999992</v>
      </c>
      <c r="M1483" s="34">
        <v>1.4789311325329333</v>
      </c>
      <c r="N1483" s="209" t="str">
        <f>IFERROR(VLOOKUP(F1483,Back!C:F,4,0),"NO")</f>
        <v>Si</v>
      </c>
      <c r="O1483" s="26">
        <v>24</v>
      </c>
      <c r="P1483" s="28" t="str">
        <f>IFERROR(VLOOKUP(F1483,Back!C:E,3,0),"")</f>
        <v>IPS Pto De Vista Unicentro</v>
      </c>
      <c r="Q1483" s="28" t="str">
        <f>IFERROR(VLOOKUP(P1483,Back!M:N,2,0),"")</f>
        <v>Antioquia</v>
      </c>
      <c r="R1483" s="27" t="str">
        <f>IF(N1483="Si",IFERROR(VLOOKUP(F1483,'TD Cumpl'!B:AB,27,0),"No Aplica"),"No Aplica")</f>
        <v>Siempre Cumple</v>
      </c>
      <c r="S1483" s="38">
        <v>121</v>
      </c>
      <c r="T1483" s="36">
        <v>16503811</v>
      </c>
      <c r="U1483" s="26">
        <v>276</v>
      </c>
      <c r="V1483" s="37">
        <v>40543566</v>
      </c>
      <c r="W1483" s="19">
        <v>123</v>
      </c>
      <c r="X1483" s="37">
        <v>11385833</v>
      </c>
      <c r="Y1483" s="46">
        <f t="shared" si="48"/>
        <v>9753581</v>
      </c>
      <c r="Z1483" s="19" t="s">
        <v>318</v>
      </c>
    </row>
    <row r="1484" spans="1:26" x14ac:dyDescent="0.25">
      <c r="A1484" s="20">
        <f>+VLOOKUP(D1484,Back!Q:R,2,0)</f>
        <v>7</v>
      </c>
      <c r="B1484" s="20" t="str">
        <f t="shared" si="47"/>
        <v>2018 JUL</v>
      </c>
      <c r="C1484" s="30">
        <v>2018</v>
      </c>
      <c r="D1484" s="30" t="s">
        <v>157</v>
      </c>
      <c r="E1484" s="30" t="s">
        <v>22</v>
      </c>
      <c r="F1484" s="30">
        <v>42164020</v>
      </c>
      <c r="G1484" s="30"/>
      <c r="H1484" s="32">
        <v>5447375</v>
      </c>
      <c r="I1484" s="32">
        <v>0</v>
      </c>
      <c r="J1484" s="32">
        <v>0</v>
      </c>
      <c r="K1484" s="33">
        <v>5447375</v>
      </c>
      <c r="L1484" s="33"/>
      <c r="M1484" s="34"/>
      <c r="N1484" s="209" t="str">
        <f>IFERROR(VLOOKUP(F1484,Back!C:F,4,0),"NO")</f>
        <v>Si</v>
      </c>
      <c r="O1484" s="26">
        <v>24</v>
      </c>
      <c r="P1484" s="28" t="str">
        <f>IFERROR(VLOOKUP(F1484,Back!C:E,3,0),"")</f>
        <v>IPS Pto De Vista Molinos</v>
      </c>
      <c r="Q1484" s="28" t="str">
        <f>IFERROR(VLOOKUP(P1484,Back!M:N,2,0),"")</f>
        <v>Antioquia</v>
      </c>
      <c r="R1484" s="27" t="str">
        <f>IF(N1484="Si",IFERROR(VLOOKUP(F1484,'TD Cumpl'!B:AB,27,0),"No Aplica"),"No Aplica")</f>
        <v>Siempre Cumple</v>
      </c>
      <c r="S1484" s="38">
        <v>12</v>
      </c>
      <c r="T1484" s="36">
        <v>1044805</v>
      </c>
      <c r="U1484" s="26">
        <v>32</v>
      </c>
      <c r="V1484" s="37">
        <v>3869767</v>
      </c>
      <c r="W1484" s="19">
        <v>0</v>
      </c>
      <c r="X1484" s="37">
        <v>0</v>
      </c>
      <c r="Y1484" s="46">
        <f t="shared" si="48"/>
        <v>532803</v>
      </c>
    </row>
    <row r="1485" spans="1:26" x14ac:dyDescent="0.25">
      <c r="A1485" s="20">
        <f>+VLOOKUP(D1485,Back!Q:R,2,0)</f>
        <v>7</v>
      </c>
      <c r="B1485" s="20" t="str">
        <f t="shared" si="47"/>
        <v>2018 JUL</v>
      </c>
      <c r="C1485" s="30">
        <v>2018</v>
      </c>
      <c r="D1485" s="30" t="s">
        <v>157</v>
      </c>
      <c r="E1485" s="30" t="s">
        <v>21</v>
      </c>
      <c r="F1485" s="30">
        <v>1035417626</v>
      </c>
      <c r="G1485" s="30" t="s">
        <v>80</v>
      </c>
      <c r="H1485" s="32">
        <v>74795055</v>
      </c>
      <c r="I1485" s="32">
        <v>1578000</v>
      </c>
      <c r="J1485" s="32">
        <v>11374206</v>
      </c>
      <c r="K1485" s="33">
        <v>61842849</v>
      </c>
      <c r="L1485" s="33">
        <v>43999992</v>
      </c>
      <c r="M1485" s="34">
        <v>1.4055195510035547</v>
      </c>
      <c r="N1485" s="209" t="str">
        <f>IFERROR(VLOOKUP(F1485,Back!C:F,4,0),"NO")</f>
        <v>Si</v>
      </c>
      <c r="O1485" s="26">
        <v>24</v>
      </c>
      <c r="P1485" s="28" t="str">
        <f>IFERROR(VLOOKUP(F1485,Back!C:E,3,0),"")</f>
        <v>IPS Pto De Vista Unicentro</v>
      </c>
      <c r="Q1485" s="28" t="str">
        <f>IFERROR(VLOOKUP(P1485,Back!M:N,2,0),"")</f>
        <v>Antioquia</v>
      </c>
      <c r="R1485" s="27" t="str">
        <f>IF(N1485="Si",IFERROR(VLOOKUP(F1485,'TD Cumpl'!B:AB,27,0),"No Aplica"),"No Aplica")</f>
        <v>Cumple</v>
      </c>
      <c r="S1485" s="38">
        <v>103</v>
      </c>
      <c r="T1485" s="36">
        <v>13414469</v>
      </c>
      <c r="U1485" s="26">
        <v>271</v>
      </c>
      <c r="V1485" s="37">
        <v>42674824</v>
      </c>
      <c r="W1485" s="19">
        <v>118</v>
      </c>
      <c r="X1485" s="37">
        <v>11374206</v>
      </c>
      <c r="Y1485" s="46">
        <f t="shared" si="48"/>
        <v>7331556</v>
      </c>
      <c r="Z1485" s="19" t="s">
        <v>318</v>
      </c>
    </row>
    <row r="1486" spans="1:26" x14ac:dyDescent="0.25">
      <c r="A1486" s="20">
        <f>+VLOOKUP(D1486,Back!Q:R,2,0)</f>
        <v>7</v>
      </c>
      <c r="B1486" s="20" t="str">
        <f t="shared" si="47"/>
        <v>2018 JUL</v>
      </c>
      <c r="C1486" s="30">
        <v>2018</v>
      </c>
      <c r="D1486" s="30" t="s">
        <v>157</v>
      </c>
      <c r="E1486" s="30" t="s">
        <v>7</v>
      </c>
      <c r="F1486" s="30">
        <v>43745952</v>
      </c>
      <c r="G1486" s="30" t="s">
        <v>50</v>
      </c>
      <c r="H1486" s="32">
        <v>86987539</v>
      </c>
      <c r="I1486" s="32">
        <v>3091800</v>
      </c>
      <c r="J1486" s="32">
        <v>16124907</v>
      </c>
      <c r="K1486" s="33">
        <v>67770832</v>
      </c>
      <c r="L1486" s="33">
        <v>43999992</v>
      </c>
      <c r="M1486" s="34">
        <v>1.540246461862993</v>
      </c>
      <c r="N1486" s="209" t="str">
        <f>IFERROR(VLOOKUP(F1486,Back!C:F,4,0),"NO")</f>
        <v>Si</v>
      </c>
      <c r="O1486" s="26">
        <v>24</v>
      </c>
      <c r="P1486" s="28" t="str">
        <f>IFERROR(VLOOKUP(F1486,Back!C:E,3,0),"")</f>
        <v>IPS Pto De Vista Unicentro</v>
      </c>
      <c r="Q1486" s="28" t="str">
        <f>IFERROR(VLOOKUP(P1486,Back!M:N,2,0),"")</f>
        <v>Antioquia</v>
      </c>
      <c r="R1486" s="27" t="str">
        <f>IF(N1486="Si",IFERROR(VLOOKUP(F1486,'TD Cumpl'!B:AB,27,0),"No Aplica"),"No Aplica")</f>
        <v>Siempre Cumple</v>
      </c>
      <c r="S1486" s="38">
        <v>111</v>
      </c>
      <c r="T1486" s="36">
        <v>13496313</v>
      </c>
      <c r="U1486" s="26">
        <v>272</v>
      </c>
      <c r="V1486" s="37">
        <v>45478168</v>
      </c>
      <c r="W1486" s="19">
        <v>155</v>
      </c>
      <c r="X1486" s="37">
        <v>15868507</v>
      </c>
      <c r="Y1486" s="46">
        <f t="shared" si="48"/>
        <v>12144551</v>
      </c>
      <c r="Z1486" s="19" t="s">
        <v>318</v>
      </c>
    </row>
    <row r="1487" spans="1:26" x14ac:dyDescent="0.25">
      <c r="A1487" s="20">
        <f>+VLOOKUP(D1487,Back!Q:R,2,0)</f>
        <v>7</v>
      </c>
      <c r="B1487" s="20" t="str">
        <f t="shared" si="47"/>
        <v>2018 JUL</v>
      </c>
      <c r="C1487" s="30">
        <v>2018</v>
      </c>
      <c r="D1487" s="30" t="s">
        <v>157</v>
      </c>
      <c r="E1487" s="30" t="s">
        <v>18</v>
      </c>
      <c r="F1487" s="30">
        <v>39442617</v>
      </c>
      <c r="G1487" s="30" t="s">
        <v>41</v>
      </c>
      <c r="H1487" s="32">
        <v>35729031</v>
      </c>
      <c r="I1487" s="32">
        <v>0</v>
      </c>
      <c r="J1487" s="32">
        <v>7685002</v>
      </c>
      <c r="K1487" s="33">
        <v>28044029</v>
      </c>
      <c r="L1487" s="33">
        <v>13125000</v>
      </c>
      <c r="M1487" s="34">
        <v>2.1366879238095238</v>
      </c>
      <c r="N1487" s="209" t="str">
        <f>IFERROR(VLOOKUP(F1487,Back!C:F,4,0),"NO")</f>
        <v>Si</v>
      </c>
      <c r="O1487" s="26">
        <v>24</v>
      </c>
      <c r="P1487" s="28" t="str">
        <f>IFERROR(VLOOKUP(F1487,Back!C:E,3,0),"")</f>
        <v>IPS Pto De Vista San Diego</v>
      </c>
      <c r="Q1487" s="28" t="str">
        <f>IFERROR(VLOOKUP(P1487,Back!M:N,2,0),"")</f>
        <v>Antioquia</v>
      </c>
      <c r="R1487" s="27" t="str">
        <f>IF(N1487="Si",IFERROR(VLOOKUP(F1487,'TD Cumpl'!B:AB,27,0),"No Aplica"),"No Aplica")</f>
        <v>Cumple</v>
      </c>
      <c r="S1487" s="38">
        <v>55</v>
      </c>
      <c r="T1487" s="36">
        <v>6538090</v>
      </c>
      <c r="U1487" s="26">
        <v>134</v>
      </c>
      <c r="V1487" s="37">
        <v>17585912</v>
      </c>
      <c r="W1487" s="19">
        <v>74</v>
      </c>
      <c r="X1487" s="37">
        <v>7685002</v>
      </c>
      <c r="Y1487" s="46">
        <f t="shared" si="48"/>
        <v>3920027</v>
      </c>
      <c r="Z1487" s="19" t="s">
        <v>318</v>
      </c>
    </row>
    <row r="1488" spans="1:26" x14ac:dyDescent="0.25">
      <c r="A1488" s="20">
        <f>+VLOOKUP(D1488,Back!Q:R,2,0)</f>
        <v>7</v>
      </c>
      <c r="B1488" s="20" t="str">
        <f t="shared" si="47"/>
        <v>2018 JUL</v>
      </c>
      <c r="C1488" s="30">
        <v>2018</v>
      </c>
      <c r="D1488" s="30" t="s">
        <v>157</v>
      </c>
      <c r="E1488" s="30" t="s">
        <v>81</v>
      </c>
      <c r="F1488" s="30">
        <v>1017200970</v>
      </c>
      <c r="G1488" s="30" t="s">
        <v>82</v>
      </c>
      <c r="H1488" s="32">
        <v>54891855</v>
      </c>
      <c r="I1488" s="32">
        <v>455100</v>
      </c>
      <c r="J1488" s="32">
        <v>11088042</v>
      </c>
      <c r="K1488" s="33">
        <v>43348713</v>
      </c>
      <c r="L1488" s="33">
        <v>36000000</v>
      </c>
      <c r="M1488" s="34">
        <v>1.2041309166666667</v>
      </c>
      <c r="N1488" s="209" t="str">
        <f>IFERROR(VLOOKUP(F1488,Back!C:F,4,0),"NO")</f>
        <v>Si</v>
      </c>
      <c r="O1488" s="26">
        <v>24</v>
      </c>
      <c r="P1488" s="28" t="str">
        <f>IFERROR(VLOOKUP(F1488,Back!C:E,3,0),"")</f>
        <v>IPS Pto De Vista San Diego</v>
      </c>
      <c r="Q1488" s="28" t="str">
        <f>IFERROR(VLOOKUP(P1488,Back!M:N,2,0),"")</f>
        <v>Antioquia</v>
      </c>
      <c r="R1488" s="27" t="str">
        <f>IF(N1488="Si",IFERROR(VLOOKUP(F1488,'TD Cumpl'!B:AB,27,0),"No Aplica"),"No Aplica")</f>
        <v>Cumple</v>
      </c>
      <c r="S1488" s="38">
        <v>93</v>
      </c>
      <c r="T1488" s="36">
        <v>10357134</v>
      </c>
      <c r="U1488" s="26">
        <v>211</v>
      </c>
      <c r="V1488" s="37">
        <v>25625478</v>
      </c>
      <c r="W1488" s="19">
        <v>118</v>
      </c>
      <c r="X1488" s="37">
        <v>11088042</v>
      </c>
      <c r="Y1488" s="46">
        <f t="shared" si="48"/>
        <v>7821201</v>
      </c>
      <c r="Z1488" s="19" t="s">
        <v>318</v>
      </c>
    </row>
    <row r="1489" spans="1:26" x14ac:dyDescent="0.25">
      <c r="A1489" s="20">
        <f>+VLOOKUP(D1489,Back!Q:R,2,0)</f>
        <v>7</v>
      </c>
      <c r="B1489" s="20" t="str">
        <f t="shared" si="47"/>
        <v>2018 JUL</v>
      </c>
      <c r="C1489" s="30">
        <v>2018</v>
      </c>
      <c r="D1489" s="30" t="s">
        <v>157</v>
      </c>
      <c r="E1489" s="30" t="s">
        <v>91</v>
      </c>
      <c r="F1489" s="30">
        <v>43114534</v>
      </c>
      <c r="G1489" s="30" t="s">
        <v>95</v>
      </c>
      <c r="H1489" s="32">
        <v>50292307</v>
      </c>
      <c r="I1489" s="32">
        <v>421200</v>
      </c>
      <c r="J1489" s="32">
        <v>9078117</v>
      </c>
      <c r="K1489" s="33">
        <v>40792990</v>
      </c>
      <c r="L1489" s="33">
        <v>28500000</v>
      </c>
      <c r="M1489" s="34">
        <v>1.4313329824561403</v>
      </c>
      <c r="N1489" s="209" t="str">
        <f>IFERROR(VLOOKUP(F1489,Back!C:F,4,0),"NO")</f>
        <v>No</v>
      </c>
      <c r="O1489" s="26">
        <v>24</v>
      </c>
      <c r="P1489" s="28" t="str">
        <f>IFERROR(VLOOKUP(F1489,Back!C:E,3,0),"")</f>
        <v>IPS Pto De Vista San Diego</v>
      </c>
      <c r="Q1489" s="28" t="str">
        <f>IFERROR(VLOOKUP(P1489,Back!M:N,2,0),"")</f>
        <v>Antioquia</v>
      </c>
      <c r="R1489" s="27" t="str">
        <f>IF(N1489="Si",IFERROR(VLOOKUP(F1489,'TD Cumpl'!B:AB,27,0),"No Aplica"),"No Aplica")</f>
        <v>No Aplica</v>
      </c>
      <c r="S1489" s="38">
        <v>76</v>
      </c>
      <c r="T1489" s="36">
        <v>8092124</v>
      </c>
      <c r="U1489" s="26">
        <v>199</v>
      </c>
      <c r="V1489" s="37">
        <v>26670127</v>
      </c>
      <c r="W1489" s="19">
        <v>91</v>
      </c>
      <c r="X1489" s="37">
        <v>9078117</v>
      </c>
      <c r="Y1489" s="46">
        <f t="shared" si="48"/>
        <v>6451939</v>
      </c>
    </row>
    <row r="1490" spans="1:26" x14ac:dyDescent="0.25">
      <c r="A1490" s="20">
        <f>+VLOOKUP(D1490,Back!Q:R,2,0)</f>
        <v>7</v>
      </c>
      <c r="B1490" s="20" t="str">
        <f t="shared" si="47"/>
        <v>2018 JUL</v>
      </c>
      <c r="C1490" s="30">
        <v>2018</v>
      </c>
      <c r="D1490" s="30" t="s">
        <v>157</v>
      </c>
      <c r="E1490" s="30" t="s">
        <v>17</v>
      </c>
      <c r="F1490" s="30">
        <v>43113640</v>
      </c>
      <c r="G1490" s="30" t="s">
        <v>47</v>
      </c>
      <c r="H1490" s="32">
        <v>30737794</v>
      </c>
      <c r="I1490" s="32">
        <v>221100</v>
      </c>
      <c r="J1490" s="32">
        <v>5474709</v>
      </c>
      <c r="K1490" s="33">
        <v>25041985</v>
      </c>
      <c r="L1490" s="33">
        <v>9000000</v>
      </c>
      <c r="M1490" s="34">
        <v>2.7824427777777778</v>
      </c>
      <c r="N1490" s="209" t="str">
        <f>IFERROR(VLOOKUP(F1490,Back!C:F,4,0),"NO")</f>
        <v>Si</v>
      </c>
      <c r="O1490" s="26">
        <v>24</v>
      </c>
      <c r="P1490" s="28" t="str">
        <f>IFERROR(VLOOKUP(F1490,Back!C:E,3,0),"")</f>
        <v>IPS Pto De Vista San Diego</v>
      </c>
      <c r="Q1490" s="28" t="str">
        <f>IFERROR(VLOOKUP(P1490,Back!M:N,2,0),"")</f>
        <v>Antioquia</v>
      </c>
      <c r="R1490" s="27" t="str">
        <f>IF(N1490="Si",IFERROR(VLOOKUP(F1490,'TD Cumpl'!B:AB,27,0),"No Aplica"),"No Aplica")</f>
        <v>Cumple</v>
      </c>
      <c r="S1490" s="38">
        <v>56</v>
      </c>
      <c r="T1490" s="36">
        <v>5834603</v>
      </c>
      <c r="U1490" s="26">
        <v>118</v>
      </c>
      <c r="V1490" s="37">
        <v>14876099</v>
      </c>
      <c r="W1490" s="19">
        <v>53</v>
      </c>
      <c r="X1490" s="37">
        <v>5474709</v>
      </c>
      <c r="Y1490" s="46">
        <f t="shared" si="48"/>
        <v>4552383</v>
      </c>
      <c r="Z1490" s="19" t="s">
        <v>317</v>
      </c>
    </row>
    <row r="1491" spans="1:26" x14ac:dyDescent="0.25">
      <c r="A1491" s="20">
        <f>+VLOOKUP(D1491,Back!Q:R,2,0)</f>
        <v>7</v>
      </c>
      <c r="B1491" s="20" t="str">
        <f t="shared" si="47"/>
        <v>2018 JUL</v>
      </c>
      <c r="C1491" s="30">
        <v>2018</v>
      </c>
      <c r="D1491" s="30" t="s">
        <v>157</v>
      </c>
      <c r="E1491" s="30" t="s">
        <v>269</v>
      </c>
      <c r="F1491" s="30">
        <v>1001131473</v>
      </c>
      <c r="G1491" s="30" t="s">
        <v>331</v>
      </c>
      <c r="H1491" s="32">
        <v>26486394</v>
      </c>
      <c r="I1491" s="32">
        <v>0</v>
      </c>
      <c r="J1491" s="32">
        <v>5916318</v>
      </c>
      <c r="K1491" s="33">
        <v>20570076</v>
      </c>
      <c r="L1491" s="33">
        <v>27000000</v>
      </c>
      <c r="M1491" s="34">
        <v>0.76185466666666668</v>
      </c>
      <c r="N1491" s="209" t="str">
        <f>IFERROR(VLOOKUP(F1491,Back!C:F,4,0),"NO")</f>
        <v>Si</v>
      </c>
      <c r="O1491" s="26">
        <v>24</v>
      </c>
      <c r="P1491" s="28" t="str">
        <f>IFERROR(VLOOKUP(F1491,Back!C:E,3,0),"")</f>
        <v>IPS Pto De Vista Centro</v>
      </c>
      <c r="Q1491" s="28" t="str">
        <f>IFERROR(VLOOKUP(P1491,Back!M:N,2,0),"")</f>
        <v>Antioquia</v>
      </c>
      <c r="R1491" s="27" t="str">
        <f>IF(N1491="Si",IFERROR(VLOOKUP(F1491,'TD Cumpl'!B:AB,27,0),"No Aplica"),"No Aplica")</f>
        <v>No Cumple</v>
      </c>
      <c r="S1491" s="38">
        <v>47</v>
      </c>
      <c r="T1491" s="36">
        <v>5137683</v>
      </c>
      <c r="U1491" s="26">
        <v>116</v>
      </c>
      <c r="V1491" s="37">
        <v>12953378</v>
      </c>
      <c r="W1491" s="19">
        <v>66</v>
      </c>
      <c r="X1491" s="37">
        <v>5916318</v>
      </c>
      <c r="Y1491" s="46">
        <f t="shared" si="48"/>
        <v>2479015</v>
      </c>
      <c r="Z1491" s="19" t="s">
        <v>318</v>
      </c>
    </row>
    <row r="1492" spans="1:26" x14ac:dyDescent="0.25">
      <c r="A1492" s="20">
        <f>+VLOOKUP(D1492,Back!Q:R,2,0)</f>
        <v>7</v>
      </c>
      <c r="B1492" s="20" t="str">
        <f t="shared" si="47"/>
        <v>2018 JUL</v>
      </c>
      <c r="C1492" s="30">
        <v>2018</v>
      </c>
      <c r="D1492" s="30" t="s">
        <v>157</v>
      </c>
      <c r="E1492" s="30" t="s">
        <v>84</v>
      </c>
      <c r="F1492" s="30">
        <v>1020736461</v>
      </c>
      <c r="G1492" s="30" t="s">
        <v>156</v>
      </c>
      <c r="H1492" s="32">
        <v>52233155</v>
      </c>
      <c r="I1492" s="32">
        <v>468000</v>
      </c>
      <c r="J1492" s="32">
        <v>7725642</v>
      </c>
      <c r="K1492" s="33">
        <v>44039513</v>
      </c>
      <c r="L1492" s="33">
        <v>28000008</v>
      </c>
      <c r="M1492" s="34">
        <v>1.5728393006173427</v>
      </c>
      <c r="N1492" s="209" t="str">
        <f>IFERROR(VLOOKUP(F1492,Back!C:F,4,0),"NO")</f>
        <v>Si</v>
      </c>
      <c r="O1492" s="26">
        <v>24</v>
      </c>
      <c r="P1492" s="28" t="str">
        <f>IFERROR(VLOOKUP(F1492,Back!C:E,3,0),"")</f>
        <v>IPS Pto De Vista Santa Bárbara</v>
      </c>
      <c r="Q1492" s="28" t="str">
        <f>IFERROR(VLOOKUP(P1492,Back!M:N,2,0),"")</f>
        <v>Centro</v>
      </c>
      <c r="R1492" s="27" t="str">
        <f>IF(N1492="Si",IFERROR(VLOOKUP(F1492,'TD Cumpl'!B:AB,27,0),"No Aplica"),"No Aplica")</f>
        <v>Siempre Cumple</v>
      </c>
      <c r="S1492" s="38">
        <v>79</v>
      </c>
      <c r="T1492" s="36">
        <v>8721134</v>
      </c>
      <c r="U1492" s="26">
        <v>223</v>
      </c>
      <c r="V1492" s="37">
        <v>32429424</v>
      </c>
      <c r="W1492" s="19">
        <v>106</v>
      </c>
      <c r="X1492" s="37">
        <v>7725642</v>
      </c>
      <c r="Y1492" s="46">
        <f t="shared" si="48"/>
        <v>3356955</v>
      </c>
      <c r="Z1492" s="19" t="s">
        <v>318</v>
      </c>
    </row>
    <row r="1493" spans="1:26" x14ac:dyDescent="0.25">
      <c r="A1493" s="20">
        <f>+VLOOKUP(D1493,Back!Q:R,2,0)</f>
        <v>7</v>
      </c>
      <c r="B1493" s="20" t="str">
        <f t="shared" si="47"/>
        <v>2018 JUL</v>
      </c>
      <c r="C1493" s="30">
        <v>2018</v>
      </c>
      <c r="D1493" s="30" t="s">
        <v>157</v>
      </c>
      <c r="E1493" s="30" t="s">
        <v>102</v>
      </c>
      <c r="F1493" s="30">
        <v>79850984</v>
      </c>
      <c r="G1493" s="30" t="s">
        <v>106</v>
      </c>
      <c r="H1493" s="32">
        <v>37189563</v>
      </c>
      <c r="I1493" s="32">
        <v>1734400</v>
      </c>
      <c r="J1493" s="32">
        <v>6063745</v>
      </c>
      <c r="K1493" s="33">
        <v>29391418</v>
      </c>
      <c r="L1493" s="33">
        <v>28000008</v>
      </c>
      <c r="M1493" s="34">
        <v>1.0496932000876571</v>
      </c>
      <c r="N1493" s="209" t="str">
        <f>IFERROR(VLOOKUP(F1493,Back!C:F,4,0),"NO")</f>
        <v>Si</v>
      </c>
      <c r="O1493" s="26">
        <v>24</v>
      </c>
      <c r="P1493" s="28" t="str">
        <f>IFERROR(VLOOKUP(F1493,Back!C:E,3,0),"")</f>
        <v>IPS Pto De Vista SSura Clle100</v>
      </c>
      <c r="Q1493" s="28" t="str">
        <f>IFERROR(VLOOKUP(P1493,Back!M:N,2,0),"")</f>
        <v>Centro</v>
      </c>
      <c r="R1493" s="27" t="str">
        <f>IF(N1493="Si",IFERROR(VLOOKUP(F1493,'TD Cumpl'!B:AB,27,0),"No Aplica"),"No Aplica")</f>
        <v>Fluctúa</v>
      </c>
      <c r="S1493" s="38">
        <v>67</v>
      </c>
      <c r="T1493" s="36">
        <v>5886988</v>
      </c>
      <c r="U1493" s="26">
        <v>192</v>
      </c>
      <c r="V1493" s="37">
        <v>21723133</v>
      </c>
      <c r="W1493" s="19">
        <v>87</v>
      </c>
      <c r="X1493" s="37">
        <v>6063745</v>
      </c>
      <c r="Y1493" s="46">
        <f t="shared" si="48"/>
        <v>3515697</v>
      </c>
      <c r="Z1493" s="19" t="s">
        <v>318</v>
      </c>
    </row>
    <row r="1494" spans="1:26" x14ac:dyDescent="0.25">
      <c r="A1494" s="20">
        <f>+VLOOKUP(D1494,Back!Q:R,2,0)</f>
        <v>7</v>
      </c>
      <c r="B1494" s="20" t="str">
        <f t="shared" si="47"/>
        <v>2018 JUL</v>
      </c>
      <c r="C1494" s="30">
        <v>2018</v>
      </c>
      <c r="D1494" s="30" t="s">
        <v>157</v>
      </c>
      <c r="E1494" s="30" t="s">
        <v>2</v>
      </c>
      <c r="F1494" s="30">
        <v>52260671</v>
      </c>
      <c r="G1494" s="30" t="s">
        <v>26</v>
      </c>
      <c r="H1494" s="32">
        <v>42447011</v>
      </c>
      <c r="I1494" s="32">
        <v>0</v>
      </c>
      <c r="J1494" s="32">
        <v>7616932</v>
      </c>
      <c r="K1494" s="33">
        <v>34830079</v>
      </c>
      <c r="L1494" s="33">
        <v>28000008</v>
      </c>
      <c r="M1494" s="34">
        <v>1.243931037448275</v>
      </c>
      <c r="N1494" s="209" t="str">
        <f>IFERROR(VLOOKUP(F1494,Back!C:F,4,0),"NO")</f>
        <v>Si</v>
      </c>
      <c r="O1494" s="26">
        <v>24</v>
      </c>
      <c r="P1494" s="28" t="str">
        <f>IFERROR(VLOOKUP(F1494,Back!C:E,3,0),"")</f>
        <v>IPS Pto De Vista Santa Bárbara</v>
      </c>
      <c r="Q1494" s="28" t="str">
        <f>IFERROR(VLOOKUP(P1494,Back!M:N,2,0),"")</f>
        <v>Centro</v>
      </c>
      <c r="R1494" s="27" t="str">
        <f>IF(N1494="Si",IFERROR(VLOOKUP(F1494,'TD Cumpl'!B:AB,27,0),"No Aplica"),"No Aplica")</f>
        <v>Siempre Cumple</v>
      </c>
      <c r="S1494" s="38">
        <v>75</v>
      </c>
      <c r="T1494" s="36">
        <v>7929575</v>
      </c>
      <c r="U1494" s="26">
        <v>210</v>
      </c>
      <c r="V1494" s="37">
        <v>22874542</v>
      </c>
      <c r="W1494" s="19">
        <v>102</v>
      </c>
      <c r="X1494" s="37">
        <v>7616932</v>
      </c>
      <c r="Y1494" s="46">
        <f t="shared" si="48"/>
        <v>4025962</v>
      </c>
      <c r="Z1494" s="19" t="s">
        <v>318</v>
      </c>
    </row>
    <row r="1495" spans="1:26" x14ac:dyDescent="0.25">
      <c r="A1495" s="20">
        <f>+VLOOKUP(D1495,Back!Q:R,2,0)</f>
        <v>7</v>
      </c>
      <c r="B1495" s="20" t="str">
        <f t="shared" si="47"/>
        <v>2018 JUL</v>
      </c>
      <c r="C1495" s="30">
        <v>2018</v>
      </c>
      <c r="D1495" s="30" t="s">
        <v>157</v>
      </c>
      <c r="E1495" s="30" t="s">
        <v>38</v>
      </c>
      <c r="F1495" s="30">
        <v>43745192</v>
      </c>
      <c r="G1495" s="30" t="s">
        <v>45</v>
      </c>
      <c r="H1495" s="32">
        <v>39166234</v>
      </c>
      <c r="I1495" s="32">
        <v>0</v>
      </c>
      <c r="J1495" s="32">
        <v>3494477</v>
      </c>
      <c r="K1495" s="33">
        <v>35671757</v>
      </c>
      <c r="L1495" s="33">
        <v>30000000</v>
      </c>
      <c r="M1495" s="34">
        <v>1.1890585666666666</v>
      </c>
      <c r="N1495" s="209" t="str">
        <f>IFERROR(VLOOKUP(F1495,Back!C:F,4,0),"NO")</f>
        <v>Si</v>
      </c>
      <c r="O1495" s="26">
        <v>24</v>
      </c>
      <c r="P1495" s="28" t="str">
        <f>IFERROR(VLOOKUP(F1495,Back!C:E,3,0),"")</f>
        <v>IPS Punto de Vista Mayorca</v>
      </c>
      <c r="Q1495" s="28" t="str">
        <f>IFERROR(VLOOKUP(P1495,Back!M:N,2,0),"")</f>
        <v>Antioquia</v>
      </c>
      <c r="R1495" s="27" t="str">
        <f>IF(N1495="Si",IFERROR(VLOOKUP(F1495,'TD Cumpl'!B:AB,27,0),"No Aplica"),"No Aplica")</f>
        <v>Cumple</v>
      </c>
      <c r="S1495" s="38">
        <v>57</v>
      </c>
      <c r="T1495" s="36">
        <v>8722767</v>
      </c>
      <c r="U1495" s="26">
        <v>160</v>
      </c>
      <c r="V1495" s="37">
        <v>23728748</v>
      </c>
      <c r="W1495" s="19">
        <v>49</v>
      </c>
      <c r="X1495" s="37">
        <v>3494477</v>
      </c>
      <c r="Y1495" s="46">
        <f t="shared" si="48"/>
        <v>3220242</v>
      </c>
      <c r="Z1495" s="19" t="s">
        <v>318</v>
      </c>
    </row>
    <row r="1496" spans="1:26" x14ac:dyDescent="0.25">
      <c r="A1496" s="20">
        <f>+VLOOKUP(D1496,Back!Q:R,2,0)</f>
        <v>7</v>
      </c>
      <c r="B1496" s="20" t="str">
        <f t="shared" si="47"/>
        <v>2018 JUL</v>
      </c>
      <c r="C1496" s="30">
        <v>2018</v>
      </c>
      <c r="D1496" s="30" t="s">
        <v>157</v>
      </c>
      <c r="E1496" s="30" t="s">
        <v>5</v>
      </c>
      <c r="F1496" s="30">
        <v>34542470</v>
      </c>
      <c r="G1496" s="30" t="s">
        <v>28</v>
      </c>
      <c r="H1496" s="32">
        <v>52896961</v>
      </c>
      <c r="I1496" s="32">
        <v>1172340</v>
      </c>
      <c r="J1496" s="32">
        <v>6342459</v>
      </c>
      <c r="K1496" s="33">
        <v>45382162</v>
      </c>
      <c r="L1496" s="33">
        <v>34999992</v>
      </c>
      <c r="M1496" s="34">
        <v>1.2966334963733706</v>
      </c>
      <c r="N1496" s="209" t="str">
        <f>IFERROR(VLOOKUP(F1496,Back!C:F,4,0),"NO")</f>
        <v>Si</v>
      </c>
      <c r="O1496" s="26">
        <v>24</v>
      </c>
      <c r="P1496" s="28" t="str">
        <f>IFERROR(VLOOKUP(F1496,Back!C:E,3,0),"")</f>
        <v>Optica Salud Sura Chipichape</v>
      </c>
      <c r="Q1496" s="28" t="str">
        <f>IFERROR(VLOOKUP(P1496,Back!M:N,2,0),"")</f>
        <v>Occidente</v>
      </c>
      <c r="R1496" s="27" t="str">
        <f>IF(N1496="Si",IFERROR(VLOOKUP(F1496,'TD Cumpl'!B:AB,27,0),"No Aplica"),"No Aplica")</f>
        <v>Siempre Cumple</v>
      </c>
      <c r="S1496" s="38">
        <v>92</v>
      </c>
      <c r="T1496" s="36">
        <v>13154974</v>
      </c>
      <c r="U1496" s="26">
        <v>226</v>
      </c>
      <c r="V1496" s="37">
        <v>28829808</v>
      </c>
      <c r="W1496" s="19">
        <v>67</v>
      </c>
      <c r="X1496" s="37">
        <v>6342459</v>
      </c>
      <c r="Y1496" s="46">
        <f t="shared" si="48"/>
        <v>4569720</v>
      </c>
      <c r="Z1496" s="19" t="s">
        <v>318</v>
      </c>
    </row>
    <row r="1497" spans="1:26" x14ac:dyDescent="0.25">
      <c r="A1497" s="20">
        <f>+VLOOKUP(D1497,Back!Q:R,2,0)</f>
        <v>7</v>
      </c>
      <c r="B1497" s="20" t="str">
        <f t="shared" si="47"/>
        <v>2018 JUL</v>
      </c>
      <c r="C1497" s="30">
        <v>2018</v>
      </c>
      <c r="D1497" s="30" t="s">
        <v>157</v>
      </c>
      <c r="E1497" s="30" t="s">
        <v>254</v>
      </c>
      <c r="F1497" s="30">
        <v>1095794354</v>
      </c>
      <c r="G1497" s="30" t="s">
        <v>255</v>
      </c>
      <c r="H1497" s="32">
        <v>32879853</v>
      </c>
      <c r="I1497" s="32">
        <v>0</v>
      </c>
      <c r="J1497" s="32">
        <v>2696491</v>
      </c>
      <c r="K1497" s="33">
        <v>30183362</v>
      </c>
      <c r="L1497" s="33">
        <v>23762256</v>
      </c>
      <c r="M1497" s="34">
        <v>1.2702229114945989</v>
      </c>
      <c r="N1497" s="209" t="str">
        <f>IFERROR(VLOOKUP(F1497,Back!C:F,4,0),"NO")</f>
        <v>No</v>
      </c>
      <c r="O1497" s="26">
        <v>24</v>
      </c>
      <c r="P1497" s="28" t="str">
        <f>IFERROR(VLOOKUP(F1497,Back!C:E,3,0),"")</f>
        <v>Ferias Cali</v>
      </c>
      <c r="Q1497" s="28" t="str">
        <f>IFERROR(VLOOKUP(P1497,Back!M:N,2,0),"")</f>
        <v>Occidente</v>
      </c>
      <c r="R1497" s="27" t="str">
        <f>IF(N1497="Si",IFERROR(VLOOKUP(F1497,'TD Cumpl'!B:AB,27,0),"No Aplica"),"No Aplica")</f>
        <v>No Aplica</v>
      </c>
      <c r="S1497" s="38">
        <v>54</v>
      </c>
      <c r="T1497" s="36">
        <v>5484872</v>
      </c>
      <c r="U1497" s="26">
        <v>108</v>
      </c>
      <c r="V1497" s="37">
        <v>11413051</v>
      </c>
      <c r="W1497" s="19">
        <v>35</v>
      </c>
      <c r="X1497" s="37">
        <v>2696491</v>
      </c>
      <c r="Y1497" s="46">
        <f t="shared" si="48"/>
        <v>13285439</v>
      </c>
    </row>
    <row r="1498" spans="1:26" x14ac:dyDescent="0.25">
      <c r="A1498" s="20">
        <f>+VLOOKUP(D1498,Back!Q:R,2,0)</f>
        <v>7</v>
      </c>
      <c r="B1498" s="20" t="str">
        <f t="shared" si="47"/>
        <v>2018 JUL</v>
      </c>
      <c r="C1498" s="30">
        <v>2018</v>
      </c>
      <c r="D1498" s="30" t="s">
        <v>157</v>
      </c>
      <c r="E1498" s="30" t="s">
        <v>249</v>
      </c>
      <c r="F1498" s="30">
        <v>1144061613</v>
      </c>
      <c r="G1498" s="30" t="s">
        <v>256</v>
      </c>
      <c r="H1498" s="32">
        <v>28387223</v>
      </c>
      <c r="I1498" s="32">
        <v>0</v>
      </c>
      <c r="J1498" s="32">
        <v>8189037</v>
      </c>
      <c r="K1498" s="33">
        <v>20198186</v>
      </c>
      <c r="L1498" s="33">
        <v>30000000</v>
      </c>
      <c r="M1498" s="34">
        <v>0.67327286666666664</v>
      </c>
      <c r="N1498" s="209" t="str">
        <f>IFERROR(VLOOKUP(F1498,Back!C:F,4,0),"NO")</f>
        <v>Si</v>
      </c>
      <c r="O1498" s="26">
        <v>24</v>
      </c>
      <c r="P1498" s="28" t="str">
        <f>IFERROR(VLOOKUP(F1498,Back!C:E,3,0),"")</f>
        <v>Punto de Vista Tequendama</v>
      </c>
      <c r="Q1498" s="28" t="str">
        <f>IFERROR(VLOOKUP(P1498,Back!M:N,2,0),"")</f>
        <v>Occidente</v>
      </c>
      <c r="R1498" s="27" t="str">
        <f>IF(N1498="Si",IFERROR(VLOOKUP(F1498,'TD Cumpl'!B:AB,27,0),"No Aplica"),"No Aplica")</f>
        <v>Fluctúa</v>
      </c>
      <c r="S1498" s="38">
        <v>47</v>
      </c>
      <c r="T1498" s="36">
        <v>4380659</v>
      </c>
      <c r="U1498" s="26">
        <v>160</v>
      </c>
      <c r="V1498" s="37">
        <v>14019751</v>
      </c>
      <c r="W1498" s="19">
        <v>91</v>
      </c>
      <c r="X1498" s="37">
        <v>8189037</v>
      </c>
      <c r="Y1498" s="46">
        <f t="shared" si="48"/>
        <v>1797776</v>
      </c>
      <c r="Z1498" s="19" t="s">
        <v>318</v>
      </c>
    </row>
    <row r="1499" spans="1:26" x14ac:dyDescent="0.25">
      <c r="A1499" s="20">
        <f>+VLOOKUP(D1499,Back!Q:R,2,0)</f>
        <v>7</v>
      </c>
      <c r="B1499" s="20" t="str">
        <f t="shared" si="47"/>
        <v>2018 JUL</v>
      </c>
      <c r="C1499" s="30">
        <v>2018</v>
      </c>
      <c r="D1499" s="30" t="s">
        <v>157</v>
      </c>
      <c r="E1499" s="30" t="s">
        <v>258</v>
      </c>
      <c r="F1499" s="30">
        <v>1130676531</v>
      </c>
      <c r="G1499" s="30" t="s">
        <v>262</v>
      </c>
      <c r="H1499" s="35">
        <v>22610216</v>
      </c>
      <c r="I1499" s="32">
        <v>0</v>
      </c>
      <c r="J1499" s="32">
        <v>5363518</v>
      </c>
      <c r="K1499" s="33">
        <v>17246698</v>
      </c>
      <c r="L1499" s="33">
        <v>30000000</v>
      </c>
      <c r="M1499" s="34">
        <v>0.57488993333333338</v>
      </c>
      <c r="N1499" s="209" t="str">
        <f>IFERROR(VLOOKUP(F1499,Back!C:F,4,0),"NO")</f>
        <v>Si</v>
      </c>
      <c r="O1499" s="26">
        <v>24</v>
      </c>
      <c r="P1499" s="28" t="str">
        <f>IFERROR(VLOOKUP(F1499,Back!C:E,3,0),"")</f>
        <v>Punto de Vista Cali Norte</v>
      </c>
      <c r="Q1499" s="28" t="str">
        <f>IFERROR(VLOOKUP(P1499,Back!M:N,2,0),"")</f>
        <v>Occidente</v>
      </c>
      <c r="R1499" s="27" t="str">
        <f>IF(N1499="Si",IFERROR(VLOOKUP(F1499,'TD Cumpl'!B:AB,27,0),"No Aplica"),"No Aplica")</f>
        <v>No Cumple</v>
      </c>
      <c r="S1499" s="38">
        <v>37</v>
      </c>
      <c r="T1499" s="36">
        <v>3522933</v>
      </c>
      <c r="U1499" s="26">
        <v>124</v>
      </c>
      <c r="V1499" s="37">
        <v>12146278</v>
      </c>
      <c r="W1499" s="19">
        <v>62</v>
      </c>
      <c r="X1499" s="37">
        <v>5363518</v>
      </c>
      <c r="Y1499" s="46">
        <f t="shared" si="48"/>
        <v>1577487</v>
      </c>
      <c r="Z1499" s="19" t="s">
        <v>318</v>
      </c>
    </row>
    <row r="1500" spans="1:26" x14ac:dyDescent="0.25">
      <c r="A1500" s="20">
        <f>+VLOOKUP(D1500,Back!Q:R,2,0)</f>
        <v>7</v>
      </c>
      <c r="B1500" s="20" t="str">
        <f t="shared" si="47"/>
        <v>2018 JUL</v>
      </c>
      <c r="C1500" s="30">
        <v>2018</v>
      </c>
      <c r="D1500" s="30" t="s">
        <v>157</v>
      </c>
      <c r="E1500" s="30" t="s">
        <v>237</v>
      </c>
      <c r="F1500" s="30">
        <v>1151951440</v>
      </c>
      <c r="G1500" s="30" t="s">
        <v>238</v>
      </c>
      <c r="H1500" s="35">
        <v>42874023</v>
      </c>
      <c r="I1500" s="32">
        <v>0</v>
      </c>
      <c r="J1500" s="32">
        <v>8896260</v>
      </c>
      <c r="K1500" s="33">
        <v>33977763</v>
      </c>
      <c r="L1500" s="33">
        <v>30000000</v>
      </c>
      <c r="M1500" s="34">
        <v>1.1325921000000001</v>
      </c>
      <c r="N1500" s="209" t="str">
        <f>IFERROR(VLOOKUP(F1500,Back!C:F,4,0),"NO")</f>
        <v>No</v>
      </c>
      <c r="O1500" s="26">
        <v>24</v>
      </c>
      <c r="P1500" s="28" t="str">
        <f>IFERROR(VLOOKUP(F1500,Back!C:E,3,0),"")</f>
        <v>Punto de Vista Cali Norte</v>
      </c>
      <c r="Q1500" s="28" t="str">
        <f>IFERROR(VLOOKUP(P1500,Back!M:N,2,0),"")</f>
        <v>Occidente</v>
      </c>
      <c r="R1500" s="27" t="str">
        <f>IF(N1500="Si",IFERROR(VLOOKUP(F1500,'TD Cumpl'!B:AB,27,0),"No Aplica"),"No Aplica")</f>
        <v>No Aplica</v>
      </c>
      <c r="S1500" s="38">
        <v>63</v>
      </c>
      <c r="T1500" s="36">
        <v>7792126</v>
      </c>
      <c r="U1500" s="26">
        <v>200</v>
      </c>
      <c r="V1500" s="37">
        <v>24379862</v>
      </c>
      <c r="W1500" s="19">
        <v>92</v>
      </c>
      <c r="X1500" s="37">
        <v>8896260</v>
      </c>
      <c r="Y1500" s="46">
        <f t="shared" si="48"/>
        <v>1805775</v>
      </c>
    </row>
    <row r="1501" spans="1:26" x14ac:dyDescent="0.25">
      <c r="A1501" s="20">
        <f>+VLOOKUP(D1501,Back!Q:R,2,0)</f>
        <v>7</v>
      </c>
      <c r="B1501" s="20" t="str">
        <f t="shared" si="47"/>
        <v>2018 JUL</v>
      </c>
      <c r="C1501" s="30">
        <v>2018</v>
      </c>
      <c r="D1501" s="30" t="s">
        <v>157</v>
      </c>
      <c r="E1501" s="30" t="s">
        <v>88</v>
      </c>
      <c r="F1501" s="30">
        <v>31445278</v>
      </c>
      <c r="G1501" s="30" t="s">
        <v>93</v>
      </c>
      <c r="H1501" s="32">
        <v>40705268</v>
      </c>
      <c r="I1501" s="32">
        <v>0</v>
      </c>
      <c r="J1501" s="32">
        <v>7827126</v>
      </c>
      <c r="K1501" s="33">
        <v>32878142</v>
      </c>
      <c r="L1501" s="33">
        <v>30000000</v>
      </c>
      <c r="M1501" s="34">
        <v>1.0959380666666667</v>
      </c>
      <c r="N1501" s="209" t="str">
        <f>IFERROR(VLOOKUP(F1501,Back!C:F,4,0),"NO")</f>
        <v>Si</v>
      </c>
      <c r="O1501" s="26">
        <v>24</v>
      </c>
      <c r="P1501" s="28" t="str">
        <f>IFERROR(VLOOKUP(F1501,Back!C:E,3,0),"")</f>
        <v>Punto de Vista Tequendama</v>
      </c>
      <c r="Q1501" s="28" t="str">
        <f>IFERROR(VLOOKUP(P1501,Back!M:N,2,0),"")</f>
        <v>Occidente</v>
      </c>
      <c r="R1501" s="27" t="str">
        <f>IF(N1501="Si",IFERROR(VLOOKUP(F1501,'TD Cumpl'!B:AB,27,0),"No Aplica"),"No Aplica")</f>
        <v>Cumple</v>
      </c>
      <c r="S1501" s="38">
        <v>54</v>
      </c>
      <c r="T1501" s="36">
        <v>6754503</v>
      </c>
      <c r="U1501" s="26">
        <v>189</v>
      </c>
      <c r="V1501" s="37">
        <v>22924869</v>
      </c>
      <c r="W1501" s="19">
        <v>82</v>
      </c>
      <c r="X1501" s="37">
        <v>7827126</v>
      </c>
      <c r="Y1501" s="46">
        <f t="shared" si="48"/>
        <v>3198770</v>
      </c>
      <c r="Z1501" s="19" t="s">
        <v>318</v>
      </c>
    </row>
    <row r="1502" spans="1:26" x14ac:dyDescent="0.25">
      <c r="A1502" s="20">
        <f>+VLOOKUP(D1502,Back!Q:R,2,0)</f>
        <v>7</v>
      </c>
      <c r="B1502" s="20" t="str">
        <f t="shared" si="47"/>
        <v>2018 JUL</v>
      </c>
      <c r="C1502" s="30">
        <v>2018</v>
      </c>
      <c r="D1502" s="30" t="s">
        <v>157</v>
      </c>
      <c r="E1502" s="30" t="s">
        <v>149</v>
      </c>
      <c r="F1502" s="30">
        <v>1130597373</v>
      </c>
      <c r="G1502" s="30" t="s">
        <v>150</v>
      </c>
      <c r="H1502" s="35">
        <v>44235303</v>
      </c>
      <c r="I1502" s="32">
        <v>234000</v>
      </c>
      <c r="J1502" s="32">
        <v>9470622</v>
      </c>
      <c r="K1502" s="33">
        <v>34530681</v>
      </c>
      <c r="L1502" s="33">
        <v>30000000</v>
      </c>
      <c r="M1502" s="34">
        <v>1.1510227</v>
      </c>
      <c r="N1502" s="209" t="str">
        <f>IFERROR(VLOOKUP(F1502,Back!C:F,4,0),"NO")</f>
        <v>Si</v>
      </c>
      <c r="O1502" s="26">
        <v>24</v>
      </c>
      <c r="P1502" s="28" t="str">
        <f>IFERROR(VLOOKUP(F1502,Back!C:E,3,0),"")</f>
        <v>Punto de Vista Cali Norte</v>
      </c>
      <c r="Q1502" s="28" t="str">
        <f>IFERROR(VLOOKUP(P1502,Back!M:N,2,0),"")</f>
        <v>Occidente</v>
      </c>
      <c r="R1502" s="27" t="str">
        <f>IF(N1502="Si",IFERROR(VLOOKUP(F1502,'TD Cumpl'!B:AB,27,0),"No Aplica"),"No Aplica")</f>
        <v>Fluctúa</v>
      </c>
      <c r="S1502" s="38">
        <v>79</v>
      </c>
      <c r="T1502" s="36">
        <v>7818712</v>
      </c>
      <c r="U1502" s="26">
        <v>220</v>
      </c>
      <c r="V1502" s="37">
        <v>24619589</v>
      </c>
      <c r="W1502" s="19">
        <v>104</v>
      </c>
      <c r="X1502" s="37">
        <v>9470622</v>
      </c>
      <c r="Y1502" s="46">
        <f t="shared" si="48"/>
        <v>2326380</v>
      </c>
      <c r="Z1502" s="19" t="s">
        <v>318</v>
      </c>
    </row>
    <row r="1503" spans="1:26" x14ac:dyDescent="0.25">
      <c r="A1503" s="20">
        <f>+VLOOKUP(D1503,Back!Q:R,2,0)</f>
        <v>7</v>
      </c>
      <c r="B1503" s="20" t="str">
        <f t="shared" si="47"/>
        <v>2018 JUL</v>
      </c>
      <c r="C1503" s="30">
        <v>2018</v>
      </c>
      <c r="D1503" s="30" t="s">
        <v>157</v>
      </c>
      <c r="E1503" s="30" t="s">
        <v>184</v>
      </c>
      <c r="F1503" s="30"/>
      <c r="G1503" s="30"/>
      <c r="H1503" s="32">
        <v>189157</v>
      </c>
      <c r="I1503" s="32">
        <v>0</v>
      </c>
      <c r="J1503" s="32">
        <v>0</v>
      </c>
      <c r="K1503" s="33">
        <v>189157</v>
      </c>
      <c r="L1503" s="33"/>
      <c r="M1503" s="34"/>
      <c r="N1503" s="209" t="str">
        <f>IFERROR(VLOOKUP(F1503,Back!C:F,4,0),"NO")</f>
        <v>NO</v>
      </c>
      <c r="O1503" s="26">
        <v>24</v>
      </c>
      <c r="P1503" s="28" t="str">
        <f>IFERROR(VLOOKUP(F1503,Back!C:E,3,0),"")</f>
        <v/>
      </c>
      <c r="Q1503" s="28" t="str">
        <f>IFERROR(VLOOKUP(P1503,Back!M:N,2,0),"")</f>
        <v/>
      </c>
      <c r="R1503" s="27" t="str">
        <f>IF(N1503="Si",IFERROR(VLOOKUP(F1503,'TD Cumpl'!B:AB,27,0),"No Aplica"),"No Aplica")</f>
        <v>No Aplica</v>
      </c>
      <c r="S1503" s="38">
        <v>0</v>
      </c>
      <c r="T1503" s="36">
        <v>0</v>
      </c>
      <c r="U1503" s="26">
        <v>2</v>
      </c>
      <c r="V1503" s="37">
        <v>189157</v>
      </c>
      <c r="W1503" s="19">
        <v>0</v>
      </c>
      <c r="X1503" s="37">
        <v>0</v>
      </c>
      <c r="Y1503" s="46">
        <f t="shared" si="48"/>
        <v>0</v>
      </c>
    </row>
    <row r="1504" spans="1:26" x14ac:dyDescent="0.25">
      <c r="A1504" s="20">
        <f>+VLOOKUP(D1504,Back!Q:R,2,0)</f>
        <v>7</v>
      </c>
      <c r="B1504" s="20" t="str">
        <f t="shared" si="47"/>
        <v>2018 JUL</v>
      </c>
      <c r="C1504" s="30">
        <v>2018</v>
      </c>
      <c r="D1504" s="30" t="s">
        <v>157</v>
      </c>
      <c r="E1504" s="30" t="s">
        <v>59</v>
      </c>
      <c r="F1504" s="30"/>
      <c r="G1504" s="30"/>
      <c r="H1504" s="32">
        <v>1</v>
      </c>
      <c r="I1504" s="32">
        <v>0</v>
      </c>
      <c r="J1504" s="32">
        <v>0</v>
      </c>
      <c r="K1504" s="33">
        <v>1</v>
      </c>
      <c r="L1504" s="33"/>
      <c r="M1504" s="34"/>
      <c r="N1504" s="209" t="str">
        <f>IFERROR(VLOOKUP(F1504,Back!C:F,4,0),"NO")</f>
        <v>NO</v>
      </c>
      <c r="O1504" s="26">
        <v>24</v>
      </c>
      <c r="P1504" s="28" t="str">
        <f>IFERROR(VLOOKUP(F1504,Back!C:E,3,0),"")</f>
        <v/>
      </c>
      <c r="Q1504" s="28" t="str">
        <f>IFERROR(VLOOKUP(P1504,Back!M:N,2,0),"")</f>
        <v/>
      </c>
      <c r="R1504" s="27" t="str">
        <f>IF(N1504="Si",IFERROR(VLOOKUP(F1504,'TD Cumpl'!B:AB,27,0),"No Aplica"),"No Aplica")</f>
        <v>No Aplica</v>
      </c>
      <c r="S1504" s="38">
        <v>0</v>
      </c>
      <c r="T1504" s="36">
        <v>0</v>
      </c>
      <c r="U1504" s="26">
        <v>0</v>
      </c>
      <c r="V1504" s="37">
        <v>0</v>
      </c>
      <c r="W1504" s="19">
        <v>0</v>
      </c>
      <c r="X1504" s="37">
        <v>0</v>
      </c>
      <c r="Y1504" s="46">
        <f t="shared" si="48"/>
        <v>1</v>
      </c>
    </row>
    <row r="1505" spans="1:26" x14ac:dyDescent="0.25">
      <c r="A1505" s="20">
        <f>+VLOOKUP(D1505,Back!Q:R,2,0)</f>
        <v>7</v>
      </c>
      <c r="B1505" s="20" t="str">
        <f t="shared" si="47"/>
        <v>2018 JUL</v>
      </c>
      <c r="C1505" s="30">
        <v>2018</v>
      </c>
      <c r="D1505" s="30" t="s">
        <v>157</v>
      </c>
      <c r="E1505" s="30" t="s">
        <v>119</v>
      </c>
      <c r="F1505" s="30"/>
      <c r="G1505" s="30"/>
      <c r="H1505" s="32">
        <v>46283</v>
      </c>
      <c r="I1505" s="32">
        <v>0</v>
      </c>
      <c r="J1505" s="32">
        <v>46283</v>
      </c>
      <c r="K1505" s="33">
        <v>0</v>
      </c>
      <c r="L1505" s="33"/>
      <c r="M1505" s="34"/>
      <c r="N1505" s="209" t="str">
        <f>IFERROR(VLOOKUP(F1505,Back!C:F,4,0),"NO")</f>
        <v>NO</v>
      </c>
      <c r="O1505" s="26">
        <v>24</v>
      </c>
      <c r="P1505" s="28" t="str">
        <f>IFERROR(VLOOKUP(F1505,Back!C:E,3,0),"")</f>
        <v/>
      </c>
      <c r="Q1505" s="28" t="str">
        <f>IFERROR(VLOOKUP(P1505,Back!M:N,2,0),"")</f>
        <v/>
      </c>
      <c r="R1505" s="27" t="str">
        <f>IF(N1505="Si",IFERROR(VLOOKUP(F1505,'TD Cumpl'!B:AB,27,0),"No Aplica"),"No Aplica")</f>
        <v>No Aplica</v>
      </c>
      <c r="S1505" s="38">
        <v>0</v>
      </c>
      <c r="T1505" s="36">
        <v>0</v>
      </c>
      <c r="U1505" s="26">
        <v>0</v>
      </c>
      <c r="V1505" s="37">
        <v>0</v>
      </c>
      <c r="W1505" s="19">
        <v>1</v>
      </c>
      <c r="X1505" s="37">
        <v>46283</v>
      </c>
      <c r="Y1505" s="46">
        <f t="shared" si="48"/>
        <v>0</v>
      </c>
    </row>
    <row r="1506" spans="1:26" x14ac:dyDescent="0.25">
      <c r="A1506" s="20">
        <f>+VLOOKUP(D1506,Back!Q:R,2,0)</f>
        <v>7</v>
      </c>
      <c r="B1506" s="20" t="str">
        <f t="shared" si="47"/>
        <v>2018 JUL</v>
      </c>
      <c r="C1506" s="30">
        <v>2018</v>
      </c>
      <c r="D1506" s="30" t="s">
        <v>157</v>
      </c>
      <c r="E1506" s="30" t="s">
        <v>111</v>
      </c>
      <c r="F1506" s="30"/>
      <c r="G1506" s="30"/>
      <c r="H1506" s="32">
        <v>90400</v>
      </c>
      <c r="I1506" s="32">
        <v>0</v>
      </c>
      <c r="J1506" s="32">
        <v>90400</v>
      </c>
      <c r="K1506" s="33">
        <v>0</v>
      </c>
      <c r="L1506" s="33"/>
      <c r="M1506" s="34"/>
      <c r="N1506" s="209" t="str">
        <f>IFERROR(VLOOKUP(F1506,Back!C:F,4,0),"NO")</f>
        <v>NO</v>
      </c>
      <c r="O1506" s="26">
        <v>24</v>
      </c>
      <c r="P1506" s="28" t="str">
        <f>IFERROR(VLOOKUP(F1506,Back!C:E,3,0),"")</f>
        <v/>
      </c>
      <c r="Q1506" s="28" t="str">
        <f>IFERROR(VLOOKUP(P1506,Back!M:N,2,0),"")</f>
        <v/>
      </c>
      <c r="R1506" s="27" t="str">
        <f>IF(N1506="Si",IFERROR(VLOOKUP(F1506,'TD Cumpl'!B:AB,27,0),"No Aplica"),"No Aplica")</f>
        <v>No Aplica</v>
      </c>
      <c r="S1506" s="38">
        <v>0</v>
      </c>
      <c r="T1506" s="36">
        <v>0</v>
      </c>
      <c r="U1506" s="26">
        <v>0</v>
      </c>
      <c r="V1506" s="37">
        <v>0</v>
      </c>
      <c r="W1506" s="19">
        <v>0</v>
      </c>
      <c r="X1506" s="37">
        <v>0</v>
      </c>
      <c r="Y1506" s="46">
        <f t="shared" si="48"/>
        <v>90400</v>
      </c>
    </row>
    <row r="1507" spans="1:26" x14ac:dyDescent="0.25">
      <c r="A1507" s="20">
        <f>+VLOOKUP(D1507,Back!Q:R,2,0)</f>
        <v>7</v>
      </c>
      <c r="B1507" s="20" t="str">
        <f t="shared" si="47"/>
        <v>2018 JUL</v>
      </c>
      <c r="C1507" s="30">
        <v>2018</v>
      </c>
      <c r="D1507" s="30" t="s">
        <v>157</v>
      </c>
      <c r="E1507" s="30" t="s">
        <v>272</v>
      </c>
      <c r="F1507" s="30"/>
      <c r="G1507" s="30"/>
      <c r="H1507" s="32">
        <v>115000</v>
      </c>
      <c r="I1507" s="32">
        <v>0</v>
      </c>
      <c r="J1507" s="32">
        <v>115000</v>
      </c>
      <c r="K1507" s="33">
        <v>0</v>
      </c>
      <c r="L1507" s="33"/>
      <c r="M1507" s="34"/>
      <c r="N1507" s="209" t="str">
        <f>IFERROR(VLOOKUP(F1507,Back!C:F,4,0),"NO")</f>
        <v>NO</v>
      </c>
      <c r="O1507" s="26">
        <v>24</v>
      </c>
      <c r="P1507" s="28" t="str">
        <f>IFERROR(VLOOKUP(F1507,Back!C:E,3,0),"")</f>
        <v/>
      </c>
      <c r="Q1507" s="28" t="str">
        <f>IFERROR(VLOOKUP(P1507,Back!M:N,2,0),"")</f>
        <v/>
      </c>
      <c r="R1507" s="27" t="str">
        <f>IF(N1507="Si",IFERROR(VLOOKUP(F1507,'TD Cumpl'!B:AB,27,0),"No Aplica"),"No Aplica")</f>
        <v>No Aplica</v>
      </c>
      <c r="S1507" s="38">
        <v>0</v>
      </c>
      <c r="T1507" s="36">
        <v>0</v>
      </c>
      <c r="U1507" s="26">
        <v>0</v>
      </c>
      <c r="V1507" s="37">
        <v>0</v>
      </c>
      <c r="W1507" s="19">
        <v>0</v>
      </c>
      <c r="X1507" s="37">
        <v>0</v>
      </c>
      <c r="Y1507" s="46">
        <f t="shared" si="48"/>
        <v>115000</v>
      </c>
    </row>
    <row r="1508" spans="1:26" x14ac:dyDescent="0.25">
      <c r="A1508" s="20">
        <f>+VLOOKUP(D1508,Back!Q:R,2,0)</f>
        <v>7</v>
      </c>
      <c r="B1508" s="20" t="str">
        <f t="shared" si="47"/>
        <v>2018 JUL</v>
      </c>
      <c r="C1508" s="30">
        <v>2018</v>
      </c>
      <c r="D1508" s="30" t="s">
        <v>157</v>
      </c>
      <c r="E1508" s="30" t="s">
        <v>273</v>
      </c>
      <c r="F1508" s="30"/>
      <c r="G1508" s="30"/>
      <c r="H1508" s="32">
        <v>127600</v>
      </c>
      <c r="I1508" s="32">
        <v>0</v>
      </c>
      <c r="J1508" s="32">
        <v>127600</v>
      </c>
      <c r="K1508" s="33">
        <v>0</v>
      </c>
      <c r="L1508" s="33"/>
      <c r="M1508" s="34"/>
      <c r="N1508" s="209" t="str">
        <f>IFERROR(VLOOKUP(F1508,Back!C:F,4,0),"NO")</f>
        <v>NO</v>
      </c>
      <c r="O1508" s="26">
        <v>24</v>
      </c>
      <c r="P1508" s="28" t="str">
        <f>IFERROR(VLOOKUP(F1508,Back!C:E,3,0),"")</f>
        <v/>
      </c>
      <c r="Q1508" s="28" t="str">
        <f>IFERROR(VLOOKUP(P1508,Back!M:N,2,0),"")</f>
        <v/>
      </c>
      <c r="R1508" s="27" t="str">
        <f>IF(N1508="Si",IFERROR(VLOOKUP(F1508,'TD Cumpl'!B:AB,27,0),"No Aplica"),"No Aplica")</f>
        <v>No Aplica</v>
      </c>
      <c r="S1508" s="38">
        <v>0</v>
      </c>
      <c r="T1508" s="36">
        <v>0</v>
      </c>
      <c r="U1508" s="26">
        <v>0</v>
      </c>
      <c r="V1508" s="37">
        <v>0</v>
      </c>
      <c r="W1508" s="19">
        <v>0</v>
      </c>
      <c r="X1508" s="37">
        <v>0</v>
      </c>
      <c r="Y1508" s="46">
        <f t="shared" si="48"/>
        <v>127600</v>
      </c>
    </row>
    <row r="1509" spans="1:26" x14ac:dyDescent="0.25">
      <c r="A1509" s="20">
        <f>+VLOOKUP(D1509,Back!Q:R,2,0)</f>
        <v>7</v>
      </c>
      <c r="B1509" s="20" t="str">
        <f t="shared" si="47"/>
        <v>2018 JUL</v>
      </c>
      <c r="C1509" s="30">
        <v>2018</v>
      </c>
      <c r="D1509" s="30" t="s">
        <v>157</v>
      </c>
      <c r="E1509" s="30" t="s">
        <v>12</v>
      </c>
      <c r="F1509" s="30"/>
      <c r="G1509" s="30"/>
      <c r="H1509" s="32">
        <v>471296</v>
      </c>
      <c r="I1509" s="32">
        <v>0</v>
      </c>
      <c r="J1509" s="32">
        <v>471296</v>
      </c>
      <c r="K1509" s="33">
        <v>0</v>
      </c>
      <c r="L1509" s="33"/>
      <c r="M1509" s="34"/>
      <c r="N1509" s="209" t="str">
        <f>IFERROR(VLOOKUP(F1509,Back!C:F,4,0),"NO")</f>
        <v>NO</v>
      </c>
      <c r="O1509" s="26">
        <v>24</v>
      </c>
      <c r="P1509" s="28" t="str">
        <f>IFERROR(VLOOKUP(F1509,Back!C:E,3,0),"")</f>
        <v/>
      </c>
      <c r="Q1509" s="28" t="str">
        <f>IFERROR(VLOOKUP(P1509,Back!M:N,2,0),"")</f>
        <v/>
      </c>
      <c r="R1509" s="27" t="str">
        <f>IF(N1509="Si",IFERROR(VLOOKUP(F1509,'TD Cumpl'!B:AB,27,0),"No Aplica"),"No Aplica")</f>
        <v>No Aplica</v>
      </c>
      <c r="S1509" s="38">
        <v>0</v>
      </c>
      <c r="T1509" s="36">
        <v>0</v>
      </c>
      <c r="U1509" s="26">
        <v>0</v>
      </c>
      <c r="V1509" s="37">
        <v>0</v>
      </c>
      <c r="W1509" s="19">
        <v>4</v>
      </c>
      <c r="X1509" s="37">
        <v>471296</v>
      </c>
      <c r="Y1509" s="46">
        <f t="shared" si="48"/>
        <v>0</v>
      </c>
    </row>
    <row r="1510" spans="1:26" x14ac:dyDescent="0.25">
      <c r="A1510" s="20">
        <f>+VLOOKUP(D1510,Back!Q:R,2,0)</f>
        <v>7</v>
      </c>
      <c r="B1510" s="20" t="str">
        <f t="shared" si="47"/>
        <v>2018 JUL</v>
      </c>
      <c r="C1510" s="30">
        <v>2018</v>
      </c>
      <c r="D1510" s="30" t="s">
        <v>157</v>
      </c>
      <c r="E1510" s="30" t="s">
        <v>168</v>
      </c>
      <c r="F1510" s="30"/>
      <c r="G1510" s="30"/>
      <c r="H1510" s="32">
        <v>46283</v>
      </c>
      <c r="I1510" s="32">
        <v>0</v>
      </c>
      <c r="J1510" s="32">
        <v>46283</v>
      </c>
      <c r="K1510" s="33">
        <v>0</v>
      </c>
      <c r="L1510" s="33"/>
      <c r="M1510" s="34"/>
      <c r="N1510" s="209" t="str">
        <f>IFERROR(VLOOKUP(F1510,Back!C:F,4,0),"NO")</f>
        <v>NO</v>
      </c>
      <c r="O1510" s="26">
        <v>24</v>
      </c>
      <c r="P1510" s="28" t="str">
        <f>IFERROR(VLOOKUP(F1510,Back!C:E,3,0),"")</f>
        <v/>
      </c>
      <c r="Q1510" s="28" t="str">
        <f>IFERROR(VLOOKUP(P1510,Back!M:N,2,0),"")</f>
        <v/>
      </c>
      <c r="R1510" s="27" t="str">
        <f>IF(N1510="Si",IFERROR(VLOOKUP(F1510,'TD Cumpl'!B:AB,27,0),"No Aplica"),"No Aplica")</f>
        <v>No Aplica</v>
      </c>
      <c r="S1510" s="38">
        <v>0</v>
      </c>
      <c r="T1510" s="36">
        <v>0</v>
      </c>
      <c r="U1510" s="26">
        <v>0</v>
      </c>
      <c r="V1510" s="37">
        <v>0</v>
      </c>
      <c r="W1510" s="19">
        <v>1</v>
      </c>
      <c r="X1510" s="37">
        <v>46283</v>
      </c>
      <c r="Y1510" s="46">
        <f t="shared" si="48"/>
        <v>0</v>
      </c>
    </row>
    <row r="1511" spans="1:26" x14ac:dyDescent="0.25">
      <c r="A1511" s="20">
        <f>+VLOOKUP(D1511,Back!Q:R,2,0)</f>
        <v>7</v>
      </c>
      <c r="B1511" s="20" t="str">
        <f t="shared" si="47"/>
        <v>2018 JUL</v>
      </c>
      <c r="C1511" s="30">
        <v>2018</v>
      </c>
      <c r="D1511" s="30" t="s">
        <v>157</v>
      </c>
      <c r="E1511" s="30" t="s">
        <v>87</v>
      </c>
      <c r="F1511" s="30"/>
      <c r="G1511" s="30"/>
      <c r="H1511" s="32">
        <v>-3470800</v>
      </c>
      <c r="I1511" s="32">
        <v>0</v>
      </c>
      <c r="J1511" s="32">
        <v>0</v>
      </c>
      <c r="K1511" s="33">
        <v>-3470800</v>
      </c>
      <c r="L1511" s="33"/>
      <c r="M1511" s="34"/>
      <c r="N1511" s="209" t="str">
        <f>IFERROR(VLOOKUP(F1511,Back!C:F,4,0),"NO")</f>
        <v>NO</v>
      </c>
      <c r="O1511" s="26">
        <v>24</v>
      </c>
      <c r="P1511" s="28" t="str">
        <f>IFERROR(VLOOKUP(F1511,Back!C:E,3,0),"")</f>
        <v/>
      </c>
      <c r="Q1511" s="28" t="str">
        <f>IFERROR(VLOOKUP(P1511,Back!M:N,2,0),"")</f>
        <v/>
      </c>
      <c r="R1511" s="27" t="str">
        <f>IF(N1511="Si",IFERROR(VLOOKUP(F1511,'TD Cumpl'!B:AB,27,0),"No Aplica"),"No Aplica")</f>
        <v>No Aplica</v>
      </c>
      <c r="S1511" s="38">
        <v>4</v>
      </c>
      <c r="T1511" s="36">
        <v>-528040</v>
      </c>
      <c r="U1511" s="26">
        <v>12</v>
      </c>
      <c r="V1511" s="37">
        <v>-2942760</v>
      </c>
      <c r="W1511" s="19">
        <v>0</v>
      </c>
      <c r="X1511" s="37">
        <v>0</v>
      </c>
      <c r="Y1511" s="46">
        <f t="shared" si="48"/>
        <v>0</v>
      </c>
    </row>
    <row r="1512" spans="1:26" x14ac:dyDescent="0.25">
      <c r="A1512" s="20">
        <f>+VLOOKUP(D1512,Back!Q:R,2,0)</f>
        <v>8</v>
      </c>
      <c r="B1512" s="20" t="str">
        <f t="shared" si="47"/>
        <v>2018 AGO</v>
      </c>
      <c r="C1512" s="30">
        <v>2018</v>
      </c>
      <c r="D1512" s="30" t="s">
        <v>158</v>
      </c>
      <c r="E1512" s="30" t="s">
        <v>3</v>
      </c>
      <c r="F1512" s="30">
        <v>52725011</v>
      </c>
      <c r="G1512" s="30" t="s">
        <v>42</v>
      </c>
      <c r="H1512" s="32">
        <v>29502411</v>
      </c>
      <c r="I1512" s="32">
        <v>421200</v>
      </c>
      <c r="J1512" s="32">
        <v>7356956</v>
      </c>
      <c r="K1512" s="33">
        <v>21724255</v>
      </c>
      <c r="L1512" s="33">
        <v>25000000</v>
      </c>
      <c r="M1512" s="34">
        <v>0.86897020000000003</v>
      </c>
      <c r="N1512" s="209" t="str">
        <f>IFERROR(VLOOKUP(F1512,Back!C:F,4,0),"NO")</f>
        <v>Si</v>
      </c>
      <c r="O1512" s="26">
        <v>25</v>
      </c>
      <c r="P1512" s="28" t="str">
        <f>IFERROR(VLOOKUP(F1512,Back!C:E,3,0),"")</f>
        <v>IPS Pto De Vista Olaya</v>
      </c>
      <c r="Q1512" s="28" t="str">
        <f>IFERROR(VLOOKUP(P1512,Back!M:N,2,0),"")</f>
        <v>Centro</v>
      </c>
      <c r="R1512" s="27" t="str">
        <f>IF(N1512="Si",IFERROR(VLOOKUP(F1512,'TD Cumpl'!B:AB,27,0),"No Aplica"),"No Aplica")</f>
        <v>Fluctúa</v>
      </c>
      <c r="S1512" s="38">
        <v>74</v>
      </c>
      <c r="T1512" s="36">
        <v>5094853</v>
      </c>
      <c r="U1512" s="26">
        <v>170</v>
      </c>
      <c r="V1512" s="37">
        <v>14892710</v>
      </c>
      <c r="W1512" s="19">
        <v>96</v>
      </c>
      <c r="X1512" s="37">
        <v>7356956</v>
      </c>
      <c r="Y1512" s="46">
        <f t="shared" si="48"/>
        <v>2157892</v>
      </c>
      <c r="Z1512" s="19" t="s">
        <v>318</v>
      </c>
    </row>
    <row r="1513" spans="1:26" x14ac:dyDescent="0.25">
      <c r="A1513" s="20">
        <f>+VLOOKUP(D1513,Back!Q:R,2,0)</f>
        <v>8</v>
      </c>
      <c r="B1513" s="20" t="str">
        <f t="shared" si="47"/>
        <v>2018 AGO</v>
      </c>
      <c r="C1513" s="30">
        <v>2018</v>
      </c>
      <c r="D1513" s="30" t="s">
        <v>158</v>
      </c>
      <c r="E1513" s="30" t="s">
        <v>191</v>
      </c>
      <c r="F1513" s="30">
        <v>1010207310</v>
      </c>
      <c r="G1513" s="30" t="s">
        <v>253</v>
      </c>
      <c r="H1513" s="32">
        <v>37295477</v>
      </c>
      <c r="I1513" s="32">
        <v>1126000</v>
      </c>
      <c r="J1513" s="32">
        <v>7775649</v>
      </c>
      <c r="K1513" s="33">
        <v>28393828</v>
      </c>
      <c r="L1513" s="33">
        <v>25000000</v>
      </c>
      <c r="M1513" s="34">
        <v>1.1357531199999999</v>
      </c>
      <c r="N1513" s="209" t="str">
        <f>IFERROR(VLOOKUP(F1513,Back!C:F,4,0),"NO")</f>
        <v>Si</v>
      </c>
      <c r="O1513" s="26">
        <v>25</v>
      </c>
      <c r="P1513" s="28" t="str">
        <f>IFERROR(VLOOKUP(F1513,Back!C:E,3,0),"")</f>
        <v>IPS Pto De Vista Olaya</v>
      </c>
      <c r="Q1513" s="28" t="str">
        <f>IFERROR(VLOOKUP(P1513,Back!M:N,2,0),"")</f>
        <v>Centro</v>
      </c>
      <c r="R1513" s="27" t="str">
        <f>IF(N1513="Si",IFERROR(VLOOKUP(F1513,'TD Cumpl'!B:AB,27,0),"No Aplica"),"No Aplica")</f>
        <v>Cumple</v>
      </c>
      <c r="S1513" s="38">
        <v>85</v>
      </c>
      <c r="T1513" s="36">
        <v>6763355</v>
      </c>
      <c r="U1513" s="26">
        <v>228</v>
      </c>
      <c r="V1513" s="37">
        <v>19156999</v>
      </c>
      <c r="W1513" s="19">
        <v>113</v>
      </c>
      <c r="X1513" s="37">
        <v>7775649</v>
      </c>
      <c r="Y1513" s="46">
        <f t="shared" si="48"/>
        <v>3599474</v>
      </c>
      <c r="Z1513" s="19" t="s">
        <v>318</v>
      </c>
    </row>
    <row r="1514" spans="1:26" x14ac:dyDescent="0.25">
      <c r="A1514" s="20">
        <f>+VLOOKUP(D1514,Back!Q:R,2,0)</f>
        <v>8</v>
      </c>
      <c r="B1514" s="20" t="str">
        <f t="shared" si="47"/>
        <v>2018 AGO</v>
      </c>
      <c r="C1514" s="30">
        <v>2018</v>
      </c>
      <c r="D1514" s="30" t="s">
        <v>158</v>
      </c>
      <c r="E1514" s="30" t="s">
        <v>4</v>
      </c>
      <c r="F1514" s="30">
        <v>79701425</v>
      </c>
      <c r="G1514" s="30" t="s">
        <v>27</v>
      </c>
      <c r="H1514" s="32">
        <v>34750453</v>
      </c>
      <c r="I1514" s="32">
        <v>971100</v>
      </c>
      <c r="J1514" s="32">
        <v>7636571</v>
      </c>
      <c r="K1514" s="33">
        <v>26142782</v>
      </c>
      <c r="L1514" s="33">
        <v>25000000</v>
      </c>
      <c r="M1514" s="34">
        <v>1.0457112799999999</v>
      </c>
      <c r="N1514" s="209" t="str">
        <f>IFERROR(VLOOKUP(F1514,Back!C:F,4,0),"NO")</f>
        <v>No</v>
      </c>
      <c r="O1514" s="26">
        <v>25</v>
      </c>
      <c r="P1514" s="28" t="str">
        <f>IFERROR(VLOOKUP(F1514,Back!C:E,3,0),"")</f>
        <v>IPS Pto De Vista Olaya</v>
      </c>
      <c r="Q1514" s="28" t="str">
        <f>IFERROR(VLOOKUP(P1514,Back!M:N,2,0),"")</f>
        <v>Centro</v>
      </c>
      <c r="R1514" s="27" t="str">
        <f>IF(N1514="Si",IFERROR(VLOOKUP(F1514,'TD Cumpl'!B:AB,27,0),"No Aplica"),"No Aplica")</f>
        <v>No Aplica</v>
      </c>
      <c r="S1514" s="38">
        <v>86</v>
      </c>
      <c r="T1514" s="36">
        <v>6327548</v>
      </c>
      <c r="U1514" s="26">
        <v>218</v>
      </c>
      <c r="V1514" s="37">
        <v>18701417</v>
      </c>
      <c r="W1514" s="19">
        <v>113</v>
      </c>
      <c r="X1514" s="37">
        <v>7636571</v>
      </c>
      <c r="Y1514" s="46">
        <f t="shared" si="48"/>
        <v>2084917</v>
      </c>
    </row>
    <row r="1515" spans="1:26" x14ac:dyDescent="0.25">
      <c r="A1515" s="20">
        <f>+VLOOKUP(D1515,Back!Q:R,2,0)</f>
        <v>8</v>
      </c>
      <c r="B1515" s="20" t="str">
        <f t="shared" si="47"/>
        <v>2018 AGO</v>
      </c>
      <c r="C1515" s="30">
        <v>2018</v>
      </c>
      <c r="D1515" s="30" t="s">
        <v>158</v>
      </c>
      <c r="E1515" s="30" t="s">
        <v>62</v>
      </c>
      <c r="F1515" s="30">
        <v>32256379</v>
      </c>
      <c r="G1515" s="30" t="s">
        <v>61</v>
      </c>
      <c r="H1515" s="32">
        <v>16001471</v>
      </c>
      <c r="I1515" s="32">
        <v>0</v>
      </c>
      <c r="J1515" s="32">
        <v>3714717</v>
      </c>
      <c r="K1515" s="33">
        <v>12286754</v>
      </c>
      <c r="L1515" s="33">
        <v>42240000</v>
      </c>
      <c r="M1515" s="34">
        <v>0.29087959280303033</v>
      </c>
      <c r="N1515" s="209" t="str">
        <f>IFERROR(VLOOKUP(F1515,Back!C:F,4,0),"NO")</f>
        <v>Si</v>
      </c>
      <c r="O1515" s="26">
        <v>25</v>
      </c>
      <c r="P1515" s="28" t="str">
        <f>IFERROR(VLOOKUP(F1515,Back!C:E,3,0),"")</f>
        <v>Ferias Empresariales Antioquia</v>
      </c>
      <c r="Q1515" s="28" t="str">
        <f>IFERROR(VLOOKUP(P1515,Back!M:N,2,0),"")</f>
        <v>Antioquia</v>
      </c>
      <c r="R1515" s="27" t="str">
        <f>IF(N1515="Si",IFERROR(VLOOKUP(F1515,'TD Cumpl'!B:AB,27,0),"No Aplica"),"No Aplica")</f>
        <v>Fluctúa</v>
      </c>
      <c r="S1515" s="38">
        <v>38</v>
      </c>
      <c r="T1515" s="36">
        <v>-741190</v>
      </c>
      <c r="U1515" s="26">
        <v>90</v>
      </c>
      <c r="V1515" s="37">
        <v>-4400552</v>
      </c>
      <c r="W1515" s="19">
        <v>57</v>
      </c>
      <c r="X1515" s="37">
        <v>3714717</v>
      </c>
      <c r="Y1515" s="46">
        <f t="shared" si="48"/>
        <v>17428496</v>
      </c>
      <c r="Z1515" s="19" t="s">
        <v>318</v>
      </c>
    </row>
    <row r="1516" spans="1:26" x14ac:dyDescent="0.25">
      <c r="A1516" s="20">
        <f>+VLOOKUP(D1516,Back!Q:R,2,0)</f>
        <v>8</v>
      </c>
      <c r="B1516" s="20" t="str">
        <f t="shared" si="47"/>
        <v>2018 AGO</v>
      </c>
      <c r="C1516" s="30">
        <v>2018</v>
      </c>
      <c r="D1516" s="30" t="s">
        <v>158</v>
      </c>
      <c r="E1516" s="30" t="s">
        <v>266</v>
      </c>
      <c r="F1516" s="30">
        <v>1128476466</v>
      </c>
      <c r="G1516" s="30" t="s">
        <v>267</v>
      </c>
      <c r="H1516" s="32">
        <v>22673072</v>
      </c>
      <c r="I1516" s="32">
        <v>1438200</v>
      </c>
      <c r="J1516" s="32">
        <v>5747892</v>
      </c>
      <c r="K1516" s="33">
        <v>15486980</v>
      </c>
      <c r="L1516" s="33">
        <v>28800000</v>
      </c>
      <c r="M1516" s="34">
        <v>0.53774236111111107</v>
      </c>
      <c r="N1516" s="209" t="str">
        <f>IFERROR(VLOOKUP(F1516,Back!C:F,4,0),"NO")</f>
        <v>Si</v>
      </c>
      <c r="O1516" s="26">
        <v>25</v>
      </c>
      <c r="P1516" s="28" t="str">
        <f>IFERROR(VLOOKUP(F1516,Back!C:E,3,0),"")</f>
        <v>IPS Pto De Vista San Diego</v>
      </c>
      <c r="Q1516" s="28" t="str">
        <f>IFERROR(VLOOKUP(P1516,Back!M:N,2,0),"")</f>
        <v>Antioquia</v>
      </c>
      <c r="R1516" s="27" t="str">
        <f>IF(N1516="Si",IFERROR(VLOOKUP(F1516,'TD Cumpl'!B:AB,27,0),"No Aplica"),"No Aplica")</f>
        <v>Fluctúa</v>
      </c>
      <c r="S1516" s="38">
        <v>33</v>
      </c>
      <c r="T1516" s="36">
        <v>3831991</v>
      </c>
      <c r="U1516" s="26">
        <v>86</v>
      </c>
      <c r="V1516" s="37">
        <v>10026527</v>
      </c>
      <c r="W1516" s="19">
        <v>60</v>
      </c>
      <c r="X1516" s="37">
        <v>5747892</v>
      </c>
      <c r="Y1516" s="46">
        <f t="shared" si="48"/>
        <v>3066662</v>
      </c>
      <c r="Z1516" s="19" t="s">
        <v>318</v>
      </c>
    </row>
    <row r="1517" spans="1:26" x14ac:dyDescent="0.25">
      <c r="A1517" s="20">
        <f>+VLOOKUP(D1517,Back!Q:R,2,0)</f>
        <v>8</v>
      </c>
      <c r="B1517" s="20" t="str">
        <f t="shared" si="47"/>
        <v>2018 AGO</v>
      </c>
      <c r="C1517" s="30">
        <v>2018</v>
      </c>
      <c r="D1517" s="30" t="s">
        <v>158</v>
      </c>
      <c r="E1517" s="30" t="s">
        <v>25</v>
      </c>
      <c r="F1517" s="30">
        <v>1040030764</v>
      </c>
      <c r="G1517" s="30" t="s">
        <v>43</v>
      </c>
      <c r="H1517" s="32">
        <v>49937747</v>
      </c>
      <c r="I1517" s="32">
        <v>910200</v>
      </c>
      <c r="J1517" s="32">
        <v>10135966</v>
      </c>
      <c r="K1517" s="33">
        <v>38891581</v>
      </c>
      <c r="L1517" s="33">
        <v>35000000</v>
      </c>
      <c r="M1517" s="34">
        <v>1.1111880285714286</v>
      </c>
      <c r="N1517" s="209" t="str">
        <f>IFERROR(VLOOKUP(F1517,Back!C:F,4,0),"NO")</f>
        <v>Si</v>
      </c>
      <c r="O1517" s="26">
        <v>25</v>
      </c>
      <c r="P1517" s="28" t="str">
        <f>IFERROR(VLOOKUP(F1517,Back!C:E,3,0),"")</f>
        <v>IPS Pto De Vista Rionegro</v>
      </c>
      <c r="Q1517" s="28" t="str">
        <f>IFERROR(VLOOKUP(P1517,Back!M:N,2,0),"")</f>
        <v>Antioquia</v>
      </c>
      <c r="R1517" s="27" t="str">
        <f>IF(N1517="Si",IFERROR(VLOOKUP(F1517,'TD Cumpl'!B:AB,27,0),"No Aplica"),"No Aplica")</f>
        <v>Cumple</v>
      </c>
      <c r="S1517" s="38">
        <v>80</v>
      </c>
      <c r="T1517" s="36">
        <v>9501425</v>
      </c>
      <c r="U1517" s="26">
        <v>207</v>
      </c>
      <c r="V1517" s="37">
        <v>24772984</v>
      </c>
      <c r="W1517" s="19">
        <v>106</v>
      </c>
      <c r="X1517" s="37">
        <v>10135966</v>
      </c>
      <c r="Y1517" s="46">
        <f t="shared" si="48"/>
        <v>5527372</v>
      </c>
      <c r="Z1517" s="19" t="s">
        <v>318</v>
      </c>
    </row>
    <row r="1518" spans="1:26" x14ac:dyDescent="0.25">
      <c r="A1518" s="20">
        <f>+VLOOKUP(D1518,Back!Q:R,2,0)</f>
        <v>8</v>
      </c>
      <c r="B1518" s="20" t="str">
        <f t="shared" si="47"/>
        <v>2018 AGO</v>
      </c>
      <c r="C1518" s="30">
        <v>2018</v>
      </c>
      <c r="D1518" s="30" t="s">
        <v>158</v>
      </c>
      <c r="E1518" s="30" t="s">
        <v>37</v>
      </c>
      <c r="F1518" s="30">
        <v>1036779770</v>
      </c>
      <c r="G1518" s="30" t="s">
        <v>52</v>
      </c>
      <c r="H1518" s="32">
        <v>20817459</v>
      </c>
      <c r="I1518" s="32">
        <v>1702200</v>
      </c>
      <c r="J1518" s="32">
        <v>5305607</v>
      </c>
      <c r="K1518" s="33">
        <v>13809652</v>
      </c>
      <c r="L1518" s="33">
        <v>14000000</v>
      </c>
      <c r="M1518" s="34">
        <v>0.98640371428571427</v>
      </c>
      <c r="N1518" s="209" t="str">
        <f>IFERROR(VLOOKUP(F1518,Back!C:F,4,0),"NO")</f>
        <v>No</v>
      </c>
      <c r="O1518" s="26">
        <v>25</v>
      </c>
      <c r="P1518" s="28" t="str">
        <f>IFERROR(VLOOKUP(F1518,Back!C:E,3,0),"")</f>
        <v>IPS Pto De Vista Rionegro</v>
      </c>
      <c r="Q1518" s="28" t="str">
        <f>IFERROR(VLOOKUP(P1518,Back!M:N,2,0),"")</f>
        <v>Antioquia</v>
      </c>
      <c r="R1518" s="27" t="str">
        <f>IF(N1518="Si",IFERROR(VLOOKUP(F1518,'TD Cumpl'!B:AB,27,0),"No Aplica"),"No Aplica")</f>
        <v>No Aplica</v>
      </c>
      <c r="S1518" s="38">
        <v>36</v>
      </c>
      <c r="T1518" s="36">
        <v>3458040</v>
      </c>
      <c r="U1518" s="26">
        <v>92</v>
      </c>
      <c r="V1518" s="37">
        <v>8928666</v>
      </c>
      <c r="W1518" s="19">
        <v>57</v>
      </c>
      <c r="X1518" s="37">
        <v>5305607</v>
      </c>
      <c r="Y1518" s="46">
        <f t="shared" si="48"/>
        <v>3125146</v>
      </c>
    </row>
    <row r="1519" spans="1:26" x14ac:dyDescent="0.25">
      <c r="A1519" s="20">
        <f>+VLOOKUP(D1519,Back!Q:R,2,0)</f>
        <v>8</v>
      </c>
      <c r="B1519" s="20" t="str">
        <f t="shared" si="47"/>
        <v>2018 AGO</v>
      </c>
      <c r="C1519" s="30">
        <v>2018</v>
      </c>
      <c r="D1519" s="30" t="s">
        <v>158</v>
      </c>
      <c r="E1519" s="30" t="s">
        <v>24</v>
      </c>
      <c r="F1519" s="30">
        <v>39448823</v>
      </c>
      <c r="G1519" s="30" t="s">
        <v>48</v>
      </c>
      <c r="H1519" s="32">
        <v>55788972</v>
      </c>
      <c r="I1519" s="32">
        <v>3247700</v>
      </c>
      <c r="J1519" s="32">
        <v>11087944</v>
      </c>
      <c r="K1519" s="33">
        <v>41453328</v>
      </c>
      <c r="L1519" s="33">
        <v>35000000</v>
      </c>
      <c r="M1519" s="34">
        <v>1.1843808</v>
      </c>
      <c r="N1519" s="209" t="str">
        <f>IFERROR(VLOOKUP(F1519,Back!C:F,4,0),"NO")</f>
        <v>Si</v>
      </c>
      <c r="O1519" s="26">
        <v>25</v>
      </c>
      <c r="P1519" s="28" t="str">
        <f>IFERROR(VLOOKUP(F1519,Back!C:E,3,0),"")</f>
        <v>IPS Pto De Vista Rionegro</v>
      </c>
      <c r="Q1519" s="28" t="str">
        <f>IFERROR(VLOOKUP(P1519,Back!M:N,2,0),"")</f>
        <v>Antioquia</v>
      </c>
      <c r="R1519" s="27" t="str">
        <f>IF(N1519="Si",IFERROR(VLOOKUP(F1519,'TD Cumpl'!B:AB,27,0),"No Aplica"),"No Aplica")</f>
        <v>Siempre Cumple</v>
      </c>
      <c r="S1519" s="38">
        <v>84</v>
      </c>
      <c r="T1519" s="36">
        <v>9505997</v>
      </c>
      <c r="U1519" s="26">
        <v>256</v>
      </c>
      <c r="V1519" s="37">
        <v>29397502</v>
      </c>
      <c r="W1519" s="19">
        <v>112</v>
      </c>
      <c r="X1519" s="37">
        <v>11087944</v>
      </c>
      <c r="Y1519" s="46">
        <f t="shared" si="48"/>
        <v>5797529</v>
      </c>
      <c r="Z1519" s="19" t="s">
        <v>318</v>
      </c>
    </row>
    <row r="1520" spans="1:26" x14ac:dyDescent="0.25">
      <c r="A1520" s="20">
        <f>+VLOOKUP(D1520,Back!Q:R,2,0)</f>
        <v>8</v>
      </c>
      <c r="B1520" s="20" t="str">
        <f t="shared" si="47"/>
        <v>2018 AGO</v>
      </c>
      <c r="C1520" s="30">
        <v>2018</v>
      </c>
      <c r="D1520" s="30" t="s">
        <v>158</v>
      </c>
      <c r="E1520" s="30" t="s">
        <v>11</v>
      </c>
      <c r="F1520" s="30">
        <v>43253531</v>
      </c>
      <c r="G1520" s="30" t="s">
        <v>39</v>
      </c>
      <c r="H1520" s="32">
        <v>35193809</v>
      </c>
      <c r="I1520" s="32">
        <v>630000</v>
      </c>
      <c r="J1520" s="32">
        <v>15950913</v>
      </c>
      <c r="K1520" s="33">
        <v>18612896</v>
      </c>
      <c r="L1520" s="33">
        <v>9800000</v>
      </c>
      <c r="M1520" s="34">
        <v>1.8992751020408163</v>
      </c>
      <c r="N1520" s="209" t="str">
        <f>IFERROR(VLOOKUP(F1520,Back!C:F,4,0),"NO")</f>
        <v>Si</v>
      </c>
      <c r="O1520" s="26">
        <v>25</v>
      </c>
      <c r="P1520" s="28" t="str">
        <f>IFERROR(VLOOKUP(F1520,Back!C:E,3,0),"")</f>
        <v>IPS Punto de Vista Bello</v>
      </c>
      <c r="Q1520" s="28" t="str">
        <f>IFERROR(VLOOKUP(P1520,Back!M:N,2,0),"")</f>
        <v>Antioquia</v>
      </c>
      <c r="R1520" s="27" t="str">
        <f>IF(N1520="Si",IFERROR(VLOOKUP(F1520,'TD Cumpl'!B:AB,27,0),"No Aplica"),"No Aplica")</f>
        <v>Cumple</v>
      </c>
      <c r="S1520" s="38">
        <v>41</v>
      </c>
      <c r="T1520" s="36">
        <v>3774531</v>
      </c>
      <c r="U1520" s="26">
        <v>104</v>
      </c>
      <c r="V1520" s="37">
        <v>11445034</v>
      </c>
      <c r="W1520" s="19">
        <v>163</v>
      </c>
      <c r="X1520" s="37">
        <v>15950913</v>
      </c>
      <c r="Y1520" s="46">
        <f t="shared" si="48"/>
        <v>4023331</v>
      </c>
      <c r="Z1520" s="19" t="s">
        <v>317</v>
      </c>
    </row>
    <row r="1521" spans="1:26" x14ac:dyDescent="0.25">
      <c r="A1521" s="20">
        <f>+VLOOKUP(D1521,Back!Q:R,2,0)</f>
        <v>8</v>
      </c>
      <c r="B1521" s="20" t="str">
        <f t="shared" si="47"/>
        <v>2018 AGO</v>
      </c>
      <c r="C1521" s="30">
        <v>2018</v>
      </c>
      <c r="D1521" s="30" t="s">
        <v>158</v>
      </c>
      <c r="E1521" s="30" t="s">
        <v>261</v>
      </c>
      <c r="F1521" s="30">
        <v>1020425089</v>
      </c>
      <c r="G1521" s="30" t="s">
        <v>271</v>
      </c>
      <c r="H1521" s="32">
        <v>49714687</v>
      </c>
      <c r="I1521" s="32">
        <v>1599300</v>
      </c>
      <c r="J1521" s="32">
        <v>11365853</v>
      </c>
      <c r="K1521" s="33">
        <v>36749534</v>
      </c>
      <c r="L1521" s="33">
        <v>36000000</v>
      </c>
      <c r="M1521" s="34">
        <v>1.0208203888888889</v>
      </c>
      <c r="N1521" s="209" t="str">
        <f>IFERROR(VLOOKUP(F1521,Back!C:F,4,0),"NO")</f>
        <v>Si</v>
      </c>
      <c r="O1521" s="26">
        <v>25</v>
      </c>
      <c r="P1521" s="28" t="str">
        <f>IFERROR(VLOOKUP(F1521,Back!C:E,3,0),"")</f>
        <v>IPS Pto De Vista Punto Clave</v>
      </c>
      <c r="Q1521" s="28" t="str">
        <f>IFERROR(VLOOKUP(P1521,Back!M:N,2,0),"")</f>
        <v>Antioquia</v>
      </c>
      <c r="R1521" s="27" t="str">
        <f>IF(N1521="Si",IFERROR(VLOOKUP(F1521,'TD Cumpl'!B:AB,27,0),"No Aplica"),"No Aplica")</f>
        <v>Cumple</v>
      </c>
      <c r="S1521" s="38">
        <v>94</v>
      </c>
      <c r="T1521" s="36">
        <v>10343993</v>
      </c>
      <c r="U1521" s="26">
        <v>238</v>
      </c>
      <c r="V1521" s="37">
        <v>21779970</v>
      </c>
      <c r="W1521" s="19">
        <v>119</v>
      </c>
      <c r="X1521" s="37">
        <v>11365853</v>
      </c>
      <c r="Y1521" s="46">
        <f t="shared" si="48"/>
        <v>6224871</v>
      </c>
      <c r="Z1521" s="19" t="s">
        <v>318</v>
      </c>
    </row>
    <row r="1522" spans="1:26" x14ac:dyDescent="0.25">
      <c r="A1522" s="20">
        <f>+VLOOKUP(D1522,Back!Q:R,2,0)</f>
        <v>8</v>
      </c>
      <c r="B1522" s="20" t="str">
        <f t="shared" si="47"/>
        <v>2018 AGO</v>
      </c>
      <c r="C1522" s="30">
        <v>2018</v>
      </c>
      <c r="D1522" s="30" t="s">
        <v>158</v>
      </c>
      <c r="E1522" s="30" t="s">
        <v>121</v>
      </c>
      <c r="F1522" s="30">
        <v>21982241</v>
      </c>
      <c r="G1522" s="30" t="s">
        <v>143</v>
      </c>
      <c r="H1522" s="32">
        <v>39244688</v>
      </c>
      <c r="I1522" s="32">
        <v>1886800</v>
      </c>
      <c r="J1522" s="32">
        <v>46283</v>
      </c>
      <c r="K1522" s="33">
        <v>37311605</v>
      </c>
      <c r="L1522" s="33">
        <v>35000000</v>
      </c>
      <c r="M1522" s="34">
        <v>1.066045857142857</v>
      </c>
      <c r="N1522" s="209" t="str">
        <f>IFERROR(VLOOKUP(F1522,Back!C:F,4,0),"NO")</f>
        <v>Si</v>
      </c>
      <c r="O1522" s="26">
        <v>25</v>
      </c>
      <c r="P1522" s="28" t="str">
        <f>IFERROR(VLOOKUP(F1522,Back!C:E,3,0),"")</f>
        <v>IPS Punto de Vista Bello</v>
      </c>
      <c r="Q1522" s="28" t="str">
        <f>IFERROR(VLOOKUP(P1522,Back!M:N,2,0),"")</f>
        <v>Antioquia</v>
      </c>
      <c r="R1522" s="27" t="str">
        <f>IF(N1522="Si",IFERROR(VLOOKUP(F1522,'TD Cumpl'!B:AB,27,0),"No Aplica"),"No Aplica")</f>
        <v>Fluctúa</v>
      </c>
      <c r="S1522" s="38">
        <v>86</v>
      </c>
      <c r="T1522" s="36">
        <v>8715949</v>
      </c>
      <c r="U1522" s="26">
        <v>224</v>
      </c>
      <c r="V1522" s="37">
        <v>25133026</v>
      </c>
      <c r="W1522" s="19">
        <v>1</v>
      </c>
      <c r="X1522" s="37">
        <v>46283</v>
      </c>
      <c r="Y1522" s="46">
        <f t="shared" si="48"/>
        <v>5349430</v>
      </c>
      <c r="Z1522" s="19" t="s">
        <v>318</v>
      </c>
    </row>
    <row r="1523" spans="1:26" x14ac:dyDescent="0.25">
      <c r="A1523" s="20">
        <f>+VLOOKUP(D1523,Back!Q:R,2,0)</f>
        <v>8</v>
      </c>
      <c r="B1523" s="20" t="str">
        <f t="shared" si="47"/>
        <v>2018 AGO</v>
      </c>
      <c r="C1523" s="30">
        <v>2018</v>
      </c>
      <c r="D1523" s="30" t="s">
        <v>158</v>
      </c>
      <c r="E1523" s="30" t="s">
        <v>9</v>
      </c>
      <c r="F1523" s="30">
        <v>43169964</v>
      </c>
      <c r="G1523" s="30" t="s">
        <v>155</v>
      </c>
      <c r="H1523" s="32">
        <v>35692101</v>
      </c>
      <c r="I1523" s="32">
        <v>324000</v>
      </c>
      <c r="J1523" s="32">
        <v>11403218</v>
      </c>
      <c r="K1523" s="33">
        <v>23964883</v>
      </c>
      <c r="L1523" s="33">
        <v>44000000</v>
      </c>
      <c r="M1523" s="34">
        <v>0.5446564318181818</v>
      </c>
      <c r="N1523" s="209" t="str">
        <f>IFERROR(VLOOKUP(F1523,Back!C:F,4,0),"NO")</f>
        <v>Si</v>
      </c>
      <c r="O1523" s="26">
        <v>25</v>
      </c>
      <c r="P1523" s="28" t="str">
        <f>IFERROR(VLOOKUP(F1523,Back!C:E,3,0),"")</f>
        <v>IPS Pto De Vista Molinos</v>
      </c>
      <c r="Q1523" s="28" t="str">
        <f>IFERROR(VLOOKUP(P1523,Back!M:N,2,0),"")</f>
        <v>Antioquia</v>
      </c>
      <c r="R1523" s="27" t="str">
        <f>IF(N1523="Si",IFERROR(VLOOKUP(F1523,'TD Cumpl'!B:AB,27,0),"No Aplica"),"No Aplica")</f>
        <v>Cumple</v>
      </c>
      <c r="S1523" s="38">
        <v>68</v>
      </c>
      <c r="T1523" s="36">
        <v>5677833</v>
      </c>
      <c r="U1523" s="26">
        <v>146</v>
      </c>
      <c r="V1523" s="37">
        <v>14994435</v>
      </c>
      <c r="W1523" s="19">
        <v>118</v>
      </c>
      <c r="X1523" s="37">
        <v>11403218</v>
      </c>
      <c r="Y1523" s="46">
        <f t="shared" si="48"/>
        <v>3616615</v>
      </c>
      <c r="Z1523" s="19" t="s">
        <v>318</v>
      </c>
    </row>
    <row r="1524" spans="1:26" x14ac:dyDescent="0.25">
      <c r="A1524" s="20">
        <f>+VLOOKUP(D1524,Back!Q:R,2,0)</f>
        <v>8</v>
      </c>
      <c r="B1524" s="20" t="str">
        <f t="shared" si="47"/>
        <v>2018 AGO</v>
      </c>
      <c r="C1524" s="30">
        <v>2018</v>
      </c>
      <c r="D1524" s="30" t="s">
        <v>158</v>
      </c>
      <c r="E1524" s="30" t="s">
        <v>259</v>
      </c>
      <c r="F1524" s="30">
        <v>1020399898</v>
      </c>
      <c r="G1524" s="30" t="s">
        <v>260</v>
      </c>
      <c r="H1524" s="32">
        <v>37700401</v>
      </c>
      <c r="I1524" s="32">
        <v>408000</v>
      </c>
      <c r="J1524" s="32">
        <v>7613435</v>
      </c>
      <c r="K1524" s="33">
        <v>29678966</v>
      </c>
      <c r="L1524" s="33">
        <v>44000000</v>
      </c>
      <c r="M1524" s="34">
        <v>0.67452195454545449</v>
      </c>
      <c r="N1524" s="209" t="str">
        <f>IFERROR(VLOOKUP(F1524,Back!C:F,4,0),"NO")</f>
        <v>Si</v>
      </c>
      <c r="O1524" s="26">
        <v>25</v>
      </c>
      <c r="P1524" s="28" t="str">
        <f>IFERROR(VLOOKUP(F1524,Back!C:E,3,0),"")</f>
        <v>IPS Punto de Vista Mayorca</v>
      </c>
      <c r="Q1524" s="28" t="str">
        <f>IFERROR(VLOOKUP(P1524,Back!M:N,2,0),"")</f>
        <v>Antioquia</v>
      </c>
      <c r="R1524" s="27" t="str">
        <f>IF(N1524="Si",IFERROR(VLOOKUP(F1524,'TD Cumpl'!B:AB,27,0),"No Aplica"),"No Aplica")</f>
        <v>Fluctúa</v>
      </c>
      <c r="S1524" s="38">
        <v>75</v>
      </c>
      <c r="T1524" s="36">
        <v>7137645</v>
      </c>
      <c r="U1524" s="26">
        <v>168</v>
      </c>
      <c r="V1524" s="37">
        <v>18910795</v>
      </c>
      <c r="W1524" s="19">
        <v>85</v>
      </c>
      <c r="X1524" s="37">
        <v>7613435</v>
      </c>
      <c r="Y1524" s="46">
        <f t="shared" si="48"/>
        <v>4038526</v>
      </c>
      <c r="Z1524" s="19" t="s">
        <v>318</v>
      </c>
    </row>
    <row r="1525" spans="1:26" x14ac:dyDescent="0.25">
      <c r="A1525" s="20">
        <f>+VLOOKUP(D1525,Back!Q:R,2,0)</f>
        <v>8</v>
      </c>
      <c r="B1525" s="20" t="str">
        <f t="shared" si="47"/>
        <v>2018 AGO</v>
      </c>
      <c r="C1525" s="30">
        <v>2018</v>
      </c>
      <c r="D1525" s="30" t="s">
        <v>158</v>
      </c>
      <c r="E1525" s="30" t="s">
        <v>20</v>
      </c>
      <c r="F1525" s="30">
        <v>1017141451</v>
      </c>
      <c r="G1525" s="30" t="s">
        <v>44</v>
      </c>
      <c r="H1525" s="32">
        <v>62782098</v>
      </c>
      <c r="I1525" s="32">
        <v>1177380</v>
      </c>
      <c r="J1525" s="32">
        <v>12200186</v>
      </c>
      <c r="K1525" s="33">
        <v>49404532</v>
      </c>
      <c r="L1525" s="33">
        <v>44000000</v>
      </c>
      <c r="M1525" s="34">
        <v>1.1228302727272728</v>
      </c>
      <c r="N1525" s="209" t="str">
        <f>IFERROR(VLOOKUP(F1525,Back!C:F,4,0),"NO")</f>
        <v>Si</v>
      </c>
      <c r="O1525" s="26">
        <v>25</v>
      </c>
      <c r="P1525" s="28" t="str">
        <f>IFERROR(VLOOKUP(F1525,Back!C:E,3,0),"")</f>
        <v>IPS Pto De Vista Molinos</v>
      </c>
      <c r="Q1525" s="28" t="str">
        <f>IFERROR(VLOOKUP(P1525,Back!M:N,2,0),"")</f>
        <v>Antioquia</v>
      </c>
      <c r="R1525" s="27" t="str">
        <f>IF(N1525="Si",IFERROR(VLOOKUP(F1525,'TD Cumpl'!B:AB,27,0),"No Aplica"),"No Aplica")</f>
        <v>Siempre Cumple</v>
      </c>
      <c r="S1525" s="38">
        <v>98</v>
      </c>
      <c r="T1525" s="36">
        <v>11749729</v>
      </c>
      <c r="U1525" s="26">
        <v>261</v>
      </c>
      <c r="V1525" s="37">
        <v>32276831</v>
      </c>
      <c r="W1525" s="19">
        <v>122</v>
      </c>
      <c r="X1525" s="37">
        <v>12200186</v>
      </c>
      <c r="Y1525" s="46">
        <f t="shared" si="48"/>
        <v>6555352</v>
      </c>
      <c r="Z1525" s="19" t="s">
        <v>318</v>
      </c>
    </row>
    <row r="1526" spans="1:26" x14ac:dyDescent="0.25">
      <c r="A1526" s="20">
        <f>+VLOOKUP(D1526,Back!Q:R,2,0)</f>
        <v>8</v>
      </c>
      <c r="B1526" s="20" t="str">
        <f t="shared" si="47"/>
        <v>2018 AGO</v>
      </c>
      <c r="C1526" s="30">
        <v>2018</v>
      </c>
      <c r="D1526" s="30" t="s">
        <v>158</v>
      </c>
      <c r="E1526" s="30" t="s">
        <v>181</v>
      </c>
      <c r="F1526" s="30">
        <v>32183069</v>
      </c>
      <c r="G1526" s="30" t="s">
        <v>182</v>
      </c>
      <c r="H1526" s="32">
        <v>48999947</v>
      </c>
      <c r="I1526" s="32">
        <v>221100</v>
      </c>
      <c r="J1526" s="32">
        <v>11943145</v>
      </c>
      <c r="K1526" s="33">
        <v>36835702</v>
      </c>
      <c r="L1526" s="33">
        <v>44000000</v>
      </c>
      <c r="M1526" s="34">
        <v>0.83717504545454546</v>
      </c>
      <c r="N1526" s="209" t="str">
        <f>IFERROR(VLOOKUP(F1526,Back!C:F,4,0),"NO")</f>
        <v>Si</v>
      </c>
      <c r="O1526" s="26">
        <v>25</v>
      </c>
      <c r="P1526" s="28" t="str">
        <f>IFERROR(VLOOKUP(F1526,Back!C:E,3,0),"")</f>
        <v>IPS Pto De Vista Molinos</v>
      </c>
      <c r="Q1526" s="28" t="str">
        <f>IFERROR(VLOOKUP(P1526,Back!M:N,2,0),"")</f>
        <v>Antioquia</v>
      </c>
      <c r="R1526" s="27" t="str">
        <f>IF(N1526="Si",IFERROR(VLOOKUP(F1526,'TD Cumpl'!B:AB,27,0),"No Aplica"),"No Aplica")</f>
        <v>No Cumple</v>
      </c>
      <c r="S1526" s="38">
        <v>88</v>
      </c>
      <c r="T1526" s="36">
        <v>8691212</v>
      </c>
      <c r="U1526" s="26">
        <v>210</v>
      </c>
      <c r="V1526" s="37">
        <v>23102778</v>
      </c>
      <c r="W1526" s="19">
        <v>119</v>
      </c>
      <c r="X1526" s="37">
        <v>11943145</v>
      </c>
      <c r="Y1526" s="46">
        <f t="shared" si="48"/>
        <v>5262812</v>
      </c>
      <c r="Z1526" s="19" t="s">
        <v>318</v>
      </c>
    </row>
    <row r="1527" spans="1:26" x14ac:dyDescent="0.25">
      <c r="A1527" s="20">
        <f>+VLOOKUP(D1527,Back!Q:R,2,0)</f>
        <v>8</v>
      </c>
      <c r="B1527" s="20" t="str">
        <f t="shared" si="47"/>
        <v>2018 AGO</v>
      </c>
      <c r="C1527" s="30">
        <v>2018</v>
      </c>
      <c r="D1527" s="30" t="s">
        <v>158</v>
      </c>
      <c r="E1527" s="30" t="s">
        <v>103</v>
      </c>
      <c r="F1527" s="30">
        <v>1020409789</v>
      </c>
      <c r="G1527" s="30" t="s">
        <v>145</v>
      </c>
      <c r="H1527" s="32">
        <v>31113988</v>
      </c>
      <c r="I1527" s="32">
        <v>793800</v>
      </c>
      <c r="J1527" s="32">
        <v>5355728</v>
      </c>
      <c r="K1527" s="33">
        <v>24964460</v>
      </c>
      <c r="L1527" s="33">
        <v>31680000</v>
      </c>
      <c r="M1527" s="34">
        <v>0.78801957070707074</v>
      </c>
      <c r="N1527" s="209" t="str">
        <f>IFERROR(VLOOKUP(F1527,Back!C:F,4,0),"NO")</f>
        <v>Si</v>
      </c>
      <c r="O1527" s="26">
        <v>25</v>
      </c>
      <c r="P1527" s="28" t="str">
        <f>IFERROR(VLOOKUP(F1527,Back!C:E,3,0),"")</f>
        <v>IPS Pto De Vista Molinos</v>
      </c>
      <c r="Q1527" s="28" t="str">
        <f>IFERROR(VLOOKUP(P1527,Back!M:N,2,0),"")</f>
        <v>Antioquia</v>
      </c>
      <c r="R1527" s="27" t="str">
        <f>IF(N1527="Si",IFERROR(VLOOKUP(F1527,'TD Cumpl'!B:AB,27,0),"No Aplica"),"No Aplica")</f>
        <v>Cumple</v>
      </c>
      <c r="S1527" s="38">
        <v>56</v>
      </c>
      <c r="T1527" s="36">
        <v>5704898</v>
      </c>
      <c r="U1527" s="26">
        <v>138</v>
      </c>
      <c r="V1527" s="37">
        <v>15600136</v>
      </c>
      <c r="W1527" s="19">
        <v>58</v>
      </c>
      <c r="X1527" s="37">
        <v>5355728</v>
      </c>
      <c r="Y1527" s="46">
        <f t="shared" si="48"/>
        <v>4453226</v>
      </c>
      <c r="Z1527" s="19" t="s">
        <v>319</v>
      </c>
    </row>
    <row r="1528" spans="1:26" x14ac:dyDescent="0.25">
      <c r="A1528" s="20">
        <f>+VLOOKUP(D1528,Back!Q:R,2,0)</f>
        <v>8</v>
      </c>
      <c r="B1528" s="20" t="str">
        <f t="shared" si="47"/>
        <v>2018 AGO</v>
      </c>
      <c r="C1528" s="30">
        <v>2018</v>
      </c>
      <c r="D1528" s="30" t="s">
        <v>158</v>
      </c>
      <c r="E1528" s="30" t="s">
        <v>8</v>
      </c>
      <c r="F1528" s="30">
        <v>43259130</v>
      </c>
      <c r="G1528" s="30" t="s">
        <v>51</v>
      </c>
      <c r="H1528" s="32">
        <v>52587404</v>
      </c>
      <c r="I1528" s="32">
        <v>838200</v>
      </c>
      <c r="J1528" s="32">
        <v>14143846</v>
      </c>
      <c r="K1528" s="33">
        <v>37605358</v>
      </c>
      <c r="L1528" s="33">
        <v>44000000</v>
      </c>
      <c r="M1528" s="34">
        <v>0.85466722727272726</v>
      </c>
      <c r="N1528" s="209" t="str">
        <f>IFERROR(VLOOKUP(F1528,Back!C:F,4,0),"NO")</f>
        <v>Si</v>
      </c>
      <c r="O1528" s="26">
        <v>25</v>
      </c>
      <c r="P1528" s="28" t="str">
        <f>IFERROR(VLOOKUP(F1528,Back!C:E,3,0),"")</f>
        <v>IPS Pto De Vista Molinos</v>
      </c>
      <c r="Q1528" s="28" t="str">
        <f>IFERROR(VLOOKUP(P1528,Back!M:N,2,0),"")</f>
        <v>Antioquia</v>
      </c>
      <c r="R1528" s="27" t="str">
        <f>IF(N1528="Si",IFERROR(VLOOKUP(F1528,'TD Cumpl'!B:AB,27,0),"No Aplica"),"No Aplica")</f>
        <v>Fluctúa</v>
      </c>
      <c r="S1528" s="38">
        <v>90</v>
      </c>
      <c r="T1528" s="36">
        <v>8985981</v>
      </c>
      <c r="U1528" s="26">
        <v>250</v>
      </c>
      <c r="V1528" s="37">
        <v>23075589</v>
      </c>
      <c r="W1528" s="19">
        <v>146</v>
      </c>
      <c r="X1528" s="37">
        <v>14143846</v>
      </c>
      <c r="Y1528" s="46">
        <f t="shared" si="48"/>
        <v>6381988</v>
      </c>
      <c r="Z1528" s="19" t="s">
        <v>318</v>
      </c>
    </row>
    <row r="1529" spans="1:26" x14ac:dyDescent="0.25">
      <c r="A1529" s="20">
        <f>+VLOOKUP(D1529,Back!Q:R,2,0)</f>
        <v>8</v>
      </c>
      <c r="B1529" s="20" t="str">
        <f t="shared" si="47"/>
        <v>2018 AGO</v>
      </c>
      <c r="C1529" s="30">
        <v>2018</v>
      </c>
      <c r="D1529" s="30" t="s">
        <v>158</v>
      </c>
      <c r="E1529" s="30" t="s">
        <v>56</v>
      </c>
      <c r="F1529" s="30">
        <v>43971430</v>
      </c>
      <c r="G1529" s="30" t="s">
        <v>142</v>
      </c>
      <c r="H1529" s="32">
        <v>60255873</v>
      </c>
      <c r="I1529" s="32">
        <v>1661100</v>
      </c>
      <c r="J1529" s="32">
        <v>14205819</v>
      </c>
      <c r="K1529" s="33">
        <v>44388954</v>
      </c>
      <c r="L1529" s="33">
        <v>42000000</v>
      </c>
      <c r="M1529" s="34">
        <v>1.056879857142857</v>
      </c>
      <c r="N1529" s="209" t="str">
        <f>IFERROR(VLOOKUP(F1529,Back!C:F,4,0),"NO")</f>
        <v>Si</v>
      </c>
      <c r="O1529" s="26">
        <v>25</v>
      </c>
      <c r="P1529" s="28" t="str">
        <f>IFERROR(VLOOKUP(F1529,Back!C:E,3,0),"")</f>
        <v>IPS Pto De Vista Centro</v>
      </c>
      <c r="Q1529" s="28" t="str">
        <f>IFERROR(VLOOKUP(P1529,Back!M:N,2,0),"")</f>
        <v>Antioquia</v>
      </c>
      <c r="R1529" s="27" t="str">
        <f>IF(N1529="Si",IFERROR(VLOOKUP(F1529,'TD Cumpl'!B:AB,27,0),"No Aplica"),"No Aplica")</f>
        <v>Siempre Cumple</v>
      </c>
      <c r="S1529" s="38">
        <v>101</v>
      </c>
      <c r="T1529" s="36">
        <v>10528635</v>
      </c>
      <c r="U1529" s="26">
        <v>278</v>
      </c>
      <c r="V1529" s="37">
        <v>30769336</v>
      </c>
      <c r="W1529" s="19">
        <v>143</v>
      </c>
      <c r="X1529" s="37">
        <v>14205819</v>
      </c>
      <c r="Y1529" s="46">
        <f t="shared" si="48"/>
        <v>4752083</v>
      </c>
      <c r="Z1529" s="19" t="s">
        <v>318</v>
      </c>
    </row>
    <row r="1530" spans="1:26" x14ac:dyDescent="0.25">
      <c r="A1530" s="20">
        <f>+VLOOKUP(D1530,Back!Q:R,2,0)</f>
        <v>8</v>
      </c>
      <c r="B1530" s="20" t="str">
        <f t="shared" si="47"/>
        <v>2018 AGO</v>
      </c>
      <c r="C1530" s="30">
        <v>2018</v>
      </c>
      <c r="D1530" s="30" t="s">
        <v>158</v>
      </c>
      <c r="E1530" s="30" t="s">
        <v>108</v>
      </c>
      <c r="F1530" s="30">
        <v>1020443426</v>
      </c>
      <c r="G1530" s="30" t="s">
        <v>109</v>
      </c>
      <c r="H1530" s="32">
        <v>34704531</v>
      </c>
      <c r="I1530" s="32">
        <v>1936200</v>
      </c>
      <c r="J1530" s="32">
        <v>9101936</v>
      </c>
      <c r="K1530" s="33">
        <v>23666395</v>
      </c>
      <c r="L1530" s="33">
        <v>40040000</v>
      </c>
      <c r="M1530" s="34">
        <v>0.5910688061938062</v>
      </c>
      <c r="N1530" s="209" t="str">
        <f>IFERROR(VLOOKUP(F1530,Back!C:F,4,0),"NO")</f>
        <v>Si</v>
      </c>
      <c r="O1530" s="26">
        <v>25</v>
      </c>
      <c r="P1530" s="28" t="str">
        <f>IFERROR(VLOOKUP(F1530,Back!C:E,3,0),"")</f>
        <v>IPS Pto De Vista San Diego</v>
      </c>
      <c r="Q1530" s="28" t="str">
        <f>IFERROR(VLOOKUP(P1530,Back!M:N,2,0),"")</f>
        <v>Antioquia</v>
      </c>
      <c r="R1530" s="27" t="str">
        <f>IF(N1530="Si",IFERROR(VLOOKUP(F1530,'TD Cumpl'!B:AB,27,0),"No Aplica"),"No Aplica")</f>
        <v>Fluctúa</v>
      </c>
      <c r="S1530" s="38">
        <v>54</v>
      </c>
      <c r="T1530" s="36">
        <v>5453632</v>
      </c>
      <c r="U1530" s="26">
        <v>162</v>
      </c>
      <c r="V1530" s="37">
        <v>14599867</v>
      </c>
      <c r="W1530" s="19">
        <v>94</v>
      </c>
      <c r="X1530" s="37">
        <v>9101936</v>
      </c>
      <c r="Y1530" s="46">
        <f t="shared" si="48"/>
        <v>5549096</v>
      </c>
      <c r="Z1530" s="19" t="s">
        <v>318</v>
      </c>
    </row>
    <row r="1531" spans="1:26" x14ac:dyDescent="0.25">
      <c r="A1531" s="20">
        <f>+VLOOKUP(D1531,Back!Q:R,2,0)</f>
        <v>8</v>
      </c>
      <c r="B1531" s="20" t="str">
        <f t="shared" si="47"/>
        <v>2018 AGO</v>
      </c>
      <c r="C1531" s="30">
        <v>2018</v>
      </c>
      <c r="D1531" s="30" t="s">
        <v>158</v>
      </c>
      <c r="E1531" s="30" t="s">
        <v>34</v>
      </c>
      <c r="F1531" s="30">
        <v>43554403</v>
      </c>
      <c r="G1531" s="30" t="s">
        <v>35</v>
      </c>
      <c r="H1531" s="32">
        <v>61562076</v>
      </c>
      <c r="I1531" s="32">
        <v>0</v>
      </c>
      <c r="J1531" s="32">
        <v>13402752</v>
      </c>
      <c r="K1531" s="33">
        <v>48159324</v>
      </c>
      <c r="L1531" s="33">
        <v>42000000</v>
      </c>
      <c r="M1531" s="34">
        <v>1.1466505714285715</v>
      </c>
      <c r="N1531" s="209" t="str">
        <f>IFERROR(VLOOKUP(F1531,Back!C:F,4,0),"NO")</f>
        <v>Si</v>
      </c>
      <c r="O1531" s="26">
        <v>25</v>
      </c>
      <c r="P1531" s="28" t="str">
        <f>IFERROR(VLOOKUP(F1531,Back!C:E,3,0),"")</f>
        <v>IPS Pto De Vista Centro</v>
      </c>
      <c r="Q1531" s="28" t="str">
        <f>IFERROR(VLOOKUP(P1531,Back!M:N,2,0),"")</f>
        <v>Antioquia</v>
      </c>
      <c r="R1531" s="27" t="str">
        <f>IF(N1531="Si",IFERROR(VLOOKUP(F1531,'TD Cumpl'!B:AB,27,0),"No Aplica"),"No Aplica")</f>
        <v>Siempre Cumple</v>
      </c>
      <c r="S1531" s="38">
        <v>87</v>
      </c>
      <c r="T1531" s="36">
        <v>9608293</v>
      </c>
      <c r="U1531" s="26">
        <v>228</v>
      </c>
      <c r="V1531" s="37">
        <v>31539682</v>
      </c>
      <c r="W1531" s="19">
        <v>128</v>
      </c>
      <c r="X1531" s="37">
        <v>13402752</v>
      </c>
      <c r="Y1531" s="46">
        <f t="shared" si="48"/>
        <v>7011349</v>
      </c>
      <c r="Z1531" s="19" t="s">
        <v>318</v>
      </c>
    </row>
    <row r="1532" spans="1:26" x14ac:dyDescent="0.25">
      <c r="A1532" s="20">
        <f>+VLOOKUP(D1532,Back!Q:R,2,0)</f>
        <v>8</v>
      </c>
      <c r="B1532" s="20" t="str">
        <f t="shared" si="47"/>
        <v>2018 AGO</v>
      </c>
      <c r="C1532" s="30">
        <v>2018</v>
      </c>
      <c r="D1532" s="30" t="s">
        <v>158</v>
      </c>
      <c r="E1532" s="30" t="s">
        <v>101</v>
      </c>
      <c r="F1532" s="30">
        <v>21428423</v>
      </c>
      <c r="G1532" s="30" t="s">
        <v>154</v>
      </c>
      <c r="H1532" s="32">
        <v>54768883</v>
      </c>
      <c r="I1532" s="32">
        <v>910200</v>
      </c>
      <c r="J1532" s="32">
        <v>11057450</v>
      </c>
      <c r="K1532" s="33">
        <v>42801233</v>
      </c>
      <c r="L1532" s="33">
        <v>42000000</v>
      </c>
      <c r="M1532" s="34">
        <v>1.0190769761904761</v>
      </c>
      <c r="N1532" s="209" t="str">
        <f>IFERROR(VLOOKUP(F1532,Back!C:F,4,0),"NO")</f>
        <v>Si</v>
      </c>
      <c r="O1532" s="26">
        <v>25</v>
      </c>
      <c r="P1532" s="28" t="str">
        <f>IFERROR(VLOOKUP(F1532,Back!C:E,3,0),"")</f>
        <v>IPS Pto De Vista Centro</v>
      </c>
      <c r="Q1532" s="28" t="str">
        <f>IFERROR(VLOOKUP(P1532,Back!M:N,2,0),"")</f>
        <v>Antioquia</v>
      </c>
      <c r="R1532" s="27" t="str">
        <f>IF(N1532="Si",IFERROR(VLOOKUP(F1532,'TD Cumpl'!B:AB,27,0),"No Aplica"),"No Aplica")</f>
        <v>Fluctúa</v>
      </c>
      <c r="S1532" s="38">
        <v>106</v>
      </c>
      <c r="T1532" s="36">
        <v>10561102</v>
      </c>
      <c r="U1532" s="26">
        <v>250</v>
      </c>
      <c r="V1532" s="37">
        <v>25238782</v>
      </c>
      <c r="W1532" s="19">
        <v>112</v>
      </c>
      <c r="X1532" s="37">
        <v>11057450</v>
      </c>
      <c r="Y1532" s="46">
        <f t="shared" si="48"/>
        <v>7911549</v>
      </c>
      <c r="Z1532" s="19" t="s">
        <v>318</v>
      </c>
    </row>
    <row r="1533" spans="1:26" x14ac:dyDescent="0.25">
      <c r="A1533" s="20">
        <f>+VLOOKUP(D1533,Back!Q:R,2,0)</f>
        <v>8</v>
      </c>
      <c r="B1533" s="20" t="str">
        <f t="shared" si="47"/>
        <v>2018 AGO</v>
      </c>
      <c r="C1533" s="30">
        <v>2018</v>
      </c>
      <c r="D1533" s="30" t="s">
        <v>158</v>
      </c>
      <c r="E1533" s="30" t="s">
        <v>13</v>
      </c>
      <c r="F1533" s="30">
        <v>43866877</v>
      </c>
      <c r="G1533" s="30" t="s">
        <v>46</v>
      </c>
      <c r="H1533" s="32">
        <v>63351060</v>
      </c>
      <c r="I1533" s="32">
        <v>1888380</v>
      </c>
      <c r="J1533" s="32">
        <v>16057926</v>
      </c>
      <c r="K1533" s="33">
        <v>45404754</v>
      </c>
      <c r="L1533" s="33">
        <v>42000000</v>
      </c>
      <c r="M1533" s="34">
        <v>1.0810655714285715</v>
      </c>
      <c r="N1533" s="209" t="str">
        <f>IFERROR(VLOOKUP(F1533,Back!C:F,4,0),"NO")</f>
        <v>Si</v>
      </c>
      <c r="O1533" s="26">
        <v>25</v>
      </c>
      <c r="P1533" s="28" t="str">
        <f>IFERROR(VLOOKUP(F1533,Back!C:E,3,0),"")</f>
        <v>IPS Pto De Vista Centro</v>
      </c>
      <c r="Q1533" s="28" t="str">
        <f>IFERROR(VLOOKUP(P1533,Back!M:N,2,0),"")</f>
        <v>Antioquia</v>
      </c>
      <c r="R1533" s="27" t="str">
        <f>IF(N1533="Si",IFERROR(VLOOKUP(F1533,'TD Cumpl'!B:AB,27,0),"No Aplica"),"No Aplica")</f>
        <v>Siempre Cumple</v>
      </c>
      <c r="S1533" s="38">
        <v>94</v>
      </c>
      <c r="T1533" s="36">
        <v>11475423</v>
      </c>
      <c r="U1533" s="26">
        <v>207</v>
      </c>
      <c r="V1533" s="37">
        <v>26863912</v>
      </c>
      <c r="W1533" s="19">
        <v>160</v>
      </c>
      <c r="X1533" s="37">
        <v>16057926</v>
      </c>
      <c r="Y1533" s="46">
        <f t="shared" si="48"/>
        <v>8953799</v>
      </c>
      <c r="Z1533" s="19" t="s">
        <v>318</v>
      </c>
    </row>
    <row r="1534" spans="1:26" x14ac:dyDescent="0.25">
      <c r="A1534" s="20">
        <f>+VLOOKUP(D1534,Back!Q:R,2,0)</f>
        <v>8</v>
      </c>
      <c r="B1534" s="20" t="str">
        <f t="shared" ref="B1534:B1597" si="49">MID(UPPER(C1534&amp;" "&amp;D1534),1,8)</f>
        <v>2018 AGO</v>
      </c>
      <c r="C1534" s="30">
        <v>2018</v>
      </c>
      <c r="D1534" s="30" t="s">
        <v>158</v>
      </c>
      <c r="E1534" s="30" t="s">
        <v>265</v>
      </c>
      <c r="F1534" s="30">
        <v>39175639</v>
      </c>
      <c r="G1534" s="30" t="s">
        <v>268</v>
      </c>
      <c r="H1534" s="32">
        <v>46821871</v>
      </c>
      <c r="I1534" s="32">
        <v>1187400</v>
      </c>
      <c r="J1534" s="32">
        <v>10052432</v>
      </c>
      <c r="K1534" s="33">
        <v>35582039</v>
      </c>
      <c r="L1534" s="33">
        <v>42080000</v>
      </c>
      <c r="M1534" s="34">
        <v>0.84558077471482884</v>
      </c>
      <c r="N1534" s="209" t="str">
        <f>IFERROR(VLOOKUP(F1534,Back!C:F,4,0),"NO")</f>
        <v>Si</v>
      </c>
      <c r="O1534" s="26">
        <v>25</v>
      </c>
      <c r="P1534" s="28" t="str">
        <f>IFERROR(VLOOKUP(F1534,Back!C:E,3,0),"")</f>
        <v>IPS Pto De Vista Centro</v>
      </c>
      <c r="Q1534" s="28" t="str">
        <f>IFERROR(VLOOKUP(P1534,Back!M:N,2,0),"")</f>
        <v>Antioquia</v>
      </c>
      <c r="R1534" s="27" t="str">
        <f>IF(N1534="Si",IFERROR(VLOOKUP(F1534,'TD Cumpl'!B:AB,27,0),"No Aplica"),"No Aplica")</f>
        <v>Fluctúa</v>
      </c>
      <c r="S1534" s="38">
        <v>86</v>
      </c>
      <c r="T1534" s="36">
        <v>8213043</v>
      </c>
      <c r="U1534" s="26">
        <v>174</v>
      </c>
      <c r="V1534" s="37">
        <v>18376965</v>
      </c>
      <c r="W1534" s="19">
        <v>100</v>
      </c>
      <c r="X1534" s="37">
        <v>10052432</v>
      </c>
      <c r="Y1534" s="46">
        <f t="shared" si="48"/>
        <v>10179431</v>
      </c>
      <c r="Z1534" s="19" t="s">
        <v>318</v>
      </c>
    </row>
    <row r="1535" spans="1:26" x14ac:dyDescent="0.25">
      <c r="A1535" s="20">
        <f>+VLOOKUP(D1535,Back!Q:R,2,0)</f>
        <v>8</v>
      </c>
      <c r="B1535" s="20" t="str">
        <f t="shared" si="49"/>
        <v>2018 AGO</v>
      </c>
      <c r="C1535" s="30">
        <v>2018</v>
      </c>
      <c r="D1535" s="30" t="s">
        <v>158</v>
      </c>
      <c r="E1535" s="30" t="s">
        <v>177</v>
      </c>
      <c r="F1535" s="30">
        <v>1035913369</v>
      </c>
      <c r="G1535" s="30" t="s">
        <v>183</v>
      </c>
      <c r="H1535" s="32">
        <v>36319137</v>
      </c>
      <c r="I1535" s="32">
        <v>1038000</v>
      </c>
      <c r="J1535" s="32">
        <v>10329454</v>
      </c>
      <c r="K1535" s="33">
        <v>24951683</v>
      </c>
      <c r="L1535" s="33">
        <v>42000000</v>
      </c>
      <c r="M1535" s="34">
        <v>0.59408769047619048</v>
      </c>
      <c r="N1535" s="209" t="str">
        <f>IFERROR(VLOOKUP(F1535,Back!C:F,4,0),"NO")</f>
        <v>Si</v>
      </c>
      <c r="O1535" s="26">
        <v>25</v>
      </c>
      <c r="P1535" s="28" t="str">
        <f>IFERROR(VLOOKUP(F1535,Back!C:E,3,0),"")</f>
        <v>IPS Pto De Vista Centro</v>
      </c>
      <c r="Q1535" s="28" t="str">
        <f>IFERROR(VLOOKUP(P1535,Back!M:N,2,0),"")</f>
        <v>Antioquia</v>
      </c>
      <c r="R1535" s="27" t="str">
        <f>IF(N1535="Si",IFERROR(VLOOKUP(F1535,'TD Cumpl'!B:AB,27,0),"No Aplica"),"No Aplica")</f>
        <v>Fluctúa</v>
      </c>
      <c r="S1535" s="38">
        <v>60</v>
      </c>
      <c r="T1535" s="36">
        <v>6145784</v>
      </c>
      <c r="U1535" s="26">
        <v>146</v>
      </c>
      <c r="V1535" s="37">
        <v>15827835</v>
      </c>
      <c r="W1535" s="19">
        <v>116</v>
      </c>
      <c r="X1535" s="37">
        <v>10329454</v>
      </c>
      <c r="Y1535" s="46">
        <f t="shared" si="48"/>
        <v>4016064</v>
      </c>
      <c r="Z1535" s="19" t="s">
        <v>318</v>
      </c>
    </row>
    <row r="1536" spans="1:26" x14ac:dyDescent="0.25">
      <c r="A1536" s="20">
        <f>+VLOOKUP(D1536,Back!Q:R,2,0)</f>
        <v>8</v>
      </c>
      <c r="B1536" s="20" t="str">
        <f t="shared" si="49"/>
        <v>2018 AGO</v>
      </c>
      <c r="C1536" s="30">
        <v>2018</v>
      </c>
      <c r="D1536" s="30" t="s">
        <v>158</v>
      </c>
      <c r="E1536" s="30" t="s">
        <v>23</v>
      </c>
      <c r="F1536" s="30">
        <v>43907427</v>
      </c>
      <c r="G1536" s="30" t="s">
        <v>144</v>
      </c>
      <c r="H1536" s="32">
        <v>67580505</v>
      </c>
      <c r="I1536" s="32">
        <v>1439370</v>
      </c>
      <c r="J1536" s="32">
        <v>6749635</v>
      </c>
      <c r="K1536" s="33">
        <v>59391500</v>
      </c>
      <c r="L1536" s="33">
        <v>40000000</v>
      </c>
      <c r="M1536" s="34">
        <v>1.4847874999999999</v>
      </c>
      <c r="N1536" s="209" t="str">
        <f>IFERROR(VLOOKUP(F1536,Back!C:F,4,0),"NO")</f>
        <v>Si</v>
      </c>
      <c r="O1536" s="26">
        <v>25</v>
      </c>
      <c r="P1536" s="28" t="str">
        <f>IFERROR(VLOOKUP(F1536,Back!C:E,3,0),"")</f>
        <v>IPS Pto De Vista Industriales</v>
      </c>
      <c r="Q1536" s="28" t="str">
        <f>IFERROR(VLOOKUP(P1536,Back!M:N,2,0),"")</f>
        <v>Antioquia</v>
      </c>
      <c r="R1536" s="27" t="str">
        <f>IF(N1536="Si",IFERROR(VLOOKUP(F1536,'TD Cumpl'!B:AB,27,0),"No Aplica"),"No Aplica")</f>
        <v>Siempre Cumple</v>
      </c>
      <c r="S1536" s="38">
        <v>66</v>
      </c>
      <c r="T1536" s="36">
        <v>12985259</v>
      </c>
      <c r="U1536" s="26">
        <v>190</v>
      </c>
      <c r="V1536" s="37">
        <v>39669915</v>
      </c>
      <c r="W1536" s="19">
        <v>67</v>
      </c>
      <c r="X1536" s="37">
        <v>6749635</v>
      </c>
      <c r="Y1536" s="46">
        <f t="shared" si="48"/>
        <v>8175696</v>
      </c>
      <c r="Z1536" s="19" t="s">
        <v>318</v>
      </c>
    </row>
    <row r="1537" spans="1:26" x14ac:dyDescent="0.25">
      <c r="A1537" s="20">
        <f>+VLOOKUP(D1537,Back!Q:R,2,0)</f>
        <v>8</v>
      </c>
      <c r="B1537" s="20" t="str">
        <f t="shared" si="49"/>
        <v>2018 AGO</v>
      </c>
      <c r="C1537" s="30">
        <v>2018</v>
      </c>
      <c r="D1537" s="30" t="s">
        <v>158</v>
      </c>
      <c r="E1537" s="30" t="s">
        <v>66</v>
      </c>
      <c r="F1537" s="30">
        <v>3438422</v>
      </c>
      <c r="G1537" s="30" t="s">
        <v>71</v>
      </c>
      <c r="H1537" s="32">
        <v>58272760</v>
      </c>
      <c r="I1537" s="32">
        <v>1505390</v>
      </c>
      <c r="J1537" s="32">
        <v>10784154</v>
      </c>
      <c r="K1537" s="33">
        <v>45983216</v>
      </c>
      <c r="L1537" s="33">
        <v>44000000</v>
      </c>
      <c r="M1537" s="34">
        <v>1.0450730909090908</v>
      </c>
      <c r="N1537" s="209" t="str">
        <f>IFERROR(VLOOKUP(F1537,Back!C:F,4,0),"NO")</f>
        <v>Si</v>
      </c>
      <c r="O1537" s="26">
        <v>25</v>
      </c>
      <c r="P1537" s="28" t="str">
        <f>IFERROR(VLOOKUP(F1537,Back!C:E,3,0),"")</f>
        <v>IPS Pto De Vista Punto Clave</v>
      </c>
      <c r="Q1537" s="28" t="str">
        <f>IFERROR(VLOOKUP(P1537,Back!M:N,2,0),"")</f>
        <v>Antioquia</v>
      </c>
      <c r="R1537" s="27" t="str">
        <f>IF(N1537="Si",IFERROR(VLOOKUP(F1537,'TD Cumpl'!B:AB,27,0),"No Aplica"),"No Aplica")</f>
        <v>Fluctúa</v>
      </c>
      <c r="S1537" s="38">
        <v>77</v>
      </c>
      <c r="T1537" s="36">
        <v>7844761</v>
      </c>
      <c r="U1537" s="26">
        <v>194</v>
      </c>
      <c r="V1537" s="37">
        <v>27798566</v>
      </c>
      <c r="W1537" s="19">
        <v>110</v>
      </c>
      <c r="X1537" s="37">
        <v>10784154</v>
      </c>
      <c r="Y1537" s="46">
        <f t="shared" ref="Y1537:Y1600" si="50">+H1537-X1537-V1537-T1537</f>
        <v>11845279</v>
      </c>
      <c r="Z1537" s="19" t="s">
        <v>318</v>
      </c>
    </row>
    <row r="1538" spans="1:26" x14ac:dyDescent="0.25">
      <c r="A1538" s="20">
        <f>+VLOOKUP(D1538,Back!Q:R,2,0)</f>
        <v>8</v>
      </c>
      <c r="B1538" s="20" t="str">
        <f t="shared" si="49"/>
        <v>2018 AGO</v>
      </c>
      <c r="C1538" s="30">
        <v>2018</v>
      </c>
      <c r="D1538" s="30" t="s">
        <v>158</v>
      </c>
      <c r="E1538" s="30" t="s">
        <v>166</v>
      </c>
      <c r="F1538" s="30">
        <v>1020451288</v>
      </c>
      <c r="G1538" s="30" t="s">
        <v>167</v>
      </c>
      <c r="H1538" s="32">
        <v>62996909</v>
      </c>
      <c r="I1538" s="32">
        <v>1170000</v>
      </c>
      <c r="J1538" s="32">
        <v>11809378</v>
      </c>
      <c r="K1538" s="33">
        <v>50017531</v>
      </c>
      <c r="L1538" s="33">
        <v>44000000</v>
      </c>
      <c r="M1538" s="34">
        <v>1.1367620681818182</v>
      </c>
      <c r="N1538" s="209" t="str">
        <f>IFERROR(VLOOKUP(F1538,Back!C:F,4,0),"NO")</f>
        <v>Si</v>
      </c>
      <c r="O1538" s="26">
        <v>25</v>
      </c>
      <c r="P1538" s="28" t="str">
        <f>IFERROR(VLOOKUP(F1538,Back!C:E,3,0),"")</f>
        <v>IPS Pto De Vista Punto Clave</v>
      </c>
      <c r="Q1538" s="28" t="str">
        <f>IFERROR(VLOOKUP(P1538,Back!M:N,2,0),"")</f>
        <v>Antioquia</v>
      </c>
      <c r="R1538" s="27" t="str">
        <f>IF(N1538="Si",IFERROR(VLOOKUP(F1538,'TD Cumpl'!B:AB,27,0),"No Aplica"),"No Aplica")</f>
        <v>Cumple</v>
      </c>
      <c r="S1538" s="38">
        <v>98</v>
      </c>
      <c r="T1538" s="36">
        <v>9872247</v>
      </c>
      <c r="U1538" s="26">
        <v>244</v>
      </c>
      <c r="V1538" s="37">
        <v>33278750</v>
      </c>
      <c r="W1538" s="19">
        <v>116</v>
      </c>
      <c r="X1538" s="37">
        <v>11809378</v>
      </c>
      <c r="Y1538" s="46">
        <f t="shared" si="50"/>
        <v>8036534</v>
      </c>
      <c r="Z1538" s="19" t="s">
        <v>318</v>
      </c>
    </row>
    <row r="1539" spans="1:26" x14ac:dyDescent="0.25">
      <c r="A1539" s="20">
        <f>+VLOOKUP(D1539,Back!Q:R,2,0)</f>
        <v>8</v>
      </c>
      <c r="B1539" s="20" t="str">
        <f t="shared" si="49"/>
        <v>2018 AGO</v>
      </c>
      <c r="C1539" s="30">
        <v>2018</v>
      </c>
      <c r="D1539" s="30" t="s">
        <v>158</v>
      </c>
      <c r="E1539" s="30" t="s">
        <v>92</v>
      </c>
      <c r="F1539" s="30">
        <v>1017167720</v>
      </c>
      <c r="G1539" s="30" t="s">
        <v>96</v>
      </c>
      <c r="H1539" s="32">
        <v>57717338</v>
      </c>
      <c r="I1539" s="32">
        <v>2136390</v>
      </c>
      <c r="J1539" s="32">
        <v>11751807</v>
      </c>
      <c r="K1539" s="33">
        <v>43829141</v>
      </c>
      <c r="L1539" s="33">
        <v>44000000</v>
      </c>
      <c r="M1539" s="34">
        <v>0.99611684090909092</v>
      </c>
      <c r="N1539" s="209" t="str">
        <f>IFERROR(VLOOKUP(F1539,Back!C:F,4,0),"NO")</f>
        <v>Si</v>
      </c>
      <c r="O1539" s="26">
        <v>25</v>
      </c>
      <c r="P1539" s="28" t="str">
        <f>IFERROR(VLOOKUP(F1539,Back!C:E,3,0),"")</f>
        <v>IPS Pto De Vista Punto Clave</v>
      </c>
      <c r="Q1539" s="28" t="str">
        <f>IFERROR(VLOOKUP(P1539,Back!M:N,2,0),"")</f>
        <v>Antioquia</v>
      </c>
      <c r="R1539" s="27" t="str">
        <f>IF(N1539="Si",IFERROR(VLOOKUP(F1539,'TD Cumpl'!B:AB,27,0),"No Aplica"),"No Aplica")</f>
        <v>Cumple</v>
      </c>
      <c r="S1539" s="38">
        <v>94</v>
      </c>
      <c r="T1539" s="36">
        <v>9576648</v>
      </c>
      <c r="U1539" s="26">
        <v>220</v>
      </c>
      <c r="V1539" s="37">
        <v>26415240</v>
      </c>
      <c r="W1539" s="19">
        <v>123</v>
      </c>
      <c r="X1539" s="37">
        <v>11751807</v>
      </c>
      <c r="Y1539" s="46">
        <f t="shared" si="50"/>
        <v>9973643</v>
      </c>
      <c r="Z1539" s="19" t="s">
        <v>318</v>
      </c>
    </row>
    <row r="1540" spans="1:26" x14ac:dyDescent="0.25">
      <c r="A1540" s="20">
        <f>+VLOOKUP(D1540,Back!Q:R,2,0)</f>
        <v>8</v>
      </c>
      <c r="B1540" s="20" t="str">
        <f t="shared" si="49"/>
        <v>2018 AGO</v>
      </c>
      <c r="C1540" s="30">
        <v>2018</v>
      </c>
      <c r="D1540" s="30" t="s">
        <v>158</v>
      </c>
      <c r="E1540" s="30" t="s">
        <v>57</v>
      </c>
      <c r="F1540" s="30">
        <v>43874518</v>
      </c>
      <c r="G1540" s="30" t="s">
        <v>60</v>
      </c>
      <c r="H1540" s="32">
        <v>63400573</v>
      </c>
      <c r="I1540" s="32">
        <v>3705300</v>
      </c>
      <c r="J1540" s="32">
        <v>11801478</v>
      </c>
      <c r="K1540" s="33">
        <v>47893795</v>
      </c>
      <c r="L1540" s="33">
        <v>44000000</v>
      </c>
      <c r="M1540" s="34">
        <v>1.0884953409090909</v>
      </c>
      <c r="N1540" s="209" t="str">
        <f>IFERROR(VLOOKUP(F1540,Back!C:F,4,0),"NO")</f>
        <v>Si</v>
      </c>
      <c r="O1540" s="26">
        <v>25</v>
      </c>
      <c r="P1540" s="28" t="str">
        <f>IFERROR(VLOOKUP(F1540,Back!C:E,3,0),"")</f>
        <v>IPS Pto De Vista Punto Clave</v>
      </c>
      <c r="Q1540" s="28" t="str">
        <f>IFERROR(VLOOKUP(P1540,Back!M:N,2,0),"")</f>
        <v>Antioquia</v>
      </c>
      <c r="R1540" s="27" t="str">
        <f>IF(N1540="Si",IFERROR(VLOOKUP(F1540,'TD Cumpl'!B:AB,27,0),"No Aplica"),"No Aplica")</f>
        <v>Fluctúa</v>
      </c>
      <c r="S1540" s="38">
        <v>105</v>
      </c>
      <c r="T1540" s="36">
        <v>10175449</v>
      </c>
      <c r="U1540" s="26">
        <v>282</v>
      </c>
      <c r="V1540" s="37">
        <v>30149685</v>
      </c>
      <c r="W1540" s="19">
        <v>124</v>
      </c>
      <c r="X1540" s="37">
        <v>11801478</v>
      </c>
      <c r="Y1540" s="46">
        <f t="shared" si="50"/>
        <v>11273961</v>
      </c>
      <c r="Z1540" s="19" t="s">
        <v>318</v>
      </c>
    </row>
    <row r="1541" spans="1:26" x14ac:dyDescent="0.25">
      <c r="A1541" s="20">
        <f>+VLOOKUP(D1541,Back!Q:R,2,0)</f>
        <v>8</v>
      </c>
      <c r="B1541" s="20" t="str">
        <f t="shared" si="49"/>
        <v>2018 AGO</v>
      </c>
      <c r="C1541" s="30">
        <v>2018</v>
      </c>
      <c r="D1541" s="30" t="s">
        <v>158</v>
      </c>
      <c r="E1541" s="30" t="s">
        <v>64</v>
      </c>
      <c r="F1541" s="30">
        <v>1036598360</v>
      </c>
      <c r="G1541" s="30" t="s">
        <v>146</v>
      </c>
      <c r="H1541" s="32">
        <v>28997669</v>
      </c>
      <c r="I1541" s="32">
        <v>324000</v>
      </c>
      <c r="J1541" s="32">
        <v>5927606</v>
      </c>
      <c r="K1541" s="33">
        <v>22746063</v>
      </c>
      <c r="L1541" s="33">
        <v>12320000</v>
      </c>
      <c r="M1541" s="34">
        <v>1.8462713474025974</v>
      </c>
      <c r="N1541" s="209" t="str">
        <f>IFERROR(VLOOKUP(F1541,Back!C:F,4,0),"NO")</f>
        <v>Si</v>
      </c>
      <c r="O1541" s="26">
        <v>25</v>
      </c>
      <c r="P1541" s="28" t="str">
        <f>IFERROR(VLOOKUP(F1541,Back!C:E,3,0),"")</f>
        <v>IPS Pto De Vista Punto Clave</v>
      </c>
      <c r="Q1541" s="28" t="str">
        <f>IFERROR(VLOOKUP(P1541,Back!M:N,2,0),"")</f>
        <v>Antioquia</v>
      </c>
      <c r="R1541" s="27" t="str">
        <f>IF(N1541="Si",IFERROR(VLOOKUP(F1541,'TD Cumpl'!B:AB,27,0),"No Aplica"),"No Aplica")</f>
        <v>Fluctúa</v>
      </c>
      <c r="S1541" s="38">
        <v>39</v>
      </c>
      <c r="T1541" s="36">
        <v>3920759</v>
      </c>
      <c r="U1541" s="26">
        <v>112</v>
      </c>
      <c r="V1541" s="37">
        <v>17039642</v>
      </c>
      <c r="W1541" s="19">
        <v>58</v>
      </c>
      <c r="X1541" s="37">
        <v>5927606</v>
      </c>
      <c r="Y1541" s="46">
        <f t="shared" si="50"/>
        <v>2109662</v>
      </c>
      <c r="Z1541" s="19" t="s">
        <v>317</v>
      </c>
    </row>
    <row r="1542" spans="1:26" x14ac:dyDescent="0.25">
      <c r="A1542" s="20">
        <f>+VLOOKUP(D1542,Back!Q:R,2,0)</f>
        <v>8</v>
      </c>
      <c r="B1542" s="20" t="str">
        <f t="shared" si="49"/>
        <v>2018 AGO</v>
      </c>
      <c r="C1542" s="30">
        <v>2018</v>
      </c>
      <c r="D1542" s="30" t="s">
        <v>158</v>
      </c>
      <c r="E1542" s="30" t="s">
        <v>235</v>
      </c>
      <c r="F1542" s="30">
        <v>39275090</v>
      </c>
      <c r="G1542" s="30" t="s">
        <v>236</v>
      </c>
      <c r="H1542" s="32">
        <v>55564255</v>
      </c>
      <c r="I1542" s="32">
        <v>468000</v>
      </c>
      <c r="J1542" s="32">
        <v>11488107</v>
      </c>
      <c r="K1542" s="33">
        <v>43608148</v>
      </c>
      <c r="L1542" s="33">
        <v>36000000</v>
      </c>
      <c r="M1542" s="34">
        <v>1.2113374444444445</v>
      </c>
      <c r="N1542" s="209" t="str">
        <f>IFERROR(VLOOKUP(F1542,Back!C:F,4,0),"NO")</f>
        <v>Si</v>
      </c>
      <c r="O1542" s="26">
        <v>25</v>
      </c>
      <c r="P1542" s="28" t="str">
        <f>IFERROR(VLOOKUP(F1542,Back!C:E,3,0),"")</f>
        <v>IPS Pto De Vista San Diego</v>
      </c>
      <c r="Q1542" s="28" t="str">
        <f>IFERROR(VLOOKUP(P1542,Back!M:N,2,0),"")</f>
        <v>Antioquia</v>
      </c>
      <c r="R1542" s="27" t="str">
        <f>IF(N1542="Si",IFERROR(VLOOKUP(F1542,'TD Cumpl'!B:AB,27,0),"No Aplica"),"No Aplica")</f>
        <v>Siempre Cumple</v>
      </c>
      <c r="S1542" s="38">
        <v>84</v>
      </c>
      <c r="T1542" s="36">
        <v>10348479</v>
      </c>
      <c r="U1542" s="26">
        <v>202</v>
      </c>
      <c r="V1542" s="37">
        <v>29226420</v>
      </c>
      <c r="W1542" s="19">
        <v>111</v>
      </c>
      <c r="X1542" s="37">
        <v>11488107</v>
      </c>
      <c r="Y1542" s="46">
        <f t="shared" si="50"/>
        <v>4501249</v>
      </c>
      <c r="Z1542" s="19" t="s">
        <v>318</v>
      </c>
    </row>
    <row r="1543" spans="1:26" x14ac:dyDescent="0.25">
      <c r="A1543" s="20">
        <f>+VLOOKUP(D1543,Back!Q:R,2,0)</f>
        <v>8</v>
      </c>
      <c r="B1543" s="20" t="str">
        <f t="shared" si="49"/>
        <v>2018 AGO</v>
      </c>
      <c r="C1543" s="30">
        <v>2018</v>
      </c>
      <c r="D1543" s="30" t="s">
        <v>158</v>
      </c>
      <c r="E1543" s="30" t="s">
        <v>90</v>
      </c>
      <c r="F1543" s="30">
        <v>1020419011</v>
      </c>
      <c r="G1543" s="30" t="s">
        <v>97</v>
      </c>
      <c r="H1543" s="32">
        <v>60822018</v>
      </c>
      <c r="I1543" s="32">
        <v>2571300</v>
      </c>
      <c r="J1543" s="32">
        <v>13171340</v>
      </c>
      <c r="K1543" s="33">
        <v>45079378</v>
      </c>
      <c r="L1543" s="33">
        <v>44000000</v>
      </c>
      <c r="M1543" s="34">
        <v>1.0245313181818181</v>
      </c>
      <c r="N1543" s="209" t="str">
        <f>IFERROR(VLOOKUP(F1543,Back!C:F,4,0),"NO")</f>
        <v>Si</v>
      </c>
      <c r="O1543" s="26">
        <v>25</v>
      </c>
      <c r="P1543" s="28" t="str">
        <f>IFERROR(VLOOKUP(F1543,Back!C:E,3,0),"")</f>
        <v>IPS Pto De Vista Punto Clave</v>
      </c>
      <c r="Q1543" s="28" t="str">
        <f>IFERROR(VLOOKUP(P1543,Back!M:N,2,0),"")</f>
        <v>Antioquia</v>
      </c>
      <c r="R1543" s="27" t="str">
        <f>IF(N1543="Si",IFERROR(VLOOKUP(F1543,'TD Cumpl'!B:AB,27,0),"No Aplica"),"No Aplica")</f>
        <v>Cumple</v>
      </c>
      <c r="S1543" s="38">
        <v>90</v>
      </c>
      <c r="T1543" s="36">
        <v>8762316</v>
      </c>
      <c r="U1543" s="26">
        <v>238</v>
      </c>
      <c r="V1543" s="37">
        <v>26667003</v>
      </c>
      <c r="W1543" s="19">
        <v>130</v>
      </c>
      <c r="X1543" s="37">
        <v>13171340</v>
      </c>
      <c r="Y1543" s="46">
        <f t="shared" si="50"/>
        <v>12221359</v>
      </c>
      <c r="Z1543" s="19" t="s">
        <v>318</v>
      </c>
    </row>
    <row r="1544" spans="1:26" x14ac:dyDescent="0.25">
      <c r="A1544" s="20">
        <f>+VLOOKUP(D1544,Back!Q:R,2,0)</f>
        <v>8</v>
      </c>
      <c r="B1544" s="20" t="str">
        <f t="shared" si="49"/>
        <v>2018 AGO</v>
      </c>
      <c r="C1544" s="30">
        <v>2018</v>
      </c>
      <c r="D1544" s="30" t="s">
        <v>158</v>
      </c>
      <c r="E1544" s="30" t="s">
        <v>117</v>
      </c>
      <c r="F1544" s="30">
        <v>1020419615</v>
      </c>
      <c r="G1544" s="30" t="s">
        <v>118</v>
      </c>
      <c r="H1544" s="32">
        <v>54144891</v>
      </c>
      <c r="I1544" s="32">
        <v>0</v>
      </c>
      <c r="J1544" s="32">
        <v>10273912</v>
      </c>
      <c r="K1544" s="33">
        <v>43870979</v>
      </c>
      <c r="L1544" s="33">
        <v>42240000</v>
      </c>
      <c r="M1544" s="34">
        <v>1.0386121922348486</v>
      </c>
      <c r="N1544" s="209" t="str">
        <f>IFERROR(VLOOKUP(F1544,Back!C:F,4,0),"NO")</f>
        <v>Si</v>
      </c>
      <c r="O1544" s="26">
        <v>25</v>
      </c>
      <c r="P1544" s="28" t="str">
        <f>IFERROR(VLOOKUP(F1544,Back!C:E,3,0),"")</f>
        <v>IPS Pto De Vista Punto Clave</v>
      </c>
      <c r="Q1544" s="28" t="str">
        <f>IFERROR(VLOOKUP(P1544,Back!M:N,2,0),"")</f>
        <v>Antioquia</v>
      </c>
      <c r="R1544" s="27" t="str">
        <f>IF(N1544="Si",IFERROR(VLOOKUP(F1544,'TD Cumpl'!B:AB,27,0),"No Aplica"),"No Aplica")</f>
        <v>Cumple</v>
      </c>
      <c r="S1544" s="38">
        <v>86</v>
      </c>
      <c r="T1544" s="36">
        <v>8346482</v>
      </c>
      <c r="U1544" s="26">
        <v>234</v>
      </c>
      <c r="V1544" s="37">
        <v>27489262</v>
      </c>
      <c r="W1544" s="19">
        <v>102</v>
      </c>
      <c r="X1544" s="37">
        <v>10273912</v>
      </c>
      <c r="Y1544" s="46">
        <f t="shared" si="50"/>
        <v>8035235</v>
      </c>
      <c r="Z1544" s="19" t="s">
        <v>318</v>
      </c>
    </row>
    <row r="1545" spans="1:26" x14ac:dyDescent="0.25">
      <c r="A1545" s="20">
        <f>+VLOOKUP(D1545,Back!Q:R,2,0)</f>
        <v>8</v>
      </c>
      <c r="B1545" s="20" t="str">
        <f t="shared" si="49"/>
        <v>2018 AGO</v>
      </c>
      <c r="C1545" s="30">
        <v>2018</v>
      </c>
      <c r="D1545" s="30" t="s">
        <v>158</v>
      </c>
      <c r="E1545" s="30" t="s">
        <v>6</v>
      </c>
      <c r="F1545" s="30">
        <v>43821410</v>
      </c>
      <c r="G1545" s="30" t="s">
        <v>40</v>
      </c>
      <c r="H1545" s="32">
        <v>76084928</v>
      </c>
      <c r="I1545" s="32">
        <v>792000</v>
      </c>
      <c r="J1545" s="32">
        <v>12964986</v>
      </c>
      <c r="K1545" s="33">
        <v>62327942</v>
      </c>
      <c r="L1545" s="33">
        <v>44000000</v>
      </c>
      <c r="M1545" s="34">
        <v>1.4165441363636364</v>
      </c>
      <c r="N1545" s="209" t="str">
        <f>IFERROR(VLOOKUP(F1545,Back!C:F,4,0),"NO")</f>
        <v>Si</v>
      </c>
      <c r="O1545" s="26">
        <v>25</v>
      </c>
      <c r="P1545" s="28" t="str">
        <f>IFERROR(VLOOKUP(F1545,Back!C:E,3,0),"")</f>
        <v>IPS Pto De Vista Unicentro</v>
      </c>
      <c r="Q1545" s="28" t="str">
        <f>IFERROR(VLOOKUP(P1545,Back!M:N,2,0),"")</f>
        <v>Antioquia</v>
      </c>
      <c r="R1545" s="27" t="str">
        <f>IF(N1545="Si",IFERROR(VLOOKUP(F1545,'TD Cumpl'!B:AB,27,0),"No Aplica"),"No Aplica")</f>
        <v>Siempre Cumple</v>
      </c>
      <c r="S1545" s="38">
        <v>110</v>
      </c>
      <c r="T1545" s="36">
        <v>14808238</v>
      </c>
      <c r="U1545" s="26">
        <v>262</v>
      </c>
      <c r="V1545" s="37">
        <v>39624722</v>
      </c>
      <c r="W1545" s="19">
        <v>130</v>
      </c>
      <c r="X1545" s="37">
        <v>12964986</v>
      </c>
      <c r="Y1545" s="46">
        <f t="shared" si="50"/>
        <v>8686982</v>
      </c>
      <c r="Z1545" s="19" t="s">
        <v>318</v>
      </c>
    </row>
    <row r="1546" spans="1:26" x14ac:dyDescent="0.25">
      <c r="A1546" s="20">
        <f>+VLOOKUP(D1546,Back!Q:R,2,0)</f>
        <v>8</v>
      </c>
      <c r="B1546" s="20" t="str">
        <f t="shared" si="49"/>
        <v>2018 AGO</v>
      </c>
      <c r="C1546" s="30">
        <v>2018</v>
      </c>
      <c r="D1546" s="30" t="s">
        <v>158</v>
      </c>
      <c r="E1546" s="30" t="s">
        <v>22</v>
      </c>
      <c r="F1546" s="30">
        <v>42164020</v>
      </c>
      <c r="G1546" s="30"/>
      <c r="H1546" s="32">
        <v>1844524</v>
      </c>
      <c r="I1546" s="32">
        <v>248000</v>
      </c>
      <c r="J1546" s="32">
        <v>0</v>
      </c>
      <c r="K1546" s="33">
        <v>1596524</v>
      </c>
      <c r="L1546" s="33"/>
      <c r="M1546" s="34"/>
      <c r="N1546" s="209" t="str">
        <f>IFERROR(VLOOKUP(F1546,Back!C:F,4,0),"NO")</f>
        <v>Si</v>
      </c>
      <c r="O1546" s="26">
        <v>25</v>
      </c>
      <c r="P1546" s="28" t="str">
        <f>IFERROR(VLOOKUP(F1546,Back!C:E,3,0),"")</f>
        <v>IPS Pto De Vista Molinos</v>
      </c>
      <c r="Q1546" s="28" t="str">
        <f>IFERROR(VLOOKUP(P1546,Back!M:N,2,0),"")</f>
        <v>Antioquia</v>
      </c>
      <c r="R1546" s="27" t="str">
        <f>IF(N1546="Si",IFERROR(VLOOKUP(F1546,'TD Cumpl'!B:AB,27,0),"No Aplica"),"No Aplica")</f>
        <v>Siempre Cumple</v>
      </c>
      <c r="S1546" s="38">
        <v>3</v>
      </c>
      <c r="T1546" s="36">
        <v>237423</v>
      </c>
      <c r="U1546" s="26">
        <v>10</v>
      </c>
      <c r="V1546" s="37">
        <v>1359101</v>
      </c>
      <c r="W1546" s="19">
        <v>0</v>
      </c>
      <c r="X1546" s="37">
        <v>0</v>
      </c>
      <c r="Y1546" s="46">
        <f t="shared" si="50"/>
        <v>248000</v>
      </c>
    </row>
    <row r="1547" spans="1:26" x14ac:dyDescent="0.25">
      <c r="A1547" s="20">
        <f>+VLOOKUP(D1547,Back!Q:R,2,0)</f>
        <v>8</v>
      </c>
      <c r="B1547" s="20" t="str">
        <f t="shared" si="49"/>
        <v>2018 AGO</v>
      </c>
      <c r="C1547" s="30">
        <v>2018</v>
      </c>
      <c r="D1547" s="30" t="s">
        <v>158</v>
      </c>
      <c r="E1547" s="30" t="s">
        <v>21</v>
      </c>
      <c r="F1547" s="30">
        <v>1035417626</v>
      </c>
      <c r="G1547" s="30" t="s">
        <v>80</v>
      </c>
      <c r="H1547" s="32">
        <v>76156140</v>
      </c>
      <c r="I1547" s="32">
        <v>2559600</v>
      </c>
      <c r="J1547" s="32">
        <v>15669490</v>
      </c>
      <c r="K1547" s="33">
        <v>57927050</v>
      </c>
      <c r="L1547" s="33">
        <v>44000000</v>
      </c>
      <c r="M1547" s="34">
        <v>1.3165238636363636</v>
      </c>
      <c r="N1547" s="209" t="str">
        <f>IFERROR(VLOOKUP(F1547,Back!C:F,4,0),"NO")</f>
        <v>Si</v>
      </c>
      <c r="O1547" s="26">
        <v>25</v>
      </c>
      <c r="P1547" s="28" t="str">
        <f>IFERROR(VLOOKUP(F1547,Back!C:E,3,0),"")</f>
        <v>IPS Pto De Vista Unicentro</v>
      </c>
      <c r="Q1547" s="28" t="str">
        <f>IFERROR(VLOOKUP(P1547,Back!M:N,2,0),"")</f>
        <v>Antioquia</v>
      </c>
      <c r="R1547" s="27" t="str">
        <f>IF(N1547="Si",IFERROR(VLOOKUP(F1547,'TD Cumpl'!B:AB,27,0),"No Aplica"),"No Aplica")</f>
        <v>Cumple</v>
      </c>
      <c r="S1547" s="38">
        <v>114</v>
      </c>
      <c r="T1547" s="36">
        <v>13656687</v>
      </c>
      <c r="U1547" s="26">
        <v>270</v>
      </c>
      <c r="V1547" s="37">
        <v>38628957</v>
      </c>
      <c r="W1547" s="19">
        <v>152</v>
      </c>
      <c r="X1547" s="37">
        <v>15669490</v>
      </c>
      <c r="Y1547" s="46">
        <f t="shared" si="50"/>
        <v>8201006</v>
      </c>
      <c r="Z1547" s="19" t="s">
        <v>318</v>
      </c>
    </row>
    <row r="1548" spans="1:26" x14ac:dyDescent="0.25">
      <c r="A1548" s="20">
        <f>+VLOOKUP(D1548,Back!Q:R,2,0)</f>
        <v>8</v>
      </c>
      <c r="B1548" s="20" t="str">
        <f t="shared" si="49"/>
        <v>2018 AGO</v>
      </c>
      <c r="C1548" s="30">
        <v>2018</v>
      </c>
      <c r="D1548" s="30" t="s">
        <v>158</v>
      </c>
      <c r="E1548" s="30" t="s">
        <v>7</v>
      </c>
      <c r="F1548" s="30">
        <v>43745952</v>
      </c>
      <c r="G1548" s="30" t="s">
        <v>50</v>
      </c>
      <c r="H1548" s="32">
        <v>81320497</v>
      </c>
      <c r="I1548" s="32">
        <v>2418900</v>
      </c>
      <c r="J1548" s="32">
        <v>15326722</v>
      </c>
      <c r="K1548" s="33">
        <v>63574875</v>
      </c>
      <c r="L1548" s="33">
        <v>44000000</v>
      </c>
      <c r="M1548" s="34">
        <v>1.4448835227272727</v>
      </c>
      <c r="N1548" s="209" t="str">
        <f>IFERROR(VLOOKUP(F1548,Back!C:F,4,0),"NO")</f>
        <v>Si</v>
      </c>
      <c r="O1548" s="26">
        <v>25</v>
      </c>
      <c r="P1548" s="28" t="str">
        <f>IFERROR(VLOOKUP(F1548,Back!C:E,3,0),"")</f>
        <v>IPS Pto De Vista Unicentro</v>
      </c>
      <c r="Q1548" s="28" t="str">
        <f>IFERROR(VLOOKUP(P1548,Back!M:N,2,0),"")</f>
        <v>Antioquia</v>
      </c>
      <c r="R1548" s="27" t="str">
        <f>IF(N1548="Si",IFERROR(VLOOKUP(F1548,'TD Cumpl'!B:AB,27,0),"No Aplica"),"No Aplica")</f>
        <v>Siempre Cumple</v>
      </c>
      <c r="S1548" s="38">
        <v>114</v>
      </c>
      <c r="T1548" s="36">
        <v>13325352</v>
      </c>
      <c r="U1548" s="26">
        <v>289</v>
      </c>
      <c r="V1548" s="37">
        <v>42684788</v>
      </c>
      <c r="W1548" s="19">
        <v>150</v>
      </c>
      <c r="X1548" s="37">
        <v>14979422</v>
      </c>
      <c r="Y1548" s="46">
        <f t="shared" si="50"/>
        <v>10330935</v>
      </c>
      <c r="Z1548" s="19" t="s">
        <v>318</v>
      </c>
    </row>
    <row r="1549" spans="1:26" x14ac:dyDescent="0.25">
      <c r="A1549" s="20">
        <f>+VLOOKUP(D1549,Back!Q:R,2,0)</f>
        <v>8</v>
      </c>
      <c r="B1549" s="20" t="str">
        <f t="shared" si="49"/>
        <v>2018 AGO</v>
      </c>
      <c r="C1549" s="30">
        <v>2018</v>
      </c>
      <c r="D1549" s="30" t="s">
        <v>158</v>
      </c>
      <c r="E1549" s="30" t="s">
        <v>18</v>
      </c>
      <c r="F1549" s="30">
        <v>39442617</v>
      </c>
      <c r="G1549" s="30" t="s">
        <v>41</v>
      </c>
      <c r="H1549" s="32">
        <v>23096837</v>
      </c>
      <c r="I1549" s="32">
        <v>0</v>
      </c>
      <c r="J1549" s="32">
        <v>5591884</v>
      </c>
      <c r="K1549" s="33">
        <v>17504953</v>
      </c>
      <c r="L1549" s="33">
        <v>14760000</v>
      </c>
      <c r="M1549" s="34">
        <v>1.1859724254742547</v>
      </c>
      <c r="N1549" s="209" t="str">
        <f>IFERROR(VLOOKUP(F1549,Back!C:F,4,0),"NO")</f>
        <v>Si</v>
      </c>
      <c r="O1549" s="26">
        <v>25</v>
      </c>
      <c r="P1549" s="28" t="str">
        <f>IFERROR(VLOOKUP(F1549,Back!C:E,3,0),"")</f>
        <v>IPS Pto De Vista San Diego</v>
      </c>
      <c r="Q1549" s="28" t="str">
        <f>IFERROR(VLOOKUP(P1549,Back!M:N,2,0),"")</f>
        <v>Antioquia</v>
      </c>
      <c r="R1549" s="27" t="str">
        <f>IF(N1549="Si",IFERROR(VLOOKUP(F1549,'TD Cumpl'!B:AB,27,0),"No Aplica"),"No Aplica")</f>
        <v>Cumple</v>
      </c>
      <c r="S1549" s="38">
        <v>31</v>
      </c>
      <c r="T1549" s="36">
        <v>3602327</v>
      </c>
      <c r="U1549" s="26">
        <v>77</v>
      </c>
      <c r="V1549" s="37">
        <v>10925484</v>
      </c>
      <c r="W1549" s="19">
        <v>52</v>
      </c>
      <c r="X1549" s="37">
        <v>5591884</v>
      </c>
      <c r="Y1549" s="46">
        <f t="shared" si="50"/>
        <v>2977142</v>
      </c>
      <c r="Z1549" s="19" t="s">
        <v>318</v>
      </c>
    </row>
    <row r="1550" spans="1:26" x14ac:dyDescent="0.25">
      <c r="A1550" s="20">
        <f>+VLOOKUP(D1550,Back!Q:R,2,0)</f>
        <v>8</v>
      </c>
      <c r="B1550" s="20" t="str">
        <f t="shared" si="49"/>
        <v>2018 AGO</v>
      </c>
      <c r="C1550" s="30">
        <v>2018</v>
      </c>
      <c r="D1550" s="30" t="s">
        <v>158</v>
      </c>
      <c r="E1550" s="30" t="s">
        <v>81</v>
      </c>
      <c r="F1550" s="30">
        <v>1017200970</v>
      </c>
      <c r="G1550" s="30" t="s">
        <v>82</v>
      </c>
      <c r="H1550" s="32">
        <v>46621671</v>
      </c>
      <c r="I1550" s="32">
        <v>468000</v>
      </c>
      <c r="J1550" s="32">
        <v>8406566</v>
      </c>
      <c r="K1550" s="33">
        <v>37747105</v>
      </c>
      <c r="L1550" s="33">
        <v>36000000</v>
      </c>
      <c r="M1550" s="34">
        <v>1.0485306944444444</v>
      </c>
      <c r="N1550" s="209" t="str">
        <f>IFERROR(VLOOKUP(F1550,Back!C:F,4,0),"NO")</f>
        <v>Si</v>
      </c>
      <c r="O1550" s="26">
        <v>25</v>
      </c>
      <c r="P1550" s="28" t="str">
        <f>IFERROR(VLOOKUP(F1550,Back!C:E,3,0),"")</f>
        <v>IPS Pto De Vista San Diego</v>
      </c>
      <c r="Q1550" s="28" t="str">
        <f>IFERROR(VLOOKUP(P1550,Back!M:N,2,0),"")</f>
        <v>Antioquia</v>
      </c>
      <c r="R1550" s="27" t="str">
        <f>IF(N1550="Si",IFERROR(VLOOKUP(F1550,'TD Cumpl'!B:AB,27,0),"No Aplica"),"No Aplica")</f>
        <v>Cumple</v>
      </c>
      <c r="S1550" s="38">
        <v>76</v>
      </c>
      <c r="T1550" s="36">
        <v>9086207</v>
      </c>
      <c r="U1550" s="26">
        <v>166</v>
      </c>
      <c r="V1550" s="37">
        <v>22206565</v>
      </c>
      <c r="W1550" s="19">
        <v>88</v>
      </c>
      <c r="X1550" s="37">
        <v>8406566</v>
      </c>
      <c r="Y1550" s="46">
        <f t="shared" si="50"/>
        <v>6922333</v>
      </c>
      <c r="Z1550" s="19" t="s">
        <v>318</v>
      </c>
    </row>
    <row r="1551" spans="1:26" x14ac:dyDescent="0.25">
      <c r="A1551" s="20">
        <f>+VLOOKUP(D1551,Back!Q:R,2,0)</f>
        <v>8</v>
      </c>
      <c r="B1551" s="20" t="str">
        <f t="shared" si="49"/>
        <v>2018 AGO</v>
      </c>
      <c r="C1551" s="30">
        <v>2018</v>
      </c>
      <c r="D1551" s="30" t="s">
        <v>158</v>
      </c>
      <c r="E1551" s="30" t="s">
        <v>91</v>
      </c>
      <c r="F1551" s="30">
        <v>43114534</v>
      </c>
      <c r="G1551" s="30"/>
      <c r="H1551" s="32">
        <v>8715396</v>
      </c>
      <c r="I1551" s="32">
        <v>0</v>
      </c>
      <c r="J1551" s="32">
        <v>823723</v>
      </c>
      <c r="K1551" s="33">
        <v>7891673</v>
      </c>
      <c r="L1551" s="33"/>
      <c r="M1551" s="34"/>
      <c r="N1551" s="209" t="str">
        <f>IFERROR(VLOOKUP(F1551,Back!C:F,4,0),"NO")</f>
        <v>No</v>
      </c>
      <c r="O1551" s="26">
        <v>25</v>
      </c>
      <c r="P1551" s="28" t="str">
        <f>IFERROR(VLOOKUP(F1551,Back!C:E,3,0),"")</f>
        <v>IPS Pto De Vista San Diego</v>
      </c>
      <c r="Q1551" s="28" t="str">
        <f>IFERROR(VLOOKUP(P1551,Back!M:N,2,0),"")</f>
        <v>Antioquia</v>
      </c>
      <c r="R1551" s="27" t="str">
        <f>IF(N1551="Si",IFERROR(VLOOKUP(F1551,'TD Cumpl'!B:AB,27,0),"No Aplica"),"No Aplica")</f>
        <v>No Aplica</v>
      </c>
      <c r="S1551" s="38">
        <v>20</v>
      </c>
      <c r="T1551" s="36">
        <v>2026250</v>
      </c>
      <c r="U1551" s="26">
        <v>46</v>
      </c>
      <c r="V1551" s="37">
        <v>4202303</v>
      </c>
      <c r="W1551" s="19">
        <v>9</v>
      </c>
      <c r="X1551" s="37">
        <v>823723</v>
      </c>
      <c r="Y1551" s="46">
        <f t="shared" si="50"/>
        <v>1663120</v>
      </c>
    </row>
    <row r="1552" spans="1:26" x14ac:dyDescent="0.25">
      <c r="A1552" s="20">
        <f>+VLOOKUP(D1552,Back!Q:R,2,0)</f>
        <v>8</v>
      </c>
      <c r="B1552" s="20" t="str">
        <f t="shared" si="49"/>
        <v>2018 AGO</v>
      </c>
      <c r="C1552" s="30">
        <v>2018</v>
      </c>
      <c r="D1552" s="30" t="s">
        <v>158</v>
      </c>
      <c r="E1552" s="30" t="s">
        <v>17</v>
      </c>
      <c r="F1552" s="30">
        <v>43113640</v>
      </c>
      <c r="G1552" s="30" t="s">
        <v>47</v>
      </c>
      <c r="H1552" s="32">
        <v>44974828</v>
      </c>
      <c r="I1552" s="32">
        <v>648000</v>
      </c>
      <c r="J1552" s="32">
        <v>6758553</v>
      </c>
      <c r="K1552" s="33">
        <v>37568275</v>
      </c>
      <c r="L1552" s="33">
        <v>36000000</v>
      </c>
      <c r="M1552" s="34">
        <v>1.0435631944444443</v>
      </c>
      <c r="N1552" s="209" t="str">
        <f>IFERROR(VLOOKUP(F1552,Back!C:F,4,0),"NO")</f>
        <v>Si</v>
      </c>
      <c r="O1552" s="26">
        <v>25</v>
      </c>
      <c r="P1552" s="28" t="str">
        <f>IFERROR(VLOOKUP(F1552,Back!C:E,3,0),"")</f>
        <v>IPS Pto De Vista San Diego</v>
      </c>
      <c r="Q1552" s="28" t="str">
        <f>IFERROR(VLOOKUP(P1552,Back!M:N,2,0),"")</f>
        <v>Antioquia</v>
      </c>
      <c r="R1552" s="27" t="str">
        <f>IF(N1552="Si",IFERROR(VLOOKUP(F1552,'TD Cumpl'!B:AB,27,0),"No Aplica"),"No Aplica")</f>
        <v>Cumple</v>
      </c>
      <c r="S1552" s="38">
        <v>64</v>
      </c>
      <c r="T1552" s="36">
        <v>7781836</v>
      </c>
      <c r="U1552" s="26">
        <v>174</v>
      </c>
      <c r="V1552" s="37">
        <v>26632823</v>
      </c>
      <c r="W1552" s="19">
        <v>69</v>
      </c>
      <c r="X1552" s="37">
        <v>6758553</v>
      </c>
      <c r="Y1552" s="46">
        <f t="shared" si="50"/>
        <v>3801616</v>
      </c>
      <c r="Z1552" s="19" t="s">
        <v>318</v>
      </c>
    </row>
    <row r="1553" spans="1:26" x14ac:dyDescent="0.25">
      <c r="A1553" s="20">
        <f>+VLOOKUP(D1553,Back!Q:R,2,0)</f>
        <v>8</v>
      </c>
      <c r="B1553" s="20" t="str">
        <f t="shared" si="49"/>
        <v>2018 AGO</v>
      </c>
      <c r="C1553" s="30">
        <v>2018</v>
      </c>
      <c r="D1553" s="30" t="s">
        <v>158</v>
      </c>
      <c r="E1553" s="30" t="s">
        <v>269</v>
      </c>
      <c r="F1553" s="30">
        <v>1001131473</v>
      </c>
      <c r="G1553" s="30" t="s">
        <v>331</v>
      </c>
      <c r="H1553" s="32">
        <v>36150160</v>
      </c>
      <c r="I1553" s="32">
        <v>468000</v>
      </c>
      <c r="J1553" s="32">
        <v>8043300</v>
      </c>
      <c r="K1553" s="33">
        <v>27638860</v>
      </c>
      <c r="L1553" s="33">
        <v>36960000</v>
      </c>
      <c r="M1553" s="34">
        <v>0.74780465367965365</v>
      </c>
      <c r="N1553" s="209" t="str">
        <f>IFERROR(VLOOKUP(F1553,Back!C:F,4,0),"NO")</f>
        <v>Si</v>
      </c>
      <c r="O1553" s="26">
        <v>25</v>
      </c>
      <c r="P1553" s="28" t="str">
        <f>IFERROR(VLOOKUP(F1553,Back!C:E,3,0),"")</f>
        <v>IPS Pto De Vista Centro</v>
      </c>
      <c r="Q1553" s="28" t="str">
        <f>IFERROR(VLOOKUP(P1553,Back!M:N,2,0),"")</f>
        <v>Antioquia</v>
      </c>
      <c r="R1553" s="27" t="str">
        <f>IF(N1553="Si",IFERROR(VLOOKUP(F1553,'TD Cumpl'!B:AB,27,0),"No Aplica"),"No Aplica")</f>
        <v>No Cumple</v>
      </c>
      <c r="S1553" s="38">
        <v>62</v>
      </c>
      <c r="T1553" s="36">
        <v>6819544</v>
      </c>
      <c r="U1553" s="26">
        <v>141</v>
      </c>
      <c r="V1553" s="37">
        <v>15723361</v>
      </c>
      <c r="W1553" s="19">
        <v>92</v>
      </c>
      <c r="X1553" s="37">
        <v>8043300</v>
      </c>
      <c r="Y1553" s="46">
        <f t="shared" si="50"/>
        <v>5563955</v>
      </c>
      <c r="Z1553" s="19" t="s">
        <v>318</v>
      </c>
    </row>
    <row r="1554" spans="1:26" x14ac:dyDescent="0.25">
      <c r="A1554" s="20">
        <f>+VLOOKUP(D1554,Back!Q:R,2,0)</f>
        <v>8</v>
      </c>
      <c r="B1554" s="20" t="str">
        <f t="shared" si="49"/>
        <v>2018 AGO</v>
      </c>
      <c r="C1554" s="30">
        <v>2018</v>
      </c>
      <c r="D1554" s="30" t="s">
        <v>158</v>
      </c>
      <c r="E1554" s="30" t="s">
        <v>84</v>
      </c>
      <c r="F1554" s="30">
        <v>1020736461</v>
      </c>
      <c r="G1554" s="30" t="s">
        <v>156</v>
      </c>
      <c r="H1554" s="32">
        <v>54381564</v>
      </c>
      <c r="I1554" s="32">
        <v>712800</v>
      </c>
      <c r="J1554" s="32">
        <v>7965410</v>
      </c>
      <c r="K1554" s="33">
        <v>45703354</v>
      </c>
      <c r="L1554" s="33">
        <v>28000000</v>
      </c>
      <c r="M1554" s="34">
        <v>1.632262642857143</v>
      </c>
      <c r="N1554" s="209" t="str">
        <f>IFERROR(VLOOKUP(F1554,Back!C:F,4,0),"NO")</f>
        <v>Si</v>
      </c>
      <c r="O1554" s="26">
        <v>25</v>
      </c>
      <c r="P1554" s="28" t="str">
        <f>IFERROR(VLOOKUP(F1554,Back!C:E,3,0),"")</f>
        <v>IPS Pto De Vista Santa Bárbara</v>
      </c>
      <c r="Q1554" s="28" t="str">
        <f>IFERROR(VLOOKUP(P1554,Back!M:N,2,0),"")</f>
        <v>Centro</v>
      </c>
      <c r="R1554" s="27" t="str">
        <f>IF(N1554="Si",IFERROR(VLOOKUP(F1554,'TD Cumpl'!B:AB,27,0),"No Aplica"),"No Aplica")</f>
        <v>Siempre Cumple</v>
      </c>
      <c r="S1554" s="38">
        <v>92</v>
      </c>
      <c r="T1554" s="36">
        <v>10584045</v>
      </c>
      <c r="U1554" s="26">
        <v>240</v>
      </c>
      <c r="V1554" s="37">
        <v>31784599</v>
      </c>
      <c r="W1554" s="19">
        <v>110</v>
      </c>
      <c r="X1554" s="37">
        <v>7965410</v>
      </c>
      <c r="Y1554" s="46">
        <f t="shared" si="50"/>
        <v>4047510</v>
      </c>
      <c r="Z1554" s="19" t="s">
        <v>318</v>
      </c>
    </row>
    <row r="1555" spans="1:26" x14ac:dyDescent="0.25">
      <c r="A1555" s="20">
        <f>+VLOOKUP(D1555,Back!Q:R,2,0)</f>
        <v>8</v>
      </c>
      <c r="B1555" s="20" t="str">
        <f t="shared" si="49"/>
        <v>2018 AGO</v>
      </c>
      <c r="C1555" s="30">
        <v>2018</v>
      </c>
      <c r="D1555" s="30" t="s">
        <v>158</v>
      </c>
      <c r="E1555" s="30" t="s">
        <v>102</v>
      </c>
      <c r="F1555" s="30">
        <v>79850984</v>
      </c>
      <c r="G1555" s="30" t="s">
        <v>106</v>
      </c>
      <c r="H1555" s="32">
        <v>41184101</v>
      </c>
      <c r="I1555" s="32">
        <v>324000</v>
      </c>
      <c r="J1555" s="32">
        <v>7655311</v>
      </c>
      <c r="K1555" s="33">
        <v>33204790</v>
      </c>
      <c r="L1555" s="33">
        <v>28000000</v>
      </c>
      <c r="M1555" s="34">
        <v>1.1858853571428571</v>
      </c>
      <c r="N1555" s="209" t="str">
        <f>IFERROR(VLOOKUP(F1555,Back!C:F,4,0),"NO")</f>
        <v>Si</v>
      </c>
      <c r="O1555" s="26">
        <v>25</v>
      </c>
      <c r="P1555" s="28" t="str">
        <f>IFERROR(VLOOKUP(F1555,Back!C:E,3,0),"")</f>
        <v>IPS Pto De Vista SSura Clle100</v>
      </c>
      <c r="Q1555" s="28" t="str">
        <f>IFERROR(VLOOKUP(P1555,Back!M:N,2,0),"")</f>
        <v>Centro</v>
      </c>
      <c r="R1555" s="27" t="str">
        <f>IF(N1555="Si",IFERROR(VLOOKUP(F1555,'TD Cumpl'!B:AB,27,0),"No Aplica"),"No Aplica")</f>
        <v>Fluctúa</v>
      </c>
      <c r="S1555" s="38">
        <v>75</v>
      </c>
      <c r="T1555" s="36">
        <v>7545994</v>
      </c>
      <c r="U1555" s="26">
        <v>196</v>
      </c>
      <c r="V1555" s="37">
        <v>24515072</v>
      </c>
      <c r="W1555" s="19">
        <v>105</v>
      </c>
      <c r="X1555" s="37">
        <v>7655311</v>
      </c>
      <c r="Y1555" s="46">
        <f t="shared" si="50"/>
        <v>1467724</v>
      </c>
      <c r="Z1555" s="19" t="s">
        <v>318</v>
      </c>
    </row>
    <row r="1556" spans="1:26" x14ac:dyDescent="0.25">
      <c r="A1556" s="20">
        <f>+VLOOKUP(D1556,Back!Q:R,2,0)</f>
        <v>8</v>
      </c>
      <c r="B1556" s="20" t="str">
        <f t="shared" si="49"/>
        <v>2018 AGO</v>
      </c>
      <c r="C1556" s="30">
        <v>2018</v>
      </c>
      <c r="D1556" s="30" t="s">
        <v>158</v>
      </c>
      <c r="E1556" s="30" t="s">
        <v>2</v>
      </c>
      <c r="F1556" s="30">
        <v>52260671</v>
      </c>
      <c r="G1556" s="30" t="s">
        <v>26</v>
      </c>
      <c r="H1556" s="32">
        <v>41685579</v>
      </c>
      <c r="I1556" s="32">
        <v>993600</v>
      </c>
      <c r="J1556" s="32">
        <v>6392692</v>
      </c>
      <c r="K1556" s="33">
        <v>34299287</v>
      </c>
      <c r="L1556" s="33">
        <v>28000000</v>
      </c>
      <c r="M1556" s="34">
        <v>1.2249745357142856</v>
      </c>
      <c r="N1556" s="209" t="str">
        <f>IFERROR(VLOOKUP(F1556,Back!C:F,4,0),"NO")</f>
        <v>Si</v>
      </c>
      <c r="O1556" s="26">
        <v>25</v>
      </c>
      <c r="P1556" s="28" t="str">
        <f>IFERROR(VLOOKUP(F1556,Back!C:E,3,0),"")</f>
        <v>IPS Pto De Vista Santa Bárbara</v>
      </c>
      <c r="Q1556" s="28" t="str">
        <f>IFERROR(VLOOKUP(P1556,Back!M:N,2,0),"")</f>
        <v>Centro</v>
      </c>
      <c r="R1556" s="27" t="str">
        <f>IF(N1556="Si",IFERROR(VLOOKUP(F1556,'TD Cumpl'!B:AB,27,0),"No Aplica"),"No Aplica")</f>
        <v>Siempre Cumple</v>
      </c>
      <c r="S1556" s="38">
        <v>93</v>
      </c>
      <c r="T1556" s="36">
        <v>9014004</v>
      </c>
      <c r="U1556" s="26">
        <v>211</v>
      </c>
      <c r="V1556" s="37">
        <v>22251650</v>
      </c>
      <c r="W1556" s="19">
        <v>92</v>
      </c>
      <c r="X1556" s="37">
        <v>6392692</v>
      </c>
      <c r="Y1556" s="46">
        <f t="shared" si="50"/>
        <v>4027233</v>
      </c>
      <c r="Z1556" s="19" t="s">
        <v>318</v>
      </c>
    </row>
    <row r="1557" spans="1:26" x14ac:dyDescent="0.25">
      <c r="A1557" s="20">
        <f>+VLOOKUP(D1557,Back!Q:R,2,0)</f>
        <v>8</v>
      </c>
      <c r="B1557" s="20" t="str">
        <f t="shared" si="49"/>
        <v>2018 AGO</v>
      </c>
      <c r="C1557" s="30">
        <v>2018</v>
      </c>
      <c r="D1557" s="30" t="s">
        <v>158</v>
      </c>
      <c r="E1557" s="30" t="s">
        <v>38</v>
      </c>
      <c r="F1557" s="30">
        <v>43745192</v>
      </c>
      <c r="G1557" s="30" t="s">
        <v>45</v>
      </c>
      <c r="H1557" s="32">
        <v>39224807</v>
      </c>
      <c r="I1557" s="32">
        <v>0</v>
      </c>
      <c r="J1557" s="32">
        <v>3871400</v>
      </c>
      <c r="K1557" s="33">
        <v>35353407</v>
      </c>
      <c r="L1557" s="33">
        <v>30000000</v>
      </c>
      <c r="M1557" s="34">
        <v>1.1784469</v>
      </c>
      <c r="N1557" s="209" t="str">
        <f>IFERROR(VLOOKUP(F1557,Back!C:F,4,0),"NO")</f>
        <v>Si</v>
      </c>
      <c r="O1557" s="26">
        <v>25</v>
      </c>
      <c r="P1557" s="28" t="str">
        <f>IFERROR(VLOOKUP(F1557,Back!C:E,3,0),"")</f>
        <v>IPS Punto de Vista Mayorca</v>
      </c>
      <c r="Q1557" s="28" t="str">
        <f>IFERROR(VLOOKUP(P1557,Back!M:N,2,0),"")</f>
        <v>Antioquia</v>
      </c>
      <c r="R1557" s="27" t="str">
        <f>IF(N1557="Si",IFERROR(VLOOKUP(F1557,'TD Cumpl'!B:AB,27,0),"No Aplica"),"No Aplica")</f>
        <v>Cumple</v>
      </c>
      <c r="S1557" s="38">
        <v>61</v>
      </c>
      <c r="T1557" s="36">
        <v>9971921</v>
      </c>
      <c r="U1557" s="26">
        <v>180</v>
      </c>
      <c r="V1557" s="37">
        <v>21763193</v>
      </c>
      <c r="W1557" s="19">
        <v>56</v>
      </c>
      <c r="X1557" s="37">
        <v>3871400</v>
      </c>
      <c r="Y1557" s="46">
        <f t="shared" si="50"/>
        <v>3618293</v>
      </c>
      <c r="Z1557" s="19" t="s">
        <v>318</v>
      </c>
    </row>
    <row r="1558" spans="1:26" x14ac:dyDescent="0.25">
      <c r="A1558" s="20">
        <f>+VLOOKUP(D1558,Back!Q:R,2,0)</f>
        <v>8</v>
      </c>
      <c r="B1558" s="20" t="str">
        <f t="shared" si="49"/>
        <v>2018 AGO</v>
      </c>
      <c r="C1558" s="30">
        <v>2018</v>
      </c>
      <c r="D1558" s="30" t="s">
        <v>158</v>
      </c>
      <c r="E1558" s="30" t="s">
        <v>5</v>
      </c>
      <c r="F1558" s="30">
        <v>34542470</v>
      </c>
      <c r="G1558" s="30" t="s">
        <v>28</v>
      </c>
      <c r="H1558" s="32">
        <v>60692941</v>
      </c>
      <c r="I1558" s="32">
        <v>1407060</v>
      </c>
      <c r="J1558" s="32">
        <v>7245879</v>
      </c>
      <c r="K1558" s="33">
        <v>52040002</v>
      </c>
      <c r="L1558" s="33">
        <v>35000000</v>
      </c>
      <c r="M1558" s="34">
        <v>1.4868572</v>
      </c>
      <c r="N1558" s="209" t="str">
        <f>IFERROR(VLOOKUP(F1558,Back!C:F,4,0),"NO")</f>
        <v>Si</v>
      </c>
      <c r="O1558" s="26">
        <v>25</v>
      </c>
      <c r="P1558" s="28" t="str">
        <f>IFERROR(VLOOKUP(F1558,Back!C:E,3,0),"")</f>
        <v>Optica Salud Sura Chipichape</v>
      </c>
      <c r="Q1558" s="28" t="str">
        <f>IFERROR(VLOOKUP(P1558,Back!M:N,2,0),"")</f>
        <v>Occidente</v>
      </c>
      <c r="R1558" s="27" t="str">
        <f>IF(N1558="Si",IFERROR(VLOOKUP(F1558,'TD Cumpl'!B:AB,27,0),"No Aplica"),"No Aplica")</f>
        <v>Siempre Cumple</v>
      </c>
      <c r="S1558" s="38">
        <v>92</v>
      </c>
      <c r="T1558" s="36">
        <v>13736109</v>
      </c>
      <c r="U1558" s="26">
        <v>253</v>
      </c>
      <c r="V1558" s="37">
        <v>34059342</v>
      </c>
      <c r="W1558" s="19">
        <v>81</v>
      </c>
      <c r="X1558" s="37">
        <v>7245879</v>
      </c>
      <c r="Y1558" s="46">
        <f t="shared" si="50"/>
        <v>5651611</v>
      </c>
      <c r="Z1558" s="19" t="s">
        <v>318</v>
      </c>
    </row>
    <row r="1559" spans="1:26" x14ac:dyDescent="0.25">
      <c r="A1559" s="20">
        <f>+VLOOKUP(D1559,Back!Q:R,2,0)</f>
        <v>8</v>
      </c>
      <c r="B1559" s="20" t="str">
        <f t="shared" si="49"/>
        <v>2018 AGO</v>
      </c>
      <c r="C1559" s="30">
        <v>2018</v>
      </c>
      <c r="D1559" s="30" t="s">
        <v>158</v>
      </c>
      <c r="E1559" s="30" t="s">
        <v>254</v>
      </c>
      <c r="F1559" s="30">
        <v>1095794354</v>
      </c>
      <c r="G1559" s="30" t="s">
        <v>255</v>
      </c>
      <c r="H1559" s="32">
        <v>35547657</v>
      </c>
      <c r="I1559" s="32">
        <v>0</v>
      </c>
      <c r="J1559" s="32">
        <v>1593376</v>
      </c>
      <c r="K1559" s="33">
        <v>33954281</v>
      </c>
      <c r="L1559" s="33">
        <v>9200349</v>
      </c>
      <c r="M1559" s="34">
        <v>3.6905427174556094</v>
      </c>
      <c r="N1559" s="209" t="str">
        <f>IFERROR(VLOOKUP(F1559,Back!C:F,4,0),"NO")</f>
        <v>No</v>
      </c>
      <c r="O1559" s="26">
        <v>25</v>
      </c>
      <c r="P1559" s="28" t="str">
        <f>IFERROR(VLOOKUP(F1559,Back!C:E,3,0),"")</f>
        <v>Ferias Cali</v>
      </c>
      <c r="Q1559" s="28" t="str">
        <f>IFERROR(VLOOKUP(P1559,Back!M:N,2,0),"")</f>
        <v>Occidente</v>
      </c>
      <c r="R1559" s="27" t="str">
        <f>IF(N1559="Si",IFERROR(VLOOKUP(F1559,'TD Cumpl'!B:AB,27,0),"No Aplica"),"No Aplica")</f>
        <v>No Aplica</v>
      </c>
      <c r="S1559" s="38">
        <v>82</v>
      </c>
      <c r="T1559" s="36">
        <v>8761372</v>
      </c>
      <c r="U1559" s="26">
        <v>208</v>
      </c>
      <c r="V1559" s="37">
        <v>20243274</v>
      </c>
      <c r="W1559" s="19">
        <v>20</v>
      </c>
      <c r="X1559" s="37">
        <v>1593376</v>
      </c>
      <c r="Y1559" s="46">
        <f t="shared" si="50"/>
        <v>4949635</v>
      </c>
    </row>
    <row r="1560" spans="1:26" x14ac:dyDescent="0.25">
      <c r="A1560" s="20">
        <f>+VLOOKUP(D1560,Back!Q:R,2,0)</f>
        <v>8</v>
      </c>
      <c r="B1560" s="20" t="str">
        <f t="shared" si="49"/>
        <v>2018 AGO</v>
      </c>
      <c r="C1560" s="30">
        <v>2018</v>
      </c>
      <c r="D1560" s="30" t="s">
        <v>158</v>
      </c>
      <c r="E1560" s="30" t="s">
        <v>249</v>
      </c>
      <c r="F1560" s="30">
        <v>1144061613</v>
      </c>
      <c r="G1560" s="30" t="s">
        <v>256</v>
      </c>
      <c r="H1560" s="32">
        <v>40381932</v>
      </c>
      <c r="I1560" s="32">
        <v>0</v>
      </c>
      <c r="J1560" s="32">
        <v>9150028</v>
      </c>
      <c r="K1560" s="33">
        <v>31231904</v>
      </c>
      <c r="L1560" s="33">
        <v>30000000</v>
      </c>
      <c r="M1560" s="34">
        <v>1.0410634666666667</v>
      </c>
      <c r="N1560" s="209" t="str">
        <f>IFERROR(VLOOKUP(F1560,Back!C:F,4,0),"NO")</f>
        <v>Si</v>
      </c>
      <c r="O1560" s="26">
        <v>25</v>
      </c>
      <c r="P1560" s="28" t="str">
        <f>IFERROR(VLOOKUP(F1560,Back!C:E,3,0),"")</f>
        <v>Punto de Vista Tequendama</v>
      </c>
      <c r="Q1560" s="28" t="str">
        <f>IFERROR(VLOOKUP(P1560,Back!M:N,2,0),"")</f>
        <v>Occidente</v>
      </c>
      <c r="R1560" s="27" t="str">
        <f>IF(N1560="Si",IFERROR(VLOOKUP(F1560,'TD Cumpl'!B:AB,27,0),"No Aplica"),"No Aplica")</f>
        <v>Fluctúa</v>
      </c>
      <c r="S1560" s="38">
        <v>63</v>
      </c>
      <c r="T1560" s="36">
        <v>7077319</v>
      </c>
      <c r="U1560" s="26">
        <v>220</v>
      </c>
      <c r="V1560" s="37">
        <v>21985570</v>
      </c>
      <c r="W1560" s="19">
        <v>98</v>
      </c>
      <c r="X1560" s="37">
        <v>9150028</v>
      </c>
      <c r="Y1560" s="46">
        <f t="shared" si="50"/>
        <v>2169015</v>
      </c>
      <c r="Z1560" s="19" t="s">
        <v>318</v>
      </c>
    </row>
    <row r="1561" spans="1:26" x14ac:dyDescent="0.25">
      <c r="A1561" s="20">
        <f>+VLOOKUP(D1561,Back!Q:R,2,0)</f>
        <v>8</v>
      </c>
      <c r="B1561" s="20" t="str">
        <f t="shared" si="49"/>
        <v>2018 AGO</v>
      </c>
      <c r="C1561" s="30">
        <v>2018</v>
      </c>
      <c r="D1561" s="30" t="s">
        <v>158</v>
      </c>
      <c r="E1561" s="30" t="s">
        <v>258</v>
      </c>
      <c r="F1561" s="30">
        <v>1130676531</v>
      </c>
      <c r="G1561" s="30" t="s">
        <v>262</v>
      </c>
      <c r="H1561" s="32">
        <v>24104971</v>
      </c>
      <c r="I1561" s="32">
        <v>210600</v>
      </c>
      <c r="J1561" s="32">
        <v>5153890</v>
      </c>
      <c r="K1561" s="33">
        <v>18740481</v>
      </c>
      <c r="L1561" s="33">
        <v>27156176</v>
      </c>
      <c r="M1561" s="34">
        <v>0.69010014517507912</v>
      </c>
      <c r="N1561" s="209" t="str">
        <f>IFERROR(VLOOKUP(F1561,Back!C:F,4,0),"NO")</f>
        <v>Si</v>
      </c>
      <c r="O1561" s="26">
        <v>25</v>
      </c>
      <c r="P1561" s="28" t="str">
        <f>IFERROR(VLOOKUP(F1561,Back!C:E,3,0),"")</f>
        <v>Punto de Vista Cali Norte</v>
      </c>
      <c r="Q1561" s="28" t="str">
        <f>IFERROR(VLOOKUP(P1561,Back!M:N,2,0),"")</f>
        <v>Occidente</v>
      </c>
      <c r="R1561" s="27" t="str">
        <f>IF(N1561="Si",IFERROR(VLOOKUP(F1561,'TD Cumpl'!B:AB,27,0),"No Aplica"),"No Aplica")</f>
        <v>No Cumple</v>
      </c>
      <c r="S1561" s="38">
        <v>31</v>
      </c>
      <c r="T1561" s="36">
        <v>3725140</v>
      </c>
      <c r="U1561" s="26">
        <v>115</v>
      </c>
      <c r="V1561" s="37">
        <v>14031838</v>
      </c>
      <c r="W1561" s="19">
        <v>56</v>
      </c>
      <c r="X1561" s="37">
        <v>5153890</v>
      </c>
      <c r="Y1561" s="46">
        <f t="shared" si="50"/>
        <v>1194103</v>
      </c>
      <c r="Z1561" s="19" t="s">
        <v>318</v>
      </c>
    </row>
    <row r="1562" spans="1:26" x14ac:dyDescent="0.25">
      <c r="A1562" s="20">
        <f>+VLOOKUP(D1562,Back!Q:R,2,0)</f>
        <v>8</v>
      </c>
      <c r="B1562" s="20" t="str">
        <f t="shared" si="49"/>
        <v>2018 AGO</v>
      </c>
      <c r="C1562" s="30">
        <v>2018</v>
      </c>
      <c r="D1562" s="30" t="s">
        <v>158</v>
      </c>
      <c r="E1562" s="30" t="s">
        <v>237</v>
      </c>
      <c r="F1562" s="30">
        <v>1151951440</v>
      </c>
      <c r="G1562" s="30" t="s">
        <v>238</v>
      </c>
      <c r="H1562" s="32">
        <v>20014229</v>
      </c>
      <c r="I1562" s="32">
        <v>0</v>
      </c>
      <c r="J1562" s="32">
        <v>7031849</v>
      </c>
      <c r="K1562" s="33">
        <v>12982380</v>
      </c>
      <c r="L1562" s="33">
        <v>30000000</v>
      </c>
      <c r="M1562" s="34">
        <v>0.43274600000000002</v>
      </c>
      <c r="N1562" s="209" t="str">
        <f>IFERROR(VLOOKUP(F1562,Back!C:F,4,0),"NO")</f>
        <v>No</v>
      </c>
      <c r="O1562" s="26">
        <v>25</v>
      </c>
      <c r="P1562" s="28" t="str">
        <f>IFERROR(VLOOKUP(F1562,Back!C:E,3,0),"")</f>
        <v>Punto de Vista Cali Norte</v>
      </c>
      <c r="Q1562" s="28" t="str">
        <f>IFERROR(VLOOKUP(P1562,Back!M:N,2,0),"")</f>
        <v>Occidente</v>
      </c>
      <c r="R1562" s="27" t="str">
        <f>IF(N1562="Si",IFERROR(VLOOKUP(F1562,'TD Cumpl'!B:AB,27,0),"No Aplica"),"No Aplica")</f>
        <v>No Aplica</v>
      </c>
      <c r="S1562" s="38">
        <v>19</v>
      </c>
      <c r="T1562" s="36">
        <v>2591829</v>
      </c>
      <c r="U1562" s="26">
        <v>96</v>
      </c>
      <c r="V1562" s="37">
        <v>8479779</v>
      </c>
      <c r="W1562" s="19">
        <v>71</v>
      </c>
      <c r="X1562" s="37">
        <v>7031849</v>
      </c>
      <c r="Y1562" s="46">
        <f t="shared" si="50"/>
        <v>1910772</v>
      </c>
    </row>
    <row r="1563" spans="1:26" x14ac:dyDescent="0.25">
      <c r="A1563" s="20">
        <f>+VLOOKUP(D1563,Back!Q:R,2,0)</f>
        <v>8</v>
      </c>
      <c r="B1563" s="20" t="str">
        <f t="shared" si="49"/>
        <v>2018 AGO</v>
      </c>
      <c r="C1563" s="30">
        <v>2018</v>
      </c>
      <c r="D1563" s="30" t="s">
        <v>158</v>
      </c>
      <c r="E1563" s="30" t="s">
        <v>88</v>
      </c>
      <c r="F1563" s="30">
        <v>31445278</v>
      </c>
      <c r="G1563" s="30" t="s">
        <v>93</v>
      </c>
      <c r="H1563" s="32">
        <v>42395027</v>
      </c>
      <c r="I1563" s="32">
        <v>0</v>
      </c>
      <c r="J1563" s="32">
        <v>8840157</v>
      </c>
      <c r="K1563" s="33">
        <v>33554870</v>
      </c>
      <c r="L1563" s="33">
        <v>30000000</v>
      </c>
      <c r="M1563" s="34">
        <v>1.1184956666666668</v>
      </c>
      <c r="N1563" s="209" t="str">
        <f>IFERROR(VLOOKUP(F1563,Back!C:F,4,0),"NO")</f>
        <v>Si</v>
      </c>
      <c r="O1563" s="26">
        <v>25</v>
      </c>
      <c r="P1563" s="28" t="str">
        <f>IFERROR(VLOOKUP(F1563,Back!C:E,3,0),"")</f>
        <v>Punto de Vista Tequendama</v>
      </c>
      <c r="Q1563" s="28" t="str">
        <f>IFERROR(VLOOKUP(P1563,Back!M:N,2,0),"")</f>
        <v>Occidente</v>
      </c>
      <c r="R1563" s="27" t="str">
        <f>IF(N1563="Si",IFERROR(VLOOKUP(F1563,'TD Cumpl'!B:AB,27,0),"No Aplica"),"No Aplica")</f>
        <v>Cumple</v>
      </c>
      <c r="S1563" s="38">
        <v>64</v>
      </c>
      <c r="T1563" s="36">
        <v>7249828</v>
      </c>
      <c r="U1563" s="26">
        <v>206</v>
      </c>
      <c r="V1563" s="37">
        <v>23030852</v>
      </c>
      <c r="W1563" s="19">
        <v>81</v>
      </c>
      <c r="X1563" s="37">
        <v>8840157</v>
      </c>
      <c r="Y1563" s="46">
        <f t="shared" si="50"/>
        <v>3274190</v>
      </c>
      <c r="Z1563" s="19" t="s">
        <v>318</v>
      </c>
    </row>
    <row r="1564" spans="1:26" x14ac:dyDescent="0.25">
      <c r="A1564" s="20">
        <f>+VLOOKUP(D1564,Back!Q:R,2,0)</f>
        <v>8</v>
      </c>
      <c r="B1564" s="20" t="str">
        <f t="shared" si="49"/>
        <v>2018 AGO</v>
      </c>
      <c r="C1564" s="30">
        <v>2018</v>
      </c>
      <c r="D1564" s="30" t="s">
        <v>158</v>
      </c>
      <c r="E1564" s="30" t="s">
        <v>149</v>
      </c>
      <c r="F1564" s="30">
        <v>1130597373</v>
      </c>
      <c r="G1564" s="30" t="s">
        <v>150</v>
      </c>
      <c r="H1564" s="32">
        <v>42285862</v>
      </c>
      <c r="I1564" s="32">
        <v>0</v>
      </c>
      <c r="J1564" s="32">
        <v>9252641</v>
      </c>
      <c r="K1564" s="33">
        <v>33033221</v>
      </c>
      <c r="L1564" s="33">
        <v>30000000</v>
      </c>
      <c r="M1564" s="34">
        <v>1.1011073666666666</v>
      </c>
      <c r="N1564" s="209" t="str">
        <f>IFERROR(VLOOKUP(F1564,Back!C:F,4,0),"NO")</f>
        <v>Si</v>
      </c>
      <c r="O1564" s="26">
        <v>25</v>
      </c>
      <c r="P1564" s="28" t="str">
        <f>IFERROR(VLOOKUP(F1564,Back!C:E,3,0),"")</f>
        <v>Punto de Vista Cali Norte</v>
      </c>
      <c r="Q1564" s="28" t="str">
        <f>IFERROR(VLOOKUP(P1564,Back!M:N,2,0),"")</f>
        <v>Occidente</v>
      </c>
      <c r="R1564" s="27" t="str">
        <f>IF(N1564="Si",IFERROR(VLOOKUP(F1564,'TD Cumpl'!B:AB,27,0),"No Aplica"),"No Aplica")</f>
        <v>Fluctúa</v>
      </c>
      <c r="S1564" s="38">
        <v>66</v>
      </c>
      <c r="T1564" s="36">
        <v>7985083</v>
      </c>
      <c r="U1564" s="26">
        <v>208</v>
      </c>
      <c r="V1564" s="37">
        <v>21685239</v>
      </c>
      <c r="W1564" s="19">
        <v>99</v>
      </c>
      <c r="X1564" s="37">
        <v>9252641</v>
      </c>
      <c r="Y1564" s="46">
        <f t="shared" si="50"/>
        <v>3362899</v>
      </c>
      <c r="Z1564" s="19" t="s">
        <v>318</v>
      </c>
    </row>
    <row r="1565" spans="1:26" x14ac:dyDescent="0.25">
      <c r="A1565" s="20">
        <f>+VLOOKUP(D1565,Back!Q:R,2,0)</f>
        <v>8</v>
      </c>
      <c r="B1565" s="20" t="str">
        <f t="shared" si="49"/>
        <v>2018 AGO</v>
      </c>
      <c r="C1565" s="30">
        <v>2018</v>
      </c>
      <c r="D1565" s="30" t="s">
        <v>158</v>
      </c>
      <c r="E1565" s="30" t="s">
        <v>184</v>
      </c>
      <c r="F1565" s="30"/>
      <c r="G1565" s="30"/>
      <c r="H1565" s="32">
        <v>259234</v>
      </c>
      <c r="I1565" s="32">
        <v>0</v>
      </c>
      <c r="J1565" s="32">
        <v>0</v>
      </c>
      <c r="K1565" s="33">
        <v>259234</v>
      </c>
      <c r="L1565" s="33"/>
      <c r="M1565" s="34"/>
      <c r="N1565" s="209" t="str">
        <f>IFERROR(VLOOKUP(F1565,Back!C:F,4,0),"NO")</f>
        <v>NO</v>
      </c>
      <c r="O1565" s="26">
        <v>25</v>
      </c>
      <c r="P1565" s="28" t="str">
        <f>IFERROR(VLOOKUP(F1565,Back!C:E,3,0),"")</f>
        <v/>
      </c>
      <c r="Q1565" s="28" t="str">
        <f>IFERROR(VLOOKUP(P1565,Back!M:N,2,0),"")</f>
        <v/>
      </c>
      <c r="R1565" s="27" t="str">
        <f>IF(N1565="Si",IFERROR(VLOOKUP(F1565,'TD Cumpl'!B:AB,27,0),"No Aplica"),"No Aplica")</f>
        <v>No Aplica</v>
      </c>
      <c r="S1565" s="38">
        <v>1</v>
      </c>
      <c r="T1565" s="36">
        <v>39285</v>
      </c>
      <c r="U1565" s="26">
        <v>2</v>
      </c>
      <c r="V1565" s="37">
        <v>219949</v>
      </c>
      <c r="W1565" s="19">
        <v>0</v>
      </c>
      <c r="X1565" s="37">
        <v>0</v>
      </c>
      <c r="Y1565" s="46">
        <f t="shared" si="50"/>
        <v>0</v>
      </c>
    </row>
    <row r="1566" spans="1:26" x14ac:dyDescent="0.25">
      <c r="A1566" s="20">
        <f>+VLOOKUP(D1566,Back!Q:R,2,0)</f>
        <v>8</v>
      </c>
      <c r="B1566" s="20" t="str">
        <f t="shared" si="49"/>
        <v>2018 AGO</v>
      </c>
      <c r="C1566" s="30">
        <v>2018</v>
      </c>
      <c r="D1566" s="30" t="s">
        <v>158</v>
      </c>
      <c r="E1566" s="30" t="s">
        <v>147</v>
      </c>
      <c r="F1566" s="30"/>
      <c r="G1566" s="30"/>
      <c r="H1566" s="32">
        <v>281438</v>
      </c>
      <c r="I1566" s="32">
        <v>0</v>
      </c>
      <c r="J1566" s="32">
        <v>0</v>
      </c>
      <c r="K1566" s="33">
        <v>281438</v>
      </c>
      <c r="L1566" s="33"/>
      <c r="M1566" s="34"/>
      <c r="N1566" s="209" t="str">
        <f>IFERROR(VLOOKUP(F1566,Back!C:F,4,0),"NO")</f>
        <v>NO</v>
      </c>
      <c r="O1566" s="26">
        <v>25</v>
      </c>
      <c r="P1566" s="28" t="str">
        <f>IFERROR(VLOOKUP(F1566,Back!C:E,3,0),"")</f>
        <v/>
      </c>
      <c r="Q1566" s="28" t="str">
        <f>IFERROR(VLOOKUP(P1566,Back!M:N,2,0),"")</f>
        <v/>
      </c>
      <c r="R1566" s="27" t="str">
        <f>IF(N1566="Si",IFERROR(VLOOKUP(F1566,'TD Cumpl'!B:AB,27,0),"No Aplica"),"No Aplica")</f>
        <v>No Aplica</v>
      </c>
      <c r="S1566" s="38">
        <v>1</v>
      </c>
      <c r="T1566" s="36">
        <v>128403</v>
      </c>
      <c r="U1566" s="26">
        <v>2</v>
      </c>
      <c r="V1566" s="37">
        <v>22035</v>
      </c>
      <c r="W1566" s="19">
        <v>0</v>
      </c>
      <c r="X1566" s="37">
        <v>0</v>
      </c>
      <c r="Y1566" s="46">
        <f t="shared" si="50"/>
        <v>131000</v>
      </c>
    </row>
    <row r="1567" spans="1:26" x14ac:dyDescent="0.25">
      <c r="A1567" s="20">
        <f>+VLOOKUP(D1567,Back!Q:R,2,0)</f>
        <v>8</v>
      </c>
      <c r="B1567" s="20" t="str">
        <f t="shared" si="49"/>
        <v>2018 AGO</v>
      </c>
      <c r="C1567" s="30">
        <v>2018</v>
      </c>
      <c r="D1567" s="30" t="s">
        <v>158</v>
      </c>
      <c r="E1567" s="30" t="s">
        <v>275</v>
      </c>
      <c r="F1567" s="30"/>
      <c r="G1567" s="30"/>
      <c r="H1567" s="32">
        <v>5906690</v>
      </c>
      <c r="I1567" s="32">
        <v>0</v>
      </c>
      <c r="J1567" s="32">
        <v>3024535</v>
      </c>
      <c r="K1567" s="33">
        <v>2882155</v>
      </c>
      <c r="L1567" s="33"/>
      <c r="M1567" s="34"/>
      <c r="N1567" s="209" t="str">
        <f>IFERROR(VLOOKUP(F1567,Back!C:F,4,0),"NO")</f>
        <v>NO</v>
      </c>
      <c r="O1567" s="26">
        <v>25</v>
      </c>
      <c r="P1567" s="28" t="str">
        <f>IFERROR(VLOOKUP(F1567,Back!C:E,3,0),"")</f>
        <v/>
      </c>
      <c r="Q1567" s="28" t="str">
        <f>IFERROR(VLOOKUP(P1567,Back!M:N,2,0),"")</f>
        <v/>
      </c>
      <c r="R1567" s="27" t="str">
        <f>IF(N1567="Si",IFERROR(VLOOKUP(F1567,'TD Cumpl'!B:AB,27,0),"No Aplica"),"No Aplica")</f>
        <v>No Aplica</v>
      </c>
      <c r="S1567" s="38">
        <v>9</v>
      </c>
      <c r="T1567" s="36">
        <v>1366407</v>
      </c>
      <c r="U1567" s="26">
        <v>16</v>
      </c>
      <c r="V1567" s="37">
        <v>830612</v>
      </c>
      <c r="W1567" s="19">
        <v>33</v>
      </c>
      <c r="X1567" s="37">
        <v>3024535</v>
      </c>
      <c r="Y1567" s="46">
        <f t="shared" si="50"/>
        <v>685136</v>
      </c>
    </row>
    <row r="1568" spans="1:26" x14ac:dyDescent="0.25">
      <c r="A1568" s="20">
        <f>+VLOOKUP(D1568,Back!Q:R,2,0)</f>
        <v>8</v>
      </c>
      <c r="B1568" s="20" t="str">
        <f t="shared" si="49"/>
        <v>2018 AGO</v>
      </c>
      <c r="C1568" s="30">
        <v>2018</v>
      </c>
      <c r="D1568" s="30" t="s">
        <v>158</v>
      </c>
      <c r="E1568" s="30" t="s">
        <v>33</v>
      </c>
      <c r="F1568" s="30"/>
      <c r="G1568" s="30"/>
      <c r="H1568" s="32">
        <v>90427</v>
      </c>
      <c r="I1568" s="32">
        <v>0</v>
      </c>
      <c r="J1568" s="32">
        <v>0</v>
      </c>
      <c r="K1568" s="33">
        <v>90427</v>
      </c>
      <c r="L1568" s="33"/>
      <c r="M1568" s="34"/>
      <c r="N1568" s="209" t="str">
        <f>IFERROR(VLOOKUP(F1568,Back!C:F,4,0),"NO")</f>
        <v>NO</v>
      </c>
      <c r="O1568" s="26">
        <v>25</v>
      </c>
      <c r="P1568" s="28" t="str">
        <f>IFERROR(VLOOKUP(F1568,Back!C:E,3,0),"")</f>
        <v/>
      </c>
      <c r="Q1568" s="28" t="str">
        <f>IFERROR(VLOOKUP(P1568,Back!M:N,2,0),"")</f>
        <v/>
      </c>
      <c r="R1568" s="27" t="str">
        <f>IF(N1568="Si",IFERROR(VLOOKUP(F1568,'TD Cumpl'!B:AB,27,0),"No Aplica"),"No Aplica")</f>
        <v>No Aplica</v>
      </c>
      <c r="S1568" s="38">
        <v>1</v>
      </c>
      <c r="T1568" s="36">
        <v>66207</v>
      </c>
      <c r="U1568" s="26">
        <v>2</v>
      </c>
      <c r="V1568" s="37">
        <v>24220</v>
      </c>
      <c r="W1568" s="19">
        <v>0</v>
      </c>
      <c r="X1568" s="37">
        <v>0</v>
      </c>
      <c r="Y1568" s="46">
        <f t="shared" si="50"/>
        <v>0</v>
      </c>
    </row>
    <row r="1569" spans="1:26" x14ac:dyDescent="0.25">
      <c r="A1569" s="20">
        <f>+VLOOKUP(D1569,Back!Q:R,2,0)</f>
        <v>8</v>
      </c>
      <c r="B1569" s="20" t="str">
        <f t="shared" si="49"/>
        <v>2018 AGO</v>
      </c>
      <c r="C1569" s="30">
        <v>2018</v>
      </c>
      <c r="D1569" s="30" t="s">
        <v>158</v>
      </c>
      <c r="E1569" s="30" t="s">
        <v>276</v>
      </c>
      <c r="F1569" s="30"/>
      <c r="G1569" s="30"/>
      <c r="H1569" s="32">
        <v>5785950</v>
      </c>
      <c r="I1569" s="32">
        <v>0</v>
      </c>
      <c r="J1569" s="32">
        <v>1833257</v>
      </c>
      <c r="K1569" s="33">
        <v>3952693</v>
      </c>
      <c r="L1569" s="33"/>
      <c r="M1569" s="34"/>
      <c r="N1569" s="209" t="str">
        <f>IFERROR(VLOOKUP(F1569,Back!C:F,4,0),"NO")</f>
        <v>NO</v>
      </c>
      <c r="O1569" s="26">
        <v>25</v>
      </c>
      <c r="P1569" s="28" t="str">
        <f>IFERROR(VLOOKUP(F1569,Back!C:E,3,0),"")</f>
        <v/>
      </c>
      <c r="Q1569" s="28" t="str">
        <f>IFERROR(VLOOKUP(P1569,Back!M:N,2,0),"")</f>
        <v/>
      </c>
      <c r="R1569" s="27" t="str">
        <f>IF(N1569="Si",IFERROR(VLOOKUP(F1569,'TD Cumpl'!B:AB,27,0),"No Aplica"),"No Aplica")</f>
        <v>No Aplica</v>
      </c>
      <c r="S1569" s="38">
        <v>10</v>
      </c>
      <c r="T1569" s="36">
        <v>781562</v>
      </c>
      <c r="U1569" s="26">
        <v>20</v>
      </c>
      <c r="V1569" s="37">
        <v>2881930</v>
      </c>
      <c r="W1569" s="19">
        <v>19</v>
      </c>
      <c r="X1569" s="37">
        <v>1833257</v>
      </c>
      <c r="Y1569" s="46">
        <f t="shared" si="50"/>
        <v>289201</v>
      </c>
    </row>
    <row r="1570" spans="1:26" x14ac:dyDescent="0.25">
      <c r="A1570" s="20">
        <f>+VLOOKUP(D1570,Back!Q:R,2,0)</f>
        <v>9</v>
      </c>
      <c r="B1570" s="20" t="str">
        <f t="shared" si="49"/>
        <v>2018 SEP</v>
      </c>
      <c r="C1570" s="30">
        <v>2018</v>
      </c>
      <c r="D1570" s="30" t="s">
        <v>165</v>
      </c>
      <c r="E1570" s="30" t="s">
        <v>3</v>
      </c>
      <c r="F1570" s="30">
        <v>52725011</v>
      </c>
      <c r="G1570" s="30" t="s">
        <v>42</v>
      </c>
      <c r="H1570" s="32">
        <v>33230138</v>
      </c>
      <c r="I1570" s="32">
        <v>1282200</v>
      </c>
      <c r="J1570" s="32">
        <v>6072549</v>
      </c>
      <c r="K1570" s="33">
        <v>25875389</v>
      </c>
      <c r="L1570" s="33">
        <v>25000000</v>
      </c>
      <c r="M1570" s="34">
        <v>1.0350155599999999</v>
      </c>
      <c r="N1570" s="209" t="str">
        <f>IFERROR(VLOOKUP(F1570,Back!C:F,4,0),"NO")</f>
        <v>Si</v>
      </c>
      <c r="O1570" s="26">
        <v>25</v>
      </c>
      <c r="P1570" s="28" t="str">
        <f>IFERROR(VLOOKUP(F1570,Back!C:E,3,0),"")</f>
        <v>IPS Pto De Vista Olaya</v>
      </c>
      <c r="Q1570" s="28" t="str">
        <f>IFERROR(VLOOKUP(P1570,Back!M:N,2,0),"")</f>
        <v>Centro</v>
      </c>
      <c r="R1570" s="27" t="str">
        <f>IF(N1570="Si",IFERROR(VLOOKUP(F1570,'TD Cumpl'!B:AB,27,0),"No Aplica"),"No Aplica")</f>
        <v>Fluctúa</v>
      </c>
      <c r="S1570" s="38">
        <v>83</v>
      </c>
      <c r="T1570" s="36">
        <v>5827171</v>
      </c>
      <c r="U1570" s="26">
        <v>212</v>
      </c>
      <c r="V1570" s="37">
        <v>18948836</v>
      </c>
      <c r="W1570" s="19">
        <v>85</v>
      </c>
      <c r="X1570" s="37">
        <v>6072549</v>
      </c>
      <c r="Y1570" s="46">
        <f t="shared" si="50"/>
        <v>2381582</v>
      </c>
      <c r="Z1570" s="19" t="s">
        <v>318</v>
      </c>
    </row>
    <row r="1571" spans="1:26" x14ac:dyDescent="0.25">
      <c r="A1571" s="20">
        <f>+VLOOKUP(D1571,Back!Q:R,2,0)</f>
        <v>9</v>
      </c>
      <c r="B1571" s="20" t="str">
        <f t="shared" si="49"/>
        <v>2018 SEP</v>
      </c>
      <c r="C1571" s="30">
        <v>2018</v>
      </c>
      <c r="D1571" s="30" t="s">
        <v>165</v>
      </c>
      <c r="E1571" s="30" t="s">
        <v>191</v>
      </c>
      <c r="F1571" s="30">
        <v>1010207310</v>
      </c>
      <c r="G1571" s="30" t="s">
        <v>253</v>
      </c>
      <c r="H1571" s="32">
        <v>34303868</v>
      </c>
      <c r="I1571" s="32">
        <v>486000</v>
      </c>
      <c r="J1571" s="32">
        <v>7773840</v>
      </c>
      <c r="K1571" s="33">
        <v>26044028</v>
      </c>
      <c r="L1571" s="33">
        <v>25000000</v>
      </c>
      <c r="M1571" s="34">
        <v>1.0417611200000001</v>
      </c>
      <c r="N1571" s="209" t="str">
        <f>IFERROR(VLOOKUP(F1571,Back!C:F,4,0),"NO")</f>
        <v>Si</v>
      </c>
      <c r="O1571" s="26">
        <v>25</v>
      </c>
      <c r="P1571" s="28" t="str">
        <f>IFERROR(VLOOKUP(F1571,Back!C:E,3,0),"")</f>
        <v>IPS Pto De Vista Olaya</v>
      </c>
      <c r="Q1571" s="28" t="str">
        <f>IFERROR(VLOOKUP(P1571,Back!M:N,2,0),"")</f>
        <v>Centro</v>
      </c>
      <c r="R1571" s="27" t="str">
        <f>IF(N1571="Si",IFERROR(VLOOKUP(F1571,'TD Cumpl'!B:AB,27,0),"No Aplica"),"No Aplica")</f>
        <v>Cumple</v>
      </c>
      <c r="S1571" s="38">
        <v>76</v>
      </c>
      <c r="T1571" s="36">
        <v>6269008</v>
      </c>
      <c r="U1571" s="26">
        <v>192</v>
      </c>
      <c r="V1571" s="37">
        <v>18207290</v>
      </c>
      <c r="W1571" s="19">
        <v>110</v>
      </c>
      <c r="X1571" s="37">
        <v>7773840</v>
      </c>
      <c r="Y1571" s="46">
        <f t="shared" si="50"/>
        <v>2053730</v>
      </c>
      <c r="Z1571" s="19" t="s">
        <v>318</v>
      </c>
    </row>
    <row r="1572" spans="1:26" x14ac:dyDescent="0.25">
      <c r="A1572" s="20">
        <f>+VLOOKUP(D1572,Back!Q:R,2,0)</f>
        <v>9</v>
      </c>
      <c r="B1572" s="20" t="str">
        <f t="shared" si="49"/>
        <v>2018 SEP</v>
      </c>
      <c r="C1572" s="30">
        <v>2018</v>
      </c>
      <c r="D1572" s="30" t="s">
        <v>165</v>
      </c>
      <c r="E1572" s="30" t="s">
        <v>4</v>
      </c>
      <c r="F1572" s="30">
        <v>79701425</v>
      </c>
      <c r="G1572" s="30" t="s">
        <v>27</v>
      </c>
      <c r="H1572" s="32">
        <v>35927610</v>
      </c>
      <c r="I1572" s="32">
        <v>1337400</v>
      </c>
      <c r="J1572" s="32">
        <v>6496771</v>
      </c>
      <c r="K1572" s="33">
        <v>28093439</v>
      </c>
      <c r="L1572" s="33">
        <v>25000000</v>
      </c>
      <c r="M1572" s="34">
        <v>1.1237375599999999</v>
      </c>
      <c r="N1572" s="209" t="str">
        <f>IFERROR(VLOOKUP(F1572,Back!C:F,4,0),"NO")</f>
        <v>No</v>
      </c>
      <c r="O1572" s="26">
        <v>25</v>
      </c>
      <c r="P1572" s="28" t="str">
        <f>IFERROR(VLOOKUP(F1572,Back!C:E,3,0),"")</f>
        <v>IPS Pto De Vista Olaya</v>
      </c>
      <c r="Q1572" s="28" t="str">
        <f>IFERROR(VLOOKUP(P1572,Back!M:N,2,0),"")</f>
        <v>Centro</v>
      </c>
      <c r="R1572" s="27" t="str">
        <f>IF(N1572="Si",IFERROR(VLOOKUP(F1572,'TD Cumpl'!B:AB,27,0),"No Aplica"),"No Aplica")</f>
        <v>No Aplica</v>
      </c>
      <c r="S1572" s="38">
        <v>84</v>
      </c>
      <c r="T1572" s="36">
        <v>5678232</v>
      </c>
      <c r="U1572" s="26">
        <v>204</v>
      </c>
      <c r="V1572" s="37">
        <v>19641337</v>
      </c>
      <c r="W1572" s="19">
        <v>95</v>
      </c>
      <c r="X1572" s="37">
        <v>6496771</v>
      </c>
      <c r="Y1572" s="46">
        <f t="shared" si="50"/>
        <v>4111270</v>
      </c>
    </row>
    <row r="1573" spans="1:26" x14ac:dyDescent="0.25">
      <c r="A1573" s="20">
        <f>+VLOOKUP(D1573,Back!Q:R,2,0)</f>
        <v>9</v>
      </c>
      <c r="B1573" s="20" t="str">
        <f t="shared" si="49"/>
        <v>2018 SEP</v>
      </c>
      <c r="C1573" s="30">
        <v>2018</v>
      </c>
      <c r="D1573" s="30" t="s">
        <v>165</v>
      </c>
      <c r="E1573" s="30" t="s">
        <v>62</v>
      </c>
      <c r="F1573" s="30">
        <v>32256379</v>
      </c>
      <c r="G1573" s="30" t="s">
        <v>61</v>
      </c>
      <c r="H1573" s="32">
        <v>54507473</v>
      </c>
      <c r="I1573" s="32">
        <v>0</v>
      </c>
      <c r="J1573" s="32">
        <v>6436493</v>
      </c>
      <c r="K1573" s="33">
        <v>48070980</v>
      </c>
      <c r="L1573" s="33">
        <v>44000000</v>
      </c>
      <c r="M1573" s="34">
        <v>1.0925222727272728</v>
      </c>
      <c r="N1573" s="209" t="str">
        <f>IFERROR(VLOOKUP(F1573,Back!C:F,4,0),"NO")</f>
        <v>Si</v>
      </c>
      <c r="O1573" s="26">
        <v>25</v>
      </c>
      <c r="P1573" s="28" t="str">
        <f>IFERROR(VLOOKUP(F1573,Back!C:E,3,0),"")</f>
        <v>Ferias Empresariales Antioquia</v>
      </c>
      <c r="Q1573" s="28" t="str">
        <f>IFERROR(VLOOKUP(P1573,Back!M:N,2,0),"")</f>
        <v>Antioquia</v>
      </c>
      <c r="R1573" s="27" t="str">
        <f>IF(N1573="Si",IFERROR(VLOOKUP(F1573,'TD Cumpl'!B:AB,27,0),"No Aplica"),"No Aplica")</f>
        <v>Fluctúa</v>
      </c>
      <c r="S1573" s="38">
        <v>3</v>
      </c>
      <c r="T1573" s="36">
        <v>214824</v>
      </c>
      <c r="U1573" s="26">
        <v>8</v>
      </c>
      <c r="V1573" s="37">
        <v>803016</v>
      </c>
      <c r="W1573" s="19">
        <v>79</v>
      </c>
      <c r="X1573" s="37">
        <v>6436493</v>
      </c>
      <c r="Y1573" s="46">
        <f t="shared" si="50"/>
        <v>47053140</v>
      </c>
      <c r="Z1573" s="19" t="s">
        <v>318</v>
      </c>
    </row>
    <row r="1574" spans="1:26" x14ac:dyDescent="0.25">
      <c r="A1574" s="20">
        <f>+VLOOKUP(D1574,Back!Q:R,2,0)</f>
        <v>9</v>
      </c>
      <c r="B1574" s="20" t="str">
        <f t="shared" si="49"/>
        <v>2018 SEP</v>
      </c>
      <c r="C1574" s="30">
        <v>2018</v>
      </c>
      <c r="D1574" s="30" t="s">
        <v>165</v>
      </c>
      <c r="E1574" s="30" t="s">
        <v>266</v>
      </c>
      <c r="F1574" s="30">
        <v>1128476466</v>
      </c>
      <c r="G1574" s="30" t="s">
        <v>267</v>
      </c>
      <c r="H1574" s="32">
        <v>24233471</v>
      </c>
      <c r="I1574" s="32">
        <v>0</v>
      </c>
      <c r="J1574" s="32">
        <v>686568</v>
      </c>
      <c r="K1574" s="33">
        <v>23546903</v>
      </c>
      <c r="L1574" s="33">
        <v>14080000</v>
      </c>
      <c r="M1574" s="34">
        <v>1.6723652698863636</v>
      </c>
      <c r="N1574" s="209" t="str">
        <f>IFERROR(VLOOKUP(F1574,Back!C:F,4,0),"NO")</f>
        <v>Si</v>
      </c>
      <c r="O1574" s="26">
        <v>25</v>
      </c>
      <c r="P1574" s="28" t="str">
        <f>IFERROR(VLOOKUP(F1574,Back!C:E,3,0),"")</f>
        <v>IPS Pto De Vista San Diego</v>
      </c>
      <c r="Q1574" s="28" t="str">
        <f>IFERROR(VLOOKUP(P1574,Back!M:N,2,0),"")</f>
        <v>Antioquia</v>
      </c>
      <c r="R1574" s="27" t="str">
        <f>IF(N1574="Si",IFERROR(VLOOKUP(F1574,'TD Cumpl'!B:AB,27,0),"No Aplica"),"No Aplica")</f>
        <v>Fluctúa</v>
      </c>
      <c r="S1574" s="38">
        <v>7</v>
      </c>
      <c r="T1574" s="36">
        <v>485976</v>
      </c>
      <c r="U1574" s="26">
        <v>28</v>
      </c>
      <c r="V1574" s="37">
        <v>2466006</v>
      </c>
      <c r="W1574" s="19">
        <v>6</v>
      </c>
      <c r="X1574" s="37">
        <v>686568</v>
      </c>
      <c r="Y1574" s="46">
        <f t="shared" si="50"/>
        <v>20594921</v>
      </c>
      <c r="Z1574" s="19" t="s">
        <v>318</v>
      </c>
    </row>
    <row r="1575" spans="1:26" x14ac:dyDescent="0.25">
      <c r="A1575" s="20">
        <f>+VLOOKUP(D1575,Back!Q:R,2,0)</f>
        <v>9</v>
      </c>
      <c r="B1575" s="20" t="str">
        <f t="shared" si="49"/>
        <v>2018 SEP</v>
      </c>
      <c r="C1575" s="30">
        <v>2018</v>
      </c>
      <c r="D1575" s="30" t="s">
        <v>165</v>
      </c>
      <c r="E1575" s="30" t="s">
        <v>108</v>
      </c>
      <c r="F1575" s="30">
        <v>1020443426</v>
      </c>
      <c r="G1575" s="30" t="s">
        <v>109</v>
      </c>
      <c r="H1575" s="32">
        <v>43802640</v>
      </c>
      <c r="I1575" s="32">
        <v>2754200</v>
      </c>
      <c r="J1575" s="32">
        <v>8593841</v>
      </c>
      <c r="K1575" s="33">
        <v>32454599</v>
      </c>
      <c r="L1575" s="33">
        <v>29480000</v>
      </c>
      <c r="M1575" s="34">
        <v>1.1009022727272728</v>
      </c>
      <c r="N1575" s="209" t="str">
        <f>IFERROR(VLOOKUP(F1575,Back!C:F,4,0),"NO")</f>
        <v>Si</v>
      </c>
      <c r="O1575" s="26">
        <v>25</v>
      </c>
      <c r="P1575" s="28" t="str">
        <f>IFERROR(VLOOKUP(F1575,Back!C:E,3,0),"")</f>
        <v>IPS Pto De Vista San Diego</v>
      </c>
      <c r="Q1575" s="28" t="str">
        <f>IFERROR(VLOOKUP(P1575,Back!M:N,2,0),"")</f>
        <v>Antioquia</v>
      </c>
      <c r="R1575" s="27" t="str">
        <f>IF(N1575="Si",IFERROR(VLOOKUP(F1575,'TD Cumpl'!B:AB,27,0),"No Aplica"),"No Aplica")</f>
        <v>Fluctúa</v>
      </c>
      <c r="S1575" s="38">
        <v>71</v>
      </c>
      <c r="T1575" s="36">
        <v>7556633</v>
      </c>
      <c r="U1575" s="26">
        <v>164</v>
      </c>
      <c r="V1575" s="37">
        <v>21126564</v>
      </c>
      <c r="W1575" s="19">
        <v>93</v>
      </c>
      <c r="X1575" s="37">
        <v>8593841</v>
      </c>
      <c r="Y1575" s="46">
        <f t="shared" si="50"/>
        <v>6525602</v>
      </c>
      <c r="Z1575" s="19" t="s">
        <v>318</v>
      </c>
    </row>
    <row r="1576" spans="1:26" x14ac:dyDescent="0.25">
      <c r="A1576" s="20">
        <f>+VLOOKUP(D1576,Back!Q:R,2,0)</f>
        <v>9</v>
      </c>
      <c r="B1576" s="20" t="str">
        <f t="shared" si="49"/>
        <v>2018 SEP</v>
      </c>
      <c r="C1576" s="30">
        <v>2018</v>
      </c>
      <c r="D1576" s="30" t="s">
        <v>165</v>
      </c>
      <c r="E1576" s="30" t="s">
        <v>25</v>
      </c>
      <c r="F1576" s="30">
        <v>1040030764</v>
      </c>
      <c r="G1576" s="30" t="s">
        <v>43</v>
      </c>
      <c r="H1576" s="32">
        <v>52141747</v>
      </c>
      <c r="I1576" s="32">
        <v>5288350</v>
      </c>
      <c r="J1576" s="32">
        <v>10813616</v>
      </c>
      <c r="K1576" s="33">
        <v>36039781</v>
      </c>
      <c r="L1576" s="33">
        <v>35000000</v>
      </c>
      <c r="M1576" s="34">
        <v>1.0297080285714286</v>
      </c>
      <c r="N1576" s="209" t="str">
        <f>IFERROR(VLOOKUP(F1576,Back!C:F,4,0),"NO")</f>
        <v>Si</v>
      </c>
      <c r="O1576" s="26">
        <v>25</v>
      </c>
      <c r="P1576" s="28" t="str">
        <f>IFERROR(VLOOKUP(F1576,Back!C:E,3,0),"")</f>
        <v>IPS Pto De Vista Rionegro</v>
      </c>
      <c r="Q1576" s="28" t="str">
        <f>IFERROR(VLOOKUP(P1576,Back!M:N,2,0),"")</f>
        <v>Antioquia</v>
      </c>
      <c r="R1576" s="27" t="str">
        <f>IF(N1576="Si",IFERROR(VLOOKUP(F1576,'TD Cumpl'!B:AB,27,0),"No Aplica"),"No Aplica")</f>
        <v>Cumple</v>
      </c>
      <c r="S1576" s="38">
        <v>75</v>
      </c>
      <c r="T1576" s="36">
        <v>8217296</v>
      </c>
      <c r="U1576" s="26">
        <v>204</v>
      </c>
      <c r="V1576" s="37">
        <v>24013200</v>
      </c>
      <c r="W1576" s="19">
        <v>110</v>
      </c>
      <c r="X1576" s="37">
        <v>10813616</v>
      </c>
      <c r="Y1576" s="46">
        <f t="shared" si="50"/>
        <v>9097635</v>
      </c>
      <c r="Z1576" s="19" t="s">
        <v>318</v>
      </c>
    </row>
    <row r="1577" spans="1:26" x14ac:dyDescent="0.25">
      <c r="A1577" s="20">
        <f>+VLOOKUP(D1577,Back!Q:R,2,0)</f>
        <v>9</v>
      </c>
      <c r="B1577" s="20" t="str">
        <f t="shared" si="49"/>
        <v>2018 SEP</v>
      </c>
      <c r="C1577" s="30">
        <v>2018</v>
      </c>
      <c r="D1577" s="30" t="s">
        <v>165</v>
      </c>
      <c r="E1577" s="30" t="s">
        <v>284</v>
      </c>
      <c r="F1577" s="30">
        <v>1128267208</v>
      </c>
      <c r="G1577" s="30" t="s">
        <v>285</v>
      </c>
      <c r="H1577" s="32">
        <v>9520790</v>
      </c>
      <c r="I1577" s="32">
        <v>468000</v>
      </c>
      <c r="J1577" s="32">
        <v>2697167</v>
      </c>
      <c r="K1577" s="33">
        <v>6355623</v>
      </c>
      <c r="L1577" s="33">
        <v>19600000</v>
      </c>
      <c r="M1577" s="34">
        <v>0.32426647959183674</v>
      </c>
      <c r="N1577" s="209" t="str">
        <f>IFERROR(VLOOKUP(F1577,Back!C:F,4,0),"NO")</f>
        <v>Si</v>
      </c>
      <c r="O1577" s="26">
        <v>25</v>
      </c>
      <c r="P1577" s="28" t="str">
        <f>IFERROR(VLOOKUP(F1577,Back!C:E,3,0),"")</f>
        <v>IPS Pto De Vista Rionegro</v>
      </c>
      <c r="Q1577" s="28" t="str">
        <f>IFERROR(VLOOKUP(P1577,Back!M:N,2,0),"")</f>
        <v>Antioquia</v>
      </c>
      <c r="R1577" s="27" t="str">
        <f>IF(N1577="Si",IFERROR(VLOOKUP(F1577,'TD Cumpl'!B:AB,27,0),"No Aplica"),"No Aplica")</f>
        <v>Fluctúa</v>
      </c>
      <c r="S1577" s="38">
        <v>10</v>
      </c>
      <c r="T1577" s="36">
        <v>1049955</v>
      </c>
      <c r="U1577" s="26">
        <v>30</v>
      </c>
      <c r="V1577" s="37">
        <v>4513622</v>
      </c>
      <c r="W1577" s="19">
        <v>25</v>
      </c>
      <c r="X1577" s="37">
        <v>2697167</v>
      </c>
      <c r="Y1577" s="46">
        <f t="shared" si="50"/>
        <v>1260046</v>
      </c>
      <c r="Z1577" s="19" t="s">
        <v>318</v>
      </c>
    </row>
    <row r="1578" spans="1:26" x14ac:dyDescent="0.25">
      <c r="A1578" s="20">
        <f>+VLOOKUP(D1578,Back!Q:R,2,0)</f>
        <v>9</v>
      </c>
      <c r="B1578" s="20" t="str">
        <f t="shared" si="49"/>
        <v>2018 SEP</v>
      </c>
      <c r="C1578" s="30">
        <v>2018</v>
      </c>
      <c r="D1578" s="30" t="s">
        <v>165</v>
      </c>
      <c r="E1578" s="30" t="s">
        <v>24</v>
      </c>
      <c r="F1578" s="30">
        <v>39448823</v>
      </c>
      <c r="G1578" s="30" t="s">
        <v>48</v>
      </c>
      <c r="H1578" s="32">
        <v>57556401</v>
      </c>
      <c r="I1578" s="32">
        <v>3005200</v>
      </c>
      <c r="J1578" s="32">
        <v>11331301</v>
      </c>
      <c r="K1578" s="33">
        <v>43219900</v>
      </c>
      <c r="L1578" s="33">
        <v>35000000</v>
      </c>
      <c r="M1578" s="34">
        <v>1.2348542857142857</v>
      </c>
      <c r="N1578" s="209" t="str">
        <f>IFERROR(VLOOKUP(F1578,Back!C:F,4,0),"NO")</f>
        <v>Si</v>
      </c>
      <c r="O1578" s="26">
        <v>25</v>
      </c>
      <c r="P1578" s="28" t="str">
        <f>IFERROR(VLOOKUP(F1578,Back!C:E,3,0),"")</f>
        <v>IPS Pto De Vista Rionegro</v>
      </c>
      <c r="Q1578" s="28" t="str">
        <f>IFERROR(VLOOKUP(P1578,Back!M:N,2,0),"")</f>
        <v>Antioquia</v>
      </c>
      <c r="R1578" s="27" t="str">
        <f>IF(N1578="Si",IFERROR(VLOOKUP(F1578,'TD Cumpl'!B:AB,27,0),"No Aplica"),"No Aplica")</f>
        <v>Siempre Cumple</v>
      </c>
      <c r="S1578" s="38">
        <v>98</v>
      </c>
      <c r="T1578" s="36">
        <v>11737698</v>
      </c>
      <c r="U1578" s="26">
        <v>231</v>
      </c>
      <c r="V1578" s="37">
        <v>27812114</v>
      </c>
      <c r="W1578" s="19">
        <v>122</v>
      </c>
      <c r="X1578" s="37">
        <v>11331301</v>
      </c>
      <c r="Y1578" s="46">
        <f t="shared" si="50"/>
        <v>6675288</v>
      </c>
      <c r="Z1578" s="19" t="s">
        <v>318</v>
      </c>
    </row>
    <row r="1579" spans="1:26" x14ac:dyDescent="0.25">
      <c r="A1579" s="20">
        <f>+VLOOKUP(D1579,Back!Q:R,2,0)</f>
        <v>9</v>
      </c>
      <c r="B1579" s="20" t="str">
        <f t="shared" si="49"/>
        <v>2018 SEP</v>
      </c>
      <c r="C1579" s="30">
        <v>2018</v>
      </c>
      <c r="D1579" s="30" t="s">
        <v>165</v>
      </c>
      <c r="E1579" s="30" t="s">
        <v>11</v>
      </c>
      <c r="F1579" s="30">
        <v>43253531</v>
      </c>
      <c r="G1579" s="30" t="s">
        <v>39</v>
      </c>
      <c r="H1579" s="32">
        <v>57920854</v>
      </c>
      <c r="I1579" s="32">
        <v>0</v>
      </c>
      <c r="J1579" s="32">
        <v>22106999</v>
      </c>
      <c r="K1579" s="33">
        <v>35813855</v>
      </c>
      <c r="L1579" s="33">
        <v>35000000</v>
      </c>
      <c r="M1579" s="34">
        <v>1.023253</v>
      </c>
      <c r="N1579" s="209" t="str">
        <f>IFERROR(VLOOKUP(F1579,Back!C:F,4,0),"NO")</f>
        <v>Si</v>
      </c>
      <c r="O1579" s="26">
        <v>25</v>
      </c>
      <c r="P1579" s="28" t="str">
        <f>IFERROR(VLOOKUP(F1579,Back!C:E,3,0),"")</f>
        <v>IPS Punto de Vista Bello</v>
      </c>
      <c r="Q1579" s="28" t="str">
        <f>IFERROR(VLOOKUP(P1579,Back!M:N,2,0),"")</f>
        <v>Antioquia</v>
      </c>
      <c r="R1579" s="27" t="str">
        <f>IF(N1579="Si",IFERROR(VLOOKUP(F1579,'TD Cumpl'!B:AB,27,0),"No Aplica"),"No Aplica")</f>
        <v>Cumple</v>
      </c>
      <c r="S1579" s="38">
        <v>72</v>
      </c>
      <c r="T1579" s="36">
        <v>8192989</v>
      </c>
      <c r="U1579" s="26">
        <v>170</v>
      </c>
      <c r="V1579" s="37">
        <v>23091579</v>
      </c>
      <c r="W1579" s="19">
        <v>233</v>
      </c>
      <c r="X1579" s="37">
        <v>22106999</v>
      </c>
      <c r="Y1579" s="46">
        <f t="shared" si="50"/>
        <v>4529287</v>
      </c>
      <c r="Z1579" s="19" t="s">
        <v>318</v>
      </c>
    </row>
    <row r="1580" spans="1:26" x14ac:dyDescent="0.25">
      <c r="A1580" s="20">
        <f>+VLOOKUP(D1580,Back!Q:R,2,0)</f>
        <v>9</v>
      </c>
      <c r="B1580" s="20" t="str">
        <f t="shared" si="49"/>
        <v>2018 SEP</v>
      </c>
      <c r="C1580" s="30">
        <v>2018</v>
      </c>
      <c r="D1580" s="30" t="s">
        <v>165</v>
      </c>
      <c r="E1580" s="30" t="s">
        <v>121</v>
      </c>
      <c r="F1580" s="30">
        <v>21982241</v>
      </c>
      <c r="G1580" s="30" t="s">
        <v>143</v>
      </c>
      <c r="H1580" s="32">
        <v>25994883</v>
      </c>
      <c r="I1580" s="32">
        <v>0</v>
      </c>
      <c r="J1580" s="32">
        <v>46283</v>
      </c>
      <c r="K1580" s="33">
        <v>25948600</v>
      </c>
      <c r="L1580" s="33">
        <v>35000000</v>
      </c>
      <c r="M1580" s="34">
        <v>0.7413885714285714</v>
      </c>
      <c r="N1580" s="209" t="str">
        <f>IFERROR(VLOOKUP(F1580,Back!C:F,4,0),"NO")</f>
        <v>Si</v>
      </c>
      <c r="O1580" s="26">
        <v>25</v>
      </c>
      <c r="P1580" s="28" t="str">
        <f>IFERROR(VLOOKUP(F1580,Back!C:E,3,0),"")</f>
        <v>IPS Punto de Vista Bello</v>
      </c>
      <c r="Q1580" s="28" t="str">
        <f>IFERROR(VLOOKUP(P1580,Back!M:N,2,0),"")</f>
        <v>Antioquia</v>
      </c>
      <c r="R1580" s="27" t="str">
        <f>IF(N1580="Si",IFERROR(VLOOKUP(F1580,'TD Cumpl'!B:AB,27,0),"No Aplica"),"No Aplica")</f>
        <v>Fluctúa</v>
      </c>
      <c r="S1580" s="38">
        <v>56</v>
      </c>
      <c r="T1580" s="36">
        <v>4909682</v>
      </c>
      <c r="U1580" s="26">
        <v>162</v>
      </c>
      <c r="V1580" s="37">
        <v>17832005</v>
      </c>
      <c r="W1580" s="19">
        <v>1</v>
      </c>
      <c r="X1580" s="37">
        <v>46283</v>
      </c>
      <c r="Y1580" s="46">
        <f t="shared" si="50"/>
        <v>3206913</v>
      </c>
      <c r="Z1580" s="19" t="s">
        <v>318</v>
      </c>
    </row>
    <row r="1581" spans="1:26" x14ac:dyDescent="0.25">
      <c r="A1581" s="20">
        <f>+VLOOKUP(D1581,Back!Q:R,2,0)</f>
        <v>9</v>
      </c>
      <c r="B1581" s="20" t="str">
        <f t="shared" si="49"/>
        <v>2018 SEP</v>
      </c>
      <c r="C1581" s="30">
        <v>2018</v>
      </c>
      <c r="D1581" s="30" t="s">
        <v>165</v>
      </c>
      <c r="E1581" s="30" t="s">
        <v>9</v>
      </c>
      <c r="F1581" s="30">
        <v>43169964</v>
      </c>
      <c r="G1581" s="30" t="s">
        <v>155</v>
      </c>
      <c r="H1581" s="32">
        <v>56754592</v>
      </c>
      <c r="I1581" s="32">
        <v>567900</v>
      </c>
      <c r="J1581" s="32">
        <v>11629665</v>
      </c>
      <c r="K1581" s="33">
        <v>44557027</v>
      </c>
      <c r="L1581" s="33">
        <v>44000000</v>
      </c>
      <c r="M1581" s="34">
        <v>1.0126597045454546</v>
      </c>
      <c r="N1581" s="209" t="str">
        <f>IFERROR(VLOOKUP(F1581,Back!C:F,4,0),"NO")</f>
        <v>Si</v>
      </c>
      <c r="O1581" s="26">
        <v>25</v>
      </c>
      <c r="P1581" s="28" t="str">
        <f>IFERROR(VLOOKUP(F1581,Back!C:E,3,0),"")</f>
        <v>IPS Pto De Vista Molinos</v>
      </c>
      <c r="Q1581" s="28" t="str">
        <f>IFERROR(VLOOKUP(P1581,Back!M:N,2,0),"")</f>
        <v>Antioquia</v>
      </c>
      <c r="R1581" s="27" t="str">
        <f>IF(N1581="Si",IFERROR(VLOOKUP(F1581,'TD Cumpl'!B:AB,27,0),"No Aplica"),"No Aplica")</f>
        <v>Cumple</v>
      </c>
      <c r="S1581" s="38">
        <v>117</v>
      </c>
      <c r="T1581" s="36">
        <v>11247818</v>
      </c>
      <c r="U1581" s="26">
        <v>273</v>
      </c>
      <c r="V1581" s="37">
        <v>27804018</v>
      </c>
      <c r="W1581" s="19">
        <v>117</v>
      </c>
      <c r="X1581" s="37">
        <v>11629665</v>
      </c>
      <c r="Y1581" s="46">
        <f t="shared" si="50"/>
        <v>6073091</v>
      </c>
      <c r="Z1581" s="19" t="s">
        <v>318</v>
      </c>
    </row>
    <row r="1582" spans="1:26" x14ac:dyDescent="0.25">
      <c r="A1582" s="20">
        <f>+VLOOKUP(D1582,Back!Q:R,2,0)</f>
        <v>9</v>
      </c>
      <c r="B1582" s="20" t="str">
        <f t="shared" si="49"/>
        <v>2018 SEP</v>
      </c>
      <c r="C1582" s="30">
        <v>2018</v>
      </c>
      <c r="D1582" s="30" t="s">
        <v>165</v>
      </c>
      <c r="E1582" s="30" t="s">
        <v>20</v>
      </c>
      <c r="F1582" s="30">
        <v>1017141451</v>
      </c>
      <c r="G1582" s="30" t="s">
        <v>44</v>
      </c>
      <c r="H1582" s="32">
        <v>35087520</v>
      </c>
      <c r="I1582" s="32">
        <v>1873800</v>
      </c>
      <c r="J1582" s="32">
        <v>8523741</v>
      </c>
      <c r="K1582" s="33">
        <v>24689979</v>
      </c>
      <c r="L1582" s="33">
        <v>19360000</v>
      </c>
      <c r="M1582" s="34">
        <v>1.275308832644628</v>
      </c>
      <c r="N1582" s="209" t="str">
        <f>IFERROR(VLOOKUP(F1582,Back!C:F,4,0),"NO")</f>
        <v>Si</v>
      </c>
      <c r="O1582" s="26">
        <v>25</v>
      </c>
      <c r="P1582" s="28" t="str">
        <f>IFERROR(VLOOKUP(F1582,Back!C:E,3,0),"")</f>
        <v>IPS Pto De Vista Molinos</v>
      </c>
      <c r="Q1582" s="28" t="str">
        <f>IFERROR(VLOOKUP(P1582,Back!M:N,2,0),"")</f>
        <v>Antioquia</v>
      </c>
      <c r="R1582" s="27" t="str">
        <f>IF(N1582="Si",IFERROR(VLOOKUP(F1582,'TD Cumpl'!B:AB,27,0),"No Aplica"),"No Aplica")</f>
        <v>Siempre Cumple</v>
      </c>
      <c r="S1582" s="38">
        <v>64</v>
      </c>
      <c r="T1582" s="36">
        <v>6312567</v>
      </c>
      <c r="U1582" s="26">
        <v>156</v>
      </c>
      <c r="V1582" s="37">
        <v>15555596</v>
      </c>
      <c r="W1582" s="19">
        <v>87</v>
      </c>
      <c r="X1582" s="37">
        <v>8523741</v>
      </c>
      <c r="Y1582" s="46">
        <f t="shared" si="50"/>
        <v>4695616</v>
      </c>
      <c r="Z1582" s="19" t="s">
        <v>317</v>
      </c>
    </row>
    <row r="1583" spans="1:26" x14ac:dyDescent="0.25">
      <c r="A1583" s="20">
        <f>+VLOOKUP(D1583,Back!Q:R,2,0)</f>
        <v>9</v>
      </c>
      <c r="B1583" s="20" t="str">
        <f t="shared" si="49"/>
        <v>2018 SEP</v>
      </c>
      <c r="C1583" s="30">
        <v>2018</v>
      </c>
      <c r="D1583" s="30" t="s">
        <v>165</v>
      </c>
      <c r="E1583" s="30" t="s">
        <v>276</v>
      </c>
      <c r="F1583" s="30">
        <v>1035224144</v>
      </c>
      <c r="G1583" s="30" t="s">
        <v>286</v>
      </c>
      <c r="H1583" s="32">
        <v>29259683</v>
      </c>
      <c r="I1583" s="32">
        <v>783900</v>
      </c>
      <c r="J1583" s="32">
        <v>7060748</v>
      </c>
      <c r="K1583" s="33">
        <v>21415035</v>
      </c>
      <c r="L1583" s="33">
        <v>44000000</v>
      </c>
      <c r="M1583" s="34">
        <v>0.4867053409090909</v>
      </c>
      <c r="N1583" s="209" t="str">
        <f>IFERROR(VLOOKUP(F1583,Back!C:F,4,0),"NO")</f>
        <v>Si</v>
      </c>
      <c r="O1583" s="26">
        <v>25</v>
      </c>
      <c r="P1583" s="28" t="str">
        <f>IFERROR(VLOOKUP(F1583,Back!C:E,3,0),"")</f>
        <v>IPS Punto de Vista Mayorca</v>
      </c>
      <c r="Q1583" s="28" t="str">
        <f>IFERROR(VLOOKUP(P1583,Back!M:N,2,0),"")</f>
        <v>Antioquia</v>
      </c>
      <c r="R1583" s="27" t="str">
        <f>IF(N1583="Si",IFERROR(VLOOKUP(F1583,'TD Cumpl'!B:AB,27,0),"No Aplica"),"No Aplica")</f>
        <v>Cumple</v>
      </c>
      <c r="S1583" s="38">
        <v>60</v>
      </c>
      <c r="T1583" s="36">
        <v>6001003</v>
      </c>
      <c r="U1583" s="26">
        <v>116</v>
      </c>
      <c r="V1583" s="37">
        <v>12250207</v>
      </c>
      <c r="W1583" s="19">
        <v>76</v>
      </c>
      <c r="X1583" s="37">
        <v>7060748</v>
      </c>
      <c r="Y1583" s="46">
        <f t="shared" si="50"/>
        <v>3947725</v>
      </c>
      <c r="Z1583" s="19" t="s">
        <v>318</v>
      </c>
    </row>
    <row r="1584" spans="1:26" x14ac:dyDescent="0.25">
      <c r="A1584" s="20">
        <f>+VLOOKUP(D1584,Back!Q:R,2,0)</f>
        <v>9</v>
      </c>
      <c r="B1584" s="20" t="str">
        <f t="shared" si="49"/>
        <v>2018 SEP</v>
      </c>
      <c r="C1584" s="30">
        <v>2018</v>
      </c>
      <c r="D1584" s="30" t="s">
        <v>165</v>
      </c>
      <c r="E1584" s="30" t="s">
        <v>181</v>
      </c>
      <c r="F1584" s="30">
        <v>32183069</v>
      </c>
      <c r="G1584" s="30" t="s">
        <v>182</v>
      </c>
      <c r="H1584" s="32">
        <v>46920106</v>
      </c>
      <c r="I1584" s="32">
        <v>1260000</v>
      </c>
      <c r="J1584" s="32">
        <v>12362631</v>
      </c>
      <c r="K1584" s="33">
        <v>33297475</v>
      </c>
      <c r="L1584" s="33">
        <v>44000000</v>
      </c>
      <c r="M1584" s="34">
        <v>0.75676079545454544</v>
      </c>
      <c r="N1584" s="209" t="str">
        <f>IFERROR(VLOOKUP(F1584,Back!C:F,4,0),"NO")</f>
        <v>Si</v>
      </c>
      <c r="O1584" s="26">
        <v>25</v>
      </c>
      <c r="P1584" s="28" t="str">
        <f>IFERROR(VLOOKUP(F1584,Back!C:E,3,0),"")</f>
        <v>IPS Pto De Vista Molinos</v>
      </c>
      <c r="Q1584" s="28" t="str">
        <f>IFERROR(VLOOKUP(P1584,Back!M:N,2,0),"")</f>
        <v>Antioquia</v>
      </c>
      <c r="R1584" s="27" t="str">
        <f>IF(N1584="Si",IFERROR(VLOOKUP(F1584,'TD Cumpl'!B:AB,27,0),"No Aplica"),"No Aplica")</f>
        <v>No Cumple</v>
      </c>
      <c r="S1584" s="38">
        <v>91</v>
      </c>
      <c r="T1584" s="36">
        <v>7665569</v>
      </c>
      <c r="U1584" s="26">
        <v>239</v>
      </c>
      <c r="V1584" s="37">
        <v>21979537</v>
      </c>
      <c r="W1584" s="19">
        <v>127</v>
      </c>
      <c r="X1584" s="37">
        <v>12362631</v>
      </c>
      <c r="Y1584" s="46">
        <f t="shared" si="50"/>
        <v>4912369</v>
      </c>
      <c r="Z1584" s="19" t="s">
        <v>318</v>
      </c>
    </row>
    <row r="1585" spans="1:26" x14ac:dyDescent="0.25">
      <c r="A1585" s="20">
        <f>+VLOOKUP(D1585,Back!Q:R,2,0)</f>
        <v>9</v>
      </c>
      <c r="B1585" s="20" t="str">
        <f t="shared" si="49"/>
        <v>2018 SEP</v>
      </c>
      <c r="C1585" s="30">
        <v>2018</v>
      </c>
      <c r="D1585" s="30" t="s">
        <v>165</v>
      </c>
      <c r="E1585" s="30" t="s">
        <v>103</v>
      </c>
      <c r="F1585" s="30">
        <v>1020409789</v>
      </c>
      <c r="G1585" s="30" t="s">
        <v>145</v>
      </c>
      <c r="H1585" s="32">
        <v>61549915</v>
      </c>
      <c r="I1585" s="32">
        <v>1330200</v>
      </c>
      <c r="J1585" s="32">
        <v>13609674</v>
      </c>
      <c r="K1585" s="33">
        <v>46610041</v>
      </c>
      <c r="L1585" s="33">
        <v>44000000</v>
      </c>
      <c r="M1585" s="34">
        <v>1.0593191136363636</v>
      </c>
      <c r="N1585" s="209" t="str">
        <f>IFERROR(VLOOKUP(F1585,Back!C:F,4,0),"NO")</f>
        <v>Si</v>
      </c>
      <c r="O1585" s="26">
        <v>25</v>
      </c>
      <c r="P1585" s="28" t="str">
        <f>IFERROR(VLOOKUP(F1585,Back!C:E,3,0),"")</f>
        <v>IPS Pto De Vista Molinos</v>
      </c>
      <c r="Q1585" s="28" t="str">
        <f>IFERROR(VLOOKUP(P1585,Back!M:N,2,0),"")</f>
        <v>Antioquia</v>
      </c>
      <c r="R1585" s="27" t="str">
        <f>IF(N1585="Si",IFERROR(VLOOKUP(F1585,'TD Cumpl'!B:AB,27,0),"No Aplica"),"No Aplica")</f>
        <v>Cumple</v>
      </c>
      <c r="S1585" s="38">
        <v>118</v>
      </c>
      <c r="T1585" s="36">
        <v>13272340</v>
      </c>
      <c r="U1585" s="26">
        <v>252</v>
      </c>
      <c r="V1585" s="37">
        <v>28538664</v>
      </c>
      <c r="W1585" s="19">
        <v>138</v>
      </c>
      <c r="X1585" s="37">
        <v>13609674</v>
      </c>
      <c r="Y1585" s="46">
        <f t="shared" si="50"/>
        <v>6129237</v>
      </c>
      <c r="Z1585" s="19" t="s">
        <v>318</v>
      </c>
    </row>
    <row r="1586" spans="1:26" x14ac:dyDescent="0.25">
      <c r="A1586" s="20">
        <f>+VLOOKUP(D1586,Back!Q:R,2,0)</f>
        <v>9</v>
      </c>
      <c r="B1586" s="20" t="str">
        <f t="shared" si="49"/>
        <v>2018 SEP</v>
      </c>
      <c r="C1586" s="30">
        <v>2018</v>
      </c>
      <c r="D1586" s="30" t="s">
        <v>165</v>
      </c>
      <c r="E1586" s="30" t="s">
        <v>8</v>
      </c>
      <c r="F1586" s="30">
        <v>43259130</v>
      </c>
      <c r="G1586" s="30" t="s">
        <v>51</v>
      </c>
      <c r="H1586" s="32">
        <v>62882162</v>
      </c>
      <c r="I1586" s="32">
        <v>222300</v>
      </c>
      <c r="J1586" s="32">
        <v>15421707</v>
      </c>
      <c r="K1586" s="33">
        <v>47238155</v>
      </c>
      <c r="L1586" s="33">
        <v>44000000</v>
      </c>
      <c r="M1586" s="34">
        <v>1.0735944318181818</v>
      </c>
      <c r="N1586" s="209" t="str">
        <f>IFERROR(VLOOKUP(F1586,Back!C:F,4,0),"NO")</f>
        <v>Si</v>
      </c>
      <c r="O1586" s="26">
        <v>25</v>
      </c>
      <c r="P1586" s="28" t="str">
        <f>IFERROR(VLOOKUP(F1586,Back!C:E,3,0),"")</f>
        <v>IPS Pto De Vista Molinos</v>
      </c>
      <c r="Q1586" s="28" t="str">
        <f>IFERROR(VLOOKUP(P1586,Back!M:N,2,0),"")</f>
        <v>Antioquia</v>
      </c>
      <c r="R1586" s="27" t="str">
        <f>IF(N1586="Si",IFERROR(VLOOKUP(F1586,'TD Cumpl'!B:AB,27,0),"No Aplica"),"No Aplica")</f>
        <v>Fluctúa</v>
      </c>
      <c r="S1586" s="38">
        <v>108</v>
      </c>
      <c r="T1586" s="36">
        <v>12611550</v>
      </c>
      <c r="U1586" s="26">
        <v>260</v>
      </c>
      <c r="V1586" s="37">
        <v>29009224</v>
      </c>
      <c r="W1586" s="19">
        <v>153</v>
      </c>
      <c r="X1586" s="37">
        <v>15421707</v>
      </c>
      <c r="Y1586" s="46">
        <f t="shared" si="50"/>
        <v>5839681</v>
      </c>
      <c r="Z1586" s="19" t="s">
        <v>318</v>
      </c>
    </row>
    <row r="1587" spans="1:26" x14ac:dyDescent="0.25">
      <c r="A1587" s="20">
        <f>+VLOOKUP(D1587,Back!Q:R,2,0)</f>
        <v>9</v>
      </c>
      <c r="B1587" s="20" t="str">
        <f t="shared" si="49"/>
        <v>2018 SEP</v>
      </c>
      <c r="C1587" s="30">
        <v>2018</v>
      </c>
      <c r="D1587" s="30" t="s">
        <v>165</v>
      </c>
      <c r="E1587" s="30" t="s">
        <v>56</v>
      </c>
      <c r="F1587" s="30">
        <v>43971430</v>
      </c>
      <c r="G1587" s="30" t="s">
        <v>142</v>
      </c>
      <c r="H1587" s="32">
        <v>61702216</v>
      </c>
      <c r="I1587" s="32">
        <v>234000</v>
      </c>
      <c r="J1587" s="32">
        <v>17283410</v>
      </c>
      <c r="K1587" s="33">
        <v>44184806</v>
      </c>
      <c r="L1587" s="33">
        <v>42000000</v>
      </c>
      <c r="M1587" s="34">
        <v>1.0520191904761904</v>
      </c>
      <c r="N1587" s="209" t="str">
        <f>IFERROR(VLOOKUP(F1587,Back!C:F,4,0),"NO")</f>
        <v>Si</v>
      </c>
      <c r="O1587" s="26">
        <v>25</v>
      </c>
      <c r="P1587" s="28" t="str">
        <f>IFERROR(VLOOKUP(F1587,Back!C:E,3,0),"")</f>
        <v>IPS Pto De Vista Centro</v>
      </c>
      <c r="Q1587" s="28" t="str">
        <f>IFERROR(VLOOKUP(P1587,Back!M:N,2,0),"")</f>
        <v>Antioquia</v>
      </c>
      <c r="R1587" s="27" t="str">
        <f>IF(N1587="Si",IFERROR(VLOOKUP(F1587,'TD Cumpl'!B:AB,27,0),"No Aplica"),"No Aplica")</f>
        <v>Siempre Cumple</v>
      </c>
      <c r="S1587" s="38">
        <v>108</v>
      </c>
      <c r="T1587" s="36">
        <v>9928172</v>
      </c>
      <c r="U1587" s="26">
        <v>274</v>
      </c>
      <c r="V1587" s="37">
        <v>30460981</v>
      </c>
      <c r="W1587" s="19">
        <v>170</v>
      </c>
      <c r="X1587" s="37">
        <v>17283410</v>
      </c>
      <c r="Y1587" s="46">
        <f t="shared" si="50"/>
        <v>4029653</v>
      </c>
      <c r="Z1587" s="19" t="s">
        <v>318</v>
      </c>
    </row>
    <row r="1588" spans="1:26" x14ac:dyDescent="0.25">
      <c r="A1588" s="20">
        <f>+VLOOKUP(D1588,Back!Q:R,2,0)</f>
        <v>9</v>
      </c>
      <c r="B1588" s="20" t="str">
        <f t="shared" si="49"/>
        <v>2018 SEP</v>
      </c>
      <c r="C1588" s="30">
        <v>2018</v>
      </c>
      <c r="D1588" s="30" t="s">
        <v>165</v>
      </c>
      <c r="E1588" s="30" t="s">
        <v>34</v>
      </c>
      <c r="F1588" s="30">
        <v>43554403</v>
      </c>
      <c r="G1588" s="30" t="s">
        <v>35</v>
      </c>
      <c r="H1588" s="32">
        <v>63786435</v>
      </c>
      <c r="I1588" s="32">
        <v>468000</v>
      </c>
      <c r="J1588" s="32">
        <v>15466183</v>
      </c>
      <c r="K1588" s="33">
        <v>47852252</v>
      </c>
      <c r="L1588" s="33">
        <v>42000000</v>
      </c>
      <c r="M1588" s="34">
        <v>1.1393393333333333</v>
      </c>
      <c r="N1588" s="209" t="str">
        <f>IFERROR(VLOOKUP(F1588,Back!C:F,4,0),"NO")</f>
        <v>Si</v>
      </c>
      <c r="O1588" s="26">
        <v>25</v>
      </c>
      <c r="P1588" s="28" t="str">
        <f>IFERROR(VLOOKUP(F1588,Back!C:E,3,0),"")</f>
        <v>IPS Pto De Vista Centro</v>
      </c>
      <c r="Q1588" s="28" t="str">
        <f>IFERROR(VLOOKUP(P1588,Back!M:N,2,0),"")</f>
        <v>Antioquia</v>
      </c>
      <c r="R1588" s="27" t="str">
        <f>IF(N1588="Si",IFERROR(VLOOKUP(F1588,'TD Cumpl'!B:AB,27,0),"No Aplica"),"No Aplica")</f>
        <v>Siempre Cumple</v>
      </c>
      <c r="S1588" s="38">
        <v>106</v>
      </c>
      <c r="T1588" s="36">
        <v>11768030</v>
      </c>
      <c r="U1588" s="26">
        <v>238</v>
      </c>
      <c r="V1588" s="37">
        <v>28157803</v>
      </c>
      <c r="W1588" s="19">
        <v>159</v>
      </c>
      <c r="X1588" s="37">
        <v>15466183</v>
      </c>
      <c r="Y1588" s="46">
        <f t="shared" si="50"/>
        <v>8394419</v>
      </c>
      <c r="Z1588" s="19" t="s">
        <v>318</v>
      </c>
    </row>
    <row r="1589" spans="1:26" x14ac:dyDescent="0.25">
      <c r="A1589" s="20">
        <f>+VLOOKUP(D1589,Back!Q:R,2,0)</f>
        <v>9</v>
      </c>
      <c r="B1589" s="20" t="str">
        <f t="shared" si="49"/>
        <v>2018 SEP</v>
      </c>
      <c r="C1589" s="30">
        <v>2018</v>
      </c>
      <c r="D1589" s="30" t="s">
        <v>165</v>
      </c>
      <c r="E1589" s="30" t="s">
        <v>101</v>
      </c>
      <c r="F1589" s="30">
        <v>21428423</v>
      </c>
      <c r="G1589" s="30" t="s">
        <v>154</v>
      </c>
      <c r="H1589" s="32">
        <v>33792831</v>
      </c>
      <c r="I1589" s="32">
        <v>567000</v>
      </c>
      <c r="J1589" s="32">
        <v>10607262</v>
      </c>
      <c r="K1589" s="33">
        <v>22618569</v>
      </c>
      <c r="L1589" s="33">
        <v>42000000</v>
      </c>
      <c r="M1589" s="34">
        <v>0.53853735714285711</v>
      </c>
      <c r="N1589" s="209" t="str">
        <f>IFERROR(VLOOKUP(F1589,Back!C:F,4,0),"NO")</f>
        <v>Si</v>
      </c>
      <c r="O1589" s="26">
        <v>25</v>
      </c>
      <c r="P1589" s="28" t="str">
        <f>IFERROR(VLOOKUP(F1589,Back!C:E,3,0),"")</f>
        <v>IPS Pto De Vista Centro</v>
      </c>
      <c r="Q1589" s="28" t="str">
        <f>IFERROR(VLOOKUP(P1589,Back!M:N,2,0),"")</f>
        <v>Antioquia</v>
      </c>
      <c r="R1589" s="27" t="str">
        <f>IF(N1589="Si",IFERROR(VLOOKUP(F1589,'TD Cumpl'!B:AB,27,0),"No Aplica"),"No Aplica")</f>
        <v>Fluctúa</v>
      </c>
      <c r="S1589" s="38">
        <v>66</v>
      </c>
      <c r="T1589" s="36">
        <v>5641071</v>
      </c>
      <c r="U1589" s="26">
        <v>151</v>
      </c>
      <c r="V1589" s="37">
        <v>13588384</v>
      </c>
      <c r="W1589" s="19">
        <v>110</v>
      </c>
      <c r="X1589" s="37">
        <v>10607262</v>
      </c>
      <c r="Y1589" s="46">
        <f t="shared" si="50"/>
        <v>3956114</v>
      </c>
      <c r="Z1589" s="19" t="s">
        <v>318</v>
      </c>
    </row>
    <row r="1590" spans="1:26" x14ac:dyDescent="0.25">
      <c r="A1590" s="20">
        <f>+VLOOKUP(D1590,Back!Q:R,2,0)</f>
        <v>9</v>
      </c>
      <c r="B1590" s="20" t="str">
        <f t="shared" si="49"/>
        <v>2018 SEP</v>
      </c>
      <c r="C1590" s="30">
        <v>2018</v>
      </c>
      <c r="D1590" s="30" t="s">
        <v>165</v>
      </c>
      <c r="E1590" s="30" t="s">
        <v>13</v>
      </c>
      <c r="F1590" s="30">
        <v>43866877</v>
      </c>
      <c r="G1590" s="30" t="s">
        <v>46</v>
      </c>
      <c r="H1590" s="32">
        <v>59031961</v>
      </c>
      <c r="I1590" s="32">
        <v>1126400</v>
      </c>
      <c r="J1590" s="32">
        <v>13623331</v>
      </c>
      <c r="K1590" s="33">
        <v>44282230</v>
      </c>
      <c r="L1590" s="33">
        <v>42000000</v>
      </c>
      <c r="M1590" s="34">
        <v>1.0543388095238095</v>
      </c>
      <c r="N1590" s="209" t="str">
        <f>IFERROR(VLOOKUP(F1590,Back!C:F,4,0),"NO")</f>
        <v>Si</v>
      </c>
      <c r="O1590" s="26">
        <v>25</v>
      </c>
      <c r="P1590" s="28" t="str">
        <f>IFERROR(VLOOKUP(F1590,Back!C:E,3,0),"")</f>
        <v>IPS Pto De Vista Centro</v>
      </c>
      <c r="Q1590" s="28" t="str">
        <f>IFERROR(VLOOKUP(P1590,Back!M:N,2,0),"")</f>
        <v>Antioquia</v>
      </c>
      <c r="R1590" s="27" t="str">
        <f>IF(N1590="Si",IFERROR(VLOOKUP(F1590,'TD Cumpl'!B:AB,27,0),"No Aplica"),"No Aplica")</f>
        <v>Siempre Cumple</v>
      </c>
      <c r="S1590" s="38">
        <v>92</v>
      </c>
      <c r="T1590" s="36">
        <v>10380748</v>
      </c>
      <c r="U1590" s="26">
        <v>246</v>
      </c>
      <c r="V1590" s="37">
        <v>27756883</v>
      </c>
      <c r="W1590" s="19">
        <v>149</v>
      </c>
      <c r="X1590" s="37">
        <v>13623331</v>
      </c>
      <c r="Y1590" s="46">
        <f t="shared" si="50"/>
        <v>7270999</v>
      </c>
      <c r="Z1590" s="19" t="s">
        <v>318</v>
      </c>
    </row>
    <row r="1591" spans="1:26" x14ac:dyDescent="0.25">
      <c r="A1591" s="20">
        <f>+VLOOKUP(D1591,Back!Q:R,2,0)</f>
        <v>9</v>
      </c>
      <c r="B1591" s="20" t="str">
        <f t="shared" si="49"/>
        <v>2018 SEP</v>
      </c>
      <c r="C1591" s="30">
        <v>2018</v>
      </c>
      <c r="D1591" s="30" t="s">
        <v>165</v>
      </c>
      <c r="E1591" s="30" t="s">
        <v>269</v>
      </c>
      <c r="F1591" s="30">
        <v>1001131473</v>
      </c>
      <c r="G1591" s="30" t="s">
        <v>331</v>
      </c>
      <c r="H1591" s="32">
        <v>44704760</v>
      </c>
      <c r="I1591" s="32">
        <v>0</v>
      </c>
      <c r="J1591" s="32">
        <v>10982267</v>
      </c>
      <c r="K1591" s="33">
        <v>33722493</v>
      </c>
      <c r="L1591" s="33">
        <v>42000000</v>
      </c>
      <c r="M1591" s="34">
        <v>0.80291650000000003</v>
      </c>
      <c r="N1591" s="209" t="str">
        <f>IFERROR(VLOOKUP(F1591,Back!C:F,4,0),"NO")</f>
        <v>Si</v>
      </c>
      <c r="O1591" s="26">
        <v>25</v>
      </c>
      <c r="P1591" s="28" t="str">
        <f>IFERROR(VLOOKUP(F1591,Back!C:E,3,0),"")</f>
        <v>IPS Pto De Vista Centro</v>
      </c>
      <c r="Q1591" s="28" t="str">
        <f>IFERROR(VLOOKUP(P1591,Back!M:N,2,0),"")</f>
        <v>Antioquia</v>
      </c>
      <c r="R1591" s="27" t="str">
        <f>IF(N1591="Si",IFERROR(VLOOKUP(F1591,'TD Cumpl'!B:AB,27,0),"No Aplica"),"No Aplica")</f>
        <v>No Cumple</v>
      </c>
      <c r="S1591" s="38">
        <v>77</v>
      </c>
      <c r="T1591" s="36">
        <v>7334214</v>
      </c>
      <c r="U1591" s="26">
        <v>170</v>
      </c>
      <c r="V1591" s="37">
        <v>20827799</v>
      </c>
      <c r="W1591" s="19">
        <v>107</v>
      </c>
      <c r="X1591" s="37">
        <v>10982267</v>
      </c>
      <c r="Y1591" s="46">
        <f t="shared" si="50"/>
        <v>5560480</v>
      </c>
      <c r="Z1591" s="19" t="s">
        <v>318</v>
      </c>
    </row>
    <row r="1592" spans="1:26" x14ac:dyDescent="0.25">
      <c r="A1592" s="20">
        <f>+VLOOKUP(D1592,Back!Q:R,2,0)</f>
        <v>9</v>
      </c>
      <c r="B1592" s="20" t="str">
        <f t="shared" si="49"/>
        <v>2018 SEP</v>
      </c>
      <c r="C1592" s="30">
        <v>2018</v>
      </c>
      <c r="D1592" s="30" t="s">
        <v>165</v>
      </c>
      <c r="E1592" s="30" t="s">
        <v>265</v>
      </c>
      <c r="F1592" s="30">
        <v>39175639</v>
      </c>
      <c r="G1592" s="30" t="s">
        <v>268</v>
      </c>
      <c r="H1592" s="32">
        <v>54846631</v>
      </c>
      <c r="I1592" s="32">
        <v>923100</v>
      </c>
      <c r="J1592" s="32">
        <v>11701683</v>
      </c>
      <c r="K1592" s="33">
        <v>42221848</v>
      </c>
      <c r="L1592" s="33">
        <v>42000000</v>
      </c>
      <c r="M1592" s="34">
        <v>1.0052820952380952</v>
      </c>
      <c r="N1592" s="209" t="str">
        <f>IFERROR(VLOOKUP(F1592,Back!C:F,4,0),"NO")</f>
        <v>Si</v>
      </c>
      <c r="O1592" s="26">
        <v>25</v>
      </c>
      <c r="P1592" s="28" t="str">
        <f>IFERROR(VLOOKUP(F1592,Back!C:E,3,0),"")</f>
        <v>IPS Pto De Vista Centro</v>
      </c>
      <c r="Q1592" s="28" t="str">
        <f>IFERROR(VLOOKUP(P1592,Back!M:N,2,0),"")</f>
        <v>Antioquia</v>
      </c>
      <c r="R1592" s="27" t="str">
        <f>IF(N1592="Si",IFERROR(VLOOKUP(F1592,'TD Cumpl'!B:AB,27,0),"No Aplica"),"No Aplica")</f>
        <v>Fluctúa</v>
      </c>
      <c r="S1592" s="38">
        <v>86</v>
      </c>
      <c r="T1592" s="36">
        <v>8416958</v>
      </c>
      <c r="U1592" s="26">
        <v>214</v>
      </c>
      <c r="V1592" s="37">
        <v>29517721</v>
      </c>
      <c r="W1592" s="19">
        <v>115</v>
      </c>
      <c r="X1592" s="37">
        <v>11701683</v>
      </c>
      <c r="Y1592" s="46">
        <f t="shared" si="50"/>
        <v>5210269</v>
      </c>
      <c r="Z1592" s="19" t="s">
        <v>318</v>
      </c>
    </row>
    <row r="1593" spans="1:26" x14ac:dyDescent="0.25">
      <c r="A1593" s="20">
        <f>+VLOOKUP(D1593,Back!Q:R,2,0)</f>
        <v>9</v>
      </c>
      <c r="B1593" s="20" t="str">
        <f t="shared" si="49"/>
        <v>2018 SEP</v>
      </c>
      <c r="C1593" s="30">
        <v>2018</v>
      </c>
      <c r="D1593" s="30" t="s">
        <v>165</v>
      </c>
      <c r="E1593" s="30" t="s">
        <v>177</v>
      </c>
      <c r="F1593" s="30">
        <v>1035913369</v>
      </c>
      <c r="G1593" s="30" t="s">
        <v>183</v>
      </c>
      <c r="H1593" s="32">
        <v>53978478</v>
      </c>
      <c r="I1593" s="32">
        <v>2293500</v>
      </c>
      <c r="J1593" s="32">
        <v>9438110</v>
      </c>
      <c r="K1593" s="33">
        <v>42246868</v>
      </c>
      <c r="L1593" s="33">
        <v>42000000</v>
      </c>
      <c r="M1593" s="34">
        <v>1.0058778095238095</v>
      </c>
      <c r="N1593" s="209" t="str">
        <f>IFERROR(VLOOKUP(F1593,Back!C:F,4,0),"NO")</f>
        <v>Si</v>
      </c>
      <c r="O1593" s="26">
        <v>25</v>
      </c>
      <c r="P1593" s="28" t="str">
        <f>IFERROR(VLOOKUP(F1593,Back!C:E,3,0),"")</f>
        <v>IPS Pto De Vista Centro</v>
      </c>
      <c r="Q1593" s="28" t="str">
        <f>IFERROR(VLOOKUP(P1593,Back!M:N,2,0),"")</f>
        <v>Antioquia</v>
      </c>
      <c r="R1593" s="27" t="str">
        <f>IF(N1593="Si",IFERROR(VLOOKUP(F1593,'TD Cumpl'!B:AB,27,0),"No Aplica"),"No Aplica")</f>
        <v>Fluctúa</v>
      </c>
      <c r="S1593" s="38">
        <v>88</v>
      </c>
      <c r="T1593" s="36">
        <v>8102752</v>
      </c>
      <c r="U1593" s="26">
        <v>227</v>
      </c>
      <c r="V1593" s="37">
        <v>29505621</v>
      </c>
      <c r="W1593" s="19">
        <v>108</v>
      </c>
      <c r="X1593" s="37">
        <v>9438110</v>
      </c>
      <c r="Y1593" s="46">
        <f t="shared" si="50"/>
        <v>6931995</v>
      </c>
      <c r="Z1593" s="19" t="s">
        <v>318</v>
      </c>
    </row>
    <row r="1594" spans="1:26" x14ac:dyDescent="0.25">
      <c r="A1594" s="20">
        <f>+VLOOKUP(D1594,Back!Q:R,2,0)</f>
        <v>9</v>
      </c>
      <c r="B1594" s="20" t="str">
        <f t="shared" si="49"/>
        <v>2018 SEP</v>
      </c>
      <c r="C1594" s="30">
        <v>2018</v>
      </c>
      <c r="D1594" s="30" t="s">
        <v>165</v>
      </c>
      <c r="E1594" s="30" t="s">
        <v>23</v>
      </c>
      <c r="F1594" s="30">
        <v>43907427</v>
      </c>
      <c r="G1594" s="30" t="s">
        <v>144</v>
      </c>
      <c r="H1594" s="32">
        <v>69138480</v>
      </c>
      <c r="I1594" s="32">
        <v>765990</v>
      </c>
      <c r="J1594" s="32">
        <v>5905706</v>
      </c>
      <c r="K1594" s="33">
        <v>62466784</v>
      </c>
      <c r="L1594" s="33">
        <v>40000000</v>
      </c>
      <c r="M1594" s="34">
        <v>1.5616696000000001</v>
      </c>
      <c r="N1594" s="209" t="str">
        <f>IFERROR(VLOOKUP(F1594,Back!C:F,4,0),"NO")</f>
        <v>Si</v>
      </c>
      <c r="O1594" s="26">
        <v>25</v>
      </c>
      <c r="P1594" s="28" t="str">
        <f>IFERROR(VLOOKUP(F1594,Back!C:E,3,0),"")</f>
        <v>IPS Pto De Vista Industriales</v>
      </c>
      <c r="Q1594" s="28" t="str">
        <f>IFERROR(VLOOKUP(P1594,Back!M:N,2,0),"")</f>
        <v>Antioquia</v>
      </c>
      <c r="R1594" s="27" t="str">
        <f>IF(N1594="Si",IFERROR(VLOOKUP(F1594,'TD Cumpl'!B:AB,27,0),"No Aplica"),"No Aplica")</f>
        <v>Siempre Cumple</v>
      </c>
      <c r="S1594" s="38">
        <v>73</v>
      </c>
      <c r="T1594" s="36">
        <v>16543237</v>
      </c>
      <c r="U1594" s="26">
        <v>200</v>
      </c>
      <c r="V1594" s="37">
        <v>39713879</v>
      </c>
      <c r="W1594" s="19">
        <v>64</v>
      </c>
      <c r="X1594" s="37">
        <v>5905706</v>
      </c>
      <c r="Y1594" s="46">
        <f t="shared" si="50"/>
        <v>6975658</v>
      </c>
      <c r="Z1594" s="19" t="s">
        <v>318</v>
      </c>
    </row>
    <row r="1595" spans="1:26" x14ac:dyDescent="0.25">
      <c r="A1595" s="20">
        <f>+VLOOKUP(D1595,Back!Q:R,2,0)</f>
        <v>9</v>
      </c>
      <c r="B1595" s="20" t="str">
        <f t="shared" si="49"/>
        <v>2018 SEP</v>
      </c>
      <c r="C1595" s="30">
        <v>2018</v>
      </c>
      <c r="D1595" s="30" t="s">
        <v>165</v>
      </c>
      <c r="E1595" s="30" t="s">
        <v>66</v>
      </c>
      <c r="F1595" s="30">
        <v>3438422</v>
      </c>
      <c r="G1595" s="30" t="s">
        <v>71</v>
      </c>
      <c r="H1595" s="32">
        <v>61592119</v>
      </c>
      <c r="I1595" s="32">
        <v>879200</v>
      </c>
      <c r="J1595" s="32">
        <v>13729218</v>
      </c>
      <c r="K1595" s="33">
        <v>46983701</v>
      </c>
      <c r="L1595" s="33">
        <v>44000000</v>
      </c>
      <c r="M1595" s="34">
        <v>1.0678113863636363</v>
      </c>
      <c r="N1595" s="209" t="str">
        <f>IFERROR(VLOOKUP(F1595,Back!C:F,4,0),"NO")</f>
        <v>Si</v>
      </c>
      <c r="O1595" s="26">
        <v>25</v>
      </c>
      <c r="P1595" s="28" t="str">
        <f>IFERROR(VLOOKUP(F1595,Back!C:E,3,0),"")</f>
        <v>IPS Pto De Vista Punto Clave</v>
      </c>
      <c r="Q1595" s="28" t="str">
        <f>IFERROR(VLOOKUP(P1595,Back!M:N,2,0),"")</f>
        <v>Antioquia</v>
      </c>
      <c r="R1595" s="27" t="str">
        <f>IF(N1595="Si",IFERROR(VLOOKUP(F1595,'TD Cumpl'!B:AB,27,0),"No Aplica"),"No Aplica")</f>
        <v>Fluctúa</v>
      </c>
      <c r="S1595" s="38">
        <v>89</v>
      </c>
      <c r="T1595" s="36">
        <v>9105211</v>
      </c>
      <c r="U1595" s="26">
        <v>211</v>
      </c>
      <c r="V1595" s="37">
        <v>28093025</v>
      </c>
      <c r="W1595" s="19">
        <v>128</v>
      </c>
      <c r="X1595" s="37">
        <v>13729218</v>
      </c>
      <c r="Y1595" s="46">
        <f t="shared" si="50"/>
        <v>10664665</v>
      </c>
      <c r="Z1595" s="19" t="s">
        <v>318</v>
      </c>
    </row>
    <row r="1596" spans="1:26" x14ac:dyDescent="0.25">
      <c r="A1596" s="20">
        <f>+VLOOKUP(D1596,Back!Q:R,2,0)</f>
        <v>9</v>
      </c>
      <c r="B1596" s="20" t="str">
        <f t="shared" si="49"/>
        <v>2018 SEP</v>
      </c>
      <c r="C1596" s="30">
        <v>2018</v>
      </c>
      <c r="D1596" s="30" t="s">
        <v>165</v>
      </c>
      <c r="E1596" s="30" t="s">
        <v>166</v>
      </c>
      <c r="F1596" s="30">
        <v>1020451288</v>
      </c>
      <c r="G1596" s="30" t="s">
        <v>167</v>
      </c>
      <c r="H1596" s="32">
        <v>56524114</v>
      </c>
      <c r="I1596" s="32">
        <v>1468200</v>
      </c>
      <c r="J1596" s="32">
        <v>10313986</v>
      </c>
      <c r="K1596" s="33">
        <v>44741928</v>
      </c>
      <c r="L1596" s="33">
        <v>44000000</v>
      </c>
      <c r="M1596" s="34">
        <v>1.0168619999999999</v>
      </c>
      <c r="N1596" s="209" t="str">
        <f>IFERROR(VLOOKUP(F1596,Back!C:F,4,0),"NO")</f>
        <v>Si</v>
      </c>
      <c r="O1596" s="26">
        <v>25</v>
      </c>
      <c r="P1596" s="28" t="str">
        <f>IFERROR(VLOOKUP(F1596,Back!C:E,3,0),"")</f>
        <v>IPS Pto De Vista Punto Clave</v>
      </c>
      <c r="Q1596" s="28" t="str">
        <f>IFERROR(VLOOKUP(P1596,Back!M:N,2,0),"")</f>
        <v>Antioquia</v>
      </c>
      <c r="R1596" s="27" t="str">
        <f>IF(N1596="Si",IFERROR(VLOOKUP(F1596,'TD Cumpl'!B:AB,27,0),"No Aplica"),"No Aplica")</f>
        <v>Cumple</v>
      </c>
      <c r="S1596" s="38">
        <v>89</v>
      </c>
      <c r="T1596" s="36">
        <v>8438338</v>
      </c>
      <c r="U1596" s="26">
        <v>214</v>
      </c>
      <c r="V1596" s="37">
        <v>29055820</v>
      </c>
      <c r="W1596" s="19">
        <v>104</v>
      </c>
      <c r="X1596" s="37">
        <v>10313986</v>
      </c>
      <c r="Y1596" s="46">
        <f t="shared" si="50"/>
        <v>8715970</v>
      </c>
      <c r="Z1596" s="19" t="s">
        <v>318</v>
      </c>
    </row>
    <row r="1597" spans="1:26" x14ac:dyDescent="0.25">
      <c r="A1597" s="20">
        <f>+VLOOKUP(D1597,Back!Q:R,2,0)</f>
        <v>9</v>
      </c>
      <c r="B1597" s="20" t="str">
        <f t="shared" si="49"/>
        <v>2018 SEP</v>
      </c>
      <c r="C1597" s="30">
        <v>2018</v>
      </c>
      <c r="D1597" s="30" t="s">
        <v>165</v>
      </c>
      <c r="E1597" s="30" t="s">
        <v>92</v>
      </c>
      <c r="F1597" s="30">
        <v>1017167720</v>
      </c>
      <c r="G1597" s="30"/>
      <c r="H1597" s="32">
        <v>3265630</v>
      </c>
      <c r="I1597" s="32">
        <v>0</v>
      </c>
      <c r="J1597" s="32">
        <v>1993327</v>
      </c>
      <c r="K1597" s="33">
        <v>1272303</v>
      </c>
      <c r="L1597" s="33"/>
      <c r="M1597" s="34"/>
      <c r="N1597" s="209" t="str">
        <f>IFERROR(VLOOKUP(F1597,Back!C:F,4,0),"NO")</f>
        <v>Si</v>
      </c>
      <c r="O1597" s="26">
        <v>25</v>
      </c>
      <c r="P1597" s="28" t="str">
        <f>IFERROR(VLOOKUP(F1597,Back!C:E,3,0),"")</f>
        <v>IPS Pto De Vista Punto Clave</v>
      </c>
      <c r="Q1597" s="28" t="str">
        <f>IFERROR(VLOOKUP(P1597,Back!M:N,2,0),"")</f>
        <v>Antioquia</v>
      </c>
      <c r="R1597" s="27" t="str">
        <f>IF(N1597="Si",IFERROR(VLOOKUP(F1597,'TD Cumpl'!B:AB,27,0),"No Aplica"),"No Aplica")</f>
        <v>Cumple</v>
      </c>
      <c r="S1597" s="38">
        <v>3</v>
      </c>
      <c r="T1597" s="36">
        <v>367605</v>
      </c>
      <c r="U1597" s="26">
        <v>8</v>
      </c>
      <c r="V1597" s="37">
        <v>772778</v>
      </c>
      <c r="W1597" s="19">
        <v>19</v>
      </c>
      <c r="X1597" s="37">
        <v>1993327</v>
      </c>
      <c r="Y1597" s="46">
        <f t="shared" si="50"/>
        <v>131920</v>
      </c>
      <c r="Z1597" s="19" t="s">
        <v>318</v>
      </c>
    </row>
    <row r="1598" spans="1:26" x14ac:dyDescent="0.25">
      <c r="A1598" s="20">
        <f>+VLOOKUP(D1598,Back!Q:R,2,0)</f>
        <v>9</v>
      </c>
      <c r="B1598" s="20" t="str">
        <f t="shared" ref="B1598:B1661" si="51">MID(UPPER(C1598&amp;" "&amp;D1598),1,8)</f>
        <v>2018 SEP</v>
      </c>
      <c r="C1598" s="30">
        <v>2018</v>
      </c>
      <c r="D1598" s="30" t="s">
        <v>165</v>
      </c>
      <c r="E1598" s="30" t="s">
        <v>57</v>
      </c>
      <c r="F1598" s="30">
        <v>43874518</v>
      </c>
      <c r="G1598" s="30" t="s">
        <v>60</v>
      </c>
      <c r="H1598" s="32">
        <v>57363222</v>
      </c>
      <c r="I1598" s="32">
        <v>1602000</v>
      </c>
      <c r="J1598" s="32">
        <v>11108927</v>
      </c>
      <c r="K1598" s="33">
        <v>44652295</v>
      </c>
      <c r="L1598" s="33">
        <v>44000000</v>
      </c>
      <c r="M1598" s="34">
        <v>1.0148248863636364</v>
      </c>
      <c r="N1598" s="209" t="str">
        <f>IFERROR(VLOOKUP(F1598,Back!C:F,4,0),"NO")</f>
        <v>Si</v>
      </c>
      <c r="O1598" s="26">
        <v>25</v>
      </c>
      <c r="P1598" s="28" t="str">
        <f>IFERROR(VLOOKUP(F1598,Back!C:E,3,0),"")</f>
        <v>IPS Pto De Vista Punto Clave</v>
      </c>
      <c r="Q1598" s="28" t="str">
        <f>IFERROR(VLOOKUP(P1598,Back!M:N,2,0),"")</f>
        <v>Antioquia</v>
      </c>
      <c r="R1598" s="27" t="str">
        <f>IF(N1598="Si",IFERROR(VLOOKUP(F1598,'TD Cumpl'!B:AB,27,0),"No Aplica"),"No Aplica")</f>
        <v>Fluctúa</v>
      </c>
      <c r="S1598" s="38">
        <v>98</v>
      </c>
      <c r="T1598" s="36">
        <v>9628914</v>
      </c>
      <c r="U1598" s="26">
        <v>256</v>
      </c>
      <c r="V1598" s="37">
        <v>26726648</v>
      </c>
      <c r="W1598" s="19">
        <v>109</v>
      </c>
      <c r="X1598" s="37">
        <v>11108927</v>
      </c>
      <c r="Y1598" s="46">
        <f t="shared" si="50"/>
        <v>9898733</v>
      </c>
      <c r="Z1598" s="19" t="s">
        <v>318</v>
      </c>
    </row>
    <row r="1599" spans="1:26" x14ac:dyDescent="0.25">
      <c r="A1599" s="20">
        <f>+VLOOKUP(D1599,Back!Q:R,2,0)</f>
        <v>9</v>
      </c>
      <c r="B1599" s="20" t="str">
        <f t="shared" si="51"/>
        <v>2018 SEP</v>
      </c>
      <c r="C1599" s="30">
        <v>2018</v>
      </c>
      <c r="D1599" s="30" t="s">
        <v>165</v>
      </c>
      <c r="E1599" s="30" t="s">
        <v>64</v>
      </c>
      <c r="F1599" s="30">
        <v>1036598360</v>
      </c>
      <c r="G1599" s="30" t="s">
        <v>146</v>
      </c>
      <c r="H1599" s="32">
        <v>56137447</v>
      </c>
      <c r="I1599" s="32">
        <v>468000</v>
      </c>
      <c r="J1599" s="32">
        <v>8947172</v>
      </c>
      <c r="K1599" s="33">
        <v>46722275</v>
      </c>
      <c r="L1599" s="33">
        <v>44000000</v>
      </c>
      <c r="M1599" s="34">
        <v>1.0618698863636364</v>
      </c>
      <c r="N1599" s="209" t="str">
        <f>IFERROR(VLOOKUP(F1599,Back!C:F,4,0),"NO")</f>
        <v>Si</v>
      </c>
      <c r="O1599" s="26">
        <v>25</v>
      </c>
      <c r="P1599" s="28" t="str">
        <f>IFERROR(VLOOKUP(F1599,Back!C:E,3,0),"")</f>
        <v>IPS Pto De Vista Punto Clave</v>
      </c>
      <c r="Q1599" s="28" t="str">
        <f>IFERROR(VLOOKUP(P1599,Back!M:N,2,0),"")</f>
        <v>Antioquia</v>
      </c>
      <c r="R1599" s="27" t="str">
        <f>IF(N1599="Si",IFERROR(VLOOKUP(F1599,'TD Cumpl'!B:AB,27,0),"No Aplica"),"No Aplica")</f>
        <v>Fluctúa</v>
      </c>
      <c r="S1599" s="38">
        <v>92</v>
      </c>
      <c r="T1599" s="36">
        <v>10890221</v>
      </c>
      <c r="U1599" s="26">
        <v>212</v>
      </c>
      <c r="V1599" s="37">
        <v>29918432</v>
      </c>
      <c r="W1599" s="19">
        <v>86</v>
      </c>
      <c r="X1599" s="37">
        <v>8947172</v>
      </c>
      <c r="Y1599" s="46">
        <f t="shared" si="50"/>
        <v>6381622</v>
      </c>
      <c r="Z1599" s="19" t="s">
        <v>318</v>
      </c>
    </row>
    <row r="1600" spans="1:26" x14ac:dyDescent="0.25">
      <c r="A1600" s="20">
        <f>+VLOOKUP(D1600,Back!Q:R,2,0)</f>
        <v>9</v>
      </c>
      <c r="B1600" s="20" t="str">
        <f t="shared" si="51"/>
        <v>2018 SEP</v>
      </c>
      <c r="C1600" s="30">
        <v>2018</v>
      </c>
      <c r="D1600" s="30" t="s">
        <v>165</v>
      </c>
      <c r="E1600" s="30" t="s">
        <v>261</v>
      </c>
      <c r="F1600" s="30">
        <v>1020425089</v>
      </c>
      <c r="G1600" s="30" t="s">
        <v>271</v>
      </c>
      <c r="H1600" s="32">
        <v>61613928</v>
      </c>
      <c r="I1600" s="32">
        <v>1396200</v>
      </c>
      <c r="J1600" s="32">
        <v>13908705</v>
      </c>
      <c r="K1600" s="33">
        <v>46309023</v>
      </c>
      <c r="L1600" s="33">
        <v>44000000</v>
      </c>
      <c r="M1600" s="34">
        <v>1.0524777954545455</v>
      </c>
      <c r="N1600" s="209" t="str">
        <f>IFERROR(VLOOKUP(F1600,Back!C:F,4,0),"NO")</f>
        <v>Si</v>
      </c>
      <c r="O1600" s="26">
        <v>25</v>
      </c>
      <c r="P1600" s="28" t="str">
        <f>IFERROR(VLOOKUP(F1600,Back!C:E,3,0),"")</f>
        <v>IPS Pto De Vista Punto Clave</v>
      </c>
      <c r="Q1600" s="28" t="str">
        <f>IFERROR(VLOOKUP(P1600,Back!M:N,2,0),"")</f>
        <v>Antioquia</v>
      </c>
      <c r="R1600" s="27" t="str">
        <f>IF(N1600="Si",IFERROR(VLOOKUP(F1600,'TD Cumpl'!B:AB,27,0),"No Aplica"),"No Aplica")</f>
        <v>Cumple</v>
      </c>
      <c r="S1600" s="38">
        <v>118</v>
      </c>
      <c r="T1600" s="36">
        <v>11164204</v>
      </c>
      <c r="U1600" s="26">
        <v>276</v>
      </c>
      <c r="V1600" s="37">
        <v>29269565</v>
      </c>
      <c r="W1600" s="19">
        <v>137</v>
      </c>
      <c r="X1600" s="37">
        <v>13908705</v>
      </c>
      <c r="Y1600" s="46">
        <f t="shared" si="50"/>
        <v>7271454</v>
      </c>
      <c r="Z1600" s="19" t="s">
        <v>318</v>
      </c>
    </row>
    <row r="1601" spans="1:26" x14ac:dyDescent="0.25">
      <c r="A1601" s="20">
        <f>+VLOOKUP(D1601,Back!Q:R,2,0)</f>
        <v>9</v>
      </c>
      <c r="B1601" s="20" t="str">
        <f t="shared" si="51"/>
        <v>2018 SEP</v>
      </c>
      <c r="C1601" s="30">
        <v>2018</v>
      </c>
      <c r="D1601" s="30" t="s">
        <v>165</v>
      </c>
      <c r="E1601" s="30" t="s">
        <v>259</v>
      </c>
      <c r="F1601" s="30">
        <v>1020399898</v>
      </c>
      <c r="G1601" s="30" t="s">
        <v>260</v>
      </c>
      <c r="H1601" s="32">
        <v>34343320</v>
      </c>
      <c r="I1601" s="32">
        <v>2646000</v>
      </c>
      <c r="J1601" s="32">
        <v>8084165</v>
      </c>
      <c r="K1601" s="33">
        <v>23613155</v>
      </c>
      <c r="L1601" s="33">
        <v>40480000</v>
      </c>
      <c r="M1601" s="34">
        <v>0.58332892786561263</v>
      </c>
      <c r="N1601" s="209" t="str">
        <f>IFERROR(VLOOKUP(F1601,Back!C:F,4,0),"NO")</f>
        <v>Si</v>
      </c>
      <c r="O1601" s="26">
        <v>25</v>
      </c>
      <c r="P1601" s="28" t="str">
        <f>IFERROR(VLOOKUP(F1601,Back!C:E,3,0),"")</f>
        <v>IPS Punto de Vista Mayorca</v>
      </c>
      <c r="Q1601" s="28" t="str">
        <f>IFERROR(VLOOKUP(P1601,Back!M:N,2,0),"")</f>
        <v>Antioquia</v>
      </c>
      <c r="R1601" s="27" t="str">
        <f>IF(N1601="Si",IFERROR(VLOOKUP(F1601,'TD Cumpl'!B:AB,27,0),"No Aplica"),"No Aplica")</f>
        <v>Fluctúa</v>
      </c>
      <c r="S1601" s="38">
        <v>53</v>
      </c>
      <c r="T1601" s="36">
        <v>5342527</v>
      </c>
      <c r="U1601" s="26">
        <v>132</v>
      </c>
      <c r="V1601" s="37">
        <v>13202787</v>
      </c>
      <c r="W1601" s="19">
        <v>87</v>
      </c>
      <c r="X1601" s="37">
        <v>8084165</v>
      </c>
      <c r="Y1601" s="46">
        <f t="shared" ref="Y1601:Y1664" si="52">+H1601-X1601-V1601-T1601</f>
        <v>7713841</v>
      </c>
      <c r="Z1601" s="19" t="s">
        <v>318</v>
      </c>
    </row>
    <row r="1602" spans="1:26" x14ac:dyDescent="0.25">
      <c r="A1602" s="20">
        <f>+VLOOKUP(D1602,Back!Q:R,2,0)</f>
        <v>9</v>
      </c>
      <c r="B1602" s="20" t="str">
        <f t="shared" si="51"/>
        <v>2018 SEP</v>
      </c>
      <c r="C1602" s="30">
        <v>2018</v>
      </c>
      <c r="D1602" s="30" t="s">
        <v>165</v>
      </c>
      <c r="E1602" s="30" t="s">
        <v>90</v>
      </c>
      <c r="F1602" s="30">
        <v>1020419011</v>
      </c>
      <c r="G1602" s="30" t="s">
        <v>97</v>
      </c>
      <c r="H1602" s="32">
        <v>58213229</v>
      </c>
      <c r="I1602" s="32">
        <v>162000</v>
      </c>
      <c r="J1602" s="32">
        <v>12688416</v>
      </c>
      <c r="K1602" s="33">
        <v>45362813</v>
      </c>
      <c r="L1602" s="33">
        <v>44000000</v>
      </c>
      <c r="M1602" s="34">
        <v>1.0309730227272726</v>
      </c>
      <c r="N1602" s="209" t="str">
        <f>IFERROR(VLOOKUP(F1602,Back!C:F,4,0),"NO")</f>
        <v>Si</v>
      </c>
      <c r="O1602" s="26">
        <v>25</v>
      </c>
      <c r="P1602" s="28" t="str">
        <f>IFERROR(VLOOKUP(F1602,Back!C:E,3,0),"")</f>
        <v>IPS Pto De Vista Punto Clave</v>
      </c>
      <c r="Q1602" s="28" t="str">
        <f>IFERROR(VLOOKUP(P1602,Back!M:N,2,0),"")</f>
        <v>Antioquia</v>
      </c>
      <c r="R1602" s="27" t="str">
        <f>IF(N1602="Si",IFERROR(VLOOKUP(F1602,'TD Cumpl'!B:AB,27,0),"No Aplica"),"No Aplica")</f>
        <v>Cumple</v>
      </c>
      <c r="S1602" s="38">
        <v>97</v>
      </c>
      <c r="T1602" s="36">
        <v>9383631</v>
      </c>
      <c r="U1602" s="26">
        <v>228</v>
      </c>
      <c r="V1602" s="37">
        <v>25955102</v>
      </c>
      <c r="W1602" s="19">
        <v>122</v>
      </c>
      <c r="X1602" s="37">
        <v>12688416</v>
      </c>
      <c r="Y1602" s="46">
        <f t="shared" si="52"/>
        <v>10186080</v>
      </c>
      <c r="Z1602" s="19" t="s">
        <v>318</v>
      </c>
    </row>
    <row r="1603" spans="1:26" x14ac:dyDescent="0.25">
      <c r="A1603" s="20">
        <f>+VLOOKUP(D1603,Back!Q:R,2,0)</f>
        <v>9</v>
      </c>
      <c r="B1603" s="20" t="str">
        <f t="shared" si="51"/>
        <v>2018 SEP</v>
      </c>
      <c r="C1603" s="30">
        <v>2018</v>
      </c>
      <c r="D1603" s="30" t="s">
        <v>165</v>
      </c>
      <c r="E1603" s="30" t="s">
        <v>117</v>
      </c>
      <c r="F1603" s="30">
        <v>1020419615</v>
      </c>
      <c r="G1603" s="30" t="s">
        <v>118</v>
      </c>
      <c r="H1603" s="32">
        <v>19222963</v>
      </c>
      <c r="I1603" s="32">
        <v>0</v>
      </c>
      <c r="J1603" s="32">
        <v>3547645</v>
      </c>
      <c r="K1603" s="33">
        <v>15675318</v>
      </c>
      <c r="L1603" s="33">
        <v>14080000</v>
      </c>
      <c r="M1603" s="34">
        <v>1.1133038352272728</v>
      </c>
      <c r="N1603" s="209" t="str">
        <f>IFERROR(VLOOKUP(F1603,Back!C:F,4,0),"NO")</f>
        <v>Si</v>
      </c>
      <c r="O1603" s="26">
        <v>25</v>
      </c>
      <c r="P1603" s="28" t="str">
        <f>IFERROR(VLOOKUP(F1603,Back!C:E,3,0),"")</f>
        <v>IPS Pto De Vista Punto Clave</v>
      </c>
      <c r="Q1603" s="28" t="str">
        <f>IFERROR(VLOOKUP(P1603,Back!M:N,2,0),"")</f>
        <v>Antioquia</v>
      </c>
      <c r="R1603" s="27" t="str">
        <f>IF(N1603="Si",IFERROR(VLOOKUP(F1603,'TD Cumpl'!B:AB,27,0),"No Aplica"),"No Aplica")</f>
        <v>Cumple</v>
      </c>
      <c r="S1603" s="38">
        <v>30</v>
      </c>
      <c r="T1603" s="36">
        <v>2610421</v>
      </c>
      <c r="U1603" s="26">
        <v>80</v>
      </c>
      <c r="V1603" s="37">
        <v>10669086</v>
      </c>
      <c r="W1603" s="19">
        <v>39</v>
      </c>
      <c r="X1603" s="37">
        <v>3547645</v>
      </c>
      <c r="Y1603" s="46">
        <f t="shared" si="52"/>
        <v>2395811</v>
      </c>
      <c r="Z1603" s="19" t="s">
        <v>317</v>
      </c>
    </row>
    <row r="1604" spans="1:26" x14ac:dyDescent="0.25">
      <c r="A1604" s="20">
        <f>+VLOOKUP(D1604,Back!Q:R,2,0)</f>
        <v>9</v>
      </c>
      <c r="B1604" s="20" t="str">
        <f t="shared" si="51"/>
        <v>2018 SEP</v>
      </c>
      <c r="C1604" s="30">
        <v>2018</v>
      </c>
      <c r="D1604" s="30" t="s">
        <v>165</v>
      </c>
      <c r="E1604" s="30" t="s">
        <v>6</v>
      </c>
      <c r="F1604" s="30">
        <v>43821410</v>
      </c>
      <c r="G1604" s="30" t="s">
        <v>40</v>
      </c>
      <c r="H1604" s="32">
        <v>80423643</v>
      </c>
      <c r="I1604" s="32">
        <v>1404000</v>
      </c>
      <c r="J1604" s="32">
        <v>13381081</v>
      </c>
      <c r="K1604" s="33">
        <v>65638562</v>
      </c>
      <c r="L1604" s="33">
        <v>44000000</v>
      </c>
      <c r="M1604" s="34">
        <v>1.4917855</v>
      </c>
      <c r="N1604" s="209" t="str">
        <f>IFERROR(VLOOKUP(F1604,Back!C:F,4,0),"NO")</f>
        <v>Si</v>
      </c>
      <c r="O1604" s="26">
        <v>25</v>
      </c>
      <c r="P1604" s="28" t="str">
        <f>IFERROR(VLOOKUP(F1604,Back!C:E,3,0),"")</f>
        <v>IPS Pto De Vista Unicentro</v>
      </c>
      <c r="Q1604" s="28" t="str">
        <f>IFERROR(VLOOKUP(P1604,Back!M:N,2,0),"")</f>
        <v>Antioquia</v>
      </c>
      <c r="R1604" s="27" t="str">
        <f>IF(N1604="Si",IFERROR(VLOOKUP(F1604,'TD Cumpl'!B:AB,27,0),"No Aplica"),"No Aplica")</f>
        <v>Siempre Cumple</v>
      </c>
      <c r="S1604" s="38">
        <v>131</v>
      </c>
      <c r="T1604" s="36">
        <v>16640829</v>
      </c>
      <c r="U1604" s="26">
        <v>284</v>
      </c>
      <c r="V1604" s="37">
        <v>40689664</v>
      </c>
      <c r="W1604" s="19">
        <v>131</v>
      </c>
      <c r="X1604" s="37">
        <v>13381081</v>
      </c>
      <c r="Y1604" s="46">
        <f t="shared" si="52"/>
        <v>9712069</v>
      </c>
      <c r="Z1604" s="19" t="s">
        <v>318</v>
      </c>
    </row>
    <row r="1605" spans="1:26" x14ac:dyDescent="0.25">
      <c r="A1605" s="20">
        <f>+VLOOKUP(D1605,Back!Q:R,2,0)</f>
        <v>9</v>
      </c>
      <c r="B1605" s="20" t="str">
        <f t="shared" si="51"/>
        <v>2018 SEP</v>
      </c>
      <c r="C1605" s="30">
        <v>2018</v>
      </c>
      <c r="D1605" s="30" t="s">
        <v>165</v>
      </c>
      <c r="E1605" s="30" t="s">
        <v>21</v>
      </c>
      <c r="F1605" s="30">
        <v>1035417626</v>
      </c>
      <c r="G1605" s="30" t="s">
        <v>80</v>
      </c>
      <c r="H1605" s="32">
        <v>66078473</v>
      </c>
      <c r="I1605" s="32">
        <v>1885800</v>
      </c>
      <c r="J1605" s="32">
        <v>13005961</v>
      </c>
      <c r="K1605" s="33">
        <v>51186712</v>
      </c>
      <c r="L1605" s="33">
        <v>44000000</v>
      </c>
      <c r="M1605" s="34">
        <v>1.1633343636363636</v>
      </c>
      <c r="N1605" s="209" t="str">
        <f>IFERROR(VLOOKUP(F1605,Back!C:F,4,0),"NO")</f>
        <v>Si</v>
      </c>
      <c r="O1605" s="26">
        <v>25</v>
      </c>
      <c r="P1605" s="28" t="str">
        <f>IFERROR(VLOOKUP(F1605,Back!C:E,3,0),"")</f>
        <v>IPS Pto De Vista Unicentro</v>
      </c>
      <c r="Q1605" s="28" t="str">
        <f>IFERROR(VLOOKUP(P1605,Back!M:N,2,0),"")</f>
        <v>Antioquia</v>
      </c>
      <c r="R1605" s="27" t="str">
        <f>IF(N1605="Si",IFERROR(VLOOKUP(F1605,'TD Cumpl'!B:AB,27,0),"No Aplica"),"No Aplica")</f>
        <v>Cumple</v>
      </c>
      <c r="S1605" s="38">
        <v>101</v>
      </c>
      <c r="T1605" s="36">
        <v>11726332</v>
      </c>
      <c r="U1605" s="26">
        <v>244</v>
      </c>
      <c r="V1605" s="37">
        <v>34930290</v>
      </c>
      <c r="W1605" s="19">
        <v>141</v>
      </c>
      <c r="X1605" s="37">
        <v>13005961</v>
      </c>
      <c r="Y1605" s="46">
        <f t="shared" si="52"/>
        <v>6415890</v>
      </c>
      <c r="Z1605" s="19" t="s">
        <v>318</v>
      </c>
    </row>
    <row r="1606" spans="1:26" x14ac:dyDescent="0.25">
      <c r="A1606" s="20">
        <f>+VLOOKUP(D1606,Back!Q:R,2,0)</f>
        <v>9</v>
      </c>
      <c r="B1606" s="20" t="str">
        <f t="shared" si="51"/>
        <v>2018 SEP</v>
      </c>
      <c r="C1606" s="30">
        <v>2018</v>
      </c>
      <c r="D1606" s="30" t="s">
        <v>165</v>
      </c>
      <c r="E1606" s="30" t="s">
        <v>7</v>
      </c>
      <c r="F1606" s="30">
        <v>43745952</v>
      </c>
      <c r="G1606" s="30" t="s">
        <v>50</v>
      </c>
      <c r="H1606" s="32">
        <v>88159876</v>
      </c>
      <c r="I1606" s="32">
        <v>1674000</v>
      </c>
      <c r="J1606" s="32">
        <v>18363273</v>
      </c>
      <c r="K1606" s="33">
        <v>68122603</v>
      </c>
      <c r="L1606" s="33">
        <v>44000000</v>
      </c>
      <c r="M1606" s="34">
        <v>1.5482409772727272</v>
      </c>
      <c r="N1606" s="209" t="str">
        <f>IFERROR(VLOOKUP(F1606,Back!C:F,4,0),"NO")</f>
        <v>Si</v>
      </c>
      <c r="O1606" s="26">
        <v>25</v>
      </c>
      <c r="P1606" s="28" t="str">
        <f>IFERROR(VLOOKUP(F1606,Back!C:E,3,0),"")</f>
        <v>IPS Pto De Vista Unicentro</v>
      </c>
      <c r="Q1606" s="28" t="str">
        <f>IFERROR(VLOOKUP(P1606,Back!M:N,2,0),"")</f>
        <v>Antioquia</v>
      </c>
      <c r="R1606" s="27" t="str">
        <f>IF(N1606="Si",IFERROR(VLOOKUP(F1606,'TD Cumpl'!B:AB,27,0),"No Aplica"),"No Aplica")</f>
        <v>Siempre Cumple</v>
      </c>
      <c r="S1606" s="38">
        <v>141</v>
      </c>
      <c r="T1606" s="36">
        <v>14724572</v>
      </c>
      <c r="U1606" s="26">
        <v>326</v>
      </c>
      <c r="V1606" s="37">
        <v>43296207</v>
      </c>
      <c r="W1606" s="19">
        <v>183</v>
      </c>
      <c r="X1606" s="37">
        <v>18363273</v>
      </c>
      <c r="Y1606" s="46">
        <f t="shared" si="52"/>
        <v>11775824</v>
      </c>
      <c r="Z1606" s="19" t="s">
        <v>318</v>
      </c>
    </row>
    <row r="1607" spans="1:26" x14ac:dyDescent="0.25">
      <c r="A1607" s="20">
        <f>+VLOOKUP(D1607,Back!Q:R,2,0)</f>
        <v>9</v>
      </c>
      <c r="B1607" s="20" t="str">
        <f t="shared" si="51"/>
        <v>2018 SEP</v>
      </c>
      <c r="C1607" s="30">
        <v>2018</v>
      </c>
      <c r="D1607" s="30" t="s">
        <v>165</v>
      </c>
      <c r="E1607" s="30" t="s">
        <v>22</v>
      </c>
      <c r="F1607" s="30">
        <v>42164020</v>
      </c>
      <c r="G1607" s="30"/>
      <c r="H1607" s="32">
        <v>681441</v>
      </c>
      <c r="I1607" s="32">
        <v>0</v>
      </c>
      <c r="J1607" s="32">
        <v>0</v>
      </c>
      <c r="K1607" s="33">
        <v>681441</v>
      </c>
      <c r="L1607" s="33"/>
      <c r="M1607" s="34"/>
      <c r="N1607" s="209" t="str">
        <f>IFERROR(VLOOKUP(F1607,Back!C:F,4,0),"NO")</f>
        <v>Si</v>
      </c>
      <c r="O1607" s="26">
        <v>25</v>
      </c>
      <c r="P1607" s="28" t="str">
        <f>IFERROR(VLOOKUP(F1607,Back!C:E,3,0),"")</f>
        <v>IPS Pto De Vista Molinos</v>
      </c>
      <c r="Q1607" s="28" t="str">
        <f>IFERROR(VLOOKUP(P1607,Back!M:N,2,0),"")</f>
        <v>Antioquia</v>
      </c>
      <c r="R1607" s="27" t="str">
        <f>IF(N1607="Si",IFERROR(VLOOKUP(F1607,'TD Cumpl'!B:AB,27,0),"No Aplica"),"No Aplica")</f>
        <v>Siempre Cumple</v>
      </c>
      <c r="S1607" s="38">
        <v>1</v>
      </c>
      <c r="T1607" s="36">
        <v>316891</v>
      </c>
      <c r="U1607" s="26">
        <v>2</v>
      </c>
      <c r="V1607" s="37">
        <v>219949</v>
      </c>
      <c r="W1607" s="19">
        <v>0</v>
      </c>
      <c r="X1607" s="37">
        <v>0</v>
      </c>
      <c r="Y1607" s="46">
        <f t="shared" si="52"/>
        <v>144601</v>
      </c>
    </row>
    <row r="1608" spans="1:26" x14ac:dyDescent="0.25">
      <c r="A1608" s="20">
        <f>+VLOOKUP(D1608,Back!Q:R,2,0)</f>
        <v>9</v>
      </c>
      <c r="B1608" s="20" t="str">
        <f t="shared" si="51"/>
        <v>2018 SEP</v>
      </c>
      <c r="C1608" s="30">
        <v>2018</v>
      </c>
      <c r="D1608" s="30" t="s">
        <v>165</v>
      </c>
      <c r="E1608" s="30" t="s">
        <v>18</v>
      </c>
      <c r="F1608" s="30">
        <v>39442617</v>
      </c>
      <c r="G1608" s="30" t="s">
        <v>41</v>
      </c>
      <c r="H1608" s="32">
        <v>36506871</v>
      </c>
      <c r="I1608" s="32">
        <v>923100</v>
      </c>
      <c r="J1608" s="32">
        <v>8751767</v>
      </c>
      <c r="K1608" s="33">
        <v>26832004</v>
      </c>
      <c r="L1608" s="33">
        <v>36000000</v>
      </c>
      <c r="M1608" s="34">
        <v>0.74533344444444449</v>
      </c>
      <c r="N1608" s="209" t="str">
        <f>IFERROR(VLOOKUP(F1608,Back!C:F,4,0),"NO")</f>
        <v>Si</v>
      </c>
      <c r="O1608" s="26">
        <v>25</v>
      </c>
      <c r="P1608" s="28" t="str">
        <f>IFERROR(VLOOKUP(F1608,Back!C:E,3,0),"")</f>
        <v>IPS Pto De Vista San Diego</v>
      </c>
      <c r="Q1608" s="28" t="str">
        <f>IFERROR(VLOOKUP(P1608,Back!M:N,2,0),"")</f>
        <v>Antioquia</v>
      </c>
      <c r="R1608" s="27" t="str">
        <f>IF(N1608="Si",IFERROR(VLOOKUP(F1608,'TD Cumpl'!B:AB,27,0),"No Aplica"),"No Aplica")</f>
        <v>Cumple</v>
      </c>
      <c r="S1608" s="38">
        <v>59</v>
      </c>
      <c r="T1608" s="36">
        <v>6266642</v>
      </c>
      <c r="U1608" s="26">
        <v>142</v>
      </c>
      <c r="V1608" s="37">
        <v>17731363</v>
      </c>
      <c r="W1608" s="19">
        <v>93</v>
      </c>
      <c r="X1608" s="37">
        <v>8751767</v>
      </c>
      <c r="Y1608" s="46">
        <f t="shared" si="52"/>
        <v>3757099</v>
      </c>
      <c r="Z1608" s="19" t="s">
        <v>318</v>
      </c>
    </row>
    <row r="1609" spans="1:26" x14ac:dyDescent="0.25">
      <c r="A1609" s="20">
        <f>+VLOOKUP(D1609,Back!Q:R,2,0)</f>
        <v>9</v>
      </c>
      <c r="B1609" s="20" t="str">
        <f t="shared" si="51"/>
        <v>2018 SEP</v>
      </c>
      <c r="C1609" s="30">
        <v>2018</v>
      </c>
      <c r="D1609" s="30" t="s">
        <v>165</v>
      </c>
      <c r="E1609" s="30" t="s">
        <v>81</v>
      </c>
      <c r="F1609" s="30">
        <v>1017200970</v>
      </c>
      <c r="G1609" s="30" t="s">
        <v>82</v>
      </c>
      <c r="H1609" s="32">
        <v>46643188</v>
      </c>
      <c r="I1609" s="32">
        <v>243000</v>
      </c>
      <c r="J1609" s="32">
        <v>8928095</v>
      </c>
      <c r="K1609" s="33">
        <v>37472093</v>
      </c>
      <c r="L1609" s="33">
        <v>36000000</v>
      </c>
      <c r="M1609" s="34">
        <v>1.0408914722222222</v>
      </c>
      <c r="N1609" s="209" t="str">
        <f>IFERROR(VLOOKUP(F1609,Back!C:F,4,0),"NO")</f>
        <v>Si</v>
      </c>
      <c r="O1609" s="26">
        <v>25</v>
      </c>
      <c r="P1609" s="28" t="str">
        <f>IFERROR(VLOOKUP(F1609,Back!C:E,3,0),"")</f>
        <v>IPS Pto De Vista San Diego</v>
      </c>
      <c r="Q1609" s="28" t="str">
        <f>IFERROR(VLOOKUP(P1609,Back!M:N,2,0),"")</f>
        <v>Antioquia</v>
      </c>
      <c r="R1609" s="27" t="str">
        <f>IF(N1609="Si",IFERROR(VLOOKUP(F1609,'TD Cumpl'!B:AB,27,0),"No Aplica"),"No Aplica")</f>
        <v>Cumple</v>
      </c>
      <c r="S1609" s="38">
        <v>72</v>
      </c>
      <c r="T1609" s="36">
        <v>6762542</v>
      </c>
      <c r="U1609" s="26">
        <v>186</v>
      </c>
      <c r="V1609" s="37">
        <v>25645386</v>
      </c>
      <c r="W1609" s="19">
        <v>89</v>
      </c>
      <c r="X1609" s="37">
        <v>8928095</v>
      </c>
      <c r="Y1609" s="46">
        <f t="shared" si="52"/>
        <v>5307165</v>
      </c>
      <c r="Z1609" s="19" t="s">
        <v>318</v>
      </c>
    </row>
    <row r="1610" spans="1:26" x14ac:dyDescent="0.25">
      <c r="A1610" s="20">
        <f>+VLOOKUP(D1610,Back!Q:R,2,0)</f>
        <v>9</v>
      </c>
      <c r="B1610" s="20" t="str">
        <f t="shared" si="51"/>
        <v>2018 SEP</v>
      </c>
      <c r="C1610" s="30">
        <v>2018</v>
      </c>
      <c r="D1610" s="30" t="s">
        <v>165</v>
      </c>
      <c r="E1610" s="30" t="s">
        <v>17</v>
      </c>
      <c r="F1610" s="30">
        <v>43113640</v>
      </c>
      <c r="G1610" s="30" t="s">
        <v>47</v>
      </c>
      <c r="H1610" s="32">
        <v>53279263</v>
      </c>
      <c r="I1610" s="32">
        <v>0</v>
      </c>
      <c r="J1610" s="32">
        <v>10161705</v>
      </c>
      <c r="K1610" s="33">
        <v>43117558</v>
      </c>
      <c r="L1610" s="33">
        <v>36000000</v>
      </c>
      <c r="M1610" s="34">
        <v>1.1977099444444443</v>
      </c>
      <c r="N1610" s="209" t="str">
        <f>IFERROR(VLOOKUP(F1610,Back!C:F,4,0),"NO")</f>
        <v>Si</v>
      </c>
      <c r="O1610" s="26">
        <v>25</v>
      </c>
      <c r="P1610" s="28" t="str">
        <f>IFERROR(VLOOKUP(F1610,Back!C:E,3,0),"")</f>
        <v>IPS Pto De Vista San Diego</v>
      </c>
      <c r="Q1610" s="28" t="str">
        <f>IFERROR(VLOOKUP(P1610,Back!M:N,2,0),"")</f>
        <v>Antioquia</v>
      </c>
      <c r="R1610" s="27" t="str">
        <f>IF(N1610="Si",IFERROR(VLOOKUP(F1610,'TD Cumpl'!B:AB,27,0),"No Aplica"),"No Aplica")</f>
        <v>Cumple</v>
      </c>
      <c r="S1610" s="38">
        <v>79</v>
      </c>
      <c r="T1610" s="36">
        <v>8876959</v>
      </c>
      <c r="U1610" s="26">
        <v>208</v>
      </c>
      <c r="V1610" s="37">
        <v>27408158</v>
      </c>
      <c r="W1610" s="19">
        <v>109</v>
      </c>
      <c r="X1610" s="37">
        <v>10161705</v>
      </c>
      <c r="Y1610" s="46">
        <f t="shared" si="52"/>
        <v>6832441</v>
      </c>
      <c r="Z1610" s="19" t="s">
        <v>318</v>
      </c>
    </row>
    <row r="1611" spans="1:26" x14ac:dyDescent="0.25">
      <c r="A1611" s="20">
        <f>+VLOOKUP(D1611,Back!Q:R,2,0)</f>
        <v>9</v>
      </c>
      <c r="B1611" s="20" t="str">
        <f t="shared" si="51"/>
        <v>2018 SEP</v>
      </c>
      <c r="C1611" s="30">
        <v>2018</v>
      </c>
      <c r="D1611" s="30" t="s">
        <v>165</v>
      </c>
      <c r="E1611" s="30" t="s">
        <v>235</v>
      </c>
      <c r="F1611" s="30">
        <v>39275090</v>
      </c>
      <c r="G1611" s="30" t="s">
        <v>236</v>
      </c>
      <c r="H1611" s="32">
        <v>50286731</v>
      </c>
      <c r="I1611" s="32">
        <v>954000</v>
      </c>
      <c r="J1611" s="32">
        <v>10668786</v>
      </c>
      <c r="K1611" s="33">
        <v>38663945</v>
      </c>
      <c r="L1611" s="33">
        <v>36000000</v>
      </c>
      <c r="M1611" s="34">
        <v>1.0739984722222222</v>
      </c>
      <c r="N1611" s="209" t="str">
        <f>IFERROR(VLOOKUP(F1611,Back!C:F,4,0),"NO")</f>
        <v>Si</v>
      </c>
      <c r="O1611" s="26">
        <v>25</v>
      </c>
      <c r="P1611" s="28" t="str">
        <f>IFERROR(VLOOKUP(F1611,Back!C:E,3,0),"")</f>
        <v>IPS Pto De Vista San Diego</v>
      </c>
      <c r="Q1611" s="28" t="str">
        <f>IFERROR(VLOOKUP(P1611,Back!M:N,2,0),"")</f>
        <v>Antioquia</v>
      </c>
      <c r="R1611" s="27" t="str">
        <f>IF(N1611="Si",IFERROR(VLOOKUP(F1611,'TD Cumpl'!B:AB,27,0),"No Aplica"),"No Aplica")</f>
        <v>Siempre Cumple</v>
      </c>
      <c r="S1611" s="38">
        <v>75</v>
      </c>
      <c r="T1611" s="36">
        <v>8655470</v>
      </c>
      <c r="U1611" s="26">
        <v>167</v>
      </c>
      <c r="V1611" s="37">
        <v>27677609</v>
      </c>
      <c r="W1611" s="19">
        <v>106</v>
      </c>
      <c r="X1611" s="37">
        <v>10668786</v>
      </c>
      <c r="Y1611" s="46">
        <f t="shared" si="52"/>
        <v>3284866</v>
      </c>
      <c r="Z1611" s="19" t="s">
        <v>318</v>
      </c>
    </row>
    <row r="1612" spans="1:26" x14ac:dyDescent="0.25">
      <c r="A1612" s="20">
        <f>+VLOOKUP(D1612,Back!Q:R,2,0)</f>
        <v>9</v>
      </c>
      <c r="B1612" s="20" t="str">
        <f t="shared" si="51"/>
        <v>2018 SEP</v>
      </c>
      <c r="C1612" s="30">
        <v>2018</v>
      </c>
      <c r="D1612" s="30" t="s">
        <v>165</v>
      </c>
      <c r="E1612" s="30" t="s">
        <v>91</v>
      </c>
      <c r="F1612" s="30">
        <v>43114534</v>
      </c>
      <c r="G1612" s="30"/>
      <c r="H1612" s="32">
        <v>1347799</v>
      </c>
      <c r="I1612" s="32">
        <v>0</v>
      </c>
      <c r="J1612" s="32">
        <v>0</v>
      </c>
      <c r="K1612" s="33">
        <v>1347799</v>
      </c>
      <c r="L1612" s="33"/>
      <c r="M1612" s="34"/>
      <c r="N1612" s="209" t="str">
        <f>IFERROR(VLOOKUP(F1612,Back!C:F,4,0),"NO")</f>
        <v>No</v>
      </c>
      <c r="O1612" s="26">
        <v>25</v>
      </c>
      <c r="P1612" s="28" t="str">
        <f>IFERROR(VLOOKUP(F1612,Back!C:E,3,0),"")</f>
        <v>IPS Pto De Vista San Diego</v>
      </c>
      <c r="Q1612" s="28" t="str">
        <f>IFERROR(VLOOKUP(P1612,Back!M:N,2,0),"")</f>
        <v>Antioquia</v>
      </c>
      <c r="R1612" s="27" t="str">
        <f>IF(N1612="Si",IFERROR(VLOOKUP(F1612,'TD Cumpl'!B:AB,27,0),"No Aplica"),"No Aplica")</f>
        <v>No Aplica</v>
      </c>
      <c r="S1612" s="38">
        <v>4</v>
      </c>
      <c r="T1612" s="36">
        <v>417120</v>
      </c>
      <c r="U1612" s="26">
        <v>12</v>
      </c>
      <c r="V1612" s="37">
        <v>546291</v>
      </c>
      <c r="W1612" s="19">
        <v>0</v>
      </c>
      <c r="X1612" s="37">
        <v>0</v>
      </c>
      <c r="Y1612" s="46">
        <f t="shared" si="52"/>
        <v>384388</v>
      </c>
    </row>
    <row r="1613" spans="1:26" x14ac:dyDescent="0.25">
      <c r="A1613" s="20">
        <f>+VLOOKUP(D1613,Back!Q:R,2,0)</f>
        <v>9</v>
      </c>
      <c r="B1613" s="20" t="str">
        <f t="shared" si="51"/>
        <v>2018 SEP</v>
      </c>
      <c r="C1613" s="30">
        <v>2018</v>
      </c>
      <c r="D1613" s="30" t="s">
        <v>165</v>
      </c>
      <c r="E1613" s="30" t="s">
        <v>84</v>
      </c>
      <c r="F1613" s="30">
        <v>1020736461</v>
      </c>
      <c r="G1613" s="30" t="s">
        <v>156</v>
      </c>
      <c r="H1613" s="32">
        <v>60514611</v>
      </c>
      <c r="I1613" s="32">
        <v>1145100</v>
      </c>
      <c r="J1613" s="32">
        <v>9313035</v>
      </c>
      <c r="K1613" s="33">
        <v>50056476</v>
      </c>
      <c r="L1613" s="33">
        <v>28000000</v>
      </c>
      <c r="M1613" s="34">
        <v>1.7877312857142857</v>
      </c>
      <c r="N1613" s="209" t="str">
        <f>IFERROR(VLOOKUP(F1613,Back!C:F,4,0),"NO")</f>
        <v>Si</v>
      </c>
      <c r="O1613" s="26">
        <v>25</v>
      </c>
      <c r="P1613" s="28" t="str">
        <f>IFERROR(VLOOKUP(F1613,Back!C:E,3,0),"")</f>
        <v>IPS Pto De Vista Santa Bárbara</v>
      </c>
      <c r="Q1613" s="28" t="str">
        <f>IFERROR(VLOOKUP(P1613,Back!M:N,2,0),"")</f>
        <v>Centro</v>
      </c>
      <c r="R1613" s="27" t="str">
        <f>IF(N1613="Si",IFERROR(VLOOKUP(F1613,'TD Cumpl'!B:AB,27,0),"No Aplica"),"No Aplica")</f>
        <v>Siempre Cumple</v>
      </c>
      <c r="S1613" s="38">
        <v>85</v>
      </c>
      <c r="T1613" s="36">
        <v>9415128</v>
      </c>
      <c r="U1613" s="26">
        <v>267</v>
      </c>
      <c r="V1613" s="37">
        <v>37886876</v>
      </c>
      <c r="W1613" s="19">
        <v>117</v>
      </c>
      <c r="X1613" s="37">
        <v>9313035</v>
      </c>
      <c r="Y1613" s="46">
        <f t="shared" si="52"/>
        <v>3899572</v>
      </c>
      <c r="Z1613" s="19" t="s">
        <v>318</v>
      </c>
    </row>
    <row r="1614" spans="1:26" x14ac:dyDescent="0.25">
      <c r="A1614" s="20">
        <f>+VLOOKUP(D1614,Back!Q:R,2,0)</f>
        <v>9</v>
      </c>
      <c r="B1614" s="20" t="str">
        <f t="shared" si="51"/>
        <v>2018 SEP</v>
      </c>
      <c r="C1614" s="30">
        <v>2018</v>
      </c>
      <c r="D1614" s="30" t="s">
        <v>165</v>
      </c>
      <c r="E1614" s="30" t="s">
        <v>102</v>
      </c>
      <c r="F1614" s="30">
        <v>79850984</v>
      </c>
      <c r="G1614" s="30" t="s">
        <v>106</v>
      </c>
      <c r="H1614" s="32">
        <v>39036191</v>
      </c>
      <c r="I1614" s="32">
        <v>2333850</v>
      </c>
      <c r="J1614" s="32">
        <v>6247859</v>
      </c>
      <c r="K1614" s="33">
        <v>30454482</v>
      </c>
      <c r="L1614" s="33">
        <v>28000000</v>
      </c>
      <c r="M1614" s="34">
        <v>1.0876600714285714</v>
      </c>
      <c r="N1614" s="209" t="str">
        <f>IFERROR(VLOOKUP(F1614,Back!C:F,4,0),"NO")</f>
        <v>Si</v>
      </c>
      <c r="O1614" s="26">
        <v>25</v>
      </c>
      <c r="P1614" s="28" t="str">
        <f>IFERROR(VLOOKUP(F1614,Back!C:E,3,0),"")</f>
        <v>IPS Pto De Vista SSura Clle100</v>
      </c>
      <c r="Q1614" s="28" t="str">
        <f>IFERROR(VLOOKUP(P1614,Back!M:N,2,0),"")</f>
        <v>Centro</v>
      </c>
      <c r="R1614" s="27" t="str">
        <f>IF(N1614="Si",IFERROR(VLOOKUP(F1614,'TD Cumpl'!B:AB,27,0),"No Aplica"),"No Aplica")</f>
        <v>Fluctúa</v>
      </c>
      <c r="S1614" s="38">
        <v>68</v>
      </c>
      <c r="T1614" s="36">
        <v>6283908</v>
      </c>
      <c r="U1614" s="26">
        <v>194</v>
      </c>
      <c r="V1614" s="37">
        <v>22203044</v>
      </c>
      <c r="W1614" s="19">
        <v>81</v>
      </c>
      <c r="X1614" s="37">
        <v>6247859</v>
      </c>
      <c r="Y1614" s="46">
        <f t="shared" si="52"/>
        <v>4301380</v>
      </c>
      <c r="Z1614" s="19" t="s">
        <v>318</v>
      </c>
    </row>
    <row r="1615" spans="1:26" x14ac:dyDescent="0.25">
      <c r="A1615" s="20">
        <f>+VLOOKUP(D1615,Back!Q:R,2,0)</f>
        <v>9</v>
      </c>
      <c r="B1615" s="20" t="str">
        <f t="shared" si="51"/>
        <v>2018 SEP</v>
      </c>
      <c r="C1615" s="30">
        <v>2018</v>
      </c>
      <c r="D1615" s="30" t="s">
        <v>165</v>
      </c>
      <c r="E1615" s="30" t="s">
        <v>2</v>
      </c>
      <c r="F1615" s="30">
        <v>52260671</v>
      </c>
      <c r="G1615" s="30" t="s">
        <v>26</v>
      </c>
      <c r="H1615" s="32">
        <v>43335247</v>
      </c>
      <c r="I1615" s="32">
        <v>2582400</v>
      </c>
      <c r="J1615" s="32">
        <v>7818770</v>
      </c>
      <c r="K1615" s="33">
        <v>32934077</v>
      </c>
      <c r="L1615" s="33">
        <v>28000000</v>
      </c>
      <c r="M1615" s="34">
        <v>1.1762170357142858</v>
      </c>
      <c r="N1615" s="209" t="str">
        <f>IFERROR(VLOOKUP(F1615,Back!C:F,4,0),"NO")</f>
        <v>Si</v>
      </c>
      <c r="O1615" s="26">
        <v>25</v>
      </c>
      <c r="P1615" s="28" t="str">
        <f>IFERROR(VLOOKUP(F1615,Back!C:E,3,0),"")</f>
        <v>IPS Pto De Vista Santa Bárbara</v>
      </c>
      <c r="Q1615" s="28" t="str">
        <f>IFERROR(VLOOKUP(P1615,Back!M:N,2,0),"")</f>
        <v>Centro</v>
      </c>
      <c r="R1615" s="27" t="str">
        <f>IF(N1615="Si",IFERROR(VLOOKUP(F1615,'TD Cumpl'!B:AB,27,0),"No Aplica"),"No Aplica")</f>
        <v>Siempre Cumple</v>
      </c>
      <c r="S1615" s="38">
        <v>66</v>
      </c>
      <c r="T1615" s="36">
        <v>7180531</v>
      </c>
      <c r="U1615" s="26">
        <v>197</v>
      </c>
      <c r="V1615" s="37">
        <v>22666016</v>
      </c>
      <c r="W1615" s="19">
        <v>104</v>
      </c>
      <c r="X1615" s="37">
        <v>7818770</v>
      </c>
      <c r="Y1615" s="46">
        <f t="shared" si="52"/>
        <v>5669930</v>
      </c>
      <c r="Z1615" s="19" t="s">
        <v>318</v>
      </c>
    </row>
    <row r="1616" spans="1:26" x14ac:dyDescent="0.25">
      <c r="A1616" s="20">
        <f>+VLOOKUP(D1616,Back!Q:R,2,0)</f>
        <v>9</v>
      </c>
      <c r="B1616" s="20" t="str">
        <f t="shared" si="51"/>
        <v>2018 SEP</v>
      </c>
      <c r="C1616" s="30">
        <v>2018</v>
      </c>
      <c r="D1616" s="30" t="s">
        <v>165</v>
      </c>
      <c r="E1616" s="30" t="s">
        <v>38</v>
      </c>
      <c r="F1616" s="30">
        <v>43745192</v>
      </c>
      <c r="G1616" s="30" t="s">
        <v>45</v>
      </c>
      <c r="H1616" s="32">
        <v>39511438</v>
      </c>
      <c r="I1616" s="32">
        <v>0</v>
      </c>
      <c r="J1616" s="32">
        <v>3569771</v>
      </c>
      <c r="K1616" s="33">
        <v>35941667</v>
      </c>
      <c r="L1616" s="33">
        <v>30000000</v>
      </c>
      <c r="M1616" s="34">
        <v>1.1980555666666666</v>
      </c>
      <c r="N1616" s="209" t="str">
        <f>IFERROR(VLOOKUP(F1616,Back!C:F,4,0),"NO")</f>
        <v>Si</v>
      </c>
      <c r="O1616" s="26">
        <v>25</v>
      </c>
      <c r="P1616" s="28" t="str">
        <f>IFERROR(VLOOKUP(F1616,Back!C:E,3,0),"")</f>
        <v>IPS Punto de Vista Mayorca</v>
      </c>
      <c r="Q1616" s="28" t="str">
        <f>IFERROR(VLOOKUP(P1616,Back!M:N,2,0),"")</f>
        <v>Antioquia</v>
      </c>
      <c r="R1616" s="27" t="str">
        <f>IF(N1616="Si",IFERROR(VLOOKUP(F1616,'TD Cumpl'!B:AB,27,0),"No Aplica"),"No Aplica")</f>
        <v>Cumple</v>
      </c>
      <c r="S1616" s="38">
        <v>56</v>
      </c>
      <c r="T1616" s="36">
        <v>10153828</v>
      </c>
      <c r="U1616" s="26">
        <v>179</v>
      </c>
      <c r="V1616" s="37">
        <v>22813419</v>
      </c>
      <c r="W1616" s="19">
        <v>51</v>
      </c>
      <c r="X1616" s="37">
        <v>3569771</v>
      </c>
      <c r="Y1616" s="46">
        <f t="shared" si="52"/>
        <v>2974420</v>
      </c>
      <c r="Z1616" s="19" t="s">
        <v>318</v>
      </c>
    </row>
    <row r="1617" spans="1:26" x14ac:dyDescent="0.25">
      <c r="A1617" s="20">
        <f>+VLOOKUP(D1617,Back!Q:R,2,0)</f>
        <v>9</v>
      </c>
      <c r="B1617" s="20" t="str">
        <f t="shared" si="51"/>
        <v>2018 SEP</v>
      </c>
      <c r="C1617" s="30">
        <v>2018</v>
      </c>
      <c r="D1617" s="30" t="s">
        <v>165</v>
      </c>
      <c r="E1617" s="30" t="s">
        <v>5</v>
      </c>
      <c r="F1617" s="30">
        <v>34542470</v>
      </c>
      <c r="G1617" s="30" t="s">
        <v>28</v>
      </c>
      <c r="H1617" s="32">
        <v>59329892</v>
      </c>
      <c r="I1617" s="32">
        <v>1467720</v>
      </c>
      <c r="J1617" s="32">
        <v>7536559</v>
      </c>
      <c r="K1617" s="33">
        <v>50325613</v>
      </c>
      <c r="L1617" s="33">
        <v>35000000</v>
      </c>
      <c r="M1617" s="34">
        <v>1.4378746571428571</v>
      </c>
      <c r="N1617" s="209" t="str">
        <f>IFERROR(VLOOKUP(F1617,Back!C:F,4,0),"NO")</f>
        <v>Si</v>
      </c>
      <c r="O1617" s="26">
        <v>25</v>
      </c>
      <c r="P1617" s="28" t="str">
        <f>IFERROR(VLOOKUP(F1617,Back!C:E,3,0),"")</f>
        <v>Optica Salud Sura Chipichape</v>
      </c>
      <c r="Q1617" s="28" t="str">
        <f>IFERROR(VLOOKUP(P1617,Back!M:N,2,0),"")</f>
        <v>Occidente</v>
      </c>
      <c r="R1617" s="27" t="str">
        <f>IF(N1617="Si",IFERROR(VLOOKUP(F1617,'TD Cumpl'!B:AB,27,0),"No Aplica"),"No Aplica")</f>
        <v>Siempre Cumple</v>
      </c>
      <c r="S1617" s="38">
        <v>95</v>
      </c>
      <c r="T1617" s="36">
        <v>14664603</v>
      </c>
      <c r="U1617" s="26">
        <v>261</v>
      </c>
      <c r="V1617" s="37">
        <v>32808937</v>
      </c>
      <c r="W1617" s="19">
        <v>79</v>
      </c>
      <c r="X1617" s="37">
        <v>7536559</v>
      </c>
      <c r="Y1617" s="46">
        <f t="shared" si="52"/>
        <v>4319793</v>
      </c>
      <c r="Z1617" s="19" t="s">
        <v>318</v>
      </c>
    </row>
    <row r="1618" spans="1:26" x14ac:dyDescent="0.25">
      <c r="A1618" s="20">
        <f>+VLOOKUP(D1618,Back!Q:R,2,0)</f>
        <v>9</v>
      </c>
      <c r="B1618" s="20" t="str">
        <f t="shared" si="51"/>
        <v>2018 SEP</v>
      </c>
      <c r="C1618" s="30">
        <v>2018</v>
      </c>
      <c r="D1618" s="30" t="s">
        <v>165</v>
      </c>
      <c r="E1618" s="30" t="s">
        <v>258</v>
      </c>
      <c r="F1618" s="30">
        <v>1130676531</v>
      </c>
      <c r="G1618" s="30" t="s">
        <v>262</v>
      </c>
      <c r="H1618" s="32">
        <v>28823486</v>
      </c>
      <c r="I1618" s="32">
        <v>0</v>
      </c>
      <c r="J1618" s="32">
        <v>1685942</v>
      </c>
      <c r="K1618" s="33">
        <v>27137544</v>
      </c>
      <c r="L1618" s="33">
        <v>35518950</v>
      </c>
      <c r="M1618" s="34">
        <v>0.76403001777924173</v>
      </c>
      <c r="N1618" s="209" t="str">
        <f>IFERROR(VLOOKUP(F1618,Back!C:F,4,0),"NO")</f>
        <v>Si</v>
      </c>
      <c r="O1618" s="26">
        <v>25</v>
      </c>
      <c r="P1618" s="28" t="str">
        <f>IFERROR(VLOOKUP(F1618,Back!C:E,3,0),"")</f>
        <v>Punto de Vista Cali Norte</v>
      </c>
      <c r="Q1618" s="28" t="str">
        <f>IFERROR(VLOOKUP(P1618,Back!M:N,2,0),"")</f>
        <v>Occidente</v>
      </c>
      <c r="R1618" s="27" t="str">
        <f>IF(N1618="Si",IFERROR(VLOOKUP(F1618,'TD Cumpl'!B:AB,27,0),"No Aplica"),"No Aplica")</f>
        <v>No Cumple</v>
      </c>
      <c r="S1618" s="38">
        <v>34</v>
      </c>
      <c r="T1618" s="36">
        <v>3483286</v>
      </c>
      <c r="U1618" s="26">
        <v>94</v>
      </c>
      <c r="V1618" s="37">
        <v>10269169</v>
      </c>
      <c r="W1618" s="19">
        <v>22</v>
      </c>
      <c r="X1618" s="37">
        <v>1685942</v>
      </c>
      <c r="Y1618" s="46">
        <f t="shared" si="52"/>
        <v>13385089</v>
      </c>
      <c r="Z1618" s="19" t="s">
        <v>318</v>
      </c>
    </row>
    <row r="1619" spans="1:26" x14ac:dyDescent="0.25">
      <c r="A1619" s="20">
        <f>+VLOOKUP(D1619,Back!Q:R,2,0)</f>
        <v>9</v>
      </c>
      <c r="B1619" s="20" t="str">
        <f t="shared" si="51"/>
        <v>2018 SEP</v>
      </c>
      <c r="C1619" s="30">
        <v>2018</v>
      </c>
      <c r="D1619" s="30" t="s">
        <v>165</v>
      </c>
      <c r="E1619" s="30" t="s">
        <v>249</v>
      </c>
      <c r="F1619" s="30">
        <v>1144061613</v>
      </c>
      <c r="G1619" s="30" t="s">
        <v>256</v>
      </c>
      <c r="H1619" s="32">
        <v>38887810</v>
      </c>
      <c r="I1619" s="32">
        <v>0</v>
      </c>
      <c r="J1619" s="32">
        <v>9163350</v>
      </c>
      <c r="K1619" s="33">
        <v>29724460</v>
      </c>
      <c r="L1619" s="33">
        <v>30000000</v>
      </c>
      <c r="M1619" s="34">
        <v>0.99081533333333338</v>
      </c>
      <c r="N1619" s="209" t="str">
        <f>IFERROR(VLOOKUP(F1619,Back!C:F,4,0),"NO")</f>
        <v>Si</v>
      </c>
      <c r="O1619" s="26">
        <v>25</v>
      </c>
      <c r="P1619" s="28" t="str">
        <f>IFERROR(VLOOKUP(F1619,Back!C:E,3,0),"")</f>
        <v>Punto de Vista Tequendama</v>
      </c>
      <c r="Q1619" s="28" t="str">
        <f>IFERROR(VLOOKUP(P1619,Back!M:N,2,0),"")</f>
        <v>Occidente</v>
      </c>
      <c r="R1619" s="27" t="str">
        <f>IF(N1619="Si",IFERROR(VLOOKUP(F1619,'TD Cumpl'!B:AB,27,0),"No Aplica"),"No Aplica")</f>
        <v>Fluctúa</v>
      </c>
      <c r="S1619" s="38">
        <v>55</v>
      </c>
      <c r="T1619" s="36">
        <v>6898417</v>
      </c>
      <c r="U1619" s="26">
        <v>146</v>
      </c>
      <c r="V1619" s="37">
        <v>20213234</v>
      </c>
      <c r="W1619" s="19">
        <v>102</v>
      </c>
      <c r="X1619" s="37">
        <v>9163350</v>
      </c>
      <c r="Y1619" s="46">
        <f t="shared" si="52"/>
        <v>2612809</v>
      </c>
      <c r="Z1619" s="19" t="s">
        <v>318</v>
      </c>
    </row>
    <row r="1620" spans="1:26" x14ac:dyDescent="0.25">
      <c r="A1620" s="20">
        <f>+VLOOKUP(D1620,Back!Q:R,2,0)</f>
        <v>9</v>
      </c>
      <c r="B1620" s="20" t="str">
        <f t="shared" si="51"/>
        <v>2018 SEP</v>
      </c>
      <c r="C1620" s="30">
        <v>2018</v>
      </c>
      <c r="D1620" s="30" t="s">
        <v>165</v>
      </c>
      <c r="E1620" s="30" t="s">
        <v>275</v>
      </c>
      <c r="F1620" s="30">
        <v>16379021</v>
      </c>
      <c r="G1620" s="30" t="s">
        <v>287</v>
      </c>
      <c r="H1620" s="32">
        <v>28822219</v>
      </c>
      <c r="I1620" s="32">
        <v>221100</v>
      </c>
      <c r="J1620" s="32">
        <v>9054754</v>
      </c>
      <c r="K1620" s="33">
        <v>19546365</v>
      </c>
      <c r="L1620" s="33">
        <v>30000000</v>
      </c>
      <c r="M1620" s="34">
        <v>0.6515455</v>
      </c>
      <c r="N1620" s="209" t="str">
        <f>IFERROR(VLOOKUP(F1620,Back!C:F,4,0),"NO")</f>
        <v>Si</v>
      </c>
      <c r="O1620" s="26">
        <v>25</v>
      </c>
      <c r="P1620" s="28" t="str">
        <f>IFERROR(VLOOKUP(F1620,Back!C:E,3,0),"")</f>
        <v>Punto de Vista Cali Norte</v>
      </c>
      <c r="Q1620" s="28" t="str">
        <f>IFERROR(VLOOKUP(P1620,Back!M:N,2,0),"")</f>
        <v>Occidente</v>
      </c>
      <c r="R1620" s="27" t="str">
        <f>IF(N1620="Si",IFERROR(VLOOKUP(F1620,'TD Cumpl'!B:AB,27,0),"No Aplica"),"No Aplica")</f>
        <v>Fluctúa</v>
      </c>
      <c r="S1620" s="38">
        <v>48</v>
      </c>
      <c r="T1620" s="36">
        <v>5942324</v>
      </c>
      <c r="U1620" s="26">
        <v>142</v>
      </c>
      <c r="V1620" s="37">
        <v>11933768</v>
      </c>
      <c r="W1620" s="19">
        <v>92</v>
      </c>
      <c r="X1620" s="37">
        <v>9054754</v>
      </c>
      <c r="Y1620" s="46">
        <f t="shared" si="52"/>
        <v>1891373</v>
      </c>
      <c r="Z1620" s="19" t="s">
        <v>318</v>
      </c>
    </row>
    <row r="1621" spans="1:26" x14ac:dyDescent="0.25">
      <c r="A1621" s="20">
        <f>+VLOOKUP(D1621,Back!Q:R,2,0)</f>
        <v>9</v>
      </c>
      <c r="B1621" s="20" t="str">
        <f t="shared" si="51"/>
        <v>2018 SEP</v>
      </c>
      <c r="C1621" s="30">
        <v>2018</v>
      </c>
      <c r="D1621" s="30" t="s">
        <v>165</v>
      </c>
      <c r="E1621" s="30" t="s">
        <v>237</v>
      </c>
      <c r="F1621" s="30">
        <v>1151951440</v>
      </c>
      <c r="G1621" s="30" t="s">
        <v>238</v>
      </c>
      <c r="H1621" s="32">
        <v>15162477</v>
      </c>
      <c r="I1621" s="32">
        <v>0</v>
      </c>
      <c r="J1621" s="32">
        <v>4775160</v>
      </c>
      <c r="K1621" s="33">
        <v>10387317</v>
      </c>
      <c r="L1621" s="33">
        <v>30000000</v>
      </c>
      <c r="M1621" s="34">
        <v>0.34624389999999999</v>
      </c>
      <c r="N1621" s="209" t="str">
        <f>IFERROR(VLOOKUP(F1621,Back!C:F,4,0),"NO")</f>
        <v>No</v>
      </c>
      <c r="O1621" s="26">
        <v>25</v>
      </c>
      <c r="P1621" s="28" t="str">
        <f>IFERROR(VLOOKUP(F1621,Back!C:E,3,0),"")</f>
        <v>Punto de Vista Cali Norte</v>
      </c>
      <c r="Q1621" s="28" t="str">
        <f>IFERROR(VLOOKUP(P1621,Back!M:N,2,0),"")</f>
        <v>Occidente</v>
      </c>
      <c r="R1621" s="27" t="str">
        <f>IF(N1621="Si",IFERROR(VLOOKUP(F1621,'TD Cumpl'!B:AB,27,0),"No Aplica"),"No Aplica")</f>
        <v>No Aplica</v>
      </c>
      <c r="S1621" s="38">
        <v>21</v>
      </c>
      <c r="T1621" s="36">
        <v>1883047</v>
      </c>
      <c r="U1621" s="26">
        <v>92</v>
      </c>
      <c r="V1621" s="37">
        <v>7573400</v>
      </c>
      <c r="W1621" s="19">
        <v>54</v>
      </c>
      <c r="X1621" s="37">
        <v>4775160</v>
      </c>
      <c r="Y1621" s="46">
        <f t="shared" si="52"/>
        <v>930870</v>
      </c>
    </row>
    <row r="1622" spans="1:26" x14ac:dyDescent="0.25">
      <c r="A1622" s="20">
        <f>+VLOOKUP(D1622,Back!Q:R,2,0)</f>
        <v>9</v>
      </c>
      <c r="B1622" s="20" t="str">
        <f t="shared" si="51"/>
        <v>2018 SEP</v>
      </c>
      <c r="C1622" s="30">
        <v>2018</v>
      </c>
      <c r="D1622" s="30" t="s">
        <v>165</v>
      </c>
      <c r="E1622" s="30" t="s">
        <v>88</v>
      </c>
      <c r="F1622" s="30">
        <v>31445278</v>
      </c>
      <c r="G1622" s="30" t="s">
        <v>93</v>
      </c>
      <c r="H1622" s="32">
        <v>42030763</v>
      </c>
      <c r="I1622" s="32">
        <v>234000</v>
      </c>
      <c r="J1622" s="32">
        <v>9572220</v>
      </c>
      <c r="K1622" s="33">
        <v>32224543</v>
      </c>
      <c r="L1622" s="33">
        <v>30000000</v>
      </c>
      <c r="M1622" s="34">
        <v>1.0741514333333333</v>
      </c>
      <c r="N1622" s="209" t="str">
        <f>IFERROR(VLOOKUP(F1622,Back!C:F,4,0),"NO")</f>
        <v>Si</v>
      </c>
      <c r="O1622" s="26">
        <v>25</v>
      </c>
      <c r="P1622" s="28" t="str">
        <f>IFERROR(VLOOKUP(F1622,Back!C:E,3,0),"")</f>
        <v>Punto de Vista Tequendama</v>
      </c>
      <c r="Q1622" s="28" t="str">
        <f>IFERROR(VLOOKUP(P1622,Back!M:N,2,0),"")</f>
        <v>Occidente</v>
      </c>
      <c r="R1622" s="27" t="str">
        <f>IF(N1622="Si",IFERROR(VLOOKUP(F1622,'TD Cumpl'!B:AB,27,0),"No Aplica"),"No Aplica")</f>
        <v>Cumple</v>
      </c>
      <c r="S1622" s="38">
        <v>61</v>
      </c>
      <c r="T1622" s="36">
        <v>7628207</v>
      </c>
      <c r="U1622" s="26">
        <v>178</v>
      </c>
      <c r="V1622" s="37">
        <v>22064019</v>
      </c>
      <c r="W1622" s="19">
        <v>102</v>
      </c>
      <c r="X1622" s="37">
        <v>9572220</v>
      </c>
      <c r="Y1622" s="46">
        <f t="shared" si="52"/>
        <v>2766317</v>
      </c>
      <c r="Z1622" s="19" t="s">
        <v>318</v>
      </c>
    </row>
    <row r="1623" spans="1:26" x14ac:dyDescent="0.25">
      <c r="A1623" s="20">
        <f>+VLOOKUP(D1623,Back!Q:R,2,0)</f>
        <v>9</v>
      </c>
      <c r="B1623" s="20" t="str">
        <f t="shared" si="51"/>
        <v>2018 SEP</v>
      </c>
      <c r="C1623" s="30">
        <v>2018</v>
      </c>
      <c r="D1623" s="30" t="s">
        <v>165</v>
      </c>
      <c r="E1623" s="30" t="s">
        <v>149</v>
      </c>
      <c r="F1623" s="30">
        <v>1130597373</v>
      </c>
      <c r="G1623" s="30" t="s">
        <v>150</v>
      </c>
      <c r="H1623" s="32">
        <v>28319084</v>
      </c>
      <c r="I1623" s="32">
        <v>0</v>
      </c>
      <c r="J1623" s="32">
        <v>7437221</v>
      </c>
      <c r="K1623" s="33">
        <v>20881863</v>
      </c>
      <c r="L1623" s="33">
        <v>19200000</v>
      </c>
      <c r="M1623" s="34">
        <v>1.0875970312500001</v>
      </c>
      <c r="N1623" s="209" t="str">
        <f>IFERROR(VLOOKUP(F1623,Back!C:F,4,0),"NO")</f>
        <v>Si</v>
      </c>
      <c r="O1623" s="26">
        <v>25</v>
      </c>
      <c r="P1623" s="28" t="str">
        <f>IFERROR(VLOOKUP(F1623,Back!C:E,3,0),"")</f>
        <v>Punto de Vista Cali Norte</v>
      </c>
      <c r="Q1623" s="28" t="str">
        <f>IFERROR(VLOOKUP(P1623,Back!M:N,2,0),"")</f>
        <v>Occidente</v>
      </c>
      <c r="R1623" s="27" t="str">
        <f>IF(N1623="Si",IFERROR(VLOOKUP(F1623,'TD Cumpl'!B:AB,27,0),"No Aplica"),"No Aplica")</f>
        <v>Fluctúa</v>
      </c>
      <c r="S1623" s="38">
        <v>40</v>
      </c>
      <c r="T1623" s="36">
        <v>4868712</v>
      </c>
      <c r="U1623" s="26">
        <v>122</v>
      </c>
      <c r="V1623" s="37">
        <v>14018589</v>
      </c>
      <c r="W1623" s="19">
        <v>83</v>
      </c>
      <c r="X1623" s="37">
        <v>7437221</v>
      </c>
      <c r="Y1623" s="46">
        <f t="shared" si="52"/>
        <v>1994562</v>
      </c>
      <c r="Z1623" s="19" t="s">
        <v>317</v>
      </c>
    </row>
    <row r="1624" spans="1:26" x14ac:dyDescent="0.25">
      <c r="A1624" s="20">
        <f>+VLOOKUP(D1624,Back!Q:R,2,0)</f>
        <v>9</v>
      </c>
      <c r="B1624" s="20" t="str">
        <f t="shared" si="51"/>
        <v>2018 SEP</v>
      </c>
      <c r="C1624" s="30">
        <v>2018</v>
      </c>
      <c r="D1624" s="30" t="s">
        <v>165</v>
      </c>
      <c r="E1624" s="30" t="s">
        <v>184</v>
      </c>
      <c r="F1624" s="30"/>
      <c r="G1624" s="30"/>
      <c r="H1624" s="32">
        <v>271310</v>
      </c>
      <c r="I1624" s="32">
        <v>0</v>
      </c>
      <c r="J1624" s="32">
        <v>0</v>
      </c>
      <c r="K1624" s="33">
        <v>271310</v>
      </c>
      <c r="L1624" s="33"/>
      <c r="M1624" s="34"/>
      <c r="N1624" s="209" t="str">
        <f>IFERROR(VLOOKUP(F1624,Back!C:F,4,0),"NO")</f>
        <v>NO</v>
      </c>
      <c r="O1624" s="26">
        <v>25</v>
      </c>
      <c r="P1624" s="28" t="str">
        <f>IFERROR(VLOOKUP(F1624,Back!C:E,3,0),"")</f>
        <v/>
      </c>
      <c r="Q1624" s="28" t="str">
        <f>IFERROR(VLOOKUP(P1624,Back!M:N,2,0),"")</f>
        <v/>
      </c>
      <c r="R1624" s="27" t="str">
        <f>IF(N1624="Si",IFERROR(VLOOKUP(F1624,'TD Cumpl'!B:AB,27,0),"No Aplica"),"No Aplica")</f>
        <v>No Aplica</v>
      </c>
      <c r="S1624" s="38">
        <v>0</v>
      </c>
      <c r="T1624" s="36">
        <v>0</v>
      </c>
      <c r="U1624" s="26">
        <v>2</v>
      </c>
      <c r="V1624" s="37">
        <v>271310</v>
      </c>
      <c r="W1624" s="19">
        <v>0</v>
      </c>
      <c r="X1624" s="37">
        <v>0</v>
      </c>
      <c r="Y1624" s="46">
        <f t="shared" si="52"/>
        <v>0</v>
      </c>
    </row>
    <row r="1625" spans="1:26" x14ac:dyDescent="0.25">
      <c r="A1625" s="20">
        <f>+VLOOKUP(D1625,Back!Q:R,2,0)</f>
        <v>9</v>
      </c>
      <c r="B1625" s="20" t="str">
        <f t="shared" si="51"/>
        <v>2018 SEP</v>
      </c>
      <c r="C1625" s="30">
        <v>2018</v>
      </c>
      <c r="D1625" s="30" t="s">
        <v>165</v>
      </c>
      <c r="E1625" s="30" t="s">
        <v>59</v>
      </c>
      <c r="F1625" s="30"/>
      <c r="G1625" s="30"/>
      <c r="H1625" s="32">
        <v>249130</v>
      </c>
      <c r="I1625" s="32">
        <v>0</v>
      </c>
      <c r="J1625" s="32">
        <v>0</v>
      </c>
      <c r="K1625" s="33">
        <v>249130</v>
      </c>
      <c r="L1625" s="33"/>
      <c r="M1625" s="34"/>
      <c r="N1625" s="209" t="str">
        <f>IFERROR(VLOOKUP(F1625,Back!C:F,4,0),"NO")</f>
        <v>NO</v>
      </c>
      <c r="O1625" s="26">
        <v>25</v>
      </c>
      <c r="P1625" s="28" t="str">
        <f>IFERROR(VLOOKUP(F1625,Back!C:E,3,0),"")</f>
        <v/>
      </c>
      <c r="Q1625" s="28" t="str">
        <f>IFERROR(VLOOKUP(P1625,Back!M:N,2,0),"")</f>
        <v/>
      </c>
      <c r="R1625" s="27" t="str">
        <f>IF(N1625="Si",IFERROR(VLOOKUP(F1625,'TD Cumpl'!B:AB,27,0),"No Aplica"),"No Aplica")</f>
        <v>No Aplica</v>
      </c>
      <c r="S1625" s="38">
        <v>1</v>
      </c>
      <c r="T1625" s="36">
        <v>77000</v>
      </c>
      <c r="U1625" s="26">
        <v>2</v>
      </c>
      <c r="V1625" s="37">
        <v>172130</v>
      </c>
      <c r="W1625" s="19">
        <v>0</v>
      </c>
      <c r="X1625" s="37">
        <v>0</v>
      </c>
      <c r="Y1625" s="46">
        <f t="shared" si="52"/>
        <v>0</v>
      </c>
    </row>
    <row r="1626" spans="1:26" x14ac:dyDescent="0.25">
      <c r="A1626" s="20">
        <f>+VLOOKUP(D1626,Back!Q:R,2,0)</f>
        <v>9</v>
      </c>
      <c r="B1626" s="20" t="str">
        <f t="shared" si="51"/>
        <v>2018 SEP</v>
      </c>
      <c r="C1626" s="30">
        <v>2018</v>
      </c>
      <c r="D1626" s="30" t="s">
        <v>165</v>
      </c>
      <c r="E1626" s="30" t="s">
        <v>37</v>
      </c>
      <c r="F1626" s="30"/>
      <c r="G1626" s="30"/>
      <c r="H1626" s="32">
        <v>825017</v>
      </c>
      <c r="I1626" s="32">
        <v>0</v>
      </c>
      <c r="J1626" s="32">
        <v>0</v>
      </c>
      <c r="K1626" s="33">
        <v>825017</v>
      </c>
      <c r="L1626" s="33"/>
      <c r="M1626" s="34"/>
      <c r="N1626" s="209" t="str">
        <f>IFERROR(VLOOKUP(F1626,Back!C:F,4,0),"NO")</f>
        <v>NO</v>
      </c>
      <c r="O1626" s="26">
        <v>25</v>
      </c>
      <c r="P1626" s="28" t="str">
        <f>IFERROR(VLOOKUP(F1626,Back!C:E,3,0),"")</f>
        <v/>
      </c>
      <c r="Q1626" s="28" t="str">
        <f>IFERROR(VLOOKUP(P1626,Back!M:N,2,0),"")</f>
        <v/>
      </c>
      <c r="R1626" s="27" t="str">
        <f>IF(N1626="Si",IFERROR(VLOOKUP(F1626,'TD Cumpl'!B:AB,27,0),"No Aplica"),"No Aplica")</f>
        <v>No Aplica</v>
      </c>
      <c r="S1626" s="38">
        <v>2</v>
      </c>
      <c r="T1626" s="36">
        <v>195714</v>
      </c>
      <c r="U1626" s="26">
        <v>4</v>
      </c>
      <c r="V1626" s="37">
        <v>386301</v>
      </c>
      <c r="W1626" s="19">
        <v>0</v>
      </c>
      <c r="X1626" s="37">
        <v>0</v>
      </c>
      <c r="Y1626" s="46">
        <f t="shared" si="52"/>
        <v>243002</v>
      </c>
    </row>
    <row r="1627" spans="1:26" x14ac:dyDescent="0.25">
      <c r="A1627" s="20">
        <f>+VLOOKUP(D1627,Back!Q:R,2,0)</f>
        <v>9</v>
      </c>
      <c r="B1627" s="20" t="str">
        <f t="shared" si="51"/>
        <v>2018 SEP</v>
      </c>
      <c r="C1627" s="30">
        <v>2018</v>
      </c>
      <c r="D1627" s="30" t="s">
        <v>165</v>
      </c>
      <c r="E1627" s="30" t="s">
        <v>254</v>
      </c>
      <c r="F1627" s="30"/>
      <c r="G1627" s="30"/>
      <c r="H1627" s="32">
        <v>2581735</v>
      </c>
      <c r="I1627" s="32">
        <v>0</v>
      </c>
      <c r="J1627" s="32">
        <v>0</v>
      </c>
      <c r="K1627" s="33">
        <v>2581735</v>
      </c>
      <c r="L1627" s="33"/>
      <c r="M1627" s="34"/>
      <c r="N1627" s="209" t="str">
        <f>IFERROR(VLOOKUP(F1627,Back!C:F,4,0),"NO")</f>
        <v>NO</v>
      </c>
      <c r="O1627" s="26">
        <v>25</v>
      </c>
      <c r="P1627" s="28" t="str">
        <f>IFERROR(VLOOKUP(F1627,Back!C:E,3,0),"")</f>
        <v/>
      </c>
      <c r="Q1627" s="28" t="str">
        <f>IFERROR(VLOOKUP(P1627,Back!M:N,2,0),"")</f>
        <v/>
      </c>
      <c r="R1627" s="27" t="str">
        <f>IF(N1627="Si",IFERROR(VLOOKUP(F1627,'TD Cumpl'!B:AB,27,0),"No Aplica"),"No Aplica")</f>
        <v>No Aplica</v>
      </c>
      <c r="S1627" s="38">
        <v>4</v>
      </c>
      <c r="T1627" s="36">
        <v>399326</v>
      </c>
      <c r="U1627" s="26">
        <v>10</v>
      </c>
      <c r="V1627" s="37">
        <v>1727309</v>
      </c>
      <c r="W1627" s="19">
        <v>0</v>
      </c>
      <c r="X1627" s="37">
        <v>0</v>
      </c>
      <c r="Y1627" s="46">
        <f t="shared" si="52"/>
        <v>455100</v>
      </c>
    </row>
    <row r="1628" spans="1:26" x14ac:dyDescent="0.25">
      <c r="A1628" s="20">
        <f>+VLOOKUP(D1628,Back!Q:R,2,0)</f>
        <v>9</v>
      </c>
      <c r="B1628" s="20" t="str">
        <f t="shared" si="51"/>
        <v>2018 SEP</v>
      </c>
      <c r="C1628" s="30">
        <v>2018</v>
      </c>
      <c r="D1628" s="30" t="s">
        <v>165</v>
      </c>
      <c r="E1628" s="30" t="s">
        <v>12</v>
      </c>
      <c r="F1628" s="30"/>
      <c r="G1628" s="30"/>
      <c r="H1628" s="32">
        <v>112660</v>
      </c>
      <c r="I1628" s="32">
        <v>0</v>
      </c>
      <c r="J1628" s="32">
        <v>112659</v>
      </c>
      <c r="K1628" s="33">
        <v>1</v>
      </c>
      <c r="L1628" s="33"/>
      <c r="M1628" s="34"/>
      <c r="N1628" s="209" t="str">
        <f>IFERROR(VLOOKUP(F1628,Back!C:F,4,0),"NO")</f>
        <v>NO</v>
      </c>
      <c r="O1628" s="26">
        <v>25</v>
      </c>
      <c r="P1628" s="28" t="str">
        <f>IFERROR(VLOOKUP(F1628,Back!C:E,3,0),"")</f>
        <v/>
      </c>
      <c r="Q1628" s="28" t="str">
        <f>IFERROR(VLOOKUP(P1628,Back!M:N,2,0),"")</f>
        <v/>
      </c>
      <c r="R1628" s="27" t="str">
        <f>IF(N1628="Si",IFERROR(VLOOKUP(F1628,'TD Cumpl'!B:AB,27,0),"No Aplica"),"No Aplica")</f>
        <v>No Aplica</v>
      </c>
      <c r="S1628" s="38">
        <v>0</v>
      </c>
      <c r="T1628" s="36">
        <v>0</v>
      </c>
      <c r="U1628" s="26">
        <v>0</v>
      </c>
      <c r="V1628" s="37">
        <v>0</v>
      </c>
      <c r="W1628" s="19">
        <v>1</v>
      </c>
      <c r="X1628" s="37">
        <v>112659</v>
      </c>
      <c r="Y1628" s="46">
        <f t="shared" si="52"/>
        <v>1</v>
      </c>
    </row>
    <row r="1629" spans="1:26" x14ac:dyDescent="0.25">
      <c r="A1629" s="20">
        <f>+VLOOKUP(D1629,Back!Q:R,2,0)</f>
        <v>9</v>
      </c>
      <c r="B1629" s="20" t="str">
        <f t="shared" si="51"/>
        <v>2018 SEP</v>
      </c>
      <c r="C1629" s="39">
        <v>2018</v>
      </c>
      <c r="D1629" s="39" t="s">
        <v>165</v>
      </c>
      <c r="E1629" s="39" t="s">
        <v>87</v>
      </c>
      <c r="F1629" s="39"/>
      <c r="G1629" s="39"/>
      <c r="H1629" s="40">
        <v>-199593</v>
      </c>
      <c r="I1629" s="40">
        <v>0</v>
      </c>
      <c r="J1629" s="40">
        <v>0</v>
      </c>
      <c r="K1629" s="41">
        <v>-199593</v>
      </c>
      <c r="L1629" s="41"/>
      <c r="M1629" s="42"/>
      <c r="N1629" s="209" t="str">
        <f>IFERROR(VLOOKUP(F1629,Back!C:F,4,0),"NO")</f>
        <v>NO</v>
      </c>
      <c r="O1629" s="43">
        <v>25</v>
      </c>
      <c r="P1629" s="28" t="str">
        <f>IFERROR(VLOOKUP(F1629,Back!C:E,3,0),"")</f>
        <v/>
      </c>
      <c r="Q1629" s="28" t="str">
        <f>IFERROR(VLOOKUP(P1629,Back!M:N,2,0),"")</f>
        <v/>
      </c>
      <c r="R1629" s="27" t="str">
        <f>IF(N1629="Si",IFERROR(VLOOKUP(F1629,'TD Cumpl'!B:AB,27,0),"No Aplica"),"No Aplica")</f>
        <v>No Aplica</v>
      </c>
      <c r="S1629" s="43">
        <v>3</v>
      </c>
      <c r="T1629" s="44">
        <v>-36413</v>
      </c>
      <c r="U1629" s="43">
        <v>6</v>
      </c>
      <c r="V1629" s="44">
        <v>-101536</v>
      </c>
      <c r="W1629" s="45">
        <v>0</v>
      </c>
      <c r="X1629" s="44">
        <v>0</v>
      </c>
      <c r="Y1629" s="46">
        <f t="shared" si="52"/>
        <v>-61644</v>
      </c>
      <c r="Z1629" s="45"/>
    </row>
    <row r="1630" spans="1:26" x14ac:dyDescent="0.25">
      <c r="A1630" s="20">
        <f>+VLOOKUP(D1630,Back!Q:R,2,0)</f>
        <v>10</v>
      </c>
      <c r="B1630" s="20" t="str">
        <f t="shared" si="51"/>
        <v>2018 OCT</v>
      </c>
      <c r="C1630" s="30">
        <v>2018</v>
      </c>
      <c r="D1630" s="30" t="s">
        <v>173</v>
      </c>
      <c r="E1630" s="30" t="s">
        <v>3</v>
      </c>
      <c r="F1630" s="30">
        <v>52725011</v>
      </c>
      <c r="G1630" s="30" t="s">
        <v>42</v>
      </c>
      <c r="H1630" s="32">
        <v>21209985</v>
      </c>
      <c r="I1630" s="32">
        <v>468000</v>
      </c>
      <c r="J1630" s="32">
        <v>5433002</v>
      </c>
      <c r="K1630" s="33">
        <v>15308983</v>
      </c>
      <c r="L1630" s="33">
        <v>24999988</v>
      </c>
      <c r="M1630" s="34">
        <v>0.61235961393261473</v>
      </c>
      <c r="N1630" s="209" t="str">
        <f>IFERROR(VLOOKUP(F1630,Back!C:F,4,0),"NO")</f>
        <v>Si</v>
      </c>
      <c r="O1630" s="26">
        <v>26</v>
      </c>
      <c r="P1630" s="28" t="str">
        <f>IFERROR(VLOOKUP(F1630,Back!C:E,3,0),"")</f>
        <v>IPS Pto De Vista Olaya</v>
      </c>
      <c r="Q1630" s="28" t="str">
        <f>IFERROR(VLOOKUP(P1630,Back!M:N,2,0),"")</f>
        <v>Centro</v>
      </c>
      <c r="R1630" s="27" t="str">
        <f>IF(N1630="Si",IFERROR(VLOOKUP(F1630,'TD Cumpl'!B:AB,27,0),"No Aplica"),"No Aplica")</f>
        <v>Fluctúa</v>
      </c>
      <c r="S1630" s="38">
        <v>43</v>
      </c>
      <c r="T1630" s="46">
        <v>3113725</v>
      </c>
      <c r="U1630" s="38">
        <v>146</v>
      </c>
      <c r="V1630" s="46">
        <v>11844524</v>
      </c>
      <c r="W1630" s="38">
        <v>72</v>
      </c>
      <c r="X1630" s="46">
        <v>5103202</v>
      </c>
      <c r="Y1630" s="46">
        <f t="shared" si="52"/>
        <v>1148534</v>
      </c>
      <c r="Z1630" s="19" t="s">
        <v>318</v>
      </c>
    </row>
    <row r="1631" spans="1:26" x14ac:dyDescent="0.25">
      <c r="A1631" s="20">
        <f>+VLOOKUP(D1631,Back!Q:R,2,0)</f>
        <v>10</v>
      </c>
      <c r="B1631" s="20" t="str">
        <f t="shared" si="51"/>
        <v>2018 OCT</v>
      </c>
      <c r="C1631" s="30">
        <v>2018</v>
      </c>
      <c r="D1631" s="30" t="s">
        <v>173</v>
      </c>
      <c r="E1631" s="30" t="s">
        <v>191</v>
      </c>
      <c r="F1631" s="30">
        <v>1010207310</v>
      </c>
      <c r="G1631" s="30" t="s">
        <v>253</v>
      </c>
      <c r="H1631" s="32">
        <v>34133012</v>
      </c>
      <c r="I1631" s="32">
        <v>0</v>
      </c>
      <c r="J1631" s="32">
        <v>5713347</v>
      </c>
      <c r="K1631" s="33">
        <v>28419665</v>
      </c>
      <c r="L1631" s="33">
        <v>24999988</v>
      </c>
      <c r="M1631" s="34">
        <v>1.13678714565783</v>
      </c>
      <c r="N1631" s="209" t="str">
        <f>IFERROR(VLOOKUP(F1631,Back!C:F,4,0),"NO")</f>
        <v>Si</v>
      </c>
      <c r="O1631" s="26">
        <v>26</v>
      </c>
      <c r="P1631" s="28" t="str">
        <f>IFERROR(VLOOKUP(F1631,Back!C:E,3,0),"")</f>
        <v>IPS Pto De Vista Olaya</v>
      </c>
      <c r="Q1631" s="28" t="str">
        <f>IFERROR(VLOOKUP(P1631,Back!M:N,2,0),"")</f>
        <v>Centro</v>
      </c>
      <c r="R1631" s="27" t="str">
        <f>IF(N1631="Si",IFERROR(VLOOKUP(F1631,'TD Cumpl'!B:AB,27,0),"No Aplica"),"No Aplica")</f>
        <v>Cumple</v>
      </c>
      <c r="S1631" s="38">
        <v>73</v>
      </c>
      <c r="T1631" s="46">
        <v>5907070</v>
      </c>
      <c r="U1631" s="38">
        <v>174</v>
      </c>
      <c r="V1631" s="46">
        <v>20190485</v>
      </c>
      <c r="W1631" s="38">
        <v>79</v>
      </c>
      <c r="X1631" s="46">
        <v>5713347</v>
      </c>
      <c r="Y1631" s="46">
        <f t="shared" si="52"/>
        <v>2322110</v>
      </c>
      <c r="Z1631" s="19" t="s">
        <v>318</v>
      </c>
    </row>
    <row r="1632" spans="1:26" x14ac:dyDescent="0.25">
      <c r="A1632" s="20">
        <f>+VLOOKUP(D1632,Back!Q:R,2,0)</f>
        <v>10</v>
      </c>
      <c r="B1632" s="20" t="str">
        <f t="shared" si="51"/>
        <v>2018 OCT</v>
      </c>
      <c r="C1632" s="30">
        <v>2018</v>
      </c>
      <c r="D1632" s="30" t="s">
        <v>173</v>
      </c>
      <c r="E1632" s="30" t="s">
        <v>4</v>
      </c>
      <c r="F1632" s="30">
        <v>79701425</v>
      </c>
      <c r="G1632" s="30" t="s">
        <v>27</v>
      </c>
      <c r="H1632" s="32">
        <v>26385550</v>
      </c>
      <c r="I1632" s="32">
        <v>0</v>
      </c>
      <c r="J1632" s="32">
        <v>4464837</v>
      </c>
      <c r="K1632" s="33">
        <v>21920713</v>
      </c>
      <c r="L1632" s="33">
        <v>17307684</v>
      </c>
      <c r="M1632" s="34">
        <v>1.2665306923791768</v>
      </c>
      <c r="N1632" s="209" t="str">
        <f>IFERROR(VLOOKUP(F1632,Back!C:F,4,0),"NO")</f>
        <v>No</v>
      </c>
      <c r="O1632" s="26">
        <v>26</v>
      </c>
      <c r="P1632" s="28" t="str">
        <f>IFERROR(VLOOKUP(F1632,Back!C:E,3,0),"")</f>
        <v>IPS Pto De Vista Olaya</v>
      </c>
      <c r="Q1632" s="28" t="str">
        <f>IFERROR(VLOOKUP(P1632,Back!M:N,2,0),"")</f>
        <v>Centro</v>
      </c>
      <c r="R1632" s="27" t="str">
        <f>IF(N1632="Si",IFERROR(VLOOKUP(F1632,'TD Cumpl'!B:AB,27,0),"No Aplica"),"No Aplica")</f>
        <v>No Aplica</v>
      </c>
      <c r="S1632" s="38">
        <v>62</v>
      </c>
      <c r="T1632" s="46">
        <v>4513157</v>
      </c>
      <c r="U1632" s="38">
        <v>156</v>
      </c>
      <c r="V1632" s="46">
        <v>15907917</v>
      </c>
      <c r="W1632" s="38">
        <v>57</v>
      </c>
      <c r="X1632" s="46">
        <v>4464837</v>
      </c>
      <c r="Y1632" s="46">
        <f t="shared" si="52"/>
        <v>1499639</v>
      </c>
    </row>
    <row r="1633" spans="1:26" x14ac:dyDescent="0.25">
      <c r="A1633" s="20">
        <f>+VLOOKUP(D1633,Back!Q:R,2,0)</f>
        <v>10</v>
      </c>
      <c r="B1633" s="20" t="str">
        <f t="shared" si="51"/>
        <v>2018 OCT</v>
      </c>
      <c r="C1633" s="30">
        <v>2018</v>
      </c>
      <c r="D1633" s="30" t="s">
        <v>173</v>
      </c>
      <c r="E1633" s="30" t="s">
        <v>62</v>
      </c>
      <c r="F1633" s="30">
        <v>32256379</v>
      </c>
      <c r="G1633" s="30" t="s">
        <v>61</v>
      </c>
      <c r="H1633" s="32">
        <v>17307163</v>
      </c>
      <c r="I1633" s="32">
        <v>0</v>
      </c>
      <c r="J1633" s="32">
        <v>3102539</v>
      </c>
      <c r="K1633" s="33">
        <v>14204624</v>
      </c>
      <c r="L1633" s="33">
        <v>13538464</v>
      </c>
      <c r="M1633" s="34">
        <v>1.0492049910536381</v>
      </c>
      <c r="N1633" s="209" t="str">
        <f>IFERROR(VLOOKUP(F1633,Back!C:F,4,0),"NO")</f>
        <v>Si</v>
      </c>
      <c r="O1633" s="26">
        <v>26</v>
      </c>
      <c r="P1633" s="28" t="str">
        <f>IFERROR(VLOOKUP(F1633,Back!C:E,3,0),"")</f>
        <v>Ferias Empresariales Antioquia</v>
      </c>
      <c r="Q1633" s="28" t="str">
        <f>IFERROR(VLOOKUP(P1633,Back!M:N,2,0),"")</f>
        <v>Antioquia</v>
      </c>
      <c r="R1633" s="27" t="str">
        <f>IF(N1633="Si",IFERROR(VLOOKUP(F1633,'TD Cumpl'!B:AB,27,0),"No Aplica"),"No Aplica")</f>
        <v>Fluctúa</v>
      </c>
      <c r="S1633" s="38">
        <v>4</v>
      </c>
      <c r="T1633" s="46">
        <v>520756</v>
      </c>
      <c r="U1633" s="38">
        <v>8</v>
      </c>
      <c r="V1633" s="46">
        <v>1387282</v>
      </c>
      <c r="W1633" s="38">
        <v>37</v>
      </c>
      <c r="X1633" s="46">
        <v>3102539</v>
      </c>
      <c r="Y1633" s="46">
        <f t="shared" si="52"/>
        <v>12296586</v>
      </c>
      <c r="Z1633" s="19" t="s">
        <v>318</v>
      </c>
    </row>
    <row r="1634" spans="1:26" x14ac:dyDescent="0.25">
      <c r="A1634" s="20">
        <f>+VLOOKUP(D1634,Back!Q:R,2,0)</f>
        <v>10</v>
      </c>
      <c r="B1634" s="20" t="str">
        <f t="shared" si="51"/>
        <v>2018 OCT</v>
      </c>
      <c r="C1634" s="30">
        <v>2018</v>
      </c>
      <c r="D1634" s="30" t="s">
        <v>173</v>
      </c>
      <c r="E1634" s="30" t="s">
        <v>266</v>
      </c>
      <c r="F1634" s="30">
        <v>1128476466</v>
      </c>
      <c r="G1634" s="30" t="s">
        <v>267</v>
      </c>
      <c r="H1634" s="32">
        <v>27586471</v>
      </c>
      <c r="I1634" s="32">
        <v>1414000</v>
      </c>
      <c r="J1634" s="32">
        <v>3350097</v>
      </c>
      <c r="K1634" s="33">
        <v>22822374</v>
      </c>
      <c r="L1634" s="33">
        <v>13538464</v>
      </c>
      <c r="M1634" s="34">
        <v>1.6857432275921405</v>
      </c>
      <c r="N1634" s="209" t="str">
        <f>IFERROR(VLOOKUP(F1634,Back!C:F,4,0),"NO")</f>
        <v>Si</v>
      </c>
      <c r="O1634" s="26">
        <v>26</v>
      </c>
      <c r="P1634" s="28" t="str">
        <f>IFERROR(VLOOKUP(F1634,Back!C:E,3,0),"")</f>
        <v>IPS Pto De Vista San Diego</v>
      </c>
      <c r="Q1634" s="28" t="str">
        <f>IFERROR(VLOOKUP(P1634,Back!M:N,2,0),"")</f>
        <v>Antioquia</v>
      </c>
      <c r="R1634" s="27" t="str">
        <f>IF(N1634="Si",IFERROR(VLOOKUP(F1634,'TD Cumpl'!B:AB,27,0),"No Aplica"),"No Aplica")</f>
        <v>Fluctúa</v>
      </c>
      <c r="S1634" s="38">
        <v>9</v>
      </c>
      <c r="T1634" s="46">
        <v>992858</v>
      </c>
      <c r="U1634" s="38">
        <v>32</v>
      </c>
      <c r="V1634" s="46">
        <v>2865810</v>
      </c>
      <c r="W1634" s="38">
        <v>45</v>
      </c>
      <c r="X1634" s="46">
        <v>3350097</v>
      </c>
      <c r="Y1634" s="46">
        <f t="shared" si="52"/>
        <v>20377706</v>
      </c>
      <c r="Z1634" s="19" t="s">
        <v>318</v>
      </c>
    </row>
    <row r="1635" spans="1:26" x14ac:dyDescent="0.25">
      <c r="A1635" s="20">
        <f>+VLOOKUP(D1635,Back!Q:R,2,0)</f>
        <v>10</v>
      </c>
      <c r="B1635" s="20" t="str">
        <f t="shared" si="51"/>
        <v>2018 OCT</v>
      </c>
      <c r="C1635" s="30">
        <v>2018</v>
      </c>
      <c r="D1635" s="30" t="s">
        <v>173</v>
      </c>
      <c r="E1635" s="30" t="s">
        <v>25</v>
      </c>
      <c r="F1635" s="30">
        <v>1040030764</v>
      </c>
      <c r="G1635" s="30" t="s">
        <v>43</v>
      </c>
      <c r="H1635" s="32">
        <v>49280735</v>
      </c>
      <c r="I1635" s="32">
        <v>1583100</v>
      </c>
      <c r="J1635" s="32">
        <v>10320848</v>
      </c>
      <c r="K1635" s="33">
        <v>37376787</v>
      </c>
      <c r="L1635" s="33">
        <v>35000004</v>
      </c>
      <c r="M1635" s="34">
        <v>1.0679080779533625</v>
      </c>
      <c r="N1635" s="209" t="str">
        <f>IFERROR(VLOOKUP(F1635,Back!C:F,4,0),"NO")</f>
        <v>Si</v>
      </c>
      <c r="O1635" s="26">
        <v>26</v>
      </c>
      <c r="P1635" s="28" t="str">
        <f>IFERROR(VLOOKUP(F1635,Back!C:E,3,0),"")</f>
        <v>IPS Pto De Vista Rionegro</v>
      </c>
      <c r="Q1635" s="28" t="str">
        <f>IFERROR(VLOOKUP(P1635,Back!M:N,2,0),"")</f>
        <v>Antioquia</v>
      </c>
      <c r="R1635" s="27" t="str">
        <f>IF(N1635="Si",IFERROR(VLOOKUP(F1635,'TD Cumpl'!B:AB,27,0),"No Aplica"),"No Aplica")</f>
        <v>Cumple</v>
      </c>
      <c r="S1635" s="38">
        <v>84</v>
      </c>
      <c r="T1635" s="46">
        <v>8648808</v>
      </c>
      <c r="U1635" s="38">
        <v>213</v>
      </c>
      <c r="V1635" s="46">
        <v>24980042</v>
      </c>
      <c r="W1635" s="38">
        <v>107</v>
      </c>
      <c r="X1635" s="46">
        <v>10320848</v>
      </c>
      <c r="Y1635" s="46">
        <f t="shared" si="52"/>
        <v>5331037</v>
      </c>
      <c r="Z1635" s="19" t="s">
        <v>318</v>
      </c>
    </row>
    <row r="1636" spans="1:26" x14ac:dyDescent="0.25">
      <c r="A1636" s="20">
        <f>+VLOOKUP(D1636,Back!Q:R,2,0)</f>
        <v>10</v>
      </c>
      <c r="B1636" s="20" t="str">
        <f t="shared" si="51"/>
        <v>2018 OCT</v>
      </c>
      <c r="C1636" s="30">
        <v>2018</v>
      </c>
      <c r="D1636" s="30" t="s">
        <v>173</v>
      </c>
      <c r="E1636" s="30" t="s">
        <v>284</v>
      </c>
      <c r="F1636" s="30">
        <v>1128267208</v>
      </c>
      <c r="G1636" s="30" t="s">
        <v>285</v>
      </c>
      <c r="H1636" s="32">
        <v>34004862</v>
      </c>
      <c r="I1636" s="32">
        <v>2332200</v>
      </c>
      <c r="J1636" s="32">
        <v>5603399</v>
      </c>
      <c r="K1636" s="33">
        <v>26069263</v>
      </c>
      <c r="L1636" s="33">
        <v>35000004</v>
      </c>
      <c r="M1636" s="34">
        <v>0.74483600059017141</v>
      </c>
      <c r="N1636" s="209" t="str">
        <f>IFERROR(VLOOKUP(F1636,Back!C:F,4,0),"NO")</f>
        <v>Si</v>
      </c>
      <c r="O1636" s="26">
        <v>26</v>
      </c>
      <c r="P1636" s="28" t="str">
        <f>IFERROR(VLOOKUP(F1636,Back!C:E,3,0),"")</f>
        <v>IPS Pto De Vista Rionegro</v>
      </c>
      <c r="Q1636" s="28" t="str">
        <f>IFERROR(VLOOKUP(P1636,Back!M:N,2,0),"")</f>
        <v>Antioquia</v>
      </c>
      <c r="R1636" s="27" t="str">
        <f>IF(N1636="Si",IFERROR(VLOOKUP(F1636,'TD Cumpl'!B:AB,27,0),"No Aplica"),"No Aplica")</f>
        <v>Fluctúa</v>
      </c>
      <c r="S1636" s="38">
        <v>50</v>
      </c>
      <c r="T1636" s="46">
        <v>5419057</v>
      </c>
      <c r="U1636" s="38">
        <v>130</v>
      </c>
      <c r="V1636" s="46">
        <v>17654076</v>
      </c>
      <c r="W1636" s="38">
        <v>61</v>
      </c>
      <c r="X1636" s="46">
        <v>5603399</v>
      </c>
      <c r="Y1636" s="46">
        <f t="shared" si="52"/>
        <v>5328330</v>
      </c>
      <c r="Z1636" s="19" t="s">
        <v>318</v>
      </c>
    </row>
    <row r="1637" spans="1:26" x14ac:dyDescent="0.25">
      <c r="A1637" s="20">
        <f>+VLOOKUP(D1637,Back!Q:R,2,0)</f>
        <v>10</v>
      </c>
      <c r="B1637" s="20" t="str">
        <f t="shared" si="51"/>
        <v>2018 OCT</v>
      </c>
      <c r="C1637" s="30">
        <v>2018</v>
      </c>
      <c r="D1637" s="30" t="s">
        <v>173</v>
      </c>
      <c r="E1637" s="30" t="s">
        <v>24</v>
      </c>
      <c r="F1637" s="30">
        <v>39448823</v>
      </c>
      <c r="G1637" s="30" t="s">
        <v>48</v>
      </c>
      <c r="H1637" s="32">
        <v>53454327</v>
      </c>
      <c r="I1637" s="32">
        <v>1956000</v>
      </c>
      <c r="J1637" s="32">
        <v>7185799</v>
      </c>
      <c r="K1637" s="33">
        <v>44312528</v>
      </c>
      <c r="L1637" s="33">
        <v>35000004</v>
      </c>
      <c r="M1637" s="34">
        <v>1.2660720838774762</v>
      </c>
      <c r="N1637" s="209" t="str">
        <f>IFERROR(VLOOKUP(F1637,Back!C:F,4,0),"NO")</f>
        <v>Si</v>
      </c>
      <c r="O1637" s="26">
        <v>26</v>
      </c>
      <c r="P1637" s="28" t="str">
        <f>IFERROR(VLOOKUP(F1637,Back!C:E,3,0),"")</f>
        <v>IPS Pto De Vista Rionegro</v>
      </c>
      <c r="Q1637" s="28" t="str">
        <f>IFERROR(VLOOKUP(P1637,Back!M:N,2,0),"")</f>
        <v>Antioquia</v>
      </c>
      <c r="R1637" s="27" t="str">
        <f>IF(N1637="Si",IFERROR(VLOOKUP(F1637,'TD Cumpl'!B:AB,27,0),"No Aplica"),"No Aplica")</f>
        <v>Siempre Cumple</v>
      </c>
      <c r="S1637" s="38">
        <v>92</v>
      </c>
      <c r="T1637" s="46">
        <v>9806587</v>
      </c>
      <c r="U1637" s="38">
        <v>258</v>
      </c>
      <c r="V1637" s="46">
        <v>31295572</v>
      </c>
      <c r="W1637" s="38">
        <v>82</v>
      </c>
      <c r="X1637" s="46">
        <v>7185799</v>
      </c>
      <c r="Y1637" s="46">
        <f t="shared" si="52"/>
        <v>5166369</v>
      </c>
      <c r="Z1637" s="19" t="s">
        <v>318</v>
      </c>
    </row>
    <row r="1638" spans="1:26" x14ac:dyDescent="0.25">
      <c r="A1638" s="20">
        <f>+VLOOKUP(D1638,Back!Q:R,2,0)</f>
        <v>10</v>
      </c>
      <c r="B1638" s="20" t="str">
        <f t="shared" si="51"/>
        <v>2018 OCT</v>
      </c>
      <c r="C1638" s="30">
        <v>2018</v>
      </c>
      <c r="D1638" s="30" t="s">
        <v>173</v>
      </c>
      <c r="E1638" s="30" t="s">
        <v>11</v>
      </c>
      <c r="F1638" s="30">
        <v>43253531</v>
      </c>
      <c r="G1638" s="30" t="s">
        <v>39</v>
      </c>
      <c r="H1638" s="32">
        <v>47811892</v>
      </c>
      <c r="I1638" s="32">
        <v>1171100</v>
      </c>
      <c r="J1638" s="32">
        <v>8573861</v>
      </c>
      <c r="K1638" s="33">
        <v>38066931</v>
      </c>
      <c r="L1638" s="33">
        <v>35000004</v>
      </c>
      <c r="M1638" s="34">
        <v>1.0876264756998313</v>
      </c>
      <c r="N1638" s="209" t="str">
        <f>IFERROR(VLOOKUP(F1638,Back!C:F,4,0),"NO")</f>
        <v>Si</v>
      </c>
      <c r="O1638" s="26">
        <v>26</v>
      </c>
      <c r="P1638" s="28" t="str">
        <f>IFERROR(VLOOKUP(F1638,Back!C:E,3,0),"")</f>
        <v>IPS Punto de Vista Bello</v>
      </c>
      <c r="Q1638" s="28" t="str">
        <f>IFERROR(VLOOKUP(P1638,Back!M:N,2,0),"")</f>
        <v>Antioquia</v>
      </c>
      <c r="R1638" s="27" t="str">
        <f>IF(N1638="Si",IFERROR(VLOOKUP(F1638,'TD Cumpl'!B:AB,27,0),"No Aplica"),"No Aplica")</f>
        <v>Cumple</v>
      </c>
      <c r="S1638" s="38">
        <v>85</v>
      </c>
      <c r="T1638" s="46">
        <v>8783526</v>
      </c>
      <c r="U1638" s="38">
        <v>192</v>
      </c>
      <c r="V1638" s="46">
        <v>24117341</v>
      </c>
      <c r="W1638" s="38">
        <v>89</v>
      </c>
      <c r="X1638" s="46">
        <v>8573861</v>
      </c>
      <c r="Y1638" s="46">
        <f t="shared" si="52"/>
        <v>6337164</v>
      </c>
      <c r="Z1638" s="19" t="s">
        <v>318</v>
      </c>
    </row>
    <row r="1639" spans="1:26" x14ac:dyDescent="0.25">
      <c r="A1639" s="20">
        <f>+VLOOKUP(D1639,Back!Q:R,2,0)</f>
        <v>10</v>
      </c>
      <c r="B1639" s="20" t="str">
        <f t="shared" si="51"/>
        <v>2018 OCT</v>
      </c>
      <c r="C1639" s="30">
        <v>2018</v>
      </c>
      <c r="D1639" s="30" t="s">
        <v>173</v>
      </c>
      <c r="E1639" s="30" t="s">
        <v>121</v>
      </c>
      <c r="F1639" s="30">
        <v>21982241</v>
      </c>
      <c r="G1639" s="30" t="s">
        <v>143</v>
      </c>
      <c r="H1639" s="32">
        <v>44816021</v>
      </c>
      <c r="I1639" s="32">
        <v>221100</v>
      </c>
      <c r="J1639" s="32">
        <v>6036652</v>
      </c>
      <c r="K1639" s="33">
        <v>38558269</v>
      </c>
      <c r="L1639" s="33">
        <v>35000004</v>
      </c>
      <c r="M1639" s="34">
        <v>1.1016647026668911</v>
      </c>
      <c r="N1639" s="209" t="str">
        <f>IFERROR(VLOOKUP(F1639,Back!C:F,4,0),"NO")</f>
        <v>Si</v>
      </c>
      <c r="O1639" s="26">
        <v>26</v>
      </c>
      <c r="P1639" s="28" t="str">
        <f>IFERROR(VLOOKUP(F1639,Back!C:E,3,0),"")</f>
        <v>IPS Punto de Vista Bello</v>
      </c>
      <c r="Q1639" s="28" t="str">
        <f>IFERROR(VLOOKUP(P1639,Back!M:N,2,0),"")</f>
        <v>Antioquia</v>
      </c>
      <c r="R1639" s="27" t="str">
        <f>IF(N1639="Si",IFERROR(VLOOKUP(F1639,'TD Cumpl'!B:AB,27,0),"No Aplica"),"No Aplica")</f>
        <v>Fluctúa</v>
      </c>
      <c r="S1639" s="38">
        <v>83</v>
      </c>
      <c r="T1639" s="46">
        <v>8177361</v>
      </c>
      <c r="U1639" s="38">
        <v>218</v>
      </c>
      <c r="V1639" s="46">
        <v>26859540</v>
      </c>
      <c r="W1639" s="38">
        <v>68</v>
      </c>
      <c r="X1639" s="46">
        <v>6036652</v>
      </c>
      <c r="Y1639" s="46">
        <f t="shared" si="52"/>
        <v>3742468</v>
      </c>
      <c r="Z1639" s="19" t="s">
        <v>318</v>
      </c>
    </row>
    <row r="1640" spans="1:26" x14ac:dyDescent="0.25">
      <c r="A1640" s="20">
        <f>+VLOOKUP(D1640,Back!Q:R,2,0)</f>
        <v>10</v>
      </c>
      <c r="B1640" s="20" t="str">
        <f t="shared" si="51"/>
        <v>2018 OCT</v>
      </c>
      <c r="C1640" s="30">
        <v>2018</v>
      </c>
      <c r="D1640" s="30" t="s">
        <v>173</v>
      </c>
      <c r="E1640" s="30" t="s">
        <v>9</v>
      </c>
      <c r="F1640" s="30">
        <v>43169964</v>
      </c>
      <c r="G1640" s="30" t="s">
        <v>155</v>
      </c>
      <c r="H1640" s="32">
        <v>35743053</v>
      </c>
      <c r="I1640" s="32">
        <v>689100</v>
      </c>
      <c r="J1640" s="32">
        <v>3991623</v>
      </c>
      <c r="K1640" s="33">
        <v>31062330</v>
      </c>
      <c r="L1640" s="33">
        <v>28769236</v>
      </c>
      <c r="M1640" s="34">
        <v>1.079706461443745</v>
      </c>
      <c r="N1640" s="209" t="str">
        <f>IFERROR(VLOOKUP(F1640,Back!C:F,4,0),"NO")</f>
        <v>Si</v>
      </c>
      <c r="O1640" s="26">
        <v>26</v>
      </c>
      <c r="P1640" s="28" t="str">
        <f>IFERROR(VLOOKUP(F1640,Back!C:E,3,0),"")</f>
        <v>IPS Pto De Vista Molinos</v>
      </c>
      <c r="Q1640" s="28" t="str">
        <f>IFERROR(VLOOKUP(P1640,Back!M:N,2,0),"")</f>
        <v>Antioquia</v>
      </c>
      <c r="R1640" s="27" t="str">
        <f>IF(N1640="Si",IFERROR(VLOOKUP(F1640,'TD Cumpl'!B:AB,27,0),"No Aplica"),"No Aplica")</f>
        <v>Cumple</v>
      </c>
      <c r="S1640" s="38">
        <v>61</v>
      </c>
      <c r="T1640" s="46">
        <v>5928144</v>
      </c>
      <c r="U1640" s="38">
        <v>161</v>
      </c>
      <c r="V1640" s="46">
        <v>21502373</v>
      </c>
      <c r="W1640" s="38">
        <v>43</v>
      </c>
      <c r="X1640" s="46">
        <v>3991623</v>
      </c>
      <c r="Y1640" s="46">
        <f t="shared" si="52"/>
        <v>4320913</v>
      </c>
      <c r="Z1640" s="19" t="s">
        <v>318</v>
      </c>
    </row>
    <row r="1641" spans="1:26" x14ac:dyDescent="0.25">
      <c r="A1641" s="20">
        <f>+VLOOKUP(D1641,Back!Q:R,2,0)</f>
        <v>10</v>
      </c>
      <c r="B1641" s="20" t="str">
        <f t="shared" si="51"/>
        <v>2018 OCT</v>
      </c>
      <c r="C1641" s="30">
        <v>2018</v>
      </c>
      <c r="D1641" s="30" t="s">
        <v>173</v>
      </c>
      <c r="E1641" s="30" t="s">
        <v>288</v>
      </c>
      <c r="F1641" s="30">
        <v>1017191161</v>
      </c>
      <c r="G1641" s="30" t="s">
        <v>289</v>
      </c>
      <c r="H1641" s="32">
        <v>21222606</v>
      </c>
      <c r="I1641" s="32">
        <v>442200</v>
      </c>
      <c r="J1641" s="32">
        <v>4592850</v>
      </c>
      <c r="K1641" s="33">
        <v>16187556</v>
      </c>
      <c r="L1641" s="33">
        <v>13538464</v>
      </c>
      <c r="M1641" s="34">
        <v>1.1956715326051759</v>
      </c>
      <c r="N1641" s="209" t="str">
        <f>IFERROR(VLOOKUP(F1641,Back!C:F,4,0),"NO")</f>
        <v>Si</v>
      </c>
      <c r="O1641" s="26">
        <v>26</v>
      </c>
      <c r="P1641" s="28" t="str">
        <f>IFERROR(VLOOKUP(F1641,Back!C:E,3,0),"")</f>
        <v>IPS Pto De Vista Molinos</v>
      </c>
      <c r="Q1641" s="28" t="str">
        <f>IFERROR(VLOOKUP(P1641,Back!M:N,2,0),"")</f>
        <v>Antioquia</v>
      </c>
      <c r="R1641" s="27" t="str">
        <f>IF(N1641="Si",IFERROR(VLOOKUP(F1641,'TD Cumpl'!B:AB,27,0),"No Aplica"),"No Aplica")</f>
        <v>No Cumple</v>
      </c>
      <c r="S1641" s="38">
        <v>42</v>
      </c>
      <c r="T1641" s="46">
        <v>4250113</v>
      </c>
      <c r="U1641" s="38">
        <v>98</v>
      </c>
      <c r="V1641" s="46">
        <v>9425834</v>
      </c>
      <c r="W1641" s="38">
        <v>48</v>
      </c>
      <c r="X1641" s="46">
        <v>4592850</v>
      </c>
      <c r="Y1641" s="46">
        <f t="shared" si="52"/>
        <v>2953809</v>
      </c>
      <c r="Z1641" s="19" t="s">
        <v>318</v>
      </c>
    </row>
    <row r="1642" spans="1:26" x14ac:dyDescent="0.25">
      <c r="A1642" s="20">
        <f>+VLOOKUP(D1642,Back!Q:R,2,0)</f>
        <v>10</v>
      </c>
      <c r="B1642" s="20" t="str">
        <f t="shared" si="51"/>
        <v>2018 OCT</v>
      </c>
      <c r="C1642" s="30">
        <v>2018</v>
      </c>
      <c r="D1642" s="30" t="s">
        <v>173</v>
      </c>
      <c r="E1642" s="30" t="s">
        <v>20</v>
      </c>
      <c r="F1642" s="30">
        <v>1017141451</v>
      </c>
      <c r="G1642" s="30" t="s">
        <v>44</v>
      </c>
      <c r="H1642" s="32">
        <v>47790947</v>
      </c>
      <c r="I1642" s="32">
        <v>604200</v>
      </c>
      <c r="J1642" s="32">
        <v>8104372</v>
      </c>
      <c r="K1642" s="33">
        <v>39082375</v>
      </c>
      <c r="L1642" s="33">
        <v>37230776</v>
      </c>
      <c r="M1642" s="34">
        <v>1.0497330219493679</v>
      </c>
      <c r="N1642" s="209" t="str">
        <f>IFERROR(VLOOKUP(F1642,Back!C:F,4,0),"NO")</f>
        <v>Si</v>
      </c>
      <c r="O1642" s="26">
        <v>26</v>
      </c>
      <c r="P1642" s="28" t="str">
        <f>IFERROR(VLOOKUP(F1642,Back!C:E,3,0),"")</f>
        <v>IPS Pto De Vista Molinos</v>
      </c>
      <c r="Q1642" s="28" t="str">
        <f>IFERROR(VLOOKUP(P1642,Back!M:N,2,0),"")</f>
        <v>Antioquia</v>
      </c>
      <c r="R1642" s="27" t="str">
        <f>IF(N1642="Si",IFERROR(VLOOKUP(F1642,'TD Cumpl'!B:AB,27,0),"No Aplica"),"No Aplica")</f>
        <v>Siempre Cumple</v>
      </c>
      <c r="S1642" s="38">
        <v>78</v>
      </c>
      <c r="T1642" s="46">
        <v>8737901</v>
      </c>
      <c r="U1642" s="38">
        <v>194</v>
      </c>
      <c r="V1642" s="46">
        <v>26052923</v>
      </c>
      <c r="W1642" s="38">
        <v>80</v>
      </c>
      <c r="X1642" s="46">
        <v>8104372</v>
      </c>
      <c r="Y1642" s="46">
        <f t="shared" si="52"/>
        <v>4895751</v>
      </c>
      <c r="Z1642" s="19" t="s">
        <v>319</v>
      </c>
    </row>
    <row r="1643" spans="1:26" x14ac:dyDescent="0.25">
      <c r="A1643" s="20">
        <f>+VLOOKUP(D1643,Back!Q:R,2,0)</f>
        <v>10</v>
      </c>
      <c r="B1643" s="20" t="str">
        <f t="shared" si="51"/>
        <v>2018 OCT</v>
      </c>
      <c r="C1643" s="30">
        <v>2018</v>
      </c>
      <c r="D1643" s="30" t="s">
        <v>173</v>
      </c>
      <c r="E1643" s="30" t="s">
        <v>290</v>
      </c>
      <c r="F1643" s="30">
        <v>1128442101</v>
      </c>
      <c r="G1643" s="30" t="s">
        <v>291</v>
      </c>
      <c r="H1643" s="32">
        <v>22500319</v>
      </c>
      <c r="I1643" s="32">
        <v>140000</v>
      </c>
      <c r="J1643" s="32">
        <v>5065161</v>
      </c>
      <c r="K1643" s="33">
        <v>17295158</v>
      </c>
      <c r="L1643" s="33">
        <v>37230776</v>
      </c>
      <c r="M1643" s="34">
        <v>0.46453928330690719</v>
      </c>
      <c r="N1643" s="209" t="str">
        <f>IFERROR(VLOOKUP(F1643,Back!C:F,4,0),"NO")</f>
        <v>Si</v>
      </c>
      <c r="O1643" s="26">
        <v>26</v>
      </c>
      <c r="P1643" s="28" t="str">
        <f>IFERROR(VLOOKUP(F1643,Back!C:E,3,0),"")</f>
        <v>IPS Punto de Vista Mayorca</v>
      </c>
      <c r="Q1643" s="28" t="str">
        <f>IFERROR(VLOOKUP(P1643,Back!M:N,2,0),"")</f>
        <v>Antioquia</v>
      </c>
      <c r="R1643" s="27" t="str">
        <f>IF(N1643="Si",IFERROR(VLOOKUP(F1643,'TD Cumpl'!B:AB,27,0),"No Aplica"),"No Aplica")</f>
        <v>Fluctúa</v>
      </c>
      <c r="S1643" s="38">
        <v>37</v>
      </c>
      <c r="T1643" s="46">
        <v>3799196</v>
      </c>
      <c r="U1643" s="38">
        <v>104</v>
      </c>
      <c r="V1643" s="46">
        <v>11479713</v>
      </c>
      <c r="W1643" s="38">
        <v>55</v>
      </c>
      <c r="X1643" s="46">
        <v>5065161</v>
      </c>
      <c r="Y1643" s="46">
        <f t="shared" si="52"/>
        <v>2156249</v>
      </c>
      <c r="Z1643" s="19" t="s">
        <v>318</v>
      </c>
    </row>
    <row r="1644" spans="1:26" x14ac:dyDescent="0.25">
      <c r="A1644" s="20">
        <f>+VLOOKUP(D1644,Back!Q:R,2,0)</f>
        <v>10</v>
      </c>
      <c r="B1644" s="20" t="str">
        <f t="shared" si="51"/>
        <v>2018 OCT</v>
      </c>
      <c r="C1644" s="30">
        <v>2018</v>
      </c>
      <c r="D1644" s="30" t="s">
        <v>173</v>
      </c>
      <c r="E1644" s="30" t="s">
        <v>103</v>
      </c>
      <c r="F1644" s="30">
        <v>1020409789</v>
      </c>
      <c r="G1644" s="30" t="s">
        <v>145</v>
      </c>
      <c r="H1644" s="32">
        <v>55981504</v>
      </c>
      <c r="I1644" s="32">
        <v>468000</v>
      </c>
      <c r="J1644" s="32">
        <v>10577122</v>
      </c>
      <c r="K1644" s="33">
        <v>44936382</v>
      </c>
      <c r="L1644" s="33">
        <v>44000008</v>
      </c>
      <c r="M1644" s="34">
        <v>1.0212812234034139</v>
      </c>
      <c r="N1644" s="209" t="str">
        <f>IFERROR(VLOOKUP(F1644,Back!C:F,4,0),"NO")</f>
        <v>Si</v>
      </c>
      <c r="O1644" s="26">
        <v>26</v>
      </c>
      <c r="P1644" s="28" t="str">
        <f>IFERROR(VLOOKUP(F1644,Back!C:E,3,0),"")</f>
        <v>IPS Pto De Vista Molinos</v>
      </c>
      <c r="Q1644" s="28" t="str">
        <f>IFERROR(VLOOKUP(P1644,Back!M:N,2,0),"")</f>
        <v>Antioquia</v>
      </c>
      <c r="R1644" s="27" t="str">
        <f>IF(N1644="Si",IFERROR(VLOOKUP(F1644,'TD Cumpl'!B:AB,27,0),"No Aplica"),"No Aplica")</f>
        <v>Cumple</v>
      </c>
      <c r="S1644" s="38">
        <v>90</v>
      </c>
      <c r="T1644" s="46">
        <v>9028166</v>
      </c>
      <c r="U1644" s="38">
        <v>244</v>
      </c>
      <c r="V1644" s="46">
        <v>29432531</v>
      </c>
      <c r="W1644" s="38">
        <v>112</v>
      </c>
      <c r="X1644" s="46">
        <v>10577122</v>
      </c>
      <c r="Y1644" s="46">
        <f t="shared" si="52"/>
        <v>6943685</v>
      </c>
      <c r="Z1644" s="19" t="s">
        <v>318</v>
      </c>
    </row>
    <row r="1645" spans="1:26" x14ac:dyDescent="0.25">
      <c r="A1645" s="20">
        <f>+VLOOKUP(D1645,Back!Q:R,2,0)</f>
        <v>10</v>
      </c>
      <c r="B1645" s="20" t="str">
        <f t="shared" si="51"/>
        <v>2018 OCT</v>
      </c>
      <c r="C1645" s="30">
        <v>2018</v>
      </c>
      <c r="D1645" s="30" t="s">
        <v>173</v>
      </c>
      <c r="E1645" s="30" t="s">
        <v>8</v>
      </c>
      <c r="F1645" s="30">
        <v>43259130</v>
      </c>
      <c r="G1645" s="30" t="s">
        <v>51</v>
      </c>
      <c r="H1645" s="32">
        <v>24205093</v>
      </c>
      <c r="I1645" s="32">
        <v>648000</v>
      </c>
      <c r="J1645" s="32">
        <v>3582301</v>
      </c>
      <c r="K1645" s="33">
        <v>19974792</v>
      </c>
      <c r="L1645" s="33">
        <v>13538464</v>
      </c>
      <c r="M1645" s="34">
        <v>1.4754105044708175</v>
      </c>
      <c r="N1645" s="209" t="str">
        <f>IFERROR(VLOOKUP(F1645,Back!C:F,4,0),"NO")</f>
        <v>Si</v>
      </c>
      <c r="O1645" s="26">
        <v>26</v>
      </c>
      <c r="P1645" s="28" t="str">
        <f>IFERROR(VLOOKUP(F1645,Back!C:E,3,0),"")</f>
        <v>IPS Pto De Vista Molinos</v>
      </c>
      <c r="Q1645" s="28" t="str">
        <f>IFERROR(VLOOKUP(P1645,Back!M:N,2,0),"")</f>
        <v>Antioquia</v>
      </c>
      <c r="R1645" s="27" t="str">
        <f>IF(N1645="Si",IFERROR(VLOOKUP(F1645,'TD Cumpl'!B:AB,27,0),"No Aplica"),"No Aplica")</f>
        <v>Fluctúa</v>
      </c>
      <c r="S1645" s="38">
        <v>54</v>
      </c>
      <c r="T1645" s="46">
        <v>5190641</v>
      </c>
      <c r="U1645" s="38">
        <v>120</v>
      </c>
      <c r="V1645" s="46">
        <v>11442269</v>
      </c>
      <c r="W1645" s="38">
        <v>35</v>
      </c>
      <c r="X1645" s="46">
        <v>3582301</v>
      </c>
      <c r="Y1645" s="46">
        <f t="shared" si="52"/>
        <v>3989882</v>
      </c>
      <c r="Z1645" s="19" t="s">
        <v>318</v>
      </c>
    </row>
    <row r="1646" spans="1:26" x14ac:dyDescent="0.25">
      <c r="A1646" s="20">
        <f>+VLOOKUP(D1646,Back!Q:R,2,0)</f>
        <v>10</v>
      </c>
      <c r="B1646" s="20" t="str">
        <f t="shared" si="51"/>
        <v>2018 OCT</v>
      </c>
      <c r="C1646" s="30">
        <v>2018</v>
      </c>
      <c r="D1646" s="30" t="s">
        <v>173</v>
      </c>
      <c r="E1646" s="30" t="s">
        <v>56</v>
      </c>
      <c r="F1646" s="30">
        <v>43971430</v>
      </c>
      <c r="G1646" s="30" t="s">
        <v>142</v>
      </c>
      <c r="H1646" s="32">
        <v>59719491</v>
      </c>
      <c r="I1646" s="32">
        <v>1094100</v>
      </c>
      <c r="J1646" s="32">
        <v>13533361</v>
      </c>
      <c r="K1646" s="33">
        <v>45092030</v>
      </c>
      <c r="L1646" s="33">
        <v>37153855</v>
      </c>
      <c r="M1646" s="34">
        <v>1.2136568331872963</v>
      </c>
      <c r="N1646" s="209" t="str">
        <f>IFERROR(VLOOKUP(F1646,Back!C:F,4,0),"NO")</f>
        <v>Si</v>
      </c>
      <c r="O1646" s="26">
        <v>26</v>
      </c>
      <c r="P1646" s="28" t="str">
        <f>IFERROR(VLOOKUP(F1646,Back!C:E,3,0),"")</f>
        <v>IPS Pto De Vista Centro</v>
      </c>
      <c r="Q1646" s="28" t="str">
        <f>IFERROR(VLOOKUP(P1646,Back!M:N,2,0),"")</f>
        <v>Antioquia</v>
      </c>
      <c r="R1646" s="27" t="str">
        <f>IF(N1646="Si",IFERROR(VLOOKUP(F1646,'TD Cumpl'!B:AB,27,0),"No Aplica"),"No Aplica")</f>
        <v>Siempre Cumple</v>
      </c>
      <c r="S1646" s="38">
        <v>100</v>
      </c>
      <c r="T1646" s="46">
        <v>10941505</v>
      </c>
      <c r="U1646" s="38">
        <v>276</v>
      </c>
      <c r="V1646" s="46">
        <v>30274179</v>
      </c>
      <c r="W1646" s="38">
        <v>127</v>
      </c>
      <c r="X1646" s="46">
        <v>13533361</v>
      </c>
      <c r="Y1646" s="46">
        <f t="shared" si="52"/>
        <v>4970446</v>
      </c>
      <c r="Z1646" s="19" t="s">
        <v>317</v>
      </c>
    </row>
    <row r="1647" spans="1:26" x14ac:dyDescent="0.25">
      <c r="A1647" s="20">
        <f>+VLOOKUP(D1647,Back!Q:R,2,0)</f>
        <v>10</v>
      </c>
      <c r="B1647" s="20" t="str">
        <f t="shared" si="51"/>
        <v>2018 OCT</v>
      </c>
      <c r="C1647" s="30">
        <v>2018</v>
      </c>
      <c r="D1647" s="30" t="s">
        <v>173</v>
      </c>
      <c r="E1647" s="30" t="s">
        <v>34</v>
      </c>
      <c r="F1647" s="30">
        <v>43554403</v>
      </c>
      <c r="G1647" s="30" t="s">
        <v>35</v>
      </c>
      <c r="H1647" s="32">
        <v>61840803</v>
      </c>
      <c r="I1647" s="32">
        <v>1963200</v>
      </c>
      <c r="J1647" s="32">
        <v>10868367</v>
      </c>
      <c r="K1647" s="33">
        <v>49009236</v>
      </c>
      <c r="L1647" s="33">
        <v>42000010</v>
      </c>
      <c r="M1647" s="34">
        <v>1.1668862935985016</v>
      </c>
      <c r="N1647" s="209" t="str">
        <f>IFERROR(VLOOKUP(F1647,Back!C:F,4,0),"NO")</f>
        <v>Si</v>
      </c>
      <c r="O1647" s="26">
        <v>26</v>
      </c>
      <c r="P1647" s="28" t="str">
        <f>IFERROR(VLOOKUP(F1647,Back!C:E,3,0),"")</f>
        <v>IPS Pto De Vista Centro</v>
      </c>
      <c r="Q1647" s="28" t="str">
        <f>IFERROR(VLOOKUP(P1647,Back!M:N,2,0),"")</f>
        <v>Antioquia</v>
      </c>
      <c r="R1647" s="27" t="str">
        <f>IF(N1647="Si",IFERROR(VLOOKUP(F1647,'TD Cumpl'!B:AB,27,0),"No Aplica"),"No Aplica")</f>
        <v>Siempre Cumple</v>
      </c>
      <c r="S1647" s="38">
        <v>102</v>
      </c>
      <c r="T1647" s="46">
        <v>11011276</v>
      </c>
      <c r="U1647" s="38">
        <v>232</v>
      </c>
      <c r="V1647" s="46">
        <v>29105028</v>
      </c>
      <c r="W1647" s="38">
        <v>113</v>
      </c>
      <c r="X1647" s="46">
        <v>10868367</v>
      </c>
      <c r="Y1647" s="46">
        <f t="shared" si="52"/>
        <v>10856132</v>
      </c>
      <c r="Z1647" s="19" t="s">
        <v>318</v>
      </c>
    </row>
    <row r="1648" spans="1:26" x14ac:dyDescent="0.25">
      <c r="A1648" s="20">
        <f>+VLOOKUP(D1648,Back!Q:R,2,0)</f>
        <v>10</v>
      </c>
      <c r="B1648" s="20" t="str">
        <f t="shared" si="51"/>
        <v>2018 OCT</v>
      </c>
      <c r="C1648" s="30">
        <v>2018</v>
      </c>
      <c r="D1648" s="30" t="s">
        <v>173</v>
      </c>
      <c r="E1648" s="30" t="s">
        <v>101</v>
      </c>
      <c r="F1648" s="30">
        <v>21428423</v>
      </c>
      <c r="G1648" s="30" t="s">
        <v>154</v>
      </c>
      <c r="H1648" s="32">
        <v>57124175</v>
      </c>
      <c r="I1648" s="32">
        <v>1512240</v>
      </c>
      <c r="J1648" s="32">
        <v>10489750</v>
      </c>
      <c r="K1648" s="33">
        <v>45122185</v>
      </c>
      <c r="L1648" s="33">
        <v>42000010</v>
      </c>
      <c r="M1648" s="34">
        <v>1.0743374823005996</v>
      </c>
      <c r="N1648" s="209" t="str">
        <f>IFERROR(VLOOKUP(F1648,Back!C:F,4,0),"NO")</f>
        <v>Si</v>
      </c>
      <c r="O1648" s="26">
        <v>26</v>
      </c>
      <c r="P1648" s="28" t="str">
        <f>IFERROR(VLOOKUP(F1648,Back!C:E,3,0),"")</f>
        <v>IPS Pto De Vista Centro</v>
      </c>
      <c r="Q1648" s="28" t="str">
        <f>IFERROR(VLOOKUP(P1648,Back!M:N,2,0),"")</f>
        <v>Antioquia</v>
      </c>
      <c r="R1648" s="27" t="str">
        <f>IF(N1648="Si",IFERROR(VLOOKUP(F1648,'TD Cumpl'!B:AB,27,0),"No Aplica"),"No Aplica")</f>
        <v>Fluctúa</v>
      </c>
      <c r="S1648" s="38">
        <v>119</v>
      </c>
      <c r="T1648" s="46">
        <v>10271226</v>
      </c>
      <c r="U1648" s="38">
        <v>280</v>
      </c>
      <c r="V1648" s="46">
        <v>28936117</v>
      </c>
      <c r="W1648" s="38">
        <v>106</v>
      </c>
      <c r="X1648" s="46">
        <v>10489750</v>
      </c>
      <c r="Y1648" s="46">
        <f t="shared" si="52"/>
        <v>7427082</v>
      </c>
      <c r="Z1648" s="19" t="s">
        <v>318</v>
      </c>
    </row>
    <row r="1649" spans="1:26" x14ac:dyDescent="0.25">
      <c r="A1649" s="20">
        <f>+VLOOKUP(D1649,Back!Q:R,2,0)</f>
        <v>10</v>
      </c>
      <c r="B1649" s="20" t="str">
        <f t="shared" si="51"/>
        <v>2018 OCT</v>
      </c>
      <c r="C1649" s="30">
        <v>2018</v>
      </c>
      <c r="D1649" s="30" t="s">
        <v>173</v>
      </c>
      <c r="E1649" s="30" t="s">
        <v>13</v>
      </c>
      <c r="F1649" s="30">
        <v>43866877</v>
      </c>
      <c r="G1649" s="30" t="s">
        <v>46</v>
      </c>
      <c r="H1649" s="32">
        <v>58849348</v>
      </c>
      <c r="I1649" s="32">
        <v>1365300</v>
      </c>
      <c r="J1649" s="32">
        <v>11222938</v>
      </c>
      <c r="K1649" s="33">
        <v>46261110</v>
      </c>
      <c r="L1649" s="33">
        <v>42000010</v>
      </c>
      <c r="M1649" s="34">
        <v>1.1014547377488719</v>
      </c>
      <c r="N1649" s="209" t="str">
        <f>IFERROR(VLOOKUP(F1649,Back!C:F,4,0),"NO")</f>
        <v>Si</v>
      </c>
      <c r="O1649" s="26">
        <v>26</v>
      </c>
      <c r="P1649" s="28" t="str">
        <f>IFERROR(VLOOKUP(F1649,Back!C:E,3,0),"")</f>
        <v>IPS Pto De Vista Centro</v>
      </c>
      <c r="Q1649" s="28" t="str">
        <f>IFERROR(VLOOKUP(P1649,Back!M:N,2,0),"")</f>
        <v>Antioquia</v>
      </c>
      <c r="R1649" s="27" t="str">
        <f>IF(N1649="Si",IFERROR(VLOOKUP(F1649,'TD Cumpl'!B:AB,27,0),"No Aplica"),"No Aplica")</f>
        <v>Siempre Cumple</v>
      </c>
      <c r="S1649" s="38">
        <v>95</v>
      </c>
      <c r="T1649" s="46">
        <v>10834984</v>
      </c>
      <c r="U1649" s="38">
        <v>233</v>
      </c>
      <c r="V1649" s="46">
        <v>28939585</v>
      </c>
      <c r="W1649" s="38">
        <v>118</v>
      </c>
      <c r="X1649" s="46">
        <v>11222938</v>
      </c>
      <c r="Y1649" s="46">
        <f t="shared" si="52"/>
        <v>7851841</v>
      </c>
      <c r="Z1649" s="19" t="s">
        <v>318</v>
      </c>
    </row>
    <row r="1650" spans="1:26" x14ac:dyDescent="0.25">
      <c r="A1650" s="20">
        <f>+VLOOKUP(D1650,Back!Q:R,2,0)</f>
        <v>10</v>
      </c>
      <c r="B1650" s="20" t="str">
        <f t="shared" si="51"/>
        <v>2018 OCT</v>
      </c>
      <c r="C1650" s="30">
        <v>2018</v>
      </c>
      <c r="D1650" s="30" t="s">
        <v>173</v>
      </c>
      <c r="E1650" s="30" t="s">
        <v>269</v>
      </c>
      <c r="F1650" s="30">
        <v>1001131473</v>
      </c>
      <c r="G1650" s="30" t="s">
        <v>331</v>
      </c>
      <c r="H1650" s="32">
        <v>56518550</v>
      </c>
      <c r="I1650" s="32">
        <v>1617300</v>
      </c>
      <c r="J1650" s="32">
        <v>10025565</v>
      </c>
      <c r="K1650" s="33">
        <v>44875685</v>
      </c>
      <c r="L1650" s="33">
        <v>42000010</v>
      </c>
      <c r="M1650" s="34">
        <v>1.0684684360789438</v>
      </c>
      <c r="N1650" s="209" t="str">
        <f>IFERROR(VLOOKUP(F1650,Back!C:F,4,0),"NO")</f>
        <v>Si</v>
      </c>
      <c r="O1650" s="26">
        <v>26</v>
      </c>
      <c r="P1650" s="28" t="str">
        <f>IFERROR(VLOOKUP(F1650,Back!C:E,3,0),"")</f>
        <v>IPS Pto De Vista Centro</v>
      </c>
      <c r="Q1650" s="28" t="str">
        <f>IFERROR(VLOOKUP(P1650,Back!M:N,2,0),"")</f>
        <v>Antioquia</v>
      </c>
      <c r="R1650" s="27" t="str">
        <f>IF(N1650="Si",IFERROR(VLOOKUP(F1650,'TD Cumpl'!B:AB,27,0),"No Aplica"),"No Aplica")</f>
        <v>No Cumple</v>
      </c>
      <c r="S1650" s="38">
        <v>92</v>
      </c>
      <c r="T1650" s="46">
        <v>10602683</v>
      </c>
      <c r="U1650" s="38">
        <v>236</v>
      </c>
      <c r="V1650" s="46">
        <v>27595138</v>
      </c>
      <c r="W1650" s="38">
        <v>109</v>
      </c>
      <c r="X1650" s="46">
        <v>10025565</v>
      </c>
      <c r="Y1650" s="46">
        <f t="shared" si="52"/>
        <v>8295164</v>
      </c>
      <c r="Z1650" s="19" t="s">
        <v>318</v>
      </c>
    </row>
    <row r="1651" spans="1:26" x14ac:dyDescent="0.25">
      <c r="A1651" s="20">
        <f>+VLOOKUP(D1651,Back!Q:R,2,0)</f>
        <v>10</v>
      </c>
      <c r="B1651" s="20" t="str">
        <f t="shared" si="51"/>
        <v>2018 OCT</v>
      </c>
      <c r="C1651" s="30">
        <v>2018</v>
      </c>
      <c r="D1651" s="30" t="s">
        <v>173</v>
      </c>
      <c r="E1651" s="30" t="s">
        <v>181</v>
      </c>
      <c r="F1651" s="30">
        <v>32183069</v>
      </c>
      <c r="G1651" s="30" t="s">
        <v>182</v>
      </c>
      <c r="H1651" s="32">
        <v>49367957</v>
      </c>
      <c r="I1651" s="32">
        <v>2278200</v>
      </c>
      <c r="J1651" s="32">
        <v>10086185</v>
      </c>
      <c r="K1651" s="33">
        <v>37003572</v>
      </c>
      <c r="L1651" s="33">
        <v>43769239</v>
      </c>
      <c r="M1651" s="34">
        <v>0.84542415736311982</v>
      </c>
      <c r="N1651" s="209" t="str">
        <f>IFERROR(VLOOKUP(F1651,Back!C:F,4,0),"NO")</f>
        <v>Si</v>
      </c>
      <c r="O1651" s="26">
        <v>26</v>
      </c>
      <c r="P1651" s="28" t="str">
        <f>IFERROR(VLOOKUP(F1651,Back!C:E,3,0),"")</f>
        <v>IPS Pto De Vista Molinos</v>
      </c>
      <c r="Q1651" s="28" t="str">
        <f>IFERROR(VLOOKUP(P1651,Back!M:N,2,0),"")</f>
        <v>Antioquia</v>
      </c>
      <c r="R1651" s="27" t="str">
        <f>IF(N1651="Si",IFERROR(VLOOKUP(F1651,'TD Cumpl'!B:AB,27,0),"No Aplica"),"No Aplica")</f>
        <v>No Cumple</v>
      </c>
      <c r="S1651" s="38">
        <v>91</v>
      </c>
      <c r="T1651" s="46">
        <v>8384997</v>
      </c>
      <c r="U1651" s="38">
        <v>242</v>
      </c>
      <c r="V1651" s="46">
        <v>23154419</v>
      </c>
      <c r="W1651" s="38">
        <v>89</v>
      </c>
      <c r="X1651" s="46">
        <v>10086185</v>
      </c>
      <c r="Y1651" s="46">
        <f t="shared" si="52"/>
        <v>7742356</v>
      </c>
      <c r="Z1651" s="19" t="s">
        <v>318</v>
      </c>
    </row>
    <row r="1652" spans="1:26" x14ac:dyDescent="0.25">
      <c r="A1652" s="20">
        <f>+VLOOKUP(D1652,Back!Q:R,2,0)</f>
        <v>10</v>
      </c>
      <c r="B1652" s="20" t="str">
        <f t="shared" si="51"/>
        <v>2018 OCT</v>
      </c>
      <c r="C1652" s="30">
        <v>2018</v>
      </c>
      <c r="D1652" s="30" t="s">
        <v>173</v>
      </c>
      <c r="E1652" s="30" t="s">
        <v>265</v>
      </c>
      <c r="F1652" s="30">
        <v>39175639</v>
      </c>
      <c r="G1652" s="30" t="s">
        <v>268</v>
      </c>
      <c r="H1652" s="32">
        <v>42995030</v>
      </c>
      <c r="I1652" s="32">
        <v>1357700</v>
      </c>
      <c r="J1652" s="32">
        <v>9055769</v>
      </c>
      <c r="K1652" s="33">
        <v>32581561</v>
      </c>
      <c r="L1652" s="33">
        <v>42000010</v>
      </c>
      <c r="M1652" s="34">
        <v>0.77575126767826963</v>
      </c>
      <c r="N1652" s="209" t="str">
        <f>IFERROR(VLOOKUP(F1652,Back!C:F,4,0),"NO")</f>
        <v>Si</v>
      </c>
      <c r="O1652" s="26">
        <v>26</v>
      </c>
      <c r="P1652" s="28" t="str">
        <f>IFERROR(VLOOKUP(F1652,Back!C:E,3,0),"")</f>
        <v>IPS Pto De Vista Centro</v>
      </c>
      <c r="Q1652" s="28" t="str">
        <f>IFERROR(VLOOKUP(P1652,Back!M:N,2,0),"")</f>
        <v>Antioquia</v>
      </c>
      <c r="R1652" s="27" t="str">
        <f>IF(N1652="Si",IFERROR(VLOOKUP(F1652,'TD Cumpl'!B:AB,27,0),"No Aplica"),"No Aplica")</f>
        <v>Fluctúa</v>
      </c>
      <c r="S1652" s="38">
        <v>78</v>
      </c>
      <c r="T1652" s="46">
        <v>8044941</v>
      </c>
      <c r="U1652" s="38">
        <v>180</v>
      </c>
      <c r="V1652" s="46">
        <v>19990649</v>
      </c>
      <c r="W1652" s="38">
        <v>95</v>
      </c>
      <c r="X1652" s="46">
        <v>9055769</v>
      </c>
      <c r="Y1652" s="46">
        <f t="shared" si="52"/>
        <v>5903671</v>
      </c>
      <c r="Z1652" s="19" t="s">
        <v>318</v>
      </c>
    </row>
    <row r="1653" spans="1:26" x14ac:dyDescent="0.25">
      <c r="A1653" s="20">
        <f>+VLOOKUP(D1653,Back!Q:R,2,0)</f>
        <v>10</v>
      </c>
      <c r="B1653" s="20" t="str">
        <f t="shared" si="51"/>
        <v>2018 OCT</v>
      </c>
      <c r="C1653" s="30">
        <v>2018</v>
      </c>
      <c r="D1653" s="30" t="s">
        <v>173</v>
      </c>
      <c r="E1653" s="30" t="s">
        <v>177</v>
      </c>
      <c r="F1653" s="30">
        <v>1035913369</v>
      </c>
      <c r="G1653" s="30" t="s">
        <v>183</v>
      </c>
      <c r="H1653" s="32">
        <v>37455127</v>
      </c>
      <c r="I1653" s="32">
        <v>1026000</v>
      </c>
      <c r="J1653" s="32">
        <v>9606197</v>
      </c>
      <c r="K1653" s="33">
        <v>26822930</v>
      </c>
      <c r="L1653" s="33">
        <v>42000010</v>
      </c>
      <c r="M1653" s="34">
        <v>0.63864103841880038</v>
      </c>
      <c r="N1653" s="209" t="str">
        <f>IFERROR(VLOOKUP(F1653,Back!C:F,4,0),"NO")</f>
        <v>Si</v>
      </c>
      <c r="O1653" s="26">
        <v>26</v>
      </c>
      <c r="P1653" s="28" t="str">
        <f>IFERROR(VLOOKUP(F1653,Back!C:E,3,0),"")</f>
        <v>IPS Pto De Vista Centro</v>
      </c>
      <c r="Q1653" s="28" t="str">
        <f>IFERROR(VLOOKUP(P1653,Back!M:N,2,0),"")</f>
        <v>Antioquia</v>
      </c>
      <c r="R1653" s="27" t="str">
        <f>IF(N1653="Si",IFERROR(VLOOKUP(F1653,'TD Cumpl'!B:AB,27,0),"No Aplica"),"No Aplica")</f>
        <v>Fluctúa</v>
      </c>
      <c r="S1653" s="38">
        <v>68</v>
      </c>
      <c r="T1653" s="46">
        <v>5647181</v>
      </c>
      <c r="U1653" s="38">
        <v>170</v>
      </c>
      <c r="V1653" s="46">
        <v>17552147</v>
      </c>
      <c r="W1653" s="38">
        <v>101</v>
      </c>
      <c r="X1653" s="46">
        <v>9606197</v>
      </c>
      <c r="Y1653" s="46">
        <f t="shared" si="52"/>
        <v>4649602</v>
      </c>
      <c r="Z1653" s="19" t="s">
        <v>318</v>
      </c>
    </row>
    <row r="1654" spans="1:26" x14ac:dyDescent="0.25">
      <c r="A1654" s="20">
        <f>+VLOOKUP(D1654,Back!Q:R,2,0)</f>
        <v>10</v>
      </c>
      <c r="B1654" s="20" t="str">
        <f t="shared" si="51"/>
        <v>2018 OCT</v>
      </c>
      <c r="C1654" s="30">
        <v>2018</v>
      </c>
      <c r="D1654" s="30" t="s">
        <v>173</v>
      </c>
      <c r="E1654" s="30" t="s">
        <v>23</v>
      </c>
      <c r="F1654" s="30">
        <v>43907427</v>
      </c>
      <c r="G1654" s="30" t="s">
        <v>144</v>
      </c>
      <c r="H1654" s="32">
        <v>41714539</v>
      </c>
      <c r="I1654" s="32">
        <v>198990</v>
      </c>
      <c r="J1654" s="32">
        <v>5190239</v>
      </c>
      <c r="K1654" s="33">
        <v>36325310</v>
      </c>
      <c r="L1654" s="33">
        <v>16923082</v>
      </c>
      <c r="M1654" s="34">
        <v>2.1464949469606069</v>
      </c>
      <c r="N1654" s="209" t="str">
        <f>IFERROR(VLOOKUP(F1654,Back!C:F,4,0),"NO")</f>
        <v>Si</v>
      </c>
      <c r="O1654" s="26">
        <v>26</v>
      </c>
      <c r="P1654" s="28" t="str">
        <f>IFERROR(VLOOKUP(F1654,Back!C:E,3,0),"")</f>
        <v>IPS Pto De Vista Industriales</v>
      </c>
      <c r="Q1654" s="28" t="str">
        <f>IFERROR(VLOOKUP(P1654,Back!M:N,2,0),"")</f>
        <v>Antioquia</v>
      </c>
      <c r="R1654" s="27" t="str">
        <f>IF(N1654="Si",IFERROR(VLOOKUP(F1654,'TD Cumpl'!B:AB,27,0),"No Aplica"),"No Aplica")</f>
        <v>Siempre Cumple</v>
      </c>
      <c r="S1654" s="38">
        <v>35</v>
      </c>
      <c r="T1654" s="46">
        <v>6589068</v>
      </c>
      <c r="U1654" s="38">
        <v>128</v>
      </c>
      <c r="V1654" s="46">
        <v>24707596</v>
      </c>
      <c r="W1654" s="38">
        <v>53</v>
      </c>
      <c r="X1654" s="46">
        <v>5190239</v>
      </c>
      <c r="Y1654" s="46">
        <f t="shared" si="52"/>
        <v>5227636</v>
      </c>
      <c r="Z1654" s="19" t="s">
        <v>317</v>
      </c>
    </row>
    <row r="1655" spans="1:26" x14ac:dyDescent="0.25">
      <c r="A1655" s="20">
        <f>+VLOOKUP(D1655,Back!Q:R,2,0)</f>
        <v>10</v>
      </c>
      <c r="B1655" s="20" t="str">
        <f t="shared" si="51"/>
        <v>2018 OCT</v>
      </c>
      <c r="C1655" s="30">
        <v>2018</v>
      </c>
      <c r="D1655" s="30" t="s">
        <v>173</v>
      </c>
      <c r="E1655" s="30" t="s">
        <v>66</v>
      </c>
      <c r="F1655" s="30">
        <v>3438422</v>
      </c>
      <c r="G1655" s="30" t="s">
        <v>71</v>
      </c>
      <c r="H1655" s="32">
        <v>58379443</v>
      </c>
      <c r="I1655" s="32">
        <v>799800</v>
      </c>
      <c r="J1655" s="32">
        <v>9863462</v>
      </c>
      <c r="K1655" s="33">
        <v>47716181</v>
      </c>
      <c r="L1655" s="33">
        <v>44000008</v>
      </c>
      <c r="M1655" s="34">
        <v>1.0844584619166433</v>
      </c>
      <c r="N1655" s="209" t="str">
        <f>IFERROR(VLOOKUP(F1655,Back!C:F,4,0),"NO")</f>
        <v>Si</v>
      </c>
      <c r="O1655" s="26">
        <v>26</v>
      </c>
      <c r="P1655" s="28" t="str">
        <f>IFERROR(VLOOKUP(F1655,Back!C:E,3,0),"")</f>
        <v>IPS Pto De Vista Punto Clave</v>
      </c>
      <c r="Q1655" s="28" t="str">
        <f>IFERROR(VLOOKUP(P1655,Back!M:N,2,0),"")</f>
        <v>Antioquia</v>
      </c>
      <c r="R1655" s="27" t="str">
        <f>IF(N1655="Si",IFERROR(VLOOKUP(F1655,'TD Cumpl'!B:AB,27,0),"No Aplica"),"No Aplica")</f>
        <v>Fluctúa</v>
      </c>
      <c r="S1655" s="38">
        <v>87</v>
      </c>
      <c r="T1655" s="46">
        <v>9326376</v>
      </c>
      <c r="U1655" s="38">
        <v>220</v>
      </c>
      <c r="V1655" s="46">
        <v>28479585</v>
      </c>
      <c r="W1655" s="38">
        <v>96</v>
      </c>
      <c r="X1655" s="46">
        <v>9863462</v>
      </c>
      <c r="Y1655" s="46">
        <f t="shared" si="52"/>
        <v>10710020</v>
      </c>
      <c r="Z1655" s="19" t="s">
        <v>318</v>
      </c>
    </row>
    <row r="1656" spans="1:26" x14ac:dyDescent="0.25">
      <c r="A1656" s="20">
        <f>+VLOOKUP(D1656,Back!Q:R,2,0)</f>
        <v>10</v>
      </c>
      <c r="B1656" s="20" t="str">
        <f t="shared" si="51"/>
        <v>2018 OCT</v>
      </c>
      <c r="C1656" s="30">
        <v>2018</v>
      </c>
      <c r="D1656" s="30" t="s">
        <v>173</v>
      </c>
      <c r="E1656" s="30" t="s">
        <v>166</v>
      </c>
      <c r="F1656" s="30">
        <v>1020451288</v>
      </c>
      <c r="G1656" s="30" t="s">
        <v>167</v>
      </c>
      <c r="H1656" s="32">
        <v>57313112</v>
      </c>
      <c r="I1656" s="32">
        <v>864000</v>
      </c>
      <c r="J1656" s="32">
        <v>9267204</v>
      </c>
      <c r="K1656" s="33">
        <v>47181908</v>
      </c>
      <c r="L1656" s="33">
        <v>44000008</v>
      </c>
      <c r="M1656" s="34">
        <v>1.0723158959425643</v>
      </c>
      <c r="N1656" s="209" t="str">
        <f>IFERROR(VLOOKUP(F1656,Back!C:F,4,0),"NO")</f>
        <v>Si</v>
      </c>
      <c r="O1656" s="26">
        <v>26</v>
      </c>
      <c r="P1656" s="28" t="str">
        <f>IFERROR(VLOOKUP(F1656,Back!C:E,3,0),"")</f>
        <v>IPS Pto De Vista Punto Clave</v>
      </c>
      <c r="Q1656" s="28" t="str">
        <f>IFERROR(VLOOKUP(P1656,Back!M:N,2,0),"")</f>
        <v>Antioquia</v>
      </c>
      <c r="R1656" s="27" t="str">
        <f>IF(N1656="Si",IFERROR(VLOOKUP(F1656,'TD Cumpl'!B:AB,27,0),"No Aplica"),"No Aplica")</f>
        <v>Cumple</v>
      </c>
      <c r="S1656" s="38">
        <v>96</v>
      </c>
      <c r="T1656" s="46">
        <v>9793883</v>
      </c>
      <c r="U1656" s="38">
        <v>256</v>
      </c>
      <c r="V1656" s="46">
        <v>28723179</v>
      </c>
      <c r="W1656" s="38">
        <v>96</v>
      </c>
      <c r="X1656" s="46">
        <v>9267204</v>
      </c>
      <c r="Y1656" s="46">
        <f t="shared" si="52"/>
        <v>9528846</v>
      </c>
      <c r="Z1656" s="19" t="s">
        <v>318</v>
      </c>
    </row>
    <row r="1657" spans="1:26" x14ac:dyDescent="0.25">
      <c r="A1657" s="20">
        <f>+VLOOKUP(D1657,Back!Q:R,2,0)</f>
        <v>10</v>
      </c>
      <c r="B1657" s="20" t="str">
        <f t="shared" si="51"/>
        <v>2018 OCT</v>
      </c>
      <c r="C1657" s="30">
        <v>2018</v>
      </c>
      <c r="D1657" s="30" t="s">
        <v>173</v>
      </c>
      <c r="E1657" s="30" t="s">
        <v>108</v>
      </c>
      <c r="F1657" s="30">
        <v>1020443426</v>
      </c>
      <c r="G1657" s="30" t="s">
        <v>109</v>
      </c>
      <c r="H1657" s="32">
        <v>16957780</v>
      </c>
      <c r="I1657" s="32">
        <v>442200</v>
      </c>
      <c r="J1657" s="32">
        <v>1653656</v>
      </c>
      <c r="K1657" s="33">
        <v>14861924</v>
      </c>
      <c r="L1657" s="33">
        <v>25384620</v>
      </c>
      <c r="M1657" s="34">
        <v>0.58546962688431026</v>
      </c>
      <c r="N1657" s="209" t="str">
        <f>IFERROR(VLOOKUP(F1657,Back!C:F,4,0),"NO")</f>
        <v>Si</v>
      </c>
      <c r="O1657" s="26">
        <v>26</v>
      </c>
      <c r="P1657" s="28" t="str">
        <f>IFERROR(VLOOKUP(F1657,Back!C:E,3,0),"")</f>
        <v>IPS Pto De Vista San Diego</v>
      </c>
      <c r="Q1657" s="28" t="str">
        <f>IFERROR(VLOOKUP(P1657,Back!M:N,2,0),"")</f>
        <v>Antioquia</v>
      </c>
      <c r="R1657" s="27" t="str">
        <f>IF(N1657="Si",IFERROR(VLOOKUP(F1657,'TD Cumpl'!B:AB,27,0),"No Aplica"),"No Aplica")</f>
        <v>Fluctúa</v>
      </c>
      <c r="S1657" s="38">
        <v>37</v>
      </c>
      <c r="T1657" s="46">
        <v>3796539</v>
      </c>
      <c r="U1657" s="38">
        <v>88</v>
      </c>
      <c r="V1657" s="46">
        <v>9672940</v>
      </c>
      <c r="W1657" s="38">
        <v>16</v>
      </c>
      <c r="X1657" s="46">
        <v>1653656</v>
      </c>
      <c r="Y1657" s="46">
        <f t="shared" si="52"/>
        <v>1834645</v>
      </c>
      <c r="Z1657" s="19" t="s">
        <v>317</v>
      </c>
    </row>
    <row r="1658" spans="1:26" x14ac:dyDescent="0.25">
      <c r="A1658" s="20">
        <f>+VLOOKUP(D1658,Back!Q:R,2,0)</f>
        <v>10</v>
      </c>
      <c r="B1658" s="20" t="str">
        <f t="shared" si="51"/>
        <v>2018 OCT</v>
      </c>
      <c r="C1658" s="30">
        <v>2018</v>
      </c>
      <c r="D1658" s="30" t="s">
        <v>173</v>
      </c>
      <c r="E1658" s="30" t="s">
        <v>57</v>
      </c>
      <c r="F1658" s="30">
        <v>43874518</v>
      </c>
      <c r="G1658" s="30" t="s">
        <v>60</v>
      </c>
      <c r="H1658" s="32">
        <v>58592700</v>
      </c>
      <c r="I1658" s="32">
        <v>3742200</v>
      </c>
      <c r="J1658" s="32">
        <v>9754591</v>
      </c>
      <c r="K1658" s="33">
        <v>45095909</v>
      </c>
      <c r="L1658" s="33">
        <v>44000008</v>
      </c>
      <c r="M1658" s="34">
        <v>1.0249068363805751</v>
      </c>
      <c r="N1658" s="209" t="str">
        <f>IFERROR(VLOOKUP(F1658,Back!C:F,4,0),"NO")</f>
        <v>Si</v>
      </c>
      <c r="O1658" s="26">
        <v>26</v>
      </c>
      <c r="P1658" s="28" t="str">
        <f>IFERROR(VLOOKUP(F1658,Back!C:E,3,0),"")</f>
        <v>IPS Pto De Vista Punto Clave</v>
      </c>
      <c r="Q1658" s="28" t="str">
        <f>IFERROR(VLOOKUP(P1658,Back!M:N,2,0),"")</f>
        <v>Antioquia</v>
      </c>
      <c r="R1658" s="27" t="str">
        <f>IF(N1658="Si",IFERROR(VLOOKUP(F1658,'TD Cumpl'!B:AB,27,0),"No Aplica"),"No Aplica")</f>
        <v>Fluctúa</v>
      </c>
      <c r="S1658" s="38">
        <v>100</v>
      </c>
      <c r="T1658" s="46">
        <v>9755973</v>
      </c>
      <c r="U1658" s="38">
        <v>254</v>
      </c>
      <c r="V1658" s="46">
        <v>27976834</v>
      </c>
      <c r="W1658" s="38">
        <v>96</v>
      </c>
      <c r="X1658" s="46">
        <v>9647062</v>
      </c>
      <c r="Y1658" s="46">
        <f t="shared" si="52"/>
        <v>11212831</v>
      </c>
      <c r="Z1658" s="19" t="s">
        <v>318</v>
      </c>
    </row>
    <row r="1659" spans="1:26" x14ac:dyDescent="0.25">
      <c r="A1659" s="20">
        <f>+VLOOKUP(D1659,Back!Q:R,2,0)</f>
        <v>10</v>
      </c>
      <c r="B1659" s="20" t="str">
        <f t="shared" si="51"/>
        <v>2018 OCT</v>
      </c>
      <c r="C1659" s="30">
        <v>2018</v>
      </c>
      <c r="D1659" s="30" t="s">
        <v>173</v>
      </c>
      <c r="E1659" s="30" t="s">
        <v>64</v>
      </c>
      <c r="F1659" s="30">
        <v>1036598360</v>
      </c>
      <c r="G1659" s="30" t="s">
        <v>146</v>
      </c>
      <c r="H1659" s="32">
        <v>57116544</v>
      </c>
      <c r="I1659" s="32">
        <v>766200</v>
      </c>
      <c r="J1659" s="32">
        <v>8684376</v>
      </c>
      <c r="K1659" s="33">
        <v>47665968</v>
      </c>
      <c r="L1659" s="33">
        <v>44000008</v>
      </c>
      <c r="M1659" s="34">
        <v>1.0833172575786805</v>
      </c>
      <c r="N1659" s="209" t="str">
        <f>IFERROR(VLOOKUP(F1659,Back!C:F,4,0),"NO")</f>
        <v>Si</v>
      </c>
      <c r="O1659" s="26">
        <v>26</v>
      </c>
      <c r="P1659" s="28" t="str">
        <f>IFERROR(VLOOKUP(F1659,Back!C:E,3,0),"")</f>
        <v>IPS Pto De Vista Punto Clave</v>
      </c>
      <c r="Q1659" s="28" t="str">
        <f>IFERROR(VLOOKUP(P1659,Back!M:N,2,0),"")</f>
        <v>Antioquia</v>
      </c>
      <c r="R1659" s="27" t="str">
        <f>IF(N1659="Si",IFERROR(VLOOKUP(F1659,'TD Cumpl'!B:AB,27,0),"No Aplica"),"No Aplica")</f>
        <v>Fluctúa</v>
      </c>
      <c r="S1659" s="38">
        <v>84</v>
      </c>
      <c r="T1659" s="46">
        <v>10889959</v>
      </c>
      <c r="U1659" s="38">
        <v>233</v>
      </c>
      <c r="V1659" s="46">
        <v>29735079</v>
      </c>
      <c r="W1659" s="38">
        <v>90</v>
      </c>
      <c r="X1659" s="46">
        <v>8684376</v>
      </c>
      <c r="Y1659" s="46">
        <f t="shared" si="52"/>
        <v>7807130</v>
      </c>
      <c r="Z1659" s="19" t="s">
        <v>318</v>
      </c>
    </row>
    <row r="1660" spans="1:26" x14ac:dyDescent="0.25">
      <c r="A1660" s="20">
        <f>+VLOOKUP(D1660,Back!Q:R,2,0)</f>
        <v>10</v>
      </c>
      <c r="B1660" s="20" t="str">
        <f t="shared" si="51"/>
        <v>2018 OCT</v>
      </c>
      <c r="C1660" s="30">
        <v>2018</v>
      </c>
      <c r="D1660" s="30" t="s">
        <v>173</v>
      </c>
      <c r="E1660" s="30" t="s">
        <v>261</v>
      </c>
      <c r="F1660" s="30">
        <v>1020425089</v>
      </c>
      <c r="G1660" s="30" t="s">
        <v>271</v>
      </c>
      <c r="H1660" s="32">
        <v>61566824</v>
      </c>
      <c r="I1660" s="32">
        <v>887250</v>
      </c>
      <c r="J1660" s="32">
        <v>13463033</v>
      </c>
      <c r="K1660" s="33">
        <v>47216541</v>
      </c>
      <c r="L1660" s="33">
        <v>44000008</v>
      </c>
      <c r="M1660" s="34">
        <v>1.0731030094358165</v>
      </c>
      <c r="N1660" s="209" t="str">
        <f>IFERROR(VLOOKUP(F1660,Back!C:F,4,0),"NO")</f>
        <v>Si</v>
      </c>
      <c r="O1660" s="26">
        <v>26</v>
      </c>
      <c r="P1660" s="28" t="str">
        <f>IFERROR(VLOOKUP(F1660,Back!C:E,3,0),"")</f>
        <v>IPS Pto De Vista Punto Clave</v>
      </c>
      <c r="Q1660" s="28" t="str">
        <f>IFERROR(VLOOKUP(P1660,Back!M:N,2,0),"")</f>
        <v>Antioquia</v>
      </c>
      <c r="R1660" s="27" t="str">
        <f>IF(N1660="Si",IFERROR(VLOOKUP(F1660,'TD Cumpl'!B:AB,27,0),"No Aplica"),"No Aplica")</f>
        <v>Cumple</v>
      </c>
      <c r="S1660" s="38">
        <v>109</v>
      </c>
      <c r="T1660" s="46">
        <v>9751195</v>
      </c>
      <c r="U1660" s="38">
        <v>308</v>
      </c>
      <c r="V1660" s="46">
        <v>31575564</v>
      </c>
      <c r="W1660" s="38">
        <v>133</v>
      </c>
      <c r="X1660" s="46">
        <v>13463033</v>
      </c>
      <c r="Y1660" s="46">
        <f t="shared" si="52"/>
        <v>6777032</v>
      </c>
      <c r="Z1660" s="19" t="s">
        <v>318</v>
      </c>
    </row>
    <row r="1661" spans="1:26" x14ac:dyDescent="0.25">
      <c r="A1661" s="20">
        <f>+VLOOKUP(D1661,Back!Q:R,2,0)</f>
        <v>10</v>
      </c>
      <c r="B1661" s="20" t="str">
        <f t="shared" si="51"/>
        <v>2018 OCT</v>
      </c>
      <c r="C1661" s="30">
        <v>2018</v>
      </c>
      <c r="D1661" s="30" t="s">
        <v>173</v>
      </c>
      <c r="E1661" s="30" t="s">
        <v>90</v>
      </c>
      <c r="F1661" s="30">
        <v>1020419011</v>
      </c>
      <c r="G1661" s="30" t="s">
        <v>97</v>
      </c>
      <c r="H1661" s="32">
        <v>59490430</v>
      </c>
      <c r="I1661" s="32">
        <v>1067100</v>
      </c>
      <c r="J1661" s="32">
        <v>11476366</v>
      </c>
      <c r="K1661" s="33">
        <v>46946964</v>
      </c>
      <c r="L1661" s="33">
        <v>44000008</v>
      </c>
      <c r="M1661" s="34">
        <v>1.0669762605497708</v>
      </c>
      <c r="N1661" s="209" t="str">
        <f>IFERROR(VLOOKUP(F1661,Back!C:F,4,0),"NO")</f>
        <v>Si</v>
      </c>
      <c r="O1661" s="26">
        <v>26</v>
      </c>
      <c r="P1661" s="28" t="str">
        <f>IFERROR(VLOOKUP(F1661,Back!C:E,3,0),"")</f>
        <v>IPS Pto De Vista Punto Clave</v>
      </c>
      <c r="Q1661" s="28" t="str">
        <f>IFERROR(VLOOKUP(P1661,Back!M:N,2,0),"")</f>
        <v>Antioquia</v>
      </c>
      <c r="R1661" s="27" t="str">
        <f>IF(N1661="Si",IFERROR(VLOOKUP(F1661,'TD Cumpl'!B:AB,27,0),"No Aplica"),"No Aplica")</f>
        <v>Cumple</v>
      </c>
      <c r="S1661" s="38">
        <v>99</v>
      </c>
      <c r="T1661" s="46">
        <v>9047905</v>
      </c>
      <c r="U1661" s="38">
        <v>218</v>
      </c>
      <c r="V1661" s="46">
        <v>29219725</v>
      </c>
      <c r="W1661" s="38">
        <v>112</v>
      </c>
      <c r="X1661" s="46">
        <v>11476366</v>
      </c>
      <c r="Y1661" s="46">
        <f t="shared" si="52"/>
        <v>9746434</v>
      </c>
      <c r="Z1661" s="19" t="s">
        <v>318</v>
      </c>
    </row>
    <row r="1662" spans="1:26" x14ac:dyDescent="0.25">
      <c r="A1662" s="20">
        <f>+VLOOKUP(D1662,Back!Q:R,2,0)</f>
        <v>10</v>
      </c>
      <c r="B1662" s="20" t="str">
        <f t="shared" ref="B1662:B1725" si="53">MID(UPPER(C1662&amp;" "&amp;D1662),1,8)</f>
        <v>2018 OCT</v>
      </c>
      <c r="C1662" s="30">
        <v>2018</v>
      </c>
      <c r="D1662" s="30" t="s">
        <v>173</v>
      </c>
      <c r="E1662" s="30" t="s">
        <v>117</v>
      </c>
      <c r="F1662" s="30">
        <v>1020419615</v>
      </c>
      <c r="G1662" s="30" t="s">
        <v>118</v>
      </c>
      <c r="H1662" s="32">
        <v>72312305</v>
      </c>
      <c r="I1662" s="32">
        <v>486000</v>
      </c>
      <c r="J1662" s="32">
        <v>10158544</v>
      </c>
      <c r="K1662" s="33">
        <v>61667761</v>
      </c>
      <c r="L1662" s="33">
        <v>41692318</v>
      </c>
      <c r="M1662" s="34">
        <v>1.4791156730599628</v>
      </c>
      <c r="N1662" s="209" t="str">
        <f>IFERROR(VLOOKUP(F1662,Back!C:F,4,0),"NO")</f>
        <v>Si</v>
      </c>
      <c r="O1662" s="26">
        <v>26</v>
      </c>
      <c r="P1662" s="28" t="str">
        <f>IFERROR(VLOOKUP(F1662,Back!C:E,3,0),"")</f>
        <v>IPS Pto De Vista Punto Clave</v>
      </c>
      <c r="Q1662" s="28" t="str">
        <f>IFERROR(VLOOKUP(P1662,Back!M:N,2,0),"")</f>
        <v>Antioquia</v>
      </c>
      <c r="R1662" s="27" t="str">
        <f>IF(N1662="Si",IFERROR(VLOOKUP(F1662,'TD Cumpl'!B:AB,27,0),"No Aplica"),"No Aplica")</f>
        <v>Cumple</v>
      </c>
      <c r="S1662" s="38">
        <v>84</v>
      </c>
      <c r="T1662" s="46">
        <v>12304915</v>
      </c>
      <c r="U1662" s="38">
        <v>234</v>
      </c>
      <c r="V1662" s="46">
        <v>40668077</v>
      </c>
      <c r="W1662" s="38">
        <v>98</v>
      </c>
      <c r="X1662" s="46">
        <v>10158544</v>
      </c>
      <c r="Y1662" s="46">
        <f t="shared" si="52"/>
        <v>9180769</v>
      </c>
      <c r="Z1662" s="19" t="s">
        <v>318</v>
      </c>
    </row>
    <row r="1663" spans="1:26" x14ac:dyDescent="0.25">
      <c r="A1663" s="20">
        <f>+VLOOKUP(D1663,Back!Q:R,2,0)</f>
        <v>10</v>
      </c>
      <c r="B1663" s="20" t="str">
        <f t="shared" si="53"/>
        <v>2018 OCT</v>
      </c>
      <c r="C1663" s="30">
        <v>2018</v>
      </c>
      <c r="D1663" s="30" t="s">
        <v>173</v>
      </c>
      <c r="E1663" s="30" t="s">
        <v>6</v>
      </c>
      <c r="F1663" s="30">
        <v>43821410</v>
      </c>
      <c r="G1663" s="30" t="s">
        <v>40</v>
      </c>
      <c r="H1663" s="32">
        <v>88790448</v>
      </c>
      <c r="I1663" s="32">
        <v>1971000</v>
      </c>
      <c r="J1663" s="32">
        <v>12864079</v>
      </c>
      <c r="K1663" s="33">
        <v>73955369</v>
      </c>
      <c r="L1663" s="33">
        <v>44000008</v>
      </c>
      <c r="M1663" s="34">
        <v>1.6808035353084481</v>
      </c>
      <c r="N1663" s="209" t="str">
        <f>IFERROR(VLOOKUP(F1663,Back!C:F,4,0),"NO")</f>
        <v>Si</v>
      </c>
      <c r="O1663" s="26">
        <v>26</v>
      </c>
      <c r="P1663" s="28" t="str">
        <f>IFERROR(VLOOKUP(F1663,Back!C:E,3,0),"")</f>
        <v>IPS Pto De Vista Unicentro</v>
      </c>
      <c r="Q1663" s="28" t="str">
        <f>IFERROR(VLOOKUP(P1663,Back!M:N,2,0),"")</f>
        <v>Antioquia</v>
      </c>
      <c r="R1663" s="27" t="str">
        <f>IF(N1663="Si",IFERROR(VLOOKUP(F1663,'TD Cumpl'!B:AB,27,0),"No Aplica"),"No Aplica")</f>
        <v>Siempre Cumple</v>
      </c>
      <c r="S1663" s="38">
        <v>113</v>
      </c>
      <c r="T1663" s="46">
        <v>14716650</v>
      </c>
      <c r="U1663" s="38">
        <v>292</v>
      </c>
      <c r="V1663" s="46">
        <v>49326483</v>
      </c>
      <c r="W1663" s="38">
        <v>115</v>
      </c>
      <c r="X1663" s="46">
        <v>11385179</v>
      </c>
      <c r="Y1663" s="46">
        <f t="shared" si="52"/>
        <v>13362136</v>
      </c>
      <c r="Z1663" s="19" t="s">
        <v>318</v>
      </c>
    </row>
    <row r="1664" spans="1:26" x14ac:dyDescent="0.25">
      <c r="A1664" s="20">
        <f>+VLOOKUP(D1664,Back!Q:R,2,0)</f>
        <v>10</v>
      </c>
      <c r="B1664" s="20" t="str">
        <f t="shared" si="53"/>
        <v>2018 OCT</v>
      </c>
      <c r="C1664" s="30">
        <v>2018</v>
      </c>
      <c r="D1664" s="30" t="s">
        <v>173</v>
      </c>
      <c r="E1664" s="30" t="s">
        <v>21</v>
      </c>
      <c r="F1664" s="30">
        <v>1035417626</v>
      </c>
      <c r="G1664" s="30" t="s">
        <v>80</v>
      </c>
      <c r="H1664" s="32">
        <v>74550137</v>
      </c>
      <c r="I1664" s="32">
        <v>2009400</v>
      </c>
      <c r="J1664" s="32">
        <v>11827552</v>
      </c>
      <c r="K1664" s="33">
        <v>60713185</v>
      </c>
      <c r="L1664" s="33">
        <v>44000008</v>
      </c>
      <c r="M1664" s="34">
        <v>1.3798448627554796</v>
      </c>
      <c r="N1664" s="209" t="str">
        <f>IFERROR(VLOOKUP(F1664,Back!C:F,4,0),"NO")</f>
        <v>Si</v>
      </c>
      <c r="O1664" s="26">
        <v>26</v>
      </c>
      <c r="P1664" s="28" t="str">
        <f>IFERROR(VLOOKUP(F1664,Back!C:E,3,0),"")</f>
        <v>IPS Pto De Vista Unicentro</v>
      </c>
      <c r="Q1664" s="28" t="str">
        <f>IFERROR(VLOOKUP(P1664,Back!M:N,2,0),"")</f>
        <v>Antioquia</v>
      </c>
      <c r="R1664" s="27" t="str">
        <f>IF(N1664="Si",IFERROR(VLOOKUP(F1664,'TD Cumpl'!B:AB,27,0),"No Aplica"),"No Aplica")</f>
        <v>Cumple</v>
      </c>
      <c r="S1664" s="38">
        <v>107</v>
      </c>
      <c r="T1664" s="46">
        <v>13764024</v>
      </c>
      <c r="U1664" s="38">
        <v>268</v>
      </c>
      <c r="V1664" s="46">
        <v>41582945</v>
      </c>
      <c r="W1664" s="38">
        <v>124</v>
      </c>
      <c r="X1664" s="46">
        <v>11827552</v>
      </c>
      <c r="Y1664" s="46">
        <f t="shared" si="52"/>
        <v>7375616</v>
      </c>
      <c r="Z1664" s="19" t="s">
        <v>318</v>
      </c>
    </row>
    <row r="1665" spans="1:26" x14ac:dyDescent="0.25">
      <c r="A1665" s="20">
        <f>+VLOOKUP(D1665,Back!Q:R,2,0)</f>
        <v>10</v>
      </c>
      <c r="B1665" s="20" t="str">
        <f t="shared" si="53"/>
        <v>2018 OCT</v>
      </c>
      <c r="C1665" s="30">
        <v>2018</v>
      </c>
      <c r="D1665" s="30" t="s">
        <v>173</v>
      </c>
      <c r="E1665" s="30" t="s">
        <v>7</v>
      </c>
      <c r="F1665" s="30">
        <v>43745952</v>
      </c>
      <c r="G1665" s="30" t="s">
        <v>50</v>
      </c>
      <c r="H1665" s="32">
        <v>73440772</v>
      </c>
      <c r="I1665" s="32">
        <v>1764000</v>
      </c>
      <c r="J1665" s="32">
        <v>11599549</v>
      </c>
      <c r="K1665" s="33">
        <v>60077223</v>
      </c>
      <c r="L1665" s="33">
        <v>44000008</v>
      </c>
      <c r="M1665" s="34">
        <v>1.3653911835652393</v>
      </c>
      <c r="N1665" s="209" t="str">
        <f>IFERROR(VLOOKUP(F1665,Back!C:F,4,0),"NO")</f>
        <v>Si</v>
      </c>
      <c r="O1665" s="26">
        <v>26</v>
      </c>
      <c r="P1665" s="28" t="str">
        <f>IFERROR(VLOOKUP(F1665,Back!C:E,3,0),"")</f>
        <v>IPS Pto De Vista Unicentro</v>
      </c>
      <c r="Q1665" s="28" t="str">
        <f>IFERROR(VLOOKUP(P1665,Back!M:N,2,0),"")</f>
        <v>Antioquia</v>
      </c>
      <c r="R1665" s="27" t="str">
        <f>IF(N1665="Si",IFERROR(VLOOKUP(F1665,'TD Cumpl'!B:AB,27,0),"No Aplica"),"No Aplica")</f>
        <v>Siempre Cumple</v>
      </c>
      <c r="S1665" s="38">
        <v>116</v>
      </c>
      <c r="T1665" s="46">
        <v>13902282</v>
      </c>
      <c r="U1665" s="38">
        <v>268</v>
      </c>
      <c r="V1665" s="46">
        <v>38258652</v>
      </c>
      <c r="W1665" s="38">
        <v>114</v>
      </c>
      <c r="X1665" s="46">
        <v>11206949</v>
      </c>
      <c r="Y1665" s="46">
        <f t="shared" ref="Y1665:Y1728" si="54">+H1665-X1665-V1665-T1665</f>
        <v>10072889</v>
      </c>
      <c r="Z1665" s="19" t="s">
        <v>318</v>
      </c>
    </row>
    <row r="1666" spans="1:26" x14ac:dyDescent="0.25">
      <c r="A1666" s="20">
        <f>+VLOOKUP(D1666,Back!Q:R,2,0)</f>
        <v>10</v>
      </c>
      <c r="B1666" s="20" t="str">
        <f t="shared" si="53"/>
        <v>2018 OCT</v>
      </c>
      <c r="C1666" s="30">
        <v>2018</v>
      </c>
      <c r="D1666" s="30" t="s">
        <v>173</v>
      </c>
      <c r="E1666" s="30" t="s">
        <v>18</v>
      </c>
      <c r="F1666" s="30">
        <v>39442617</v>
      </c>
      <c r="G1666" s="30" t="s">
        <v>41</v>
      </c>
      <c r="H1666" s="32">
        <v>26940269</v>
      </c>
      <c r="I1666" s="32">
        <v>0</v>
      </c>
      <c r="J1666" s="32">
        <v>5046422</v>
      </c>
      <c r="K1666" s="33">
        <v>21893847</v>
      </c>
      <c r="L1666" s="33">
        <v>14358457</v>
      </c>
      <c r="M1666" s="34">
        <v>1.5248049981972296</v>
      </c>
      <c r="N1666" s="209" t="str">
        <f>IFERROR(VLOOKUP(F1666,Back!C:F,4,0),"NO")</f>
        <v>Si</v>
      </c>
      <c r="O1666" s="26">
        <v>26</v>
      </c>
      <c r="P1666" s="28" t="str">
        <f>IFERROR(VLOOKUP(F1666,Back!C:E,3,0),"")</f>
        <v>IPS Pto De Vista San Diego</v>
      </c>
      <c r="Q1666" s="28" t="str">
        <f>IFERROR(VLOOKUP(P1666,Back!M:N,2,0),"")</f>
        <v>Antioquia</v>
      </c>
      <c r="R1666" s="27" t="str">
        <f>IF(N1666="Si",IFERROR(VLOOKUP(F1666,'TD Cumpl'!B:AB,27,0),"No Aplica"),"No Aplica")</f>
        <v>Cumple</v>
      </c>
      <c r="S1666" s="38">
        <v>38</v>
      </c>
      <c r="T1666" s="46">
        <v>4614568</v>
      </c>
      <c r="U1666" s="38">
        <v>102</v>
      </c>
      <c r="V1666" s="46">
        <v>13521364</v>
      </c>
      <c r="W1666" s="38">
        <v>44</v>
      </c>
      <c r="X1666" s="46">
        <v>5046422</v>
      </c>
      <c r="Y1666" s="46">
        <f t="shared" si="54"/>
        <v>3757915</v>
      </c>
      <c r="Z1666" s="19" t="s">
        <v>318</v>
      </c>
    </row>
    <row r="1667" spans="1:26" x14ac:dyDescent="0.25">
      <c r="A1667" s="20">
        <f>+VLOOKUP(D1667,Back!Q:R,2,0)</f>
        <v>10</v>
      </c>
      <c r="B1667" s="20" t="str">
        <f t="shared" si="53"/>
        <v>2018 OCT</v>
      </c>
      <c r="C1667" s="30">
        <v>2018</v>
      </c>
      <c r="D1667" s="30" t="s">
        <v>173</v>
      </c>
      <c r="E1667" s="30" t="s">
        <v>81</v>
      </c>
      <c r="F1667" s="30">
        <v>1017200970</v>
      </c>
      <c r="G1667" s="30" t="s">
        <v>82</v>
      </c>
      <c r="H1667" s="32">
        <v>45691102</v>
      </c>
      <c r="I1667" s="32">
        <v>2030100</v>
      </c>
      <c r="J1667" s="32">
        <v>6384226</v>
      </c>
      <c r="K1667" s="33">
        <v>37276776</v>
      </c>
      <c r="L1667" s="33">
        <v>35999990</v>
      </c>
      <c r="M1667" s="34">
        <v>1.0354662876295244</v>
      </c>
      <c r="N1667" s="209" t="str">
        <f>IFERROR(VLOOKUP(F1667,Back!C:F,4,0),"NO")</f>
        <v>Si</v>
      </c>
      <c r="O1667" s="26">
        <v>26</v>
      </c>
      <c r="P1667" s="28" t="str">
        <f>IFERROR(VLOOKUP(F1667,Back!C:E,3,0),"")</f>
        <v>IPS Pto De Vista San Diego</v>
      </c>
      <c r="Q1667" s="28" t="str">
        <f>IFERROR(VLOOKUP(P1667,Back!M:N,2,0),"")</f>
        <v>Antioquia</v>
      </c>
      <c r="R1667" s="27" t="str">
        <f>IF(N1667="Si",IFERROR(VLOOKUP(F1667,'TD Cumpl'!B:AB,27,0),"No Aplica"),"No Aplica")</f>
        <v>Cumple</v>
      </c>
      <c r="S1667" s="38">
        <v>82</v>
      </c>
      <c r="T1667" s="46">
        <v>7946718</v>
      </c>
      <c r="U1667" s="38">
        <v>174</v>
      </c>
      <c r="V1667" s="46">
        <v>23255007</v>
      </c>
      <c r="W1667" s="38">
        <v>70</v>
      </c>
      <c r="X1667" s="46">
        <v>6384226</v>
      </c>
      <c r="Y1667" s="46">
        <f t="shared" si="54"/>
        <v>8105151</v>
      </c>
      <c r="Z1667" s="19" t="s">
        <v>318</v>
      </c>
    </row>
    <row r="1668" spans="1:26" x14ac:dyDescent="0.25">
      <c r="A1668" s="20">
        <f>+VLOOKUP(D1668,Back!Q:R,2,0)</f>
        <v>10</v>
      </c>
      <c r="B1668" s="20" t="str">
        <f t="shared" si="53"/>
        <v>2018 OCT</v>
      </c>
      <c r="C1668" s="30">
        <v>2018</v>
      </c>
      <c r="D1668" s="30" t="s">
        <v>173</v>
      </c>
      <c r="E1668" s="30" t="s">
        <v>17</v>
      </c>
      <c r="F1668" s="30">
        <v>43113640</v>
      </c>
      <c r="G1668" s="30" t="s">
        <v>47</v>
      </c>
      <c r="H1668" s="32">
        <v>46719046</v>
      </c>
      <c r="I1668" s="32">
        <v>2048100</v>
      </c>
      <c r="J1668" s="32">
        <v>6417187</v>
      </c>
      <c r="K1668" s="33">
        <v>38253759</v>
      </c>
      <c r="L1668" s="33">
        <v>35999990</v>
      </c>
      <c r="M1668" s="34">
        <v>1.0626047118346422</v>
      </c>
      <c r="N1668" s="209" t="str">
        <f>IFERROR(VLOOKUP(F1668,Back!C:F,4,0),"NO")</f>
        <v>Si</v>
      </c>
      <c r="O1668" s="26">
        <v>26</v>
      </c>
      <c r="P1668" s="28" t="str">
        <f>IFERROR(VLOOKUP(F1668,Back!C:E,3,0),"")</f>
        <v>IPS Pto De Vista San Diego</v>
      </c>
      <c r="Q1668" s="28" t="str">
        <f>IFERROR(VLOOKUP(P1668,Back!M:N,2,0),"")</f>
        <v>Antioquia</v>
      </c>
      <c r="R1668" s="27" t="str">
        <f>IF(N1668="Si",IFERROR(VLOOKUP(F1668,'TD Cumpl'!B:AB,27,0),"No Aplica"),"No Aplica")</f>
        <v>Cumple</v>
      </c>
      <c r="S1668" s="38">
        <v>80</v>
      </c>
      <c r="T1668" s="46">
        <v>8990252</v>
      </c>
      <c r="U1668" s="38">
        <v>204</v>
      </c>
      <c r="V1668" s="46">
        <v>23475150</v>
      </c>
      <c r="W1668" s="38">
        <v>67</v>
      </c>
      <c r="X1668" s="46">
        <v>6417187</v>
      </c>
      <c r="Y1668" s="46">
        <f t="shared" si="54"/>
        <v>7836457</v>
      </c>
      <c r="Z1668" s="19" t="s">
        <v>318</v>
      </c>
    </row>
    <row r="1669" spans="1:26" x14ac:dyDescent="0.25">
      <c r="A1669" s="20">
        <f>+VLOOKUP(D1669,Back!Q:R,2,0)</f>
        <v>10</v>
      </c>
      <c r="B1669" s="20" t="str">
        <f t="shared" si="53"/>
        <v>2018 OCT</v>
      </c>
      <c r="C1669" s="30">
        <v>2018</v>
      </c>
      <c r="D1669" s="30" t="s">
        <v>173</v>
      </c>
      <c r="E1669" s="30" t="s">
        <v>235</v>
      </c>
      <c r="F1669" s="30">
        <v>39275090</v>
      </c>
      <c r="G1669" s="30" t="s">
        <v>236</v>
      </c>
      <c r="H1669" s="32">
        <v>51771331</v>
      </c>
      <c r="I1669" s="32">
        <v>421200</v>
      </c>
      <c r="J1669" s="32">
        <v>7875103</v>
      </c>
      <c r="K1669" s="33">
        <v>43475028</v>
      </c>
      <c r="L1669" s="33">
        <v>35999990</v>
      </c>
      <c r="M1669" s="34">
        <v>1.2076400021222229</v>
      </c>
      <c r="N1669" s="209" t="str">
        <f>IFERROR(VLOOKUP(F1669,Back!C:F,4,0),"NO")</f>
        <v>Si</v>
      </c>
      <c r="O1669" s="26">
        <v>26</v>
      </c>
      <c r="P1669" s="28" t="str">
        <f>IFERROR(VLOOKUP(F1669,Back!C:E,3,0),"")</f>
        <v>IPS Pto De Vista San Diego</v>
      </c>
      <c r="Q1669" s="28" t="str">
        <f>IFERROR(VLOOKUP(P1669,Back!M:N,2,0),"")</f>
        <v>Antioquia</v>
      </c>
      <c r="R1669" s="27" t="str">
        <f>IF(N1669="Si",IFERROR(VLOOKUP(F1669,'TD Cumpl'!B:AB,27,0),"No Aplica"),"No Aplica")</f>
        <v>Siempre Cumple</v>
      </c>
      <c r="S1669" s="38">
        <v>73</v>
      </c>
      <c r="T1669" s="46">
        <v>8923189</v>
      </c>
      <c r="U1669" s="38">
        <v>180</v>
      </c>
      <c r="V1669" s="46">
        <v>30628542</v>
      </c>
      <c r="W1669" s="38">
        <v>83</v>
      </c>
      <c r="X1669" s="46">
        <v>7875103</v>
      </c>
      <c r="Y1669" s="46">
        <f t="shared" si="54"/>
        <v>4344497</v>
      </c>
      <c r="Z1669" s="19" t="s">
        <v>318</v>
      </c>
    </row>
    <row r="1670" spans="1:26" x14ac:dyDescent="0.25">
      <c r="A1670" s="20">
        <f>+VLOOKUP(D1670,Back!Q:R,2,0)</f>
        <v>10</v>
      </c>
      <c r="B1670" s="20" t="str">
        <f t="shared" si="53"/>
        <v>2018 OCT</v>
      </c>
      <c r="C1670" s="30">
        <v>2018</v>
      </c>
      <c r="D1670" s="30" t="s">
        <v>173</v>
      </c>
      <c r="E1670" s="30" t="s">
        <v>292</v>
      </c>
      <c r="F1670" s="30">
        <v>32352312</v>
      </c>
      <c r="G1670" s="30" t="s">
        <v>293</v>
      </c>
      <c r="H1670" s="32">
        <v>24007981</v>
      </c>
      <c r="I1670" s="32">
        <v>0</v>
      </c>
      <c r="J1670" s="32">
        <v>4513718</v>
      </c>
      <c r="K1670" s="33">
        <v>19494263</v>
      </c>
      <c r="L1670" s="33">
        <v>35999990</v>
      </c>
      <c r="M1670" s="34">
        <v>0.54150745597429328</v>
      </c>
      <c r="N1670" s="209" t="str">
        <f>IFERROR(VLOOKUP(F1670,Back!C:F,4,0),"NO")</f>
        <v>Si</v>
      </c>
      <c r="O1670" s="26">
        <v>26</v>
      </c>
      <c r="P1670" s="28" t="str">
        <f>IFERROR(VLOOKUP(F1670,Back!C:E,3,0),"")</f>
        <v>IPS Pto De Vista San Diego</v>
      </c>
      <c r="Q1670" s="28" t="str">
        <f>IFERROR(VLOOKUP(P1670,Back!M:N,2,0),"")</f>
        <v>Antioquia</v>
      </c>
      <c r="R1670" s="27" t="str">
        <f>IF(N1670="Si",IFERROR(VLOOKUP(F1670,'TD Cumpl'!B:AB,27,0),"No Aplica"),"No Aplica")</f>
        <v>No Cumple</v>
      </c>
      <c r="S1670" s="38">
        <v>45</v>
      </c>
      <c r="T1670" s="46">
        <v>5240267</v>
      </c>
      <c r="U1670" s="38">
        <v>104</v>
      </c>
      <c r="V1670" s="46">
        <v>11941673</v>
      </c>
      <c r="W1670" s="38">
        <v>46</v>
      </c>
      <c r="X1670" s="46">
        <v>4513718</v>
      </c>
      <c r="Y1670" s="46">
        <f t="shared" si="54"/>
        <v>2312323</v>
      </c>
      <c r="Z1670" s="19" t="s">
        <v>318</v>
      </c>
    </row>
    <row r="1671" spans="1:26" x14ac:dyDescent="0.25">
      <c r="A1671" s="20">
        <f>+VLOOKUP(D1671,Back!Q:R,2,0)</f>
        <v>10</v>
      </c>
      <c r="B1671" s="20" t="str">
        <f t="shared" si="53"/>
        <v>2018 OCT</v>
      </c>
      <c r="C1671" s="30">
        <v>2018</v>
      </c>
      <c r="D1671" s="30" t="s">
        <v>173</v>
      </c>
      <c r="E1671" s="30" t="s">
        <v>84</v>
      </c>
      <c r="F1671" s="30">
        <v>1020736461</v>
      </c>
      <c r="G1671" s="30" t="s">
        <v>156</v>
      </c>
      <c r="H1671" s="32">
        <v>66397880</v>
      </c>
      <c r="I1671" s="32">
        <v>1311000</v>
      </c>
      <c r="J1671" s="32">
        <v>8465944</v>
      </c>
      <c r="K1671" s="33">
        <v>56620936</v>
      </c>
      <c r="L1671" s="33">
        <v>27999998</v>
      </c>
      <c r="M1671" s="34">
        <v>2.0221764301554592</v>
      </c>
      <c r="N1671" s="209" t="str">
        <f>IFERROR(VLOOKUP(F1671,Back!C:F,4,0),"NO")</f>
        <v>Si</v>
      </c>
      <c r="O1671" s="26">
        <v>26</v>
      </c>
      <c r="P1671" s="28" t="str">
        <f>IFERROR(VLOOKUP(F1671,Back!C:E,3,0),"")</f>
        <v>IPS Pto De Vista Santa Bárbara</v>
      </c>
      <c r="Q1671" s="28" t="str">
        <f>IFERROR(VLOOKUP(P1671,Back!M:N,2,0),"")</f>
        <v>Centro</v>
      </c>
      <c r="R1671" s="27" t="str">
        <f>IF(N1671="Si",IFERROR(VLOOKUP(F1671,'TD Cumpl'!B:AB,27,0),"No Aplica"),"No Aplica")</f>
        <v>Siempre Cumple</v>
      </c>
      <c r="S1671" s="38">
        <v>108</v>
      </c>
      <c r="T1671" s="46">
        <v>11582565</v>
      </c>
      <c r="U1671" s="38">
        <v>308</v>
      </c>
      <c r="V1671" s="46">
        <v>41806912</v>
      </c>
      <c r="W1671" s="38">
        <v>104</v>
      </c>
      <c r="X1671" s="46">
        <v>8465944</v>
      </c>
      <c r="Y1671" s="46">
        <f t="shared" si="54"/>
        <v>4542459</v>
      </c>
      <c r="Z1671" s="19" t="s">
        <v>318</v>
      </c>
    </row>
    <row r="1672" spans="1:26" x14ac:dyDescent="0.25">
      <c r="A1672" s="20">
        <f>+VLOOKUP(D1672,Back!Q:R,2,0)</f>
        <v>10</v>
      </c>
      <c r="B1672" s="20" t="str">
        <f t="shared" si="53"/>
        <v>2018 OCT</v>
      </c>
      <c r="C1672" s="30">
        <v>2018</v>
      </c>
      <c r="D1672" s="30" t="s">
        <v>173</v>
      </c>
      <c r="E1672" s="30" t="s">
        <v>102</v>
      </c>
      <c r="F1672" s="30">
        <v>79850984</v>
      </c>
      <c r="G1672" s="30" t="s">
        <v>106</v>
      </c>
      <c r="H1672" s="32">
        <v>37261371</v>
      </c>
      <c r="I1672" s="32">
        <v>1741200</v>
      </c>
      <c r="J1672" s="32">
        <v>6866469</v>
      </c>
      <c r="K1672" s="33">
        <v>28653702</v>
      </c>
      <c r="L1672" s="33">
        <v>27999998</v>
      </c>
      <c r="M1672" s="34">
        <v>1.0233465730961837</v>
      </c>
      <c r="N1672" s="209" t="str">
        <f>IFERROR(VLOOKUP(F1672,Back!C:F,4,0),"NO")</f>
        <v>Si</v>
      </c>
      <c r="O1672" s="26">
        <v>26</v>
      </c>
      <c r="P1672" s="28" t="str">
        <f>IFERROR(VLOOKUP(F1672,Back!C:E,3,0),"")</f>
        <v>IPS Pto De Vista SSura Clle100</v>
      </c>
      <c r="Q1672" s="28" t="str">
        <f>IFERROR(VLOOKUP(P1672,Back!M:N,2,0),"")</f>
        <v>Centro</v>
      </c>
      <c r="R1672" s="27" t="str">
        <f>IF(N1672="Si",IFERROR(VLOOKUP(F1672,'TD Cumpl'!B:AB,27,0),"No Aplica"),"No Aplica")</f>
        <v>Fluctúa</v>
      </c>
      <c r="S1672" s="38">
        <v>60</v>
      </c>
      <c r="T1672" s="46">
        <v>5895999</v>
      </c>
      <c r="U1672" s="38">
        <v>166</v>
      </c>
      <c r="V1672" s="46">
        <v>19887938</v>
      </c>
      <c r="W1672" s="38">
        <v>83</v>
      </c>
      <c r="X1672" s="46">
        <v>6866469</v>
      </c>
      <c r="Y1672" s="46">
        <f t="shared" si="54"/>
        <v>4610965</v>
      </c>
      <c r="Z1672" s="19" t="s">
        <v>318</v>
      </c>
    </row>
    <row r="1673" spans="1:26" x14ac:dyDescent="0.25">
      <c r="A1673" s="20">
        <f>+VLOOKUP(D1673,Back!Q:R,2,0)</f>
        <v>10</v>
      </c>
      <c r="B1673" s="20" t="str">
        <f t="shared" si="53"/>
        <v>2018 OCT</v>
      </c>
      <c r="C1673" s="30">
        <v>2018</v>
      </c>
      <c r="D1673" s="30" t="s">
        <v>173</v>
      </c>
      <c r="E1673" s="30" t="s">
        <v>2</v>
      </c>
      <c r="F1673" s="30">
        <v>52260671</v>
      </c>
      <c r="G1673" s="30" t="s">
        <v>26</v>
      </c>
      <c r="H1673" s="32">
        <v>47343624</v>
      </c>
      <c r="I1673" s="32">
        <v>2240400</v>
      </c>
      <c r="J1673" s="32">
        <v>7602709</v>
      </c>
      <c r="K1673" s="33">
        <v>37500515</v>
      </c>
      <c r="L1673" s="33">
        <v>27999998</v>
      </c>
      <c r="M1673" s="34">
        <v>1.3393042028074431</v>
      </c>
      <c r="N1673" s="209" t="str">
        <f>IFERROR(VLOOKUP(F1673,Back!C:F,4,0),"NO")</f>
        <v>Si</v>
      </c>
      <c r="O1673" s="26">
        <v>26</v>
      </c>
      <c r="P1673" s="28" t="str">
        <f>IFERROR(VLOOKUP(F1673,Back!C:E,3,0),"")</f>
        <v>IPS Pto De Vista Santa Bárbara</v>
      </c>
      <c r="Q1673" s="28" t="str">
        <f>IFERROR(VLOOKUP(P1673,Back!M:N,2,0),"")</f>
        <v>Centro</v>
      </c>
      <c r="R1673" s="27" t="str">
        <f>IF(N1673="Si",IFERROR(VLOOKUP(F1673,'TD Cumpl'!B:AB,27,0),"No Aplica"),"No Aplica")</f>
        <v>Siempre Cumple</v>
      </c>
      <c r="S1673" s="38">
        <v>81</v>
      </c>
      <c r="T1673" s="46">
        <v>8677455</v>
      </c>
      <c r="U1673" s="38">
        <v>209</v>
      </c>
      <c r="V1673" s="46">
        <v>24446498</v>
      </c>
      <c r="W1673" s="38">
        <v>89</v>
      </c>
      <c r="X1673" s="46">
        <v>7602709</v>
      </c>
      <c r="Y1673" s="46">
        <f t="shared" si="54"/>
        <v>6616962</v>
      </c>
      <c r="Z1673" s="19" t="s">
        <v>318</v>
      </c>
    </row>
    <row r="1674" spans="1:26" x14ac:dyDescent="0.25">
      <c r="A1674" s="20">
        <f>+VLOOKUP(D1674,Back!Q:R,2,0)</f>
        <v>10</v>
      </c>
      <c r="B1674" s="20" t="str">
        <f t="shared" si="53"/>
        <v>2018 OCT</v>
      </c>
      <c r="C1674" s="30">
        <v>2018</v>
      </c>
      <c r="D1674" s="30" t="s">
        <v>173</v>
      </c>
      <c r="E1674" s="30" t="s">
        <v>38</v>
      </c>
      <c r="F1674" s="30">
        <v>43745192</v>
      </c>
      <c r="G1674" s="30" t="s">
        <v>45</v>
      </c>
      <c r="H1674" s="32">
        <v>40397919</v>
      </c>
      <c r="I1674" s="32">
        <v>0</v>
      </c>
      <c r="J1674" s="32">
        <v>3822408</v>
      </c>
      <c r="K1674" s="33">
        <v>36575511</v>
      </c>
      <c r="L1674" s="33">
        <v>29999996</v>
      </c>
      <c r="M1674" s="34">
        <v>1.2191838625578484</v>
      </c>
      <c r="N1674" s="209" t="str">
        <f>IFERROR(VLOOKUP(F1674,Back!C:F,4,0),"NO")</f>
        <v>Si</v>
      </c>
      <c r="O1674" s="26">
        <v>26</v>
      </c>
      <c r="P1674" s="28" t="str">
        <f>IFERROR(VLOOKUP(F1674,Back!C:E,3,0),"")</f>
        <v>IPS Punto de Vista Mayorca</v>
      </c>
      <c r="Q1674" s="28" t="str">
        <f>IFERROR(VLOOKUP(P1674,Back!M:N,2,0),"")</f>
        <v>Antioquia</v>
      </c>
      <c r="R1674" s="27" t="str">
        <f>IF(N1674="Si",IFERROR(VLOOKUP(F1674,'TD Cumpl'!B:AB,27,0),"No Aplica"),"No Aplica")</f>
        <v>Cumple</v>
      </c>
      <c r="S1674" s="38">
        <v>64</v>
      </c>
      <c r="T1674" s="46">
        <v>9817652</v>
      </c>
      <c r="U1674" s="38">
        <v>160</v>
      </c>
      <c r="V1674" s="46">
        <v>24350767</v>
      </c>
      <c r="W1674" s="38">
        <v>52</v>
      </c>
      <c r="X1674" s="46">
        <v>3822408</v>
      </c>
      <c r="Y1674" s="46">
        <f t="shared" si="54"/>
        <v>2407092</v>
      </c>
      <c r="Z1674" s="19" t="s">
        <v>318</v>
      </c>
    </row>
    <row r="1675" spans="1:26" x14ac:dyDescent="0.25">
      <c r="A1675" s="20">
        <f>+VLOOKUP(D1675,Back!Q:R,2,0)</f>
        <v>10</v>
      </c>
      <c r="B1675" s="20" t="str">
        <f t="shared" si="53"/>
        <v>2018 OCT</v>
      </c>
      <c r="C1675" s="30">
        <v>2018</v>
      </c>
      <c r="D1675" s="30" t="s">
        <v>173</v>
      </c>
      <c r="E1675" s="30" t="s">
        <v>5</v>
      </c>
      <c r="F1675" s="30">
        <v>34542470</v>
      </c>
      <c r="G1675" s="30" t="s">
        <v>28</v>
      </c>
      <c r="H1675" s="32">
        <v>79243612</v>
      </c>
      <c r="I1675" s="32">
        <v>2957049</v>
      </c>
      <c r="J1675" s="32">
        <v>5647425</v>
      </c>
      <c r="K1675" s="33">
        <v>70639138</v>
      </c>
      <c r="L1675" s="33">
        <v>43470147</v>
      </c>
      <c r="M1675" s="34">
        <v>1.6250034305151992</v>
      </c>
      <c r="N1675" s="209" t="str">
        <f>IFERROR(VLOOKUP(F1675,Back!C:F,4,0),"NO")</f>
        <v>Si</v>
      </c>
      <c r="O1675" s="26">
        <v>26</v>
      </c>
      <c r="P1675" s="28" t="str">
        <f>IFERROR(VLOOKUP(F1675,Back!C:E,3,0),"")</f>
        <v>Optica Salud Sura Chipichape</v>
      </c>
      <c r="Q1675" s="28" t="str">
        <f>IFERROR(VLOOKUP(P1675,Back!M:N,2,0),"")</f>
        <v>Occidente</v>
      </c>
      <c r="R1675" s="27" t="str">
        <f>IF(N1675="Si",IFERROR(VLOOKUP(F1675,'TD Cumpl'!B:AB,27,0),"No Aplica"),"No Aplica")</f>
        <v>Siempre Cumple</v>
      </c>
      <c r="S1675" s="38">
        <v>150</v>
      </c>
      <c r="T1675" s="46">
        <v>22543160</v>
      </c>
      <c r="U1675" s="38">
        <v>335</v>
      </c>
      <c r="V1675" s="46">
        <v>45407542</v>
      </c>
      <c r="W1675" s="38">
        <v>67</v>
      </c>
      <c r="X1675" s="46">
        <v>5647425</v>
      </c>
      <c r="Y1675" s="46">
        <f t="shared" si="54"/>
        <v>5645485</v>
      </c>
      <c r="Z1675" s="19" t="s">
        <v>318</v>
      </c>
    </row>
    <row r="1676" spans="1:26" x14ac:dyDescent="0.25">
      <c r="A1676" s="20">
        <f>+VLOOKUP(D1676,Back!Q:R,2,0)</f>
        <v>10</v>
      </c>
      <c r="B1676" s="20" t="str">
        <f t="shared" si="53"/>
        <v>2018 OCT</v>
      </c>
      <c r="C1676" s="30">
        <v>2018</v>
      </c>
      <c r="D1676" s="30" t="s">
        <v>173</v>
      </c>
      <c r="E1676" s="30" t="s">
        <v>258</v>
      </c>
      <c r="F1676" s="30">
        <v>1130676531</v>
      </c>
      <c r="G1676" s="30" t="s">
        <v>262</v>
      </c>
      <c r="H1676" s="32">
        <v>52535166</v>
      </c>
      <c r="I1676" s="32">
        <v>0</v>
      </c>
      <c r="J1676" s="32">
        <v>1247608</v>
      </c>
      <c r="K1676" s="33">
        <v>51287558</v>
      </c>
      <c r="L1676" s="33">
        <v>50788008</v>
      </c>
      <c r="M1676" s="34">
        <v>1.0098359833289781</v>
      </c>
      <c r="N1676" s="209" t="str">
        <f>IFERROR(VLOOKUP(F1676,Back!C:F,4,0),"NO")</f>
        <v>Si</v>
      </c>
      <c r="O1676" s="26">
        <v>26</v>
      </c>
      <c r="P1676" s="28" t="str">
        <f>IFERROR(VLOOKUP(F1676,Back!C:E,3,0),"")</f>
        <v>Punto de Vista Cali Norte</v>
      </c>
      <c r="Q1676" s="28" t="str">
        <f>IFERROR(VLOOKUP(P1676,Back!M:N,2,0),"")</f>
        <v>Occidente</v>
      </c>
      <c r="R1676" s="27" t="str">
        <f>IF(N1676="Si",IFERROR(VLOOKUP(F1676,'TD Cumpl'!B:AB,27,0),"No Aplica"),"No Aplica")</f>
        <v>No Cumple</v>
      </c>
      <c r="S1676" s="38">
        <v>134</v>
      </c>
      <c r="T1676" s="46">
        <v>12514908</v>
      </c>
      <c r="U1676" s="38">
        <v>292</v>
      </c>
      <c r="V1676" s="46">
        <v>30513272</v>
      </c>
      <c r="W1676" s="38">
        <v>14</v>
      </c>
      <c r="X1676" s="46">
        <v>1247608</v>
      </c>
      <c r="Y1676" s="46">
        <f t="shared" si="54"/>
        <v>8259378</v>
      </c>
      <c r="Z1676" s="19" t="s">
        <v>318</v>
      </c>
    </row>
    <row r="1677" spans="1:26" x14ac:dyDescent="0.25">
      <c r="A1677" s="20">
        <f>+VLOOKUP(D1677,Back!Q:R,2,0)</f>
        <v>10</v>
      </c>
      <c r="B1677" s="20" t="str">
        <f t="shared" si="53"/>
        <v>2018 OCT</v>
      </c>
      <c r="C1677" s="30">
        <v>2018</v>
      </c>
      <c r="D1677" s="30" t="s">
        <v>173</v>
      </c>
      <c r="E1677" s="30" t="s">
        <v>249</v>
      </c>
      <c r="F1677" s="30">
        <v>1144061613</v>
      </c>
      <c r="G1677" s="30" t="s">
        <v>256</v>
      </c>
      <c r="H1677" s="32">
        <v>39673751</v>
      </c>
      <c r="I1677" s="32">
        <v>0</v>
      </c>
      <c r="J1677" s="32">
        <v>8054025</v>
      </c>
      <c r="K1677" s="33">
        <v>31619726</v>
      </c>
      <c r="L1677" s="33">
        <v>29999996</v>
      </c>
      <c r="M1677" s="34">
        <v>1.053991007198801</v>
      </c>
      <c r="N1677" s="209" t="str">
        <f>IFERROR(VLOOKUP(F1677,Back!C:F,4,0),"NO")</f>
        <v>Si</v>
      </c>
      <c r="O1677" s="26">
        <v>26</v>
      </c>
      <c r="P1677" s="28" t="str">
        <f>IFERROR(VLOOKUP(F1677,Back!C:E,3,0),"")</f>
        <v>Punto de Vista Tequendama</v>
      </c>
      <c r="Q1677" s="28" t="str">
        <f>IFERROR(VLOOKUP(P1677,Back!M:N,2,0),"")</f>
        <v>Occidente</v>
      </c>
      <c r="R1677" s="27" t="str">
        <f>IF(N1677="Si",IFERROR(VLOOKUP(F1677,'TD Cumpl'!B:AB,27,0),"No Aplica"),"No Aplica")</f>
        <v>Fluctúa</v>
      </c>
      <c r="S1677" s="38">
        <v>65</v>
      </c>
      <c r="T1677" s="46">
        <v>6867834</v>
      </c>
      <c r="U1677" s="38">
        <v>204</v>
      </c>
      <c r="V1677" s="46">
        <v>21119080</v>
      </c>
      <c r="W1677" s="38">
        <v>89</v>
      </c>
      <c r="X1677" s="46">
        <v>8054025</v>
      </c>
      <c r="Y1677" s="46">
        <f t="shared" si="54"/>
        <v>3632812</v>
      </c>
      <c r="Z1677" s="19" t="s">
        <v>318</v>
      </c>
    </row>
    <row r="1678" spans="1:26" x14ac:dyDescent="0.25">
      <c r="A1678" s="20">
        <f>+VLOOKUP(D1678,Back!Q:R,2,0)</f>
        <v>10</v>
      </c>
      <c r="B1678" s="20" t="str">
        <f t="shared" si="53"/>
        <v>2018 OCT</v>
      </c>
      <c r="C1678" s="30">
        <v>2018</v>
      </c>
      <c r="D1678" s="30" t="s">
        <v>173</v>
      </c>
      <c r="E1678" s="30" t="s">
        <v>275</v>
      </c>
      <c r="F1678" s="30">
        <v>16379021</v>
      </c>
      <c r="G1678" s="30" t="s">
        <v>287</v>
      </c>
      <c r="H1678" s="32">
        <v>38291155</v>
      </c>
      <c r="I1678" s="32">
        <v>0</v>
      </c>
      <c r="J1678" s="32">
        <v>8355879</v>
      </c>
      <c r="K1678" s="33">
        <v>29935276</v>
      </c>
      <c r="L1678" s="33">
        <v>29999996</v>
      </c>
      <c r="M1678" s="34">
        <v>0.99784266637902219</v>
      </c>
      <c r="N1678" s="209" t="str">
        <f>IFERROR(VLOOKUP(F1678,Back!C:F,4,0),"NO")</f>
        <v>Si</v>
      </c>
      <c r="O1678" s="26">
        <v>26</v>
      </c>
      <c r="P1678" s="28" t="str">
        <f>IFERROR(VLOOKUP(F1678,Back!C:E,3,0),"")</f>
        <v>Punto de Vista Cali Norte</v>
      </c>
      <c r="Q1678" s="28" t="str">
        <f>IFERROR(VLOOKUP(P1678,Back!M:N,2,0),"")</f>
        <v>Occidente</v>
      </c>
      <c r="R1678" s="27" t="str">
        <f>IF(N1678="Si",IFERROR(VLOOKUP(F1678,'TD Cumpl'!B:AB,27,0),"No Aplica"),"No Aplica")</f>
        <v>Fluctúa</v>
      </c>
      <c r="S1678" s="38">
        <v>59</v>
      </c>
      <c r="T1678" s="46">
        <v>6835220</v>
      </c>
      <c r="U1678" s="38">
        <v>194</v>
      </c>
      <c r="V1678" s="46">
        <v>21202184</v>
      </c>
      <c r="W1678" s="38">
        <v>85</v>
      </c>
      <c r="X1678" s="46">
        <v>8355879</v>
      </c>
      <c r="Y1678" s="46">
        <f t="shared" si="54"/>
        <v>1897872</v>
      </c>
      <c r="Z1678" s="19" t="s">
        <v>318</v>
      </c>
    </row>
    <row r="1679" spans="1:26" x14ac:dyDescent="0.25">
      <c r="A1679" s="20">
        <f>+VLOOKUP(D1679,Back!Q:R,2,0)</f>
        <v>10</v>
      </c>
      <c r="B1679" s="20" t="str">
        <f t="shared" si="53"/>
        <v>2018 OCT</v>
      </c>
      <c r="C1679" s="30">
        <v>2018</v>
      </c>
      <c r="D1679" s="30" t="s">
        <v>173</v>
      </c>
      <c r="E1679" s="30" t="s">
        <v>237</v>
      </c>
      <c r="F1679" s="30">
        <v>1151951440</v>
      </c>
      <c r="G1679" s="30" t="s">
        <v>238</v>
      </c>
      <c r="H1679" s="32">
        <v>38700514</v>
      </c>
      <c r="I1679" s="32">
        <v>0</v>
      </c>
      <c r="J1679" s="32">
        <v>4867272</v>
      </c>
      <c r="K1679" s="33">
        <v>33833242</v>
      </c>
      <c r="L1679" s="33">
        <v>32115384</v>
      </c>
      <c r="M1679" s="34">
        <v>1.0534901902465186</v>
      </c>
      <c r="N1679" s="209" t="str">
        <f>IFERROR(VLOOKUP(F1679,Back!C:F,4,0),"NO")</f>
        <v>No</v>
      </c>
      <c r="O1679" s="26">
        <v>26</v>
      </c>
      <c r="P1679" s="28" t="str">
        <f>IFERROR(VLOOKUP(F1679,Back!C:E,3,0),"")</f>
        <v>Punto de Vista Cali Norte</v>
      </c>
      <c r="Q1679" s="28" t="str">
        <f>IFERROR(VLOOKUP(P1679,Back!M:N,2,0),"")</f>
        <v>Occidente</v>
      </c>
      <c r="R1679" s="27" t="str">
        <f>IF(N1679="Si",IFERROR(VLOOKUP(F1679,'TD Cumpl'!B:AB,27,0),"No Aplica"),"No Aplica")</f>
        <v>No Aplica</v>
      </c>
      <c r="S1679" s="38">
        <v>55</v>
      </c>
      <c r="T1679" s="46">
        <v>7249363</v>
      </c>
      <c r="U1679" s="38">
        <v>168</v>
      </c>
      <c r="V1679" s="46">
        <v>24225282</v>
      </c>
      <c r="W1679" s="38">
        <v>50</v>
      </c>
      <c r="X1679" s="46">
        <v>4867272</v>
      </c>
      <c r="Y1679" s="46">
        <f t="shared" si="54"/>
        <v>2358597</v>
      </c>
    </row>
    <row r="1680" spans="1:26" x14ac:dyDescent="0.25">
      <c r="A1680" s="20">
        <f>+VLOOKUP(D1680,Back!Q:R,2,0)</f>
        <v>10</v>
      </c>
      <c r="B1680" s="20" t="str">
        <f t="shared" si="53"/>
        <v>2018 OCT</v>
      </c>
      <c r="C1680" s="30">
        <v>2018</v>
      </c>
      <c r="D1680" s="30" t="s">
        <v>173</v>
      </c>
      <c r="E1680" s="30" t="s">
        <v>88</v>
      </c>
      <c r="F1680" s="30">
        <v>31445278</v>
      </c>
      <c r="G1680" s="30" t="s">
        <v>93</v>
      </c>
      <c r="H1680" s="32">
        <v>43696434</v>
      </c>
      <c r="I1680" s="32">
        <v>676200</v>
      </c>
      <c r="J1680" s="32">
        <v>8671508</v>
      </c>
      <c r="K1680" s="33">
        <v>34348726</v>
      </c>
      <c r="L1680" s="33">
        <v>29999996</v>
      </c>
      <c r="M1680" s="34">
        <v>1.1449576859943582</v>
      </c>
      <c r="N1680" s="209" t="str">
        <f>IFERROR(VLOOKUP(F1680,Back!C:F,4,0),"NO")</f>
        <v>Si</v>
      </c>
      <c r="O1680" s="26">
        <v>26</v>
      </c>
      <c r="P1680" s="28" t="str">
        <f>IFERROR(VLOOKUP(F1680,Back!C:E,3,0),"")</f>
        <v>Punto de Vista Tequendama</v>
      </c>
      <c r="Q1680" s="28" t="str">
        <f>IFERROR(VLOOKUP(P1680,Back!M:N,2,0),"")</f>
        <v>Occidente</v>
      </c>
      <c r="R1680" s="27" t="str">
        <f>IF(N1680="Si",IFERROR(VLOOKUP(F1680,'TD Cumpl'!B:AB,27,0),"No Aplica"),"No Aplica")</f>
        <v>Cumple</v>
      </c>
      <c r="S1680" s="38">
        <v>63</v>
      </c>
      <c r="T1680" s="46">
        <v>7140981</v>
      </c>
      <c r="U1680" s="38">
        <v>228</v>
      </c>
      <c r="V1680" s="46">
        <v>23638129</v>
      </c>
      <c r="W1680" s="38">
        <v>92</v>
      </c>
      <c r="X1680" s="46">
        <v>8671508</v>
      </c>
      <c r="Y1680" s="46">
        <f t="shared" si="54"/>
        <v>4245816</v>
      </c>
      <c r="Z1680" s="19" t="s">
        <v>318</v>
      </c>
    </row>
    <row r="1681" spans="1:26" x14ac:dyDescent="0.25">
      <c r="A1681" s="20">
        <f>+VLOOKUP(D1681,Back!Q:R,2,0)</f>
        <v>10</v>
      </c>
      <c r="B1681" s="20" t="str">
        <f t="shared" si="53"/>
        <v>2018 OCT</v>
      </c>
      <c r="C1681" s="30">
        <v>2018</v>
      </c>
      <c r="D1681" s="30" t="s">
        <v>173</v>
      </c>
      <c r="E1681" s="30" t="s">
        <v>149</v>
      </c>
      <c r="F1681" s="30">
        <v>1130597373</v>
      </c>
      <c r="G1681" s="30" t="s">
        <v>150</v>
      </c>
      <c r="H1681" s="32">
        <v>25861925</v>
      </c>
      <c r="I1681" s="32">
        <v>596970</v>
      </c>
      <c r="J1681" s="32">
        <v>5723282</v>
      </c>
      <c r="K1681" s="33">
        <v>19541673</v>
      </c>
      <c r="L1681" s="33">
        <v>29999996</v>
      </c>
      <c r="M1681" s="34">
        <v>0.65138918685189162</v>
      </c>
      <c r="N1681" s="209" t="str">
        <f>IFERROR(VLOOKUP(F1681,Back!C:F,4,0),"NO")</f>
        <v>Si</v>
      </c>
      <c r="O1681" s="26">
        <v>26</v>
      </c>
      <c r="P1681" s="28" t="str">
        <f>IFERROR(VLOOKUP(F1681,Back!C:E,3,0),"")</f>
        <v>Punto de Vista Cali Norte</v>
      </c>
      <c r="Q1681" s="28" t="str">
        <f>IFERROR(VLOOKUP(P1681,Back!M:N,2,0),"")</f>
        <v>Occidente</v>
      </c>
      <c r="R1681" s="27" t="str">
        <f>IF(N1681="Si",IFERROR(VLOOKUP(F1681,'TD Cumpl'!B:AB,27,0),"No Aplica"),"No Aplica")</f>
        <v>Fluctúa</v>
      </c>
      <c r="S1681" s="38">
        <v>35</v>
      </c>
      <c r="T1681" s="46">
        <v>4739661</v>
      </c>
      <c r="U1681" s="38">
        <v>114</v>
      </c>
      <c r="V1681" s="46">
        <v>13160141</v>
      </c>
      <c r="W1681" s="38">
        <v>64</v>
      </c>
      <c r="X1681" s="46">
        <v>5723282</v>
      </c>
      <c r="Y1681" s="46">
        <f t="shared" si="54"/>
        <v>2238841</v>
      </c>
      <c r="Z1681" s="19" t="s">
        <v>318</v>
      </c>
    </row>
    <row r="1682" spans="1:26" x14ac:dyDescent="0.25">
      <c r="A1682" s="20">
        <f>+VLOOKUP(D1682,Back!Q:R,2,0)</f>
        <v>10</v>
      </c>
      <c r="B1682" s="20" t="str">
        <f t="shared" si="53"/>
        <v>2018 OCT</v>
      </c>
      <c r="C1682" s="30">
        <v>2018</v>
      </c>
      <c r="D1682" s="30" t="s">
        <v>173</v>
      </c>
      <c r="E1682" s="30" t="s">
        <v>259</v>
      </c>
      <c r="F1682" s="30">
        <v>1020399898</v>
      </c>
      <c r="G1682" s="30" t="s">
        <v>260</v>
      </c>
      <c r="H1682" s="32">
        <v>34931697</v>
      </c>
      <c r="I1682" s="32">
        <v>0</v>
      </c>
      <c r="J1682" s="32">
        <v>6115447</v>
      </c>
      <c r="K1682" s="33">
        <v>28816250</v>
      </c>
      <c r="L1682" s="33">
        <v>16769232</v>
      </c>
      <c r="M1682" s="34">
        <v>1.7184001032366896</v>
      </c>
      <c r="N1682" s="209" t="str">
        <f>IFERROR(VLOOKUP(F1682,Back!C:F,4,0),"NO")</f>
        <v>Si</v>
      </c>
      <c r="O1682" s="26">
        <v>26</v>
      </c>
      <c r="P1682" s="28" t="str">
        <f>IFERROR(VLOOKUP(F1682,Back!C:E,3,0),"")</f>
        <v>IPS Punto de Vista Mayorca</v>
      </c>
      <c r="Q1682" s="28" t="str">
        <f>IFERROR(VLOOKUP(P1682,Back!M:N,2,0),"")</f>
        <v>Antioquia</v>
      </c>
      <c r="R1682" s="27" t="str">
        <f>IF(N1682="Si",IFERROR(VLOOKUP(F1682,'TD Cumpl'!B:AB,27,0),"No Aplica"),"No Aplica")</f>
        <v>Fluctúa</v>
      </c>
      <c r="S1682" s="38">
        <v>71</v>
      </c>
      <c r="T1682" s="46">
        <v>7047524</v>
      </c>
      <c r="U1682" s="38">
        <v>152</v>
      </c>
      <c r="V1682" s="46">
        <v>18867241</v>
      </c>
      <c r="W1682" s="38">
        <v>65</v>
      </c>
      <c r="X1682" s="46">
        <v>6115447</v>
      </c>
      <c r="Y1682" s="46">
        <f t="shared" si="54"/>
        <v>2901485</v>
      </c>
      <c r="Z1682" s="19" t="s">
        <v>318</v>
      </c>
    </row>
    <row r="1683" spans="1:26" x14ac:dyDescent="0.25">
      <c r="A1683" s="20">
        <f>+VLOOKUP(D1683,Back!Q:R,2,0)</f>
        <v>10</v>
      </c>
      <c r="B1683" s="20" t="str">
        <f t="shared" si="53"/>
        <v>2018 OCT</v>
      </c>
      <c r="C1683" s="30">
        <v>2018</v>
      </c>
      <c r="D1683" s="30" t="s">
        <v>173</v>
      </c>
      <c r="E1683" s="30" t="s">
        <v>276</v>
      </c>
      <c r="F1683" s="30">
        <v>1035224144</v>
      </c>
      <c r="G1683" s="30" t="s">
        <v>286</v>
      </c>
      <c r="H1683" s="32">
        <v>27782498</v>
      </c>
      <c r="I1683" s="32">
        <v>442200</v>
      </c>
      <c r="J1683" s="32">
        <v>4271015</v>
      </c>
      <c r="K1683" s="33">
        <v>23069283</v>
      </c>
      <c r="L1683" s="33">
        <v>18461540</v>
      </c>
      <c r="M1683" s="34">
        <v>1.2495860583678284</v>
      </c>
      <c r="N1683" s="209" t="str">
        <f>IFERROR(VLOOKUP(F1683,Back!C:F,4,0),"NO")</f>
        <v>Si</v>
      </c>
      <c r="O1683" s="26">
        <v>26</v>
      </c>
      <c r="P1683" s="28" t="str">
        <f>IFERROR(VLOOKUP(F1683,Back!C:E,3,0),"")</f>
        <v>IPS Punto de Vista Mayorca</v>
      </c>
      <c r="Q1683" s="28" t="str">
        <f>IFERROR(VLOOKUP(P1683,Back!M:N,2,0),"")</f>
        <v>Antioquia</v>
      </c>
      <c r="R1683" s="27" t="str">
        <f>IF(N1683="Si",IFERROR(VLOOKUP(F1683,'TD Cumpl'!B:AB,27,0),"No Aplica"),"No Aplica")</f>
        <v>Cumple</v>
      </c>
      <c r="S1683" s="38">
        <v>60</v>
      </c>
      <c r="T1683" s="46">
        <v>5416101</v>
      </c>
      <c r="U1683" s="38">
        <v>130</v>
      </c>
      <c r="V1683" s="46">
        <v>15763172</v>
      </c>
      <c r="W1683" s="38">
        <v>49</v>
      </c>
      <c r="X1683" s="46">
        <v>4271015</v>
      </c>
      <c r="Y1683" s="46">
        <f t="shared" si="54"/>
        <v>2332210</v>
      </c>
      <c r="Z1683" s="19" t="s">
        <v>318</v>
      </c>
    </row>
    <row r="1684" spans="1:26" x14ac:dyDescent="0.25">
      <c r="A1684" s="20">
        <f>+VLOOKUP(D1684,Back!Q:R,2,0)</f>
        <v>10</v>
      </c>
      <c r="B1684" s="20" t="str">
        <f t="shared" si="53"/>
        <v>2018 OCT</v>
      </c>
      <c r="C1684" s="30">
        <v>2018</v>
      </c>
      <c r="D1684" s="30" t="s">
        <v>173</v>
      </c>
      <c r="E1684" s="30" t="s">
        <v>184</v>
      </c>
      <c r="F1684" s="30"/>
      <c r="G1684" s="30"/>
      <c r="H1684" s="32">
        <v>827755</v>
      </c>
      <c r="I1684" s="32">
        <v>0</v>
      </c>
      <c r="J1684" s="32">
        <v>0</v>
      </c>
      <c r="K1684" s="33">
        <v>827755</v>
      </c>
      <c r="L1684" s="33"/>
      <c r="M1684" s="34"/>
      <c r="N1684" s="209" t="str">
        <f>IFERROR(VLOOKUP(F1684,Back!C:F,4,0),"NO")</f>
        <v>NO</v>
      </c>
      <c r="O1684" s="26">
        <v>26</v>
      </c>
      <c r="P1684" s="28" t="str">
        <f>IFERROR(VLOOKUP(F1684,Back!C:E,3,0),"")</f>
        <v/>
      </c>
      <c r="Q1684" s="28" t="str">
        <f>IFERROR(VLOOKUP(P1684,Back!M:N,2,0),"")</f>
        <v/>
      </c>
      <c r="R1684" s="27" t="str">
        <f>IF(N1684="Si",IFERROR(VLOOKUP(F1684,'TD Cumpl'!B:AB,27,0),"No Aplica"),"No Aplica")</f>
        <v>No Aplica</v>
      </c>
      <c r="S1684" s="38">
        <v>1</v>
      </c>
      <c r="T1684" s="46">
        <v>67267</v>
      </c>
      <c r="U1684" s="38">
        <v>2</v>
      </c>
      <c r="V1684" s="46">
        <v>561055</v>
      </c>
      <c r="W1684" s="38">
        <v>0</v>
      </c>
      <c r="X1684" s="46">
        <v>0</v>
      </c>
      <c r="Y1684" s="46">
        <f t="shared" si="54"/>
        <v>199433</v>
      </c>
    </row>
    <row r="1685" spans="1:26" x14ac:dyDescent="0.25">
      <c r="A1685" s="20">
        <f>+VLOOKUP(D1685,Back!Q:R,2,0)</f>
        <v>10</v>
      </c>
      <c r="B1685" s="20" t="str">
        <f t="shared" si="53"/>
        <v>2018 OCT</v>
      </c>
      <c r="C1685" s="30">
        <v>2018</v>
      </c>
      <c r="D1685" s="30" t="s">
        <v>173</v>
      </c>
      <c r="E1685" s="30" t="s">
        <v>294</v>
      </c>
      <c r="F1685" s="30"/>
      <c r="G1685" s="30"/>
      <c r="H1685" s="32">
        <v>109600</v>
      </c>
      <c r="I1685" s="32">
        <v>0</v>
      </c>
      <c r="J1685" s="32">
        <v>109600</v>
      </c>
      <c r="K1685" s="33">
        <v>0</v>
      </c>
      <c r="L1685" s="33"/>
      <c r="M1685" s="34"/>
      <c r="N1685" s="209" t="str">
        <f>IFERROR(VLOOKUP(F1685,Back!C:F,4,0),"NO")</f>
        <v>NO</v>
      </c>
      <c r="O1685" s="26">
        <v>26</v>
      </c>
      <c r="P1685" s="28" t="str">
        <f>IFERROR(VLOOKUP(F1685,Back!C:E,3,0),"")</f>
        <v/>
      </c>
      <c r="Q1685" s="28" t="str">
        <f>IFERROR(VLOOKUP(P1685,Back!M:N,2,0),"")</f>
        <v/>
      </c>
      <c r="R1685" s="27" t="str">
        <f>IF(N1685="Si",IFERROR(VLOOKUP(F1685,'TD Cumpl'!B:AB,27,0),"No Aplica"),"No Aplica")</f>
        <v>No Aplica</v>
      </c>
      <c r="S1685" s="38">
        <v>0</v>
      </c>
      <c r="T1685" s="46">
        <v>0</v>
      </c>
      <c r="U1685" s="38">
        <v>0</v>
      </c>
      <c r="V1685" s="46">
        <v>0</v>
      </c>
      <c r="W1685" s="38">
        <v>0</v>
      </c>
      <c r="X1685" s="46">
        <v>0</v>
      </c>
      <c r="Y1685" s="46">
        <f t="shared" si="54"/>
        <v>109600</v>
      </c>
    </row>
    <row r="1686" spans="1:26" x14ac:dyDescent="0.25">
      <c r="A1686" s="20">
        <f>+VLOOKUP(D1686,Back!Q:R,2,0)</f>
        <v>10</v>
      </c>
      <c r="B1686" s="20" t="str">
        <f t="shared" si="53"/>
        <v>2018 OCT</v>
      </c>
      <c r="C1686" s="30">
        <v>2018</v>
      </c>
      <c r="D1686" s="30" t="s">
        <v>173</v>
      </c>
      <c r="E1686" s="30" t="s">
        <v>14</v>
      </c>
      <c r="F1686" s="30"/>
      <c r="G1686" s="30"/>
      <c r="H1686" s="32">
        <v>147800</v>
      </c>
      <c r="I1686" s="32">
        <v>0</v>
      </c>
      <c r="J1686" s="32">
        <v>0</v>
      </c>
      <c r="K1686" s="33">
        <v>147800</v>
      </c>
      <c r="L1686" s="33"/>
      <c r="M1686" s="34"/>
      <c r="N1686" s="209" t="str">
        <f>IFERROR(VLOOKUP(F1686,Back!C:F,4,0),"NO")</f>
        <v>NO</v>
      </c>
      <c r="O1686" s="26">
        <v>26</v>
      </c>
      <c r="P1686" s="28" t="str">
        <f>IFERROR(VLOOKUP(F1686,Back!C:E,3,0),"")</f>
        <v/>
      </c>
      <c r="Q1686" s="28" t="str">
        <f>IFERROR(VLOOKUP(P1686,Back!M:N,2,0),"")</f>
        <v/>
      </c>
      <c r="R1686" s="27" t="str">
        <f>IF(N1686="Si",IFERROR(VLOOKUP(F1686,'TD Cumpl'!B:AB,27,0),"No Aplica"),"No Aplica")</f>
        <v>No Aplica</v>
      </c>
      <c r="S1686" s="38">
        <v>0</v>
      </c>
      <c r="T1686" s="46">
        <v>0</v>
      </c>
      <c r="U1686" s="38">
        <v>0</v>
      </c>
      <c r="V1686" s="46">
        <v>0</v>
      </c>
      <c r="W1686" s="38">
        <v>0</v>
      </c>
      <c r="X1686" s="46">
        <v>0</v>
      </c>
      <c r="Y1686" s="46">
        <f t="shared" si="54"/>
        <v>147800</v>
      </c>
    </row>
    <row r="1687" spans="1:26" x14ac:dyDescent="0.25">
      <c r="A1687" s="20">
        <f>+VLOOKUP(D1687,Back!Q:R,2,0)</f>
        <v>10</v>
      </c>
      <c r="B1687" s="20" t="str">
        <f t="shared" si="53"/>
        <v>2018 OCT</v>
      </c>
      <c r="C1687" s="30">
        <v>2018</v>
      </c>
      <c r="D1687" s="30" t="s">
        <v>173</v>
      </c>
      <c r="E1687" s="30" t="s">
        <v>295</v>
      </c>
      <c r="F1687" s="30"/>
      <c r="G1687" s="30"/>
      <c r="H1687" s="32">
        <v>615769</v>
      </c>
      <c r="I1687" s="32">
        <v>0</v>
      </c>
      <c r="J1687" s="32">
        <v>0</v>
      </c>
      <c r="K1687" s="33">
        <v>615769</v>
      </c>
      <c r="L1687" s="33"/>
      <c r="M1687" s="34"/>
      <c r="N1687" s="209" t="str">
        <f>IFERROR(VLOOKUP(F1687,Back!C:F,4,0),"NO")</f>
        <v>NO</v>
      </c>
      <c r="O1687" s="26">
        <v>26</v>
      </c>
      <c r="P1687" s="28" t="str">
        <f>IFERROR(VLOOKUP(F1687,Back!C:E,3,0),"")</f>
        <v/>
      </c>
      <c r="Q1687" s="28" t="str">
        <f>IFERROR(VLOOKUP(P1687,Back!M:N,2,0),"")</f>
        <v/>
      </c>
      <c r="R1687" s="27" t="str">
        <f>IF(N1687="Si",IFERROR(VLOOKUP(F1687,'TD Cumpl'!B:AB,27,0),"No Aplica"),"No Aplica")</f>
        <v>No Aplica</v>
      </c>
      <c r="S1687" s="38">
        <v>0</v>
      </c>
      <c r="T1687" s="46">
        <v>0</v>
      </c>
      <c r="U1687" s="38">
        <v>2</v>
      </c>
      <c r="V1687" s="46">
        <v>615769</v>
      </c>
      <c r="W1687" s="38">
        <v>0</v>
      </c>
      <c r="X1687" s="46">
        <v>0</v>
      </c>
      <c r="Y1687" s="46">
        <f t="shared" si="54"/>
        <v>0</v>
      </c>
    </row>
    <row r="1688" spans="1:26" x14ac:dyDescent="0.25">
      <c r="A1688" s="20">
        <f>+VLOOKUP(D1688,Back!Q:R,2,0)</f>
        <v>10</v>
      </c>
      <c r="B1688" s="20" t="str">
        <f t="shared" si="53"/>
        <v>2018 OCT</v>
      </c>
      <c r="C1688" s="30">
        <v>2018</v>
      </c>
      <c r="D1688" s="30" t="s">
        <v>173</v>
      </c>
      <c r="E1688" s="30" t="s">
        <v>119</v>
      </c>
      <c r="F1688" s="30"/>
      <c r="G1688" s="30"/>
      <c r="H1688" s="32">
        <v>1103334</v>
      </c>
      <c r="I1688" s="32">
        <v>0</v>
      </c>
      <c r="J1688" s="32">
        <v>797986</v>
      </c>
      <c r="K1688" s="33">
        <v>305348</v>
      </c>
      <c r="L1688" s="33"/>
      <c r="M1688" s="34"/>
      <c r="N1688" s="209" t="str">
        <f>IFERROR(VLOOKUP(F1688,Back!C:F,4,0),"NO")</f>
        <v>NO</v>
      </c>
      <c r="O1688" s="26">
        <v>26</v>
      </c>
      <c r="P1688" s="28" t="str">
        <f>IFERROR(VLOOKUP(F1688,Back!C:E,3,0),"")</f>
        <v/>
      </c>
      <c r="Q1688" s="28" t="str">
        <f>IFERROR(VLOOKUP(P1688,Back!M:N,2,0),"")</f>
        <v/>
      </c>
      <c r="R1688" s="27" t="str">
        <f>IF(N1688="Si",IFERROR(VLOOKUP(F1688,'TD Cumpl'!B:AB,27,0),"No Aplica"),"No Aplica")</f>
        <v>No Aplica</v>
      </c>
      <c r="S1688" s="38">
        <v>2</v>
      </c>
      <c r="T1688" s="46">
        <v>192689</v>
      </c>
      <c r="U1688" s="38">
        <v>0</v>
      </c>
      <c r="V1688" s="46">
        <v>0</v>
      </c>
      <c r="W1688" s="38">
        <v>14</v>
      </c>
      <c r="X1688" s="46">
        <v>797986</v>
      </c>
      <c r="Y1688" s="46">
        <f t="shared" si="54"/>
        <v>112659</v>
      </c>
    </row>
    <row r="1689" spans="1:26" x14ac:dyDescent="0.25">
      <c r="A1689" s="20">
        <f>+VLOOKUP(D1689,Back!Q:R,2,0)</f>
        <v>10</v>
      </c>
      <c r="B1689" s="20" t="str">
        <f t="shared" si="53"/>
        <v>2018 OCT</v>
      </c>
      <c r="C1689" s="30">
        <v>2018</v>
      </c>
      <c r="D1689" s="30" t="s">
        <v>173</v>
      </c>
      <c r="E1689" s="30" t="s">
        <v>92</v>
      </c>
      <c r="F1689" s="30"/>
      <c r="G1689" s="30"/>
      <c r="H1689" s="32">
        <v>1150893</v>
      </c>
      <c r="I1689" s="32">
        <v>0</v>
      </c>
      <c r="J1689" s="32">
        <v>0</v>
      </c>
      <c r="K1689" s="33">
        <v>1150893</v>
      </c>
      <c r="L1689" s="33"/>
      <c r="M1689" s="34"/>
      <c r="N1689" s="209" t="str">
        <f>IFERROR(VLOOKUP(F1689,Back!C:F,4,0),"NO")</f>
        <v>NO</v>
      </c>
      <c r="O1689" s="26">
        <v>26</v>
      </c>
      <c r="P1689" s="28" t="str">
        <f>IFERROR(VLOOKUP(F1689,Back!C:E,3,0),"")</f>
        <v/>
      </c>
      <c r="Q1689" s="28" t="str">
        <f>IFERROR(VLOOKUP(P1689,Back!M:N,2,0),"")</f>
        <v/>
      </c>
      <c r="R1689" s="27" t="str">
        <f>IF(N1689="Si",IFERROR(VLOOKUP(F1689,'TD Cumpl'!B:AB,27,0),"No Aplica"),"No Aplica")</f>
        <v>No Aplica</v>
      </c>
      <c r="S1689" s="38">
        <v>1</v>
      </c>
      <c r="T1689" s="46">
        <v>110000</v>
      </c>
      <c r="U1689" s="38">
        <v>2</v>
      </c>
      <c r="V1689" s="46">
        <v>268897</v>
      </c>
      <c r="W1689" s="38">
        <v>0</v>
      </c>
      <c r="X1689" s="46">
        <v>0</v>
      </c>
      <c r="Y1689" s="46">
        <f t="shared" si="54"/>
        <v>771996</v>
      </c>
    </row>
    <row r="1690" spans="1:26" x14ac:dyDescent="0.25">
      <c r="A1690" s="20">
        <f>+VLOOKUP(D1690,Back!Q:R,2,0)</f>
        <v>10</v>
      </c>
      <c r="B1690" s="20" t="str">
        <f t="shared" si="53"/>
        <v>2018 OCT</v>
      </c>
      <c r="C1690" s="30">
        <v>2018</v>
      </c>
      <c r="D1690" s="30" t="s">
        <v>173</v>
      </c>
      <c r="E1690" s="30" t="s">
        <v>91</v>
      </c>
      <c r="F1690" s="30"/>
      <c r="G1690" s="30"/>
      <c r="H1690" s="32">
        <v>726422</v>
      </c>
      <c r="I1690" s="32">
        <v>0</v>
      </c>
      <c r="J1690" s="32">
        <v>0</v>
      </c>
      <c r="K1690" s="33">
        <v>726422</v>
      </c>
      <c r="L1690" s="33"/>
      <c r="M1690" s="34"/>
      <c r="N1690" s="209" t="str">
        <f>IFERROR(VLOOKUP(F1690,Back!C:F,4,0),"NO")</f>
        <v>NO</v>
      </c>
      <c r="O1690" s="26">
        <v>26</v>
      </c>
      <c r="P1690" s="28" t="str">
        <f>IFERROR(VLOOKUP(F1690,Back!C:E,3,0),"")</f>
        <v/>
      </c>
      <c r="Q1690" s="28" t="str">
        <f>IFERROR(VLOOKUP(P1690,Back!M:N,2,0),"")</f>
        <v/>
      </c>
      <c r="R1690" s="27" t="str">
        <f>IF(N1690="Si",IFERROR(VLOOKUP(F1690,'TD Cumpl'!B:AB,27,0),"No Aplica"),"No Aplica")</f>
        <v>No Aplica</v>
      </c>
      <c r="S1690" s="38">
        <v>2</v>
      </c>
      <c r="T1690" s="46">
        <v>165673</v>
      </c>
      <c r="U1690" s="38">
        <v>4</v>
      </c>
      <c r="V1690" s="46">
        <v>416149</v>
      </c>
      <c r="W1690" s="38">
        <v>0</v>
      </c>
      <c r="X1690" s="46">
        <v>0</v>
      </c>
      <c r="Y1690" s="46">
        <f t="shared" si="54"/>
        <v>144600</v>
      </c>
    </row>
    <row r="1691" spans="1:26" x14ac:dyDescent="0.25">
      <c r="A1691" s="20">
        <f>+VLOOKUP(D1691,Back!Q:R,2,0)</f>
        <v>10</v>
      </c>
      <c r="B1691" s="20" t="str">
        <f t="shared" si="53"/>
        <v>2018 OCT</v>
      </c>
      <c r="C1691" s="30">
        <v>2018</v>
      </c>
      <c r="D1691" s="30" t="s">
        <v>173</v>
      </c>
      <c r="E1691" s="30" t="s">
        <v>37</v>
      </c>
      <c r="F1691" s="30"/>
      <c r="G1691" s="30"/>
      <c r="H1691" s="32">
        <v>183886</v>
      </c>
      <c r="I1691" s="32">
        <v>0</v>
      </c>
      <c r="J1691" s="32">
        <v>0</v>
      </c>
      <c r="K1691" s="33">
        <v>183886</v>
      </c>
      <c r="L1691" s="33"/>
      <c r="M1691" s="34"/>
      <c r="N1691" s="209" t="str">
        <f>IFERROR(VLOOKUP(F1691,Back!C:F,4,0),"NO")</f>
        <v>NO</v>
      </c>
      <c r="O1691" s="26">
        <v>26</v>
      </c>
      <c r="P1691" s="28" t="str">
        <f>IFERROR(VLOOKUP(F1691,Back!C:E,3,0),"")</f>
        <v/>
      </c>
      <c r="Q1691" s="28" t="str">
        <f>IFERROR(VLOOKUP(P1691,Back!M:N,2,0),"")</f>
        <v/>
      </c>
      <c r="R1691" s="27" t="str">
        <f>IF(N1691="Si",IFERROR(VLOOKUP(F1691,'TD Cumpl'!B:AB,27,0),"No Aplica"),"No Aplica")</f>
        <v>No Aplica</v>
      </c>
      <c r="S1691" s="38">
        <v>1</v>
      </c>
      <c r="T1691" s="46">
        <v>39285</v>
      </c>
      <c r="U1691" s="38">
        <v>0</v>
      </c>
      <c r="V1691" s="46">
        <v>0</v>
      </c>
      <c r="W1691" s="38">
        <v>0</v>
      </c>
      <c r="X1691" s="46">
        <v>0</v>
      </c>
      <c r="Y1691" s="46">
        <f t="shared" si="54"/>
        <v>144601</v>
      </c>
    </row>
    <row r="1692" spans="1:26" x14ac:dyDescent="0.25">
      <c r="A1692" s="20">
        <f>+VLOOKUP(D1692,Back!Q:R,2,0)</f>
        <v>10</v>
      </c>
      <c r="B1692" s="20" t="str">
        <f t="shared" si="53"/>
        <v>2018 OCT</v>
      </c>
      <c r="C1692" s="30">
        <v>2018</v>
      </c>
      <c r="D1692" s="30" t="s">
        <v>173</v>
      </c>
      <c r="E1692" s="30" t="s">
        <v>263</v>
      </c>
      <c r="F1692" s="30"/>
      <c r="G1692" s="30"/>
      <c r="H1692" s="32">
        <v>109600</v>
      </c>
      <c r="I1692" s="32">
        <v>0</v>
      </c>
      <c r="J1692" s="32">
        <v>109600</v>
      </c>
      <c r="K1692" s="33">
        <v>0</v>
      </c>
      <c r="L1692" s="33"/>
      <c r="M1692" s="34"/>
      <c r="N1692" s="209" t="str">
        <f>IFERROR(VLOOKUP(F1692,Back!C:F,4,0),"NO")</f>
        <v>NO</v>
      </c>
      <c r="O1692" s="26">
        <v>26</v>
      </c>
      <c r="P1692" s="28" t="str">
        <f>IFERROR(VLOOKUP(F1692,Back!C:E,3,0),"")</f>
        <v/>
      </c>
      <c r="Q1692" s="28" t="str">
        <f>IFERROR(VLOOKUP(P1692,Back!M:N,2,0),"")</f>
        <v/>
      </c>
      <c r="R1692" s="27" t="str">
        <f>IF(N1692="Si",IFERROR(VLOOKUP(F1692,'TD Cumpl'!B:AB,27,0),"No Aplica"),"No Aplica")</f>
        <v>No Aplica</v>
      </c>
      <c r="S1692" s="38">
        <v>0</v>
      </c>
      <c r="T1692" s="46">
        <v>0</v>
      </c>
      <c r="U1692" s="38">
        <v>0</v>
      </c>
      <c r="V1692" s="46">
        <v>0</v>
      </c>
      <c r="W1692" s="38">
        <v>0</v>
      </c>
      <c r="X1692" s="46">
        <v>0</v>
      </c>
      <c r="Y1692" s="46">
        <f t="shared" si="54"/>
        <v>109600</v>
      </c>
    </row>
    <row r="1693" spans="1:26" x14ac:dyDescent="0.25">
      <c r="A1693" s="20">
        <f>+VLOOKUP(D1693,Back!Q:R,2,0)</f>
        <v>10</v>
      </c>
      <c r="B1693" s="20" t="str">
        <f t="shared" si="53"/>
        <v>2018 OCT</v>
      </c>
      <c r="C1693" s="30">
        <v>2018</v>
      </c>
      <c r="D1693" s="30" t="s">
        <v>173</v>
      </c>
      <c r="E1693" s="30" t="s">
        <v>296</v>
      </c>
      <c r="F1693" s="30"/>
      <c r="G1693" s="30"/>
      <c r="H1693" s="32">
        <v>109600</v>
      </c>
      <c r="I1693" s="32">
        <v>0</v>
      </c>
      <c r="J1693" s="32">
        <v>109600</v>
      </c>
      <c r="K1693" s="33">
        <v>0</v>
      </c>
      <c r="L1693" s="33"/>
      <c r="M1693" s="34"/>
      <c r="N1693" s="209" t="str">
        <f>IFERROR(VLOOKUP(F1693,Back!C:F,4,0),"NO")</f>
        <v>NO</v>
      </c>
      <c r="O1693" s="26">
        <v>26</v>
      </c>
      <c r="P1693" s="28" t="str">
        <f>IFERROR(VLOOKUP(F1693,Back!C:E,3,0),"")</f>
        <v/>
      </c>
      <c r="Q1693" s="28" t="str">
        <f>IFERROR(VLOOKUP(P1693,Back!M:N,2,0),"")</f>
        <v/>
      </c>
      <c r="R1693" s="27" t="str">
        <f>IF(N1693="Si",IFERROR(VLOOKUP(F1693,'TD Cumpl'!B:AB,27,0),"No Aplica"),"No Aplica")</f>
        <v>No Aplica</v>
      </c>
      <c r="S1693" s="38">
        <v>0</v>
      </c>
      <c r="T1693" s="46">
        <v>0</v>
      </c>
      <c r="U1693" s="38">
        <v>0</v>
      </c>
      <c r="V1693" s="46">
        <v>0</v>
      </c>
      <c r="W1693" s="38">
        <v>0</v>
      </c>
      <c r="X1693" s="46">
        <v>0</v>
      </c>
      <c r="Y1693" s="46">
        <f t="shared" si="54"/>
        <v>109600</v>
      </c>
    </row>
    <row r="1694" spans="1:26" x14ac:dyDescent="0.25">
      <c r="A1694" s="20">
        <f>+VLOOKUP(D1694,Back!Q:R,2,0)</f>
        <v>10</v>
      </c>
      <c r="B1694" s="20" t="str">
        <f t="shared" si="53"/>
        <v>2018 OCT</v>
      </c>
      <c r="C1694" s="30">
        <v>2018</v>
      </c>
      <c r="D1694" s="30" t="s">
        <v>173</v>
      </c>
      <c r="E1694" s="30" t="s">
        <v>254</v>
      </c>
      <c r="F1694" s="30"/>
      <c r="G1694" s="30"/>
      <c r="H1694" s="32">
        <v>141671</v>
      </c>
      <c r="I1694" s="32">
        <v>0</v>
      </c>
      <c r="J1694" s="32">
        <v>141671</v>
      </c>
      <c r="K1694" s="33">
        <v>0</v>
      </c>
      <c r="L1694" s="33"/>
      <c r="M1694" s="34"/>
      <c r="N1694" s="209" t="str">
        <f>IFERROR(VLOOKUP(F1694,Back!C:F,4,0),"NO")</f>
        <v>NO</v>
      </c>
      <c r="O1694" s="26">
        <v>26</v>
      </c>
      <c r="P1694" s="28" t="str">
        <f>IFERROR(VLOOKUP(F1694,Back!C:E,3,0),"")</f>
        <v/>
      </c>
      <c r="Q1694" s="28" t="str">
        <f>IFERROR(VLOOKUP(P1694,Back!M:N,2,0),"")</f>
        <v/>
      </c>
      <c r="R1694" s="27" t="str">
        <f>IF(N1694="Si",IFERROR(VLOOKUP(F1694,'TD Cumpl'!B:AB,27,0),"No Aplica"),"No Aplica")</f>
        <v>No Aplica</v>
      </c>
      <c r="S1694" s="38">
        <v>0</v>
      </c>
      <c r="T1694" s="46">
        <v>0</v>
      </c>
      <c r="U1694" s="38">
        <v>0</v>
      </c>
      <c r="V1694" s="46">
        <v>0</v>
      </c>
      <c r="W1694" s="38">
        <v>1</v>
      </c>
      <c r="X1694" s="46">
        <v>141671</v>
      </c>
      <c r="Y1694" s="46">
        <f t="shared" si="54"/>
        <v>0</v>
      </c>
    </row>
    <row r="1695" spans="1:26" x14ac:dyDescent="0.25">
      <c r="A1695" s="20">
        <f>+VLOOKUP(D1695,Back!Q:R,2,0)</f>
        <v>10</v>
      </c>
      <c r="B1695" s="20" t="str">
        <f t="shared" si="53"/>
        <v>2018 OCT</v>
      </c>
      <c r="C1695" s="39">
        <v>2018</v>
      </c>
      <c r="D1695" s="39" t="s">
        <v>173</v>
      </c>
      <c r="E1695" s="39" t="s">
        <v>87</v>
      </c>
      <c r="F1695" s="39"/>
      <c r="G1695" s="39"/>
      <c r="H1695" s="40">
        <f>6548308+680000</f>
        <v>7228308</v>
      </c>
      <c r="I1695" s="40">
        <v>0</v>
      </c>
      <c r="J1695" s="40">
        <v>0</v>
      </c>
      <c r="K1695" s="41">
        <v>7228308</v>
      </c>
      <c r="L1695" s="41"/>
      <c r="M1695" s="42"/>
      <c r="N1695" s="209" t="str">
        <f>IFERROR(VLOOKUP(F1695,Back!C:F,4,0),"NO")</f>
        <v>NO</v>
      </c>
      <c r="O1695" s="43">
        <v>26</v>
      </c>
      <c r="P1695" s="28" t="str">
        <f>IFERROR(VLOOKUP(F1695,Back!C:E,3,0),"")</f>
        <v/>
      </c>
      <c r="Q1695" s="28" t="str">
        <f>IFERROR(VLOOKUP(P1695,Back!M:N,2,0),"")</f>
        <v/>
      </c>
      <c r="R1695" s="27" t="str">
        <f>IF(N1695="Si",IFERROR(VLOOKUP(F1695,'TD Cumpl'!B:AB,27,0),"No Aplica"),"No Aplica")</f>
        <v>No Aplica</v>
      </c>
      <c r="S1695" s="38">
        <v>11</v>
      </c>
      <c r="T1695" s="46">
        <v>826013</v>
      </c>
      <c r="U1695" s="38">
        <v>26</v>
      </c>
      <c r="V1695" s="46">
        <v>5358848</v>
      </c>
      <c r="W1695" s="38">
        <v>0</v>
      </c>
      <c r="X1695" s="46">
        <v>0</v>
      </c>
      <c r="Y1695" s="46">
        <f t="shared" si="54"/>
        <v>1043447</v>
      </c>
      <c r="Z1695" s="45"/>
    </row>
    <row r="1696" spans="1:26" x14ac:dyDescent="0.25">
      <c r="A1696" s="20">
        <f>+VLOOKUP(D1696,Back!Q:R,2,0)</f>
        <v>11</v>
      </c>
      <c r="B1696" s="20" t="str">
        <f t="shared" si="53"/>
        <v>2018 NOV</v>
      </c>
      <c r="C1696" s="30">
        <v>2018</v>
      </c>
      <c r="D1696" s="30" t="s">
        <v>175</v>
      </c>
      <c r="E1696" s="30" t="s">
        <v>3</v>
      </c>
      <c r="F1696" s="30">
        <v>52725011</v>
      </c>
      <c r="G1696" s="30" t="s">
        <v>42</v>
      </c>
      <c r="H1696" s="32">
        <v>31580391</v>
      </c>
      <c r="I1696" s="32">
        <v>0</v>
      </c>
      <c r="J1696" s="32">
        <v>6304527</v>
      </c>
      <c r="K1696" s="33">
        <v>25275864</v>
      </c>
      <c r="L1696" s="33">
        <v>25000008</v>
      </c>
      <c r="M1696" s="34">
        <v>1.0110342364690443</v>
      </c>
      <c r="N1696" s="209" t="str">
        <f>IFERROR(VLOOKUP(F1696,Back!C:F,4,0),"NO")</f>
        <v>Si</v>
      </c>
      <c r="O1696" s="26">
        <v>24</v>
      </c>
      <c r="P1696" s="28" t="str">
        <f>IFERROR(VLOOKUP(F1696,Back!C:E,3,0),"")</f>
        <v>IPS Pto De Vista Olaya</v>
      </c>
      <c r="Q1696" s="28" t="str">
        <f>IFERROR(VLOOKUP(P1696,Back!M:N,2,0),"")</f>
        <v>Centro</v>
      </c>
      <c r="R1696" s="27" t="str">
        <f>IF(N1696="Si",IFERROR(VLOOKUP(F1696,'TD Cumpl'!B:AB,27,0),"No Aplica"),"No Aplica")</f>
        <v>Fluctúa</v>
      </c>
      <c r="S1696" s="38">
        <v>65</v>
      </c>
      <c r="T1696" s="46">
        <v>5084418</v>
      </c>
      <c r="U1696" s="38">
        <v>180</v>
      </c>
      <c r="V1696" s="46">
        <v>18724316</v>
      </c>
      <c r="W1696" s="38">
        <v>85</v>
      </c>
      <c r="X1696" s="46">
        <v>6304527</v>
      </c>
      <c r="Y1696" s="46">
        <f t="shared" si="54"/>
        <v>1467130</v>
      </c>
      <c r="Z1696" s="19" t="s">
        <v>318</v>
      </c>
    </row>
    <row r="1697" spans="1:26" x14ac:dyDescent="0.25">
      <c r="A1697" s="20">
        <f>+VLOOKUP(D1697,Back!Q:R,2,0)</f>
        <v>11</v>
      </c>
      <c r="B1697" s="20" t="str">
        <f t="shared" si="53"/>
        <v>2018 NOV</v>
      </c>
      <c r="C1697" s="30">
        <v>2018</v>
      </c>
      <c r="D1697" s="30" t="s">
        <v>175</v>
      </c>
      <c r="E1697" s="30" t="s">
        <v>191</v>
      </c>
      <c r="F1697" s="30">
        <v>1010207310</v>
      </c>
      <c r="G1697" s="30" t="s">
        <v>253</v>
      </c>
      <c r="H1697" s="32">
        <v>32304860</v>
      </c>
      <c r="I1697" s="32">
        <v>234000</v>
      </c>
      <c r="J1697" s="32">
        <v>6760695</v>
      </c>
      <c r="K1697" s="33">
        <v>25310165</v>
      </c>
      <c r="L1697" s="33">
        <v>25000008</v>
      </c>
      <c r="M1697" s="34">
        <v>1.0124062760299917</v>
      </c>
      <c r="N1697" s="209" t="str">
        <f>IFERROR(VLOOKUP(F1697,Back!C:F,4,0),"NO")</f>
        <v>Si</v>
      </c>
      <c r="O1697" s="26">
        <v>24</v>
      </c>
      <c r="P1697" s="28" t="str">
        <f>IFERROR(VLOOKUP(F1697,Back!C:E,3,0),"")</f>
        <v>IPS Pto De Vista Olaya</v>
      </c>
      <c r="Q1697" s="28" t="str">
        <f>IFERROR(VLOOKUP(P1697,Back!M:N,2,0),"")</f>
        <v>Centro</v>
      </c>
      <c r="R1697" s="27" t="str">
        <f>IF(N1697="Si",IFERROR(VLOOKUP(F1697,'TD Cumpl'!B:AB,27,0),"No Aplica"),"No Aplica")</f>
        <v>Cumple</v>
      </c>
      <c r="S1697" s="38">
        <v>68</v>
      </c>
      <c r="T1697" s="46">
        <v>5301750</v>
      </c>
      <c r="U1697" s="38">
        <v>188</v>
      </c>
      <c r="V1697" s="46">
        <v>18645726</v>
      </c>
      <c r="W1697" s="38">
        <v>89</v>
      </c>
      <c r="X1697" s="46">
        <v>6760695</v>
      </c>
      <c r="Y1697" s="46">
        <f t="shared" si="54"/>
        <v>1596689</v>
      </c>
      <c r="Z1697" s="19" t="s">
        <v>318</v>
      </c>
    </row>
    <row r="1698" spans="1:26" x14ac:dyDescent="0.25">
      <c r="A1698" s="20">
        <f>+VLOOKUP(D1698,Back!Q:R,2,0)</f>
        <v>11</v>
      </c>
      <c r="B1698" s="20" t="str">
        <f t="shared" si="53"/>
        <v>2018 NOV</v>
      </c>
      <c r="C1698" s="30">
        <v>2018</v>
      </c>
      <c r="D1698" s="30" t="s">
        <v>175</v>
      </c>
      <c r="E1698" s="30" t="s">
        <v>4</v>
      </c>
      <c r="F1698" s="30">
        <v>79701425</v>
      </c>
      <c r="G1698" s="30" t="s">
        <v>27</v>
      </c>
      <c r="H1698" s="32">
        <v>32372918</v>
      </c>
      <c r="I1698" s="32">
        <v>0</v>
      </c>
      <c r="J1698" s="32">
        <v>6790385</v>
      </c>
      <c r="K1698" s="33">
        <v>25582533</v>
      </c>
      <c r="L1698" s="33">
        <v>25000008</v>
      </c>
      <c r="M1698" s="34">
        <v>1.0233009925436825</v>
      </c>
      <c r="N1698" s="209" t="str">
        <f>IFERROR(VLOOKUP(F1698,Back!C:F,4,0),"NO")</f>
        <v>No</v>
      </c>
      <c r="O1698" s="26">
        <v>24</v>
      </c>
      <c r="P1698" s="28" t="str">
        <f>IFERROR(VLOOKUP(F1698,Back!C:E,3,0),"")</f>
        <v>IPS Pto De Vista Olaya</v>
      </c>
      <c r="Q1698" s="28" t="str">
        <f>IFERROR(VLOOKUP(P1698,Back!M:N,2,0),"")</f>
        <v>Centro</v>
      </c>
      <c r="R1698" s="27" t="str">
        <f>IF(N1698="Si",IFERROR(VLOOKUP(F1698,'TD Cumpl'!B:AB,27,0),"No Aplica"),"No Aplica")</f>
        <v>No Aplica</v>
      </c>
      <c r="S1698" s="38">
        <v>65</v>
      </c>
      <c r="T1698" s="46">
        <v>4778978</v>
      </c>
      <c r="U1698" s="38">
        <v>152</v>
      </c>
      <c r="V1698" s="46">
        <v>19149924</v>
      </c>
      <c r="W1698" s="38">
        <v>87</v>
      </c>
      <c r="X1698" s="46">
        <v>6790385</v>
      </c>
      <c r="Y1698" s="46">
        <f t="shared" si="54"/>
        <v>1653631</v>
      </c>
    </row>
    <row r="1699" spans="1:26" x14ac:dyDescent="0.25">
      <c r="A1699" s="20">
        <f>+VLOOKUP(D1699,Back!Q:R,2,0)</f>
        <v>11</v>
      </c>
      <c r="B1699" s="20" t="str">
        <f t="shared" si="53"/>
        <v>2018 NOV</v>
      </c>
      <c r="C1699" s="30">
        <v>2018</v>
      </c>
      <c r="D1699" s="30" t="s">
        <v>175</v>
      </c>
      <c r="E1699" s="30" t="s">
        <v>62</v>
      </c>
      <c r="F1699" s="30">
        <v>32256379</v>
      </c>
      <c r="G1699" s="30" t="s">
        <v>61</v>
      </c>
      <c r="H1699" s="32">
        <v>28612038</v>
      </c>
      <c r="I1699" s="32">
        <v>0</v>
      </c>
      <c r="J1699" s="32">
        <v>3825456</v>
      </c>
      <c r="K1699" s="33">
        <v>24786582</v>
      </c>
      <c r="L1699" s="33">
        <v>14666664</v>
      </c>
      <c r="M1699" s="34">
        <v>1.6899945345444609</v>
      </c>
      <c r="N1699" s="209" t="str">
        <f>IFERROR(VLOOKUP(F1699,Back!C:F,4,0),"NO")</f>
        <v>Si</v>
      </c>
      <c r="O1699" s="26">
        <v>24</v>
      </c>
      <c r="P1699" s="28" t="str">
        <f>IFERROR(VLOOKUP(F1699,Back!C:E,3,0),"")</f>
        <v>Ferias Empresariales Antioquia</v>
      </c>
      <c r="Q1699" s="28" t="str">
        <f>IFERROR(VLOOKUP(P1699,Back!M:N,2,0),"")</f>
        <v>Antioquia</v>
      </c>
      <c r="R1699" s="27" t="str">
        <f>IF(N1699="Si",IFERROR(VLOOKUP(F1699,'TD Cumpl'!B:AB,27,0),"No Aplica"),"No Aplica")</f>
        <v>Fluctúa</v>
      </c>
      <c r="S1699" s="38">
        <v>26</v>
      </c>
      <c r="T1699" s="46">
        <v>2283979</v>
      </c>
      <c r="U1699" s="38">
        <v>76</v>
      </c>
      <c r="V1699" s="46">
        <v>10011048</v>
      </c>
      <c r="W1699" s="38">
        <v>40</v>
      </c>
      <c r="X1699" s="46">
        <v>3825456</v>
      </c>
      <c r="Y1699" s="46">
        <f t="shared" si="54"/>
        <v>12491555</v>
      </c>
      <c r="Z1699" s="19" t="s">
        <v>318</v>
      </c>
    </row>
    <row r="1700" spans="1:26" x14ac:dyDescent="0.25">
      <c r="A1700" s="20">
        <f>+VLOOKUP(D1700,Back!Q:R,2,0)</f>
        <v>11</v>
      </c>
      <c r="B1700" s="20" t="str">
        <f t="shared" si="53"/>
        <v>2018 NOV</v>
      </c>
      <c r="C1700" s="30">
        <v>2018</v>
      </c>
      <c r="D1700" s="30" t="s">
        <v>175</v>
      </c>
      <c r="E1700" s="30" t="s">
        <v>266</v>
      </c>
      <c r="F1700" s="30">
        <v>1128476466</v>
      </c>
      <c r="G1700" s="30" t="s">
        <v>267</v>
      </c>
      <c r="H1700" s="32">
        <v>15258143</v>
      </c>
      <c r="I1700" s="32">
        <v>0</v>
      </c>
      <c r="J1700" s="32">
        <v>4219651</v>
      </c>
      <c r="K1700" s="33">
        <v>11038492</v>
      </c>
      <c r="L1700" s="33">
        <v>7333332</v>
      </c>
      <c r="M1700" s="34">
        <v>1.5052491827725787</v>
      </c>
      <c r="N1700" s="209" t="str">
        <f>IFERROR(VLOOKUP(F1700,Back!C:F,4,0),"NO")</f>
        <v>Si</v>
      </c>
      <c r="O1700" s="26">
        <v>24</v>
      </c>
      <c r="P1700" s="28" t="str">
        <f>IFERROR(VLOOKUP(F1700,Back!C:E,3,0),"")</f>
        <v>IPS Pto De Vista San Diego</v>
      </c>
      <c r="Q1700" s="28" t="str">
        <f>IFERROR(VLOOKUP(P1700,Back!M:N,2,0),"")</f>
        <v>Antioquia</v>
      </c>
      <c r="R1700" s="27" t="str">
        <f>IF(N1700="Si",IFERROR(VLOOKUP(F1700,'TD Cumpl'!B:AB,27,0),"No Aplica"),"No Aplica")</f>
        <v>Fluctúa</v>
      </c>
      <c r="S1700" s="38">
        <v>25</v>
      </c>
      <c r="T1700" s="46">
        <v>3057402</v>
      </c>
      <c r="U1700" s="38">
        <v>58</v>
      </c>
      <c r="V1700" s="46">
        <v>7116288</v>
      </c>
      <c r="W1700" s="38">
        <v>47</v>
      </c>
      <c r="X1700" s="46">
        <v>4219651</v>
      </c>
      <c r="Y1700" s="46">
        <f t="shared" si="54"/>
        <v>864802</v>
      </c>
      <c r="Z1700" s="19" t="s">
        <v>318</v>
      </c>
    </row>
    <row r="1701" spans="1:26" x14ac:dyDescent="0.25">
      <c r="A1701" s="20">
        <f>+VLOOKUP(D1701,Back!Q:R,2,0)</f>
        <v>11</v>
      </c>
      <c r="B1701" s="20" t="str">
        <f t="shared" si="53"/>
        <v>2018 NOV</v>
      </c>
      <c r="C1701" s="30">
        <v>2018</v>
      </c>
      <c r="D1701" s="30" t="s">
        <v>175</v>
      </c>
      <c r="E1701" s="30" t="s">
        <v>25</v>
      </c>
      <c r="F1701" s="30">
        <v>1040030764</v>
      </c>
      <c r="G1701" s="30" t="s">
        <v>43</v>
      </c>
      <c r="H1701" s="32">
        <v>49826431</v>
      </c>
      <c r="I1701" s="32">
        <v>1632900</v>
      </c>
      <c r="J1701" s="32">
        <v>10750740</v>
      </c>
      <c r="K1701" s="33">
        <v>37442791</v>
      </c>
      <c r="L1701" s="33">
        <v>32083326</v>
      </c>
      <c r="M1701" s="34">
        <v>1.1670482979227279</v>
      </c>
      <c r="N1701" s="209" t="str">
        <f>IFERROR(VLOOKUP(F1701,Back!C:F,4,0),"NO")</f>
        <v>Si</v>
      </c>
      <c r="O1701" s="26">
        <v>24</v>
      </c>
      <c r="P1701" s="28" t="str">
        <f>IFERROR(VLOOKUP(F1701,Back!C:E,3,0),"")</f>
        <v>IPS Pto De Vista Rionegro</v>
      </c>
      <c r="Q1701" s="28" t="str">
        <f>IFERROR(VLOOKUP(P1701,Back!M:N,2,0),"")</f>
        <v>Antioquia</v>
      </c>
      <c r="R1701" s="27" t="str">
        <f>IF(N1701="Si",IFERROR(VLOOKUP(F1701,'TD Cumpl'!B:AB,27,0),"No Aplica"),"No Aplica")</f>
        <v>Cumple</v>
      </c>
      <c r="S1701" s="38">
        <v>80</v>
      </c>
      <c r="T1701" s="46">
        <v>8842251</v>
      </c>
      <c r="U1701" s="38">
        <v>198</v>
      </c>
      <c r="V1701" s="46">
        <v>25965145</v>
      </c>
      <c r="W1701" s="38">
        <v>106</v>
      </c>
      <c r="X1701" s="46">
        <v>10750740</v>
      </c>
      <c r="Y1701" s="46">
        <f t="shared" si="54"/>
        <v>4268295</v>
      </c>
      <c r="Z1701" s="19" t="s">
        <v>318</v>
      </c>
    </row>
    <row r="1702" spans="1:26" x14ac:dyDescent="0.25">
      <c r="A1702" s="20">
        <f>+VLOOKUP(D1702,Back!Q:R,2,0)</f>
        <v>11</v>
      </c>
      <c r="B1702" s="20" t="str">
        <f t="shared" si="53"/>
        <v>2018 NOV</v>
      </c>
      <c r="C1702" s="30">
        <v>2018</v>
      </c>
      <c r="D1702" s="30" t="s">
        <v>175</v>
      </c>
      <c r="E1702" s="30" t="s">
        <v>284</v>
      </c>
      <c r="F1702" s="30">
        <v>1128267208</v>
      </c>
      <c r="G1702" s="30" t="s">
        <v>285</v>
      </c>
      <c r="H1702" s="32">
        <v>43671015</v>
      </c>
      <c r="I1702" s="32">
        <v>468000</v>
      </c>
      <c r="J1702" s="32">
        <v>7747429</v>
      </c>
      <c r="K1702" s="33">
        <v>35455586</v>
      </c>
      <c r="L1702" s="33">
        <v>32083326</v>
      </c>
      <c r="M1702" s="34">
        <v>1.1051094266224144</v>
      </c>
      <c r="N1702" s="209" t="str">
        <f>IFERROR(VLOOKUP(F1702,Back!C:F,4,0),"NO")</f>
        <v>Si</v>
      </c>
      <c r="O1702" s="26">
        <v>24</v>
      </c>
      <c r="P1702" s="28" t="str">
        <f>IFERROR(VLOOKUP(F1702,Back!C:E,3,0),"")</f>
        <v>IPS Pto De Vista Rionegro</v>
      </c>
      <c r="Q1702" s="28" t="str">
        <f>IFERROR(VLOOKUP(P1702,Back!M:N,2,0),"")</f>
        <v>Antioquia</v>
      </c>
      <c r="R1702" s="27" t="str">
        <f>IF(N1702="Si",IFERROR(VLOOKUP(F1702,'TD Cumpl'!B:AB,27,0),"No Aplica"),"No Aplica")</f>
        <v>Fluctúa</v>
      </c>
      <c r="S1702" s="38">
        <v>67</v>
      </c>
      <c r="T1702" s="46">
        <v>8462134</v>
      </c>
      <c r="U1702" s="38">
        <v>152</v>
      </c>
      <c r="V1702" s="46">
        <v>22431558</v>
      </c>
      <c r="W1702" s="38">
        <v>77</v>
      </c>
      <c r="X1702" s="46">
        <v>7747429</v>
      </c>
      <c r="Y1702" s="46">
        <f t="shared" si="54"/>
        <v>5029894</v>
      </c>
      <c r="Z1702" s="19" t="s">
        <v>318</v>
      </c>
    </row>
    <row r="1703" spans="1:26" x14ac:dyDescent="0.25">
      <c r="A1703" s="20">
        <f>+VLOOKUP(D1703,Back!Q:R,2,0)</f>
        <v>11</v>
      </c>
      <c r="B1703" s="20" t="str">
        <f t="shared" si="53"/>
        <v>2018 NOV</v>
      </c>
      <c r="C1703" s="30">
        <v>2018</v>
      </c>
      <c r="D1703" s="30" t="s">
        <v>175</v>
      </c>
      <c r="E1703" s="30" t="s">
        <v>24</v>
      </c>
      <c r="F1703" s="30">
        <v>39448823</v>
      </c>
      <c r="G1703" s="30" t="s">
        <v>48</v>
      </c>
      <c r="H1703" s="32">
        <v>61537443</v>
      </c>
      <c r="I1703" s="32">
        <v>2277300</v>
      </c>
      <c r="J1703" s="32">
        <v>12262474</v>
      </c>
      <c r="K1703" s="33">
        <v>46997669</v>
      </c>
      <c r="L1703" s="33">
        <v>32083326</v>
      </c>
      <c r="M1703" s="34">
        <v>1.4648627452153806</v>
      </c>
      <c r="N1703" s="209" t="str">
        <f>IFERROR(VLOOKUP(F1703,Back!C:F,4,0),"NO")</f>
        <v>Si</v>
      </c>
      <c r="O1703" s="26">
        <v>24</v>
      </c>
      <c r="P1703" s="28" t="str">
        <f>IFERROR(VLOOKUP(F1703,Back!C:E,3,0),"")</f>
        <v>IPS Pto De Vista Rionegro</v>
      </c>
      <c r="Q1703" s="28" t="str">
        <f>IFERROR(VLOOKUP(P1703,Back!M:N,2,0),"")</f>
        <v>Antioquia</v>
      </c>
      <c r="R1703" s="27" t="str">
        <f>IF(N1703="Si",IFERROR(VLOOKUP(F1703,'TD Cumpl'!B:AB,27,0),"No Aplica"),"No Aplica")</f>
        <v>Siempre Cumple</v>
      </c>
      <c r="S1703" s="38">
        <v>92</v>
      </c>
      <c r="T1703" s="46">
        <v>9852569</v>
      </c>
      <c r="U1703" s="38">
        <v>234</v>
      </c>
      <c r="V1703" s="46">
        <v>33100829</v>
      </c>
      <c r="W1703" s="38">
        <v>119</v>
      </c>
      <c r="X1703" s="46">
        <v>12262474</v>
      </c>
      <c r="Y1703" s="46">
        <f t="shared" si="54"/>
        <v>6321571</v>
      </c>
      <c r="Z1703" s="19" t="s">
        <v>318</v>
      </c>
    </row>
    <row r="1704" spans="1:26" x14ac:dyDescent="0.25">
      <c r="A1704" s="20">
        <f>+VLOOKUP(D1704,Back!Q:R,2,0)</f>
        <v>11</v>
      </c>
      <c r="B1704" s="20" t="str">
        <f t="shared" si="53"/>
        <v>2018 NOV</v>
      </c>
      <c r="C1704" s="30">
        <v>2018</v>
      </c>
      <c r="D1704" s="30" t="s">
        <v>175</v>
      </c>
      <c r="E1704" s="30" t="s">
        <v>11</v>
      </c>
      <c r="F1704" s="30">
        <v>43253531</v>
      </c>
      <c r="G1704" s="30" t="s">
        <v>39</v>
      </c>
      <c r="H1704" s="32">
        <v>41914075</v>
      </c>
      <c r="I1704" s="32">
        <v>1278000</v>
      </c>
      <c r="J1704" s="32">
        <v>11065915</v>
      </c>
      <c r="K1704" s="33">
        <v>29570160</v>
      </c>
      <c r="L1704" s="33">
        <v>32083326</v>
      </c>
      <c r="M1704" s="34">
        <v>0.92166753534218993</v>
      </c>
      <c r="N1704" s="209" t="str">
        <f>IFERROR(VLOOKUP(F1704,Back!C:F,4,0),"NO")</f>
        <v>Si</v>
      </c>
      <c r="O1704" s="26">
        <v>24</v>
      </c>
      <c r="P1704" s="28" t="str">
        <f>IFERROR(VLOOKUP(F1704,Back!C:E,3,0),"")</f>
        <v>IPS Punto de Vista Bello</v>
      </c>
      <c r="Q1704" s="28" t="str">
        <f>IFERROR(VLOOKUP(P1704,Back!M:N,2,0),"")</f>
        <v>Antioquia</v>
      </c>
      <c r="R1704" s="27" t="str">
        <f>IF(N1704="Si",IFERROR(VLOOKUP(F1704,'TD Cumpl'!B:AB,27,0),"No Aplica"),"No Aplica")</f>
        <v>Cumple</v>
      </c>
      <c r="S1704" s="38">
        <v>68</v>
      </c>
      <c r="T1704" s="46">
        <v>6491403</v>
      </c>
      <c r="U1704" s="38">
        <v>166</v>
      </c>
      <c r="V1704" s="46">
        <v>19197207</v>
      </c>
      <c r="W1704" s="38">
        <v>107</v>
      </c>
      <c r="X1704" s="46">
        <v>11065915</v>
      </c>
      <c r="Y1704" s="46">
        <f t="shared" si="54"/>
        <v>5159550</v>
      </c>
      <c r="Z1704" s="19" t="s">
        <v>318</v>
      </c>
    </row>
    <row r="1705" spans="1:26" x14ac:dyDescent="0.25">
      <c r="A1705" s="20">
        <f>+VLOOKUP(D1705,Back!Q:R,2,0)</f>
        <v>11</v>
      </c>
      <c r="B1705" s="20" t="str">
        <f t="shared" si="53"/>
        <v>2018 NOV</v>
      </c>
      <c r="C1705" s="30">
        <v>2018</v>
      </c>
      <c r="D1705" s="30" t="s">
        <v>175</v>
      </c>
      <c r="E1705" s="30" t="s">
        <v>108</v>
      </c>
      <c r="F1705" s="30">
        <v>1020443426</v>
      </c>
      <c r="G1705" s="30" t="s">
        <v>109</v>
      </c>
      <c r="H1705" s="32">
        <v>42940375</v>
      </c>
      <c r="I1705" s="32">
        <v>1536400</v>
      </c>
      <c r="J1705" s="32">
        <v>9717838</v>
      </c>
      <c r="K1705" s="33">
        <v>31686137</v>
      </c>
      <c r="L1705" s="33">
        <v>39583326</v>
      </c>
      <c r="M1705" s="34">
        <v>0.80049203040694461</v>
      </c>
      <c r="N1705" s="209" t="str">
        <f>IFERROR(VLOOKUP(F1705,Back!C:F,4,0),"NO")</f>
        <v>Si</v>
      </c>
      <c r="O1705" s="26">
        <v>24</v>
      </c>
      <c r="P1705" s="28" t="str">
        <f>IFERROR(VLOOKUP(F1705,Back!C:E,3,0),"")</f>
        <v>IPS Pto De Vista San Diego</v>
      </c>
      <c r="Q1705" s="28" t="str">
        <f>IFERROR(VLOOKUP(P1705,Back!M:N,2,0),"")</f>
        <v>Antioquia</v>
      </c>
      <c r="R1705" s="27" t="str">
        <f>IF(N1705="Si",IFERROR(VLOOKUP(F1705,'TD Cumpl'!B:AB,27,0),"No Aplica"),"No Aplica")</f>
        <v>Fluctúa</v>
      </c>
      <c r="S1705" s="38">
        <v>60</v>
      </c>
      <c r="T1705" s="46">
        <v>6561873</v>
      </c>
      <c r="U1705" s="38">
        <v>174</v>
      </c>
      <c r="V1705" s="46">
        <v>21287057</v>
      </c>
      <c r="W1705" s="38">
        <v>92</v>
      </c>
      <c r="X1705" s="46">
        <v>9717838</v>
      </c>
      <c r="Y1705" s="46">
        <f t="shared" si="54"/>
        <v>5373607</v>
      </c>
      <c r="Z1705" s="19" t="s">
        <v>318</v>
      </c>
    </row>
    <row r="1706" spans="1:26" x14ac:dyDescent="0.25">
      <c r="A1706" s="20">
        <f>+VLOOKUP(D1706,Back!Q:R,2,0)</f>
        <v>11</v>
      </c>
      <c r="B1706" s="20" t="str">
        <f t="shared" si="53"/>
        <v>2018 NOV</v>
      </c>
      <c r="C1706" s="30">
        <v>2018</v>
      </c>
      <c r="D1706" s="30" t="s">
        <v>175</v>
      </c>
      <c r="E1706" s="30" t="s">
        <v>121</v>
      </c>
      <c r="F1706" s="30">
        <v>21982241</v>
      </c>
      <c r="G1706" s="30" t="s">
        <v>143</v>
      </c>
      <c r="H1706" s="32">
        <v>40136644</v>
      </c>
      <c r="I1706" s="32">
        <v>324000</v>
      </c>
      <c r="J1706" s="32">
        <v>10842178</v>
      </c>
      <c r="K1706" s="33">
        <v>28970466</v>
      </c>
      <c r="L1706" s="33">
        <v>29166660</v>
      </c>
      <c r="M1706" s="34">
        <v>0.99327334703390791</v>
      </c>
      <c r="N1706" s="209" t="str">
        <f>IFERROR(VLOOKUP(F1706,Back!C:F,4,0),"NO")</f>
        <v>Si</v>
      </c>
      <c r="O1706" s="26">
        <v>24</v>
      </c>
      <c r="P1706" s="28" t="str">
        <f>IFERROR(VLOOKUP(F1706,Back!C:E,3,0),"")</f>
        <v>IPS Punto de Vista Bello</v>
      </c>
      <c r="Q1706" s="28" t="str">
        <f>IFERROR(VLOOKUP(P1706,Back!M:N,2,0),"")</f>
        <v>Antioquia</v>
      </c>
      <c r="R1706" s="27" t="str">
        <f>IF(N1706="Si",IFERROR(VLOOKUP(F1706,'TD Cumpl'!B:AB,27,0),"No Aplica"),"No Aplica")</f>
        <v>Fluctúa</v>
      </c>
      <c r="S1706" s="38">
        <v>71</v>
      </c>
      <c r="T1706" s="46">
        <v>6067464</v>
      </c>
      <c r="U1706" s="38">
        <v>158</v>
      </c>
      <c r="V1706" s="46">
        <v>18770842</v>
      </c>
      <c r="W1706" s="38">
        <v>110</v>
      </c>
      <c r="X1706" s="46">
        <v>10842178</v>
      </c>
      <c r="Y1706" s="46">
        <f t="shared" si="54"/>
        <v>4456160</v>
      </c>
      <c r="Z1706" s="19" t="s">
        <v>317</v>
      </c>
    </row>
    <row r="1707" spans="1:26" x14ac:dyDescent="0.25">
      <c r="A1707" s="20">
        <f>+VLOOKUP(D1707,Back!Q:R,2,0)</f>
        <v>11</v>
      </c>
      <c r="B1707" s="20" t="str">
        <f t="shared" si="53"/>
        <v>2018 NOV</v>
      </c>
      <c r="C1707" s="30">
        <v>2018</v>
      </c>
      <c r="D1707" s="30" t="s">
        <v>175</v>
      </c>
      <c r="E1707" s="30" t="s">
        <v>9</v>
      </c>
      <c r="F1707" s="30">
        <v>43169964</v>
      </c>
      <c r="G1707" s="30" t="s">
        <v>155</v>
      </c>
      <c r="H1707" s="32">
        <v>55350284</v>
      </c>
      <c r="I1707" s="32">
        <v>0</v>
      </c>
      <c r="J1707" s="32">
        <v>13311880</v>
      </c>
      <c r="K1707" s="33">
        <v>42038404</v>
      </c>
      <c r="L1707" s="33">
        <v>40333326</v>
      </c>
      <c r="M1707" s="34">
        <v>1.0422746688433282</v>
      </c>
      <c r="N1707" s="209" t="str">
        <f>IFERROR(VLOOKUP(F1707,Back!C:F,4,0),"NO")</f>
        <v>Si</v>
      </c>
      <c r="O1707" s="26">
        <v>24</v>
      </c>
      <c r="P1707" s="28" t="str">
        <f>IFERROR(VLOOKUP(F1707,Back!C:E,3,0),"")</f>
        <v>IPS Pto De Vista Molinos</v>
      </c>
      <c r="Q1707" s="28" t="str">
        <f>IFERROR(VLOOKUP(P1707,Back!M:N,2,0),"")</f>
        <v>Antioquia</v>
      </c>
      <c r="R1707" s="27" t="str">
        <f>IF(N1707="Si",IFERROR(VLOOKUP(F1707,'TD Cumpl'!B:AB,27,0),"No Aplica"),"No Aplica")</f>
        <v>Cumple</v>
      </c>
      <c r="S1707" s="38">
        <v>87</v>
      </c>
      <c r="T1707" s="46">
        <v>9899047</v>
      </c>
      <c r="U1707" s="38">
        <v>211</v>
      </c>
      <c r="V1707" s="46">
        <v>28269236</v>
      </c>
      <c r="W1707" s="38">
        <v>126</v>
      </c>
      <c r="X1707" s="46">
        <v>13311880</v>
      </c>
      <c r="Y1707" s="46">
        <f t="shared" si="54"/>
        <v>3870121</v>
      </c>
      <c r="Z1707" s="19" t="s">
        <v>318</v>
      </c>
    </row>
    <row r="1708" spans="1:26" x14ac:dyDescent="0.25">
      <c r="A1708" s="20">
        <f>+VLOOKUP(D1708,Back!Q:R,2,0)</f>
        <v>11</v>
      </c>
      <c r="B1708" s="20" t="str">
        <f t="shared" si="53"/>
        <v>2018 NOV</v>
      </c>
      <c r="C1708" s="30">
        <v>2018</v>
      </c>
      <c r="D1708" s="30" t="s">
        <v>175</v>
      </c>
      <c r="E1708" s="30" t="s">
        <v>288</v>
      </c>
      <c r="F1708" s="30">
        <v>1017191161</v>
      </c>
      <c r="G1708" s="30" t="s">
        <v>289</v>
      </c>
      <c r="H1708" s="32">
        <v>30416908</v>
      </c>
      <c r="I1708" s="32">
        <v>766200</v>
      </c>
      <c r="J1708" s="32">
        <v>8256542</v>
      </c>
      <c r="K1708" s="33">
        <v>21394166</v>
      </c>
      <c r="L1708" s="33">
        <v>36666660</v>
      </c>
      <c r="M1708" s="34">
        <v>0.58347736063224742</v>
      </c>
      <c r="N1708" s="209" t="str">
        <f>IFERROR(VLOOKUP(F1708,Back!C:F,4,0),"NO")</f>
        <v>Si</v>
      </c>
      <c r="O1708" s="26">
        <v>24</v>
      </c>
      <c r="P1708" s="28" t="str">
        <f>IFERROR(VLOOKUP(F1708,Back!C:E,3,0),"")</f>
        <v>IPS Pto De Vista Molinos</v>
      </c>
      <c r="Q1708" s="28" t="str">
        <f>IFERROR(VLOOKUP(P1708,Back!M:N,2,0),"")</f>
        <v>Antioquia</v>
      </c>
      <c r="R1708" s="27" t="str">
        <f>IF(N1708="Si",IFERROR(VLOOKUP(F1708,'TD Cumpl'!B:AB,27,0),"No Aplica"),"No Aplica")</f>
        <v>No Cumple</v>
      </c>
      <c r="S1708" s="38">
        <v>49</v>
      </c>
      <c r="T1708" s="46">
        <v>4584025</v>
      </c>
      <c r="U1708" s="38">
        <v>116</v>
      </c>
      <c r="V1708" s="46">
        <v>14124325</v>
      </c>
      <c r="W1708" s="38">
        <v>88</v>
      </c>
      <c r="X1708" s="46">
        <v>8256542</v>
      </c>
      <c r="Y1708" s="46">
        <f t="shared" si="54"/>
        <v>3452016</v>
      </c>
      <c r="Z1708" s="19" t="s">
        <v>318</v>
      </c>
    </row>
    <row r="1709" spans="1:26" x14ac:dyDescent="0.25">
      <c r="A1709" s="20">
        <f>+VLOOKUP(D1709,Back!Q:R,2,0)</f>
        <v>11</v>
      </c>
      <c r="B1709" s="20" t="str">
        <f t="shared" si="53"/>
        <v>2018 NOV</v>
      </c>
      <c r="C1709" s="30">
        <v>2018</v>
      </c>
      <c r="D1709" s="30" t="s">
        <v>175</v>
      </c>
      <c r="E1709" s="30" t="s">
        <v>20</v>
      </c>
      <c r="F1709" s="30">
        <v>1017141451</v>
      </c>
      <c r="G1709" s="30" t="s">
        <v>44</v>
      </c>
      <c r="H1709" s="32">
        <v>55601482</v>
      </c>
      <c r="I1709" s="32">
        <v>984400</v>
      </c>
      <c r="J1709" s="32">
        <v>13256116</v>
      </c>
      <c r="K1709" s="33">
        <v>41360966</v>
      </c>
      <c r="L1709" s="33">
        <v>40333326</v>
      </c>
      <c r="M1709" s="34">
        <v>1.0254786823184381</v>
      </c>
      <c r="N1709" s="209" t="str">
        <f>IFERROR(VLOOKUP(F1709,Back!C:F,4,0),"NO")</f>
        <v>Si</v>
      </c>
      <c r="O1709" s="26">
        <v>24</v>
      </c>
      <c r="P1709" s="28" t="str">
        <f>IFERROR(VLOOKUP(F1709,Back!C:E,3,0),"")</f>
        <v>IPS Pto De Vista Molinos</v>
      </c>
      <c r="Q1709" s="28" t="str">
        <f>IFERROR(VLOOKUP(P1709,Back!M:N,2,0),"")</f>
        <v>Antioquia</v>
      </c>
      <c r="R1709" s="27" t="str">
        <f>IF(N1709="Si",IFERROR(VLOOKUP(F1709,'TD Cumpl'!B:AB,27,0),"No Aplica"),"No Aplica")</f>
        <v>Siempre Cumple</v>
      </c>
      <c r="S1709" s="38">
        <v>81</v>
      </c>
      <c r="T1709" s="46">
        <v>9167634</v>
      </c>
      <c r="U1709" s="38">
        <v>198</v>
      </c>
      <c r="V1709" s="46">
        <v>27550321</v>
      </c>
      <c r="W1709" s="38">
        <v>128</v>
      </c>
      <c r="X1709" s="46">
        <v>13256116</v>
      </c>
      <c r="Y1709" s="46">
        <f t="shared" si="54"/>
        <v>5627411</v>
      </c>
      <c r="Z1709" s="19" t="s">
        <v>318</v>
      </c>
    </row>
    <row r="1710" spans="1:26" x14ac:dyDescent="0.25">
      <c r="A1710" s="20">
        <f>+VLOOKUP(D1710,Back!Q:R,2,0)</f>
        <v>11</v>
      </c>
      <c r="B1710" s="20" t="str">
        <f t="shared" si="53"/>
        <v>2018 NOV</v>
      </c>
      <c r="C1710" s="30">
        <v>2018</v>
      </c>
      <c r="D1710" s="30" t="s">
        <v>175</v>
      </c>
      <c r="E1710" s="30" t="s">
        <v>290</v>
      </c>
      <c r="F1710" s="30">
        <v>1128442101</v>
      </c>
      <c r="G1710" s="30" t="s">
        <v>291</v>
      </c>
      <c r="H1710" s="32">
        <v>33490181</v>
      </c>
      <c r="I1710" s="32">
        <v>1467450</v>
      </c>
      <c r="J1710" s="32">
        <v>8827176</v>
      </c>
      <c r="K1710" s="33">
        <v>23195555</v>
      </c>
      <c r="L1710" s="33">
        <v>40333326</v>
      </c>
      <c r="M1710" s="34">
        <v>0.57509650952167946</v>
      </c>
      <c r="N1710" s="209" t="str">
        <f>IFERROR(VLOOKUP(F1710,Back!C:F,4,0),"NO")</f>
        <v>Si</v>
      </c>
      <c r="O1710" s="26">
        <v>24</v>
      </c>
      <c r="P1710" s="28" t="str">
        <f>IFERROR(VLOOKUP(F1710,Back!C:E,3,0),"")</f>
        <v>IPS Punto de Vista Mayorca</v>
      </c>
      <c r="Q1710" s="28" t="str">
        <f>IFERROR(VLOOKUP(P1710,Back!M:N,2,0),"")</f>
        <v>Antioquia</v>
      </c>
      <c r="R1710" s="27" t="str">
        <f>IF(N1710="Si",IFERROR(VLOOKUP(F1710,'TD Cumpl'!B:AB,27,0),"No Aplica"),"No Aplica")</f>
        <v>Fluctúa</v>
      </c>
      <c r="S1710" s="38">
        <v>55</v>
      </c>
      <c r="T1710" s="46">
        <v>5555955</v>
      </c>
      <c r="U1710" s="38">
        <v>122</v>
      </c>
      <c r="V1710" s="46">
        <v>13430727</v>
      </c>
      <c r="W1710" s="38">
        <v>88</v>
      </c>
      <c r="X1710" s="46">
        <v>8827176</v>
      </c>
      <c r="Y1710" s="46">
        <f t="shared" si="54"/>
        <v>5676323</v>
      </c>
      <c r="Z1710" s="19" t="s">
        <v>318</v>
      </c>
    </row>
    <row r="1711" spans="1:26" x14ac:dyDescent="0.25">
      <c r="A1711" s="20">
        <f>+VLOOKUP(D1711,Back!Q:R,2,0)</f>
        <v>11</v>
      </c>
      <c r="B1711" s="20" t="str">
        <f t="shared" si="53"/>
        <v>2018 NOV</v>
      </c>
      <c r="C1711" s="30">
        <v>2018</v>
      </c>
      <c r="D1711" s="30" t="s">
        <v>175</v>
      </c>
      <c r="E1711" s="30" t="s">
        <v>103</v>
      </c>
      <c r="F1711" s="30">
        <v>1020409789</v>
      </c>
      <c r="G1711" s="30" t="s">
        <v>145</v>
      </c>
      <c r="H1711" s="32">
        <v>60703224</v>
      </c>
      <c r="I1711" s="32">
        <v>0</v>
      </c>
      <c r="J1711" s="32">
        <v>13798077</v>
      </c>
      <c r="K1711" s="33">
        <v>46905147</v>
      </c>
      <c r="L1711" s="33">
        <v>40333326</v>
      </c>
      <c r="M1711" s="34">
        <v>1.1629377403688455</v>
      </c>
      <c r="N1711" s="209" t="str">
        <f>IFERROR(VLOOKUP(F1711,Back!C:F,4,0),"NO")</f>
        <v>Si</v>
      </c>
      <c r="O1711" s="26">
        <v>24</v>
      </c>
      <c r="P1711" s="28" t="str">
        <f>IFERROR(VLOOKUP(F1711,Back!C:E,3,0),"")</f>
        <v>IPS Pto De Vista Molinos</v>
      </c>
      <c r="Q1711" s="28" t="str">
        <f>IFERROR(VLOOKUP(P1711,Back!M:N,2,0),"")</f>
        <v>Antioquia</v>
      </c>
      <c r="R1711" s="27" t="str">
        <f>IF(N1711="Si",IFERROR(VLOOKUP(F1711,'TD Cumpl'!B:AB,27,0),"No Aplica"),"No Aplica")</f>
        <v>Cumple</v>
      </c>
      <c r="S1711" s="38">
        <v>111</v>
      </c>
      <c r="T1711" s="46">
        <v>12190761</v>
      </c>
      <c r="U1711" s="38">
        <v>242</v>
      </c>
      <c r="V1711" s="46">
        <v>29212762</v>
      </c>
      <c r="W1711" s="38">
        <v>141</v>
      </c>
      <c r="X1711" s="46">
        <v>13798077</v>
      </c>
      <c r="Y1711" s="46">
        <f t="shared" si="54"/>
        <v>5501624</v>
      </c>
      <c r="Z1711" s="19" t="s">
        <v>318</v>
      </c>
    </row>
    <row r="1712" spans="1:26" x14ac:dyDescent="0.25">
      <c r="A1712" s="20">
        <f>+VLOOKUP(D1712,Back!Q:R,2,0)</f>
        <v>11</v>
      </c>
      <c r="B1712" s="20" t="str">
        <f t="shared" si="53"/>
        <v>2018 NOV</v>
      </c>
      <c r="C1712" s="30">
        <v>2018</v>
      </c>
      <c r="D1712" s="30" t="s">
        <v>175</v>
      </c>
      <c r="E1712" s="30" t="s">
        <v>8</v>
      </c>
      <c r="F1712" s="30">
        <v>43259130</v>
      </c>
      <c r="G1712" s="30" t="s">
        <v>51</v>
      </c>
      <c r="H1712" s="32">
        <v>46383624</v>
      </c>
      <c r="I1712" s="32">
        <v>221100</v>
      </c>
      <c r="J1712" s="32">
        <v>11607878</v>
      </c>
      <c r="K1712" s="33">
        <v>34554646</v>
      </c>
      <c r="L1712" s="33">
        <v>40333326</v>
      </c>
      <c r="M1712" s="34">
        <v>0.85672691609910867</v>
      </c>
      <c r="N1712" s="209" t="str">
        <f>IFERROR(VLOOKUP(F1712,Back!C:F,4,0),"NO")</f>
        <v>Si</v>
      </c>
      <c r="O1712" s="26">
        <v>24</v>
      </c>
      <c r="P1712" s="28" t="str">
        <f>IFERROR(VLOOKUP(F1712,Back!C:E,3,0),"")</f>
        <v>IPS Pto De Vista Molinos</v>
      </c>
      <c r="Q1712" s="28" t="str">
        <f>IFERROR(VLOOKUP(P1712,Back!M:N,2,0),"")</f>
        <v>Antioquia</v>
      </c>
      <c r="R1712" s="27" t="str">
        <f>IF(N1712="Si",IFERROR(VLOOKUP(F1712,'TD Cumpl'!B:AB,27,0),"No Aplica"),"No Aplica")</f>
        <v>Fluctúa</v>
      </c>
      <c r="S1712" s="38">
        <v>76</v>
      </c>
      <c r="T1712" s="46">
        <v>9120434</v>
      </c>
      <c r="U1712" s="38">
        <v>178</v>
      </c>
      <c r="V1712" s="46">
        <v>21288915</v>
      </c>
      <c r="W1712" s="38">
        <v>118</v>
      </c>
      <c r="X1712" s="46">
        <v>11607878</v>
      </c>
      <c r="Y1712" s="46">
        <f t="shared" si="54"/>
        <v>4366397</v>
      </c>
      <c r="Z1712" s="19" t="s">
        <v>318</v>
      </c>
    </row>
    <row r="1713" spans="1:26" x14ac:dyDescent="0.25">
      <c r="A1713" s="20">
        <f>+VLOOKUP(D1713,Back!Q:R,2,0)</f>
        <v>11</v>
      </c>
      <c r="B1713" s="20" t="str">
        <f t="shared" si="53"/>
        <v>2018 NOV</v>
      </c>
      <c r="C1713" s="30">
        <v>2018</v>
      </c>
      <c r="D1713" s="30" t="s">
        <v>175</v>
      </c>
      <c r="E1713" s="30" t="s">
        <v>56</v>
      </c>
      <c r="F1713" s="30">
        <v>43971430</v>
      </c>
      <c r="G1713" s="30" t="s">
        <v>142</v>
      </c>
      <c r="H1713" s="32">
        <v>18848492</v>
      </c>
      <c r="I1713" s="32">
        <v>0</v>
      </c>
      <c r="J1713" s="32">
        <v>4740165</v>
      </c>
      <c r="K1713" s="33">
        <v>14108327</v>
      </c>
      <c r="L1713" s="33">
        <v>12250000</v>
      </c>
      <c r="M1713" s="34">
        <v>1.1517001632653061</v>
      </c>
      <c r="N1713" s="209" t="str">
        <f>IFERROR(VLOOKUP(F1713,Back!C:F,4,0),"NO")</f>
        <v>Si</v>
      </c>
      <c r="O1713" s="26">
        <v>24</v>
      </c>
      <c r="P1713" s="28" t="str">
        <f>IFERROR(VLOOKUP(F1713,Back!C:E,3,0),"")</f>
        <v>IPS Pto De Vista Centro</v>
      </c>
      <c r="Q1713" s="28" t="str">
        <f>IFERROR(VLOOKUP(P1713,Back!M:N,2,0),"")</f>
        <v>Antioquia</v>
      </c>
      <c r="R1713" s="27" t="str">
        <f>IF(N1713="Si",IFERROR(VLOOKUP(F1713,'TD Cumpl'!B:AB,27,0),"No Aplica"),"No Aplica")</f>
        <v>Siempre Cumple</v>
      </c>
      <c r="S1713" s="38">
        <v>32</v>
      </c>
      <c r="T1713" s="46">
        <v>2975082</v>
      </c>
      <c r="U1713" s="38">
        <v>92</v>
      </c>
      <c r="V1713" s="46">
        <v>9696919</v>
      </c>
      <c r="W1713" s="38">
        <v>45</v>
      </c>
      <c r="X1713" s="46">
        <v>4740165</v>
      </c>
      <c r="Y1713" s="46">
        <f t="shared" si="54"/>
        <v>1436326</v>
      </c>
      <c r="Z1713" s="19" t="s">
        <v>319</v>
      </c>
    </row>
    <row r="1714" spans="1:26" x14ac:dyDescent="0.25">
      <c r="A1714" s="20">
        <f>+VLOOKUP(D1714,Back!Q:R,2,0)</f>
        <v>11</v>
      </c>
      <c r="B1714" s="20" t="str">
        <f t="shared" si="53"/>
        <v>2018 NOV</v>
      </c>
      <c r="C1714" s="30">
        <v>2018</v>
      </c>
      <c r="D1714" s="30" t="s">
        <v>175</v>
      </c>
      <c r="E1714" s="30" t="s">
        <v>34</v>
      </c>
      <c r="F1714" s="30">
        <v>43554403</v>
      </c>
      <c r="G1714" s="30" t="s">
        <v>35</v>
      </c>
      <c r="H1714" s="32">
        <v>56374022</v>
      </c>
      <c r="I1714" s="32">
        <v>1396200</v>
      </c>
      <c r="J1714" s="32">
        <v>11368222</v>
      </c>
      <c r="K1714" s="33">
        <v>43609600</v>
      </c>
      <c r="L1714" s="33">
        <v>38500000</v>
      </c>
      <c r="M1714" s="34">
        <v>1.132716883116883</v>
      </c>
      <c r="N1714" s="209" t="str">
        <f>IFERROR(VLOOKUP(F1714,Back!C:F,4,0),"NO")</f>
        <v>Si</v>
      </c>
      <c r="O1714" s="26">
        <v>24</v>
      </c>
      <c r="P1714" s="28" t="str">
        <f>IFERROR(VLOOKUP(F1714,Back!C:E,3,0),"")</f>
        <v>IPS Pto De Vista Centro</v>
      </c>
      <c r="Q1714" s="28" t="str">
        <f>IFERROR(VLOOKUP(P1714,Back!M:N,2,0),"")</f>
        <v>Antioquia</v>
      </c>
      <c r="R1714" s="27" t="str">
        <f>IF(N1714="Si",IFERROR(VLOOKUP(F1714,'TD Cumpl'!B:AB,27,0),"No Aplica"),"No Aplica")</f>
        <v>Siempre Cumple</v>
      </c>
      <c r="S1714" s="38">
        <v>82</v>
      </c>
      <c r="T1714" s="46">
        <v>8391793</v>
      </c>
      <c r="U1714" s="38">
        <v>208</v>
      </c>
      <c r="V1714" s="46">
        <v>30125206</v>
      </c>
      <c r="W1714" s="38">
        <v>110</v>
      </c>
      <c r="X1714" s="46">
        <v>11368222</v>
      </c>
      <c r="Y1714" s="46">
        <f t="shared" si="54"/>
        <v>6488801</v>
      </c>
      <c r="Z1714" s="19" t="s">
        <v>318</v>
      </c>
    </row>
    <row r="1715" spans="1:26" x14ac:dyDescent="0.25">
      <c r="A1715" s="20">
        <f>+VLOOKUP(D1715,Back!Q:R,2,0)</f>
        <v>11</v>
      </c>
      <c r="B1715" s="20" t="str">
        <f t="shared" si="53"/>
        <v>2018 NOV</v>
      </c>
      <c r="C1715" s="30">
        <v>2018</v>
      </c>
      <c r="D1715" s="30" t="s">
        <v>175</v>
      </c>
      <c r="E1715" s="30" t="s">
        <v>101</v>
      </c>
      <c r="F1715" s="30">
        <v>21428423</v>
      </c>
      <c r="G1715" s="30" t="s">
        <v>154</v>
      </c>
      <c r="H1715" s="32">
        <v>35582559</v>
      </c>
      <c r="I1715" s="32">
        <v>1468200</v>
      </c>
      <c r="J1715" s="32">
        <v>12189236</v>
      </c>
      <c r="K1715" s="33">
        <v>21925123</v>
      </c>
      <c r="L1715" s="33">
        <v>38500000</v>
      </c>
      <c r="M1715" s="34">
        <v>0.56948371428571432</v>
      </c>
      <c r="N1715" s="209" t="str">
        <f>IFERROR(VLOOKUP(F1715,Back!C:F,4,0),"NO")</f>
        <v>Si</v>
      </c>
      <c r="O1715" s="26">
        <v>24</v>
      </c>
      <c r="P1715" s="28" t="str">
        <f>IFERROR(VLOOKUP(F1715,Back!C:E,3,0),"")</f>
        <v>IPS Pto De Vista Centro</v>
      </c>
      <c r="Q1715" s="28" t="str">
        <f>IFERROR(VLOOKUP(P1715,Back!M:N,2,0),"")</f>
        <v>Antioquia</v>
      </c>
      <c r="R1715" s="27" t="str">
        <f>IF(N1715="Si",IFERROR(VLOOKUP(F1715,'TD Cumpl'!B:AB,27,0),"No Aplica"),"No Aplica")</f>
        <v>Fluctúa</v>
      </c>
      <c r="S1715" s="38">
        <v>61</v>
      </c>
      <c r="T1715" s="46">
        <v>4955733</v>
      </c>
      <c r="U1715" s="38">
        <v>135</v>
      </c>
      <c r="V1715" s="46">
        <v>13744653</v>
      </c>
      <c r="W1715" s="38">
        <v>116</v>
      </c>
      <c r="X1715" s="46">
        <v>12189236</v>
      </c>
      <c r="Y1715" s="46">
        <f t="shared" si="54"/>
        <v>4692937</v>
      </c>
      <c r="Z1715" s="19" t="s">
        <v>318</v>
      </c>
    </row>
    <row r="1716" spans="1:26" x14ac:dyDescent="0.25">
      <c r="A1716" s="20">
        <f>+VLOOKUP(D1716,Back!Q:R,2,0)</f>
        <v>11</v>
      </c>
      <c r="B1716" s="20" t="str">
        <f t="shared" si="53"/>
        <v>2018 NOV</v>
      </c>
      <c r="C1716" s="30">
        <v>2018</v>
      </c>
      <c r="D1716" s="30" t="s">
        <v>175</v>
      </c>
      <c r="E1716" s="30" t="s">
        <v>13</v>
      </c>
      <c r="F1716" s="30">
        <v>43866877</v>
      </c>
      <c r="G1716" s="30" t="s">
        <v>46</v>
      </c>
      <c r="H1716" s="32">
        <v>60990792</v>
      </c>
      <c r="I1716" s="32">
        <v>1968900</v>
      </c>
      <c r="J1716" s="32">
        <v>13570050</v>
      </c>
      <c r="K1716" s="33">
        <v>45451842</v>
      </c>
      <c r="L1716" s="33">
        <v>38500000</v>
      </c>
      <c r="M1716" s="34">
        <v>1.1805673246753248</v>
      </c>
      <c r="N1716" s="209" t="str">
        <f>IFERROR(VLOOKUP(F1716,Back!C:F,4,0),"NO")</f>
        <v>Si</v>
      </c>
      <c r="O1716" s="26">
        <v>24</v>
      </c>
      <c r="P1716" s="28" t="str">
        <f>IFERROR(VLOOKUP(F1716,Back!C:E,3,0),"")</f>
        <v>IPS Pto De Vista Centro</v>
      </c>
      <c r="Q1716" s="28" t="str">
        <f>IFERROR(VLOOKUP(P1716,Back!M:N,2,0),"")</f>
        <v>Antioquia</v>
      </c>
      <c r="R1716" s="27" t="str">
        <f>IF(N1716="Si",IFERROR(VLOOKUP(F1716,'TD Cumpl'!B:AB,27,0),"No Aplica"),"No Aplica")</f>
        <v>Siempre Cumple</v>
      </c>
      <c r="S1716" s="38">
        <v>84</v>
      </c>
      <c r="T1716" s="46">
        <v>10007967</v>
      </c>
      <c r="U1716" s="38">
        <v>220</v>
      </c>
      <c r="V1716" s="46">
        <v>31382320</v>
      </c>
      <c r="W1716" s="38">
        <v>136</v>
      </c>
      <c r="X1716" s="46">
        <v>13570050</v>
      </c>
      <c r="Y1716" s="46">
        <f t="shared" si="54"/>
        <v>6030455</v>
      </c>
      <c r="Z1716" s="19" t="s">
        <v>318</v>
      </c>
    </row>
    <row r="1717" spans="1:26" x14ac:dyDescent="0.25">
      <c r="A1717" s="20">
        <f>+VLOOKUP(D1717,Back!Q:R,2,0)</f>
        <v>11</v>
      </c>
      <c r="B1717" s="20" t="str">
        <f t="shared" si="53"/>
        <v>2018 NOV</v>
      </c>
      <c r="C1717" s="30">
        <v>2018</v>
      </c>
      <c r="D1717" s="30" t="s">
        <v>175</v>
      </c>
      <c r="E1717" s="30" t="s">
        <v>269</v>
      </c>
      <c r="F1717" s="30">
        <v>1001131473</v>
      </c>
      <c r="G1717" s="30" t="s">
        <v>331</v>
      </c>
      <c r="H1717" s="32">
        <v>50188331</v>
      </c>
      <c r="I1717" s="32">
        <v>324000</v>
      </c>
      <c r="J1717" s="32">
        <v>11641852</v>
      </c>
      <c r="K1717" s="33">
        <v>38222479</v>
      </c>
      <c r="L1717" s="33">
        <v>38500000</v>
      </c>
      <c r="M1717" s="34">
        <v>0.99279166233766236</v>
      </c>
      <c r="N1717" s="209" t="str">
        <f>IFERROR(VLOOKUP(F1717,Back!C:F,4,0),"NO")</f>
        <v>Si</v>
      </c>
      <c r="O1717" s="26">
        <v>24</v>
      </c>
      <c r="P1717" s="28" t="str">
        <f>IFERROR(VLOOKUP(F1717,Back!C:E,3,0),"")</f>
        <v>IPS Pto De Vista Centro</v>
      </c>
      <c r="Q1717" s="28" t="str">
        <f>IFERROR(VLOOKUP(P1717,Back!M:N,2,0),"")</f>
        <v>Antioquia</v>
      </c>
      <c r="R1717" s="27" t="str">
        <f>IF(N1717="Si",IFERROR(VLOOKUP(F1717,'TD Cumpl'!B:AB,27,0),"No Aplica"),"No Aplica")</f>
        <v>No Cumple</v>
      </c>
      <c r="S1717" s="38">
        <v>81</v>
      </c>
      <c r="T1717" s="46">
        <v>8583635</v>
      </c>
      <c r="U1717" s="38">
        <v>204</v>
      </c>
      <c r="V1717" s="46">
        <v>24380156</v>
      </c>
      <c r="W1717" s="38">
        <v>120</v>
      </c>
      <c r="X1717" s="46">
        <v>11641852</v>
      </c>
      <c r="Y1717" s="46">
        <f t="shared" si="54"/>
        <v>5582688</v>
      </c>
      <c r="Z1717" s="19" t="s">
        <v>318</v>
      </c>
    </row>
    <row r="1718" spans="1:26" x14ac:dyDescent="0.25">
      <c r="A1718" s="20">
        <f>+VLOOKUP(D1718,Back!Q:R,2,0)</f>
        <v>11</v>
      </c>
      <c r="B1718" s="20" t="str">
        <f t="shared" si="53"/>
        <v>2018 NOV</v>
      </c>
      <c r="C1718" s="30">
        <v>2018</v>
      </c>
      <c r="D1718" s="30" t="s">
        <v>175</v>
      </c>
      <c r="E1718" s="30" t="s">
        <v>181</v>
      </c>
      <c r="F1718" s="30">
        <v>32183069</v>
      </c>
      <c r="G1718" s="30" t="s">
        <v>182</v>
      </c>
      <c r="H1718" s="32">
        <v>31700848</v>
      </c>
      <c r="I1718" s="32">
        <v>1000200</v>
      </c>
      <c r="J1718" s="32">
        <v>9446689</v>
      </c>
      <c r="K1718" s="33">
        <v>21253959</v>
      </c>
      <c r="L1718" s="33">
        <v>39083331</v>
      </c>
      <c r="M1718" s="34">
        <v>0.5438113501635774</v>
      </c>
      <c r="N1718" s="209" t="str">
        <f>IFERROR(VLOOKUP(F1718,Back!C:F,4,0),"NO")</f>
        <v>Si</v>
      </c>
      <c r="O1718" s="26">
        <v>24</v>
      </c>
      <c r="P1718" s="28" t="str">
        <f>IFERROR(VLOOKUP(F1718,Back!C:E,3,0),"")</f>
        <v>IPS Pto De Vista Molinos</v>
      </c>
      <c r="Q1718" s="28" t="str">
        <f>IFERROR(VLOOKUP(P1718,Back!M:N,2,0),"")</f>
        <v>Antioquia</v>
      </c>
      <c r="R1718" s="27" t="str">
        <f>IF(N1718="Si",IFERROR(VLOOKUP(F1718,'TD Cumpl'!B:AB,27,0),"No Aplica"),"No Aplica")</f>
        <v>No Cumple</v>
      </c>
      <c r="S1718" s="38">
        <v>53</v>
      </c>
      <c r="T1718" s="46">
        <v>4355876</v>
      </c>
      <c r="U1718" s="38">
        <v>144</v>
      </c>
      <c r="V1718" s="46">
        <v>14828385</v>
      </c>
      <c r="W1718" s="38">
        <v>97</v>
      </c>
      <c r="X1718" s="46">
        <v>9446689</v>
      </c>
      <c r="Y1718" s="46">
        <f t="shared" si="54"/>
        <v>3069898</v>
      </c>
      <c r="Z1718" s="19" t="s">
        <v>318</v>
      </c>
    </row>
    <row r="1719" spans="1:26" x14ac:dyDescent="0.25">
      <c r="A1719" s="20">
        <f>+VLOOKUP(D1719,Back!Q:R,2,0)</f>
        <v>11</v>
      </c>
      <c r="B1719" s="20" t="str">
        <f t="shared" si="53"/>
        <v>2018 NOV</v>
      </c>
      <c r="C1719" s="30">
        <v>2018</v>
      </c>
      <c r="D1719" s="30" t="s">
        <v>175</v>
      </c>
      <c r="E1719" s="30" t="s">
        <v>265</v>
      </c>
      <c r="F1719" s="30">
        <v>39175639</v>
      </c>
      <c r="G1719" s="30" t="s">
        <v>268</v>
      </c>
      <c r="H1719" s="32">
        <v>39106889</v>
      </c>
      <c r="I1719" s="32">
        <v>689000</v>
      </c>
      <c r="J1719" s="32">
        <v>10970077</v>
      </c>
      <c r="K1719" s="33">
        <v>27447812</v>
      </c>
      <c r="L1719" s="33">
        <v>38500000</v>
      </c>
      <c r="M1719" s="34">
        <v>0.7129301818181818</v>
      </c>
      <c r="N1719" s="209" t="str">
        <f>IFERROR(VLOOKUP(F1719,Back!C:F,4,0),"NO")</f>
        <v>Si</v>
      </c>
      <c r="O1719" s="26">
        <v>24</v>
      </c>
      <c r="P1719" s="28" t="str">
        <f>IFERROR(VLOOKUP(F1719,Back!C:E,3,0),"")</f>
        <v>IPS Pto De Vista Centro</v>
      </c>
      <c r="Q1719" s="28" t="str">
        <f>IFERROR(VLOOKUP(P1719,Back!M:N,2,0),"")</f>
        <v>Antioquia</v>
      </c>
      <c r="R1719" s="27" t="str">
        <f>IF(N1719="Si",IFERROR(VLOOKUP(F1719,'TD Cumpl'!B:AB,27,0),"No Aplica"),"No Aplica")</f>
        <v>Fluctúa</v>
      </c>
      <c r="S1719" s="38">
        <v>60</v>
      </c>
      <c r="T1719" s="46">
        <v>6407929</v>
      </c>
      <c r="U1719" s="38">
        <v>150</v>
      </c>
      <c r="V1719" s="46">
        <v>16481683</v>
      </c>
      <c r="W1719" s="38">
        <v>107</v>
      </c>
      <c r="X1719" s="46">
        <v>10970077</v>
      </c>
      <c r="Y1719" s="46">
        <f t="shared" si="54"/>
        <v>5247200</v>
      </c>
      <c r="Z1719" s="19" t="s">
        <v>318</v>
      </c>
    </row>
    <row r="1720" spans="1:26" x14ac:dyDescent="0.25">
      <c r="A1720" s="20">
        <f>+VLOOKUP(D1720,Back!Q:R,2,0)</f>
        <v>11</v>
      </c>
      <c r="B1720" s="20" t="str">
        <f t="shared" si="53"/>
        <v>2018 NOV</v>
      </c>
      <c r="C1720" s="30">
        <v>2018</v>
      </c>
      <c r="D1720" s="30" t="s">
        <v>175</v>
      </c>
      <c r="E1720" s="30" t="s">
        <v>177</v>
      </c>
      <c r="F1720" s="30">
        <v>1035913369</v>
      </c>
      <c r="G1720" s="30" t="s">
        <v>183</v>
      </c>
      <c r="H1720" s="32">
        <v>49634230</v>
      </c>
      <c r="I1720" s="32">
        <v>1566400</v>
      </c>
      <c r="J1720" s="32">
        <v>8926288</v>
      </c>
      <c r="K1720" s="33">
        <v>39141542</v>
      </c>
      <c r="L1720" s="33">
        <v>38500000</v>
      </c>
      <c r="M1720" s="34">
        <v>1.0166634285714287</v>
      </c>
      <c r="N1720" s="209" t="str">
        <f>IFERROR(VLOOKUP(F1720,Back!C:F,4,0),"NO")</f>
        <v>Si</v>
      </c>
      <c r="O1720" s="26">
        <v>24</v>
      </c>
      <c r="P1720" s="28" t="str">
        <f>IFERROR(VLOOKUP(F1720,Back!C:E,3,0),"")</f>
        <v>IPS Pto De Vista Centro</v>
      </c>
      <c r="Q1720" s="28" t="str">
        <f>IFERROR(VLOOKUP(P1720,Back!M:N,2,0),"")</f>
        <v>Antioquia</v>
      </c>
      <c r="R1720" s="27" t="str">
        <f>IF(N1720="Si",IFERROR(VLOOKUP(F1720,'TD Cumpl'!B:AB,27,0),"No Aplica"),"No Aplica")</f>
        <v>Fluctúa</v>
      </c>
      <c r="S1720" s="38">
        <v>96</v>
      </c>
      <c r="T1720" s="46">
        <v>9508025</v>
      </c>
      <c r="U1720" s="38">
        <v>220</v>
      </c>
      <c r="V1720" s="46">
        <v>24541309</v>
      </c>
      <c r="W1720" s="38">
        <v>94</v>
      </c>
      <c r="X1720" s="46">
        <v>8926288</v>
      </c>
      <c r="Y1720" s="46">
        <f t="shared" si="54"/>
        <v>6658608</v>
      </c>
      <c r="Z1720" s="19" t="s">
        <v>318</v>
      </c>
    </row>
    <row r="1721" spans="1:26" x14ac:dyDescent="0.25">
      <c r="A1721" s="20">
        <f>+VLOOKUP(D1721,Back!Q:R,2,0)</f>
        <v>11</v>
      </c>
      <c r="B1721" s="20" t="str">
        <f t="shared" si="53"/>
        <v>2018 NOV</v>
      </c>
      <c r="C1721" s="30">
        <v>2018</v>
      </c>
      <c r="D1721" s="30" t="s">
        <v>175</v>
      </c>
      <c r="E1721" s="30" t="s">
        <v>23</v>
      </c>
      <c r="F1721" s="30">
        <v>43907427</v>
      </c>
      <c r="G1721" s="30" t="s">
        <v>144</v>
      </c>
      <c r="H1721" s="32">
        <v>39795495</v>
      </c>
      <c r="I1721" s="32">
        <v>0</v>
      </c>
      <c r="J1721" s="32">
        <v>5713462</v>
      </c>
      <c r="K1721" s="33">
        <v>34082033</v>
      </c>
      <c r="L1721" s="33">
        <v>30000006</v>
      </c>
      <c r="M1721" s="34">
        <v>1.1360675394531587</v>
      </c>
      <c r="N1721" s="209" t="str">
        <f>IFERROR(VLOOKUP(F1721,Back!C:F,4,0),"NO")</f>
        <v>Si</v>
      </c>
      <c r="O1721" s="26">
        <v>24</v>
      </c>
      <c r="P1721" s="28" t="str">
        <f>IFERROR(VLOOKUP(F1721,Back!C:E,3,0),"")</f>
        <v>IPS Pto De Vista Industriales</v>
      </c>
      <c r="Q1721" s="28" t="str">
        <f>IFERROR(VLOOKUP(P1721,Back!M:N,2,0),"")</f>
        <v>Antioquia</v>
      </c>
      <c r="R1721" s="27" t="str">
        <f>IF(N1721="Si",IFERROR(VLOOKUP(F1721,'TD Cumpl'!B:AB,27,0),"No Aplica"),"No Aplica")</f>
        <v>Siempre Cumple</v>
      </c>
      <c r="S1721" s="38">
        <v>35</v>
      </c>
      <c r="T1721" s="46">
        <v>5695866</v>
      </c>
      <c r="U1721" s="38">
        <v>108</v>
      </c>
      <c r="V1721" s="46">
        <v>25458700</v>
      </c>
      <c r="W1721" s="38">
        <v>54</v>
      </c>
      <c r="X1721" s="46">
        <v>5713462</v>
      </c>
      <c r="Y1721" s="46">
        <f t="shared" si="54"/>
        <v>2927467</v>
      </c>
      <c r="Z1721" s="19" t="s">
        <v>319</v>
      </c>
    </row>
    <row r="1722" spans="1:26" x14ac:dyDescent="0.25">
      <c r="A1722" s="20">
        <f>+VLOOKUP(D1722,Back!Q:R,2,0)</f>
        <v>11</v>
      </c>
      <c r="B1722" s="20" t="str">
        <f t="shared" si="53"/>
        <v>2018 NOV</v>
      </c>
      <c r="C1722" s="30">
        <v>2018</v>
      </c>
      <c r="D1722" s="30" t="s">
        <v>175</v>
      </c>
      <c r="E1722" s="30" t="s">
        <v>66</v>
      </c>
      <c r="F1722" s="30">
        <v>3438422</v>
      </c>
      <c r="G1722" s="30" t="s">
        <v>71</v>
      </c>
      <c r="H1722" s="32">
        <v>27395406</v>
      </c>
      <c r="I1722" s="32">
        <v>468000</v>
      </c>
      <c r="J1722" s="32">
        <v>5915413</v>
      </c>
      <c r="K1722" s="33">
        <v>21011993</v>
      </c>
      <c r="L1722" s="33">
        <v>10999998</v>
      </c>
      <c r="M1722" s="34">
        <v>1.9101815291239144</v>
      </c>
      <c r="N1722" s="209" t="str">
        <f>IFERROR(VLOOKUP(F1722,Back!C:F,4,0),"NO")</f>
        <v>Si</v>
      </c>
      <c r="O1722" s="26">
        <v>24</v>
      </c>
      <c r="P1722" s="28" t="str">
        <f>IFERROR(VLOOKUP(F1722,Back!C:E,3,0),"")</f>
        <v>IPS Pto De Vista Punto Clave</v>
      </c>
      <c r="Q1722" s="28" t="str">
        <f>IFERROR(VLOOKUP(P1722,Back!M:N,2,0),"")</f>
        <v>Antioquia</v>
      </c>
      <c r="R1722" s="27" t="str">
        <f>IF(N1722="Si",IFERROR(VLOOKUP(F1722,'TD Cumpl'!B:AB,27,0),"No Aplica"),"No Aplica")</f>
        <v>Fluctúa</v>
      </c>
      <c r="S1722" s="38">
        <v>37</v>
      </c>
      <c r="T1722" s="46">
        <v>4013302</v>
      </c>
      <c r="U1722" s="38">
        <v>74</v>
      </c>
      <c r="V1722" s="46">
        <v>13131045</v>
      </c>
      <c r="W1722" s="38">
        <v>51</v>
      </c>
      <c r="X1722" s="46">
        <v>5915413</v>
      </c>
      <c r="Y1722" s="46">
        <f t="shared" si="54"/>
        <v>4335646</v>
      </c>
      <c r="Z1722" s="19" t="s">
        <v>317</v>
      </c>
    </row>
    <row r="1723" spans="1:26" x14ac:dyDescent="0.25">
      <c r="A1723" s="20">
        <f>+VLOOKUP(D1723,Back!Q:R,2,0)</f>
        <v>11</v>
      </c>
      <c r="B1723" s="20" t="str">
        <f t="shared" si="53"/>
        <v>2018 NOV</v>
      </c>
      <c r="C1723" s="30">
        <v>2018</v>
      </c>
      <c r="D1723" s="30" t="s">
        <v>175</v>
      </c>
      <c r="E1723" s="30" t="s">
        <v>166</v>
      </c>
      <c r="F1723" s="30">
        <v>1020451288</v>
      </c>
      <c r="G1723" s="30" t="s">
        <v>167</v>
      </c>
      <c r="H1723" s="32">
        <v>52334496</v>
      </c>
      <c r="I1723" s="32">
        <v>1260000</v>
      </c>
      <c r="J1723" s="32">
        <v>11599637</v>
      </c>
      <c r="K1723" s="33">
        <v>39474859</v>
      </c>
      <c r="L1723" s="33">
        <v>40333326</v>
      </c>
      <c r="M1723" s="34">
        <v>0.9787156903450015</v>
      </c>
      <c r="N1723" s="209" t="str">
        <f>IFERROR(VLOOKUP(F1723,Back!C:F,4,0),"NO")</f>
        <v>Si</v>
      </c>
      <c r="O1723" s="26">
        <v>24</v>
      </c>
      <c r="P1723" s="28" t="str">
        <f>IFERROR(VLOOKUP(F1723,Back!C:E,3,0),"")</f>
        <v>IPS Pto De Vista Punto Clave</v>
      </c>
      <c r="Q1723" s="28" t="str">
        <f>IFERROR(VLOOKUP(P1723,Back!M:N,2,0),"")</f>
        <v>Antioquia</v>
      </c>
      <c r="R1723" s="27" t="str">
        <f>IF(N1723="Si",IFERROR(VLOOKUP(F1723,'TD Cumpl'!B:AB,27,0),"No Aplica"),"No Aplica")</f>
        <v>Cumple</v>
      </c>
      <c r="S1723" s="38">
        <v>83</v>
      </c>
      <c r="T1723" s="46">
        <v>7767530</v>
      </c>
      <c r="U1723" s="38">
        <v>216</v>
      </c>
      <c r="V1723" s="46">
        <v>24584142</v>
      </c>
      <c r="W1723" s="38">
        <v>115</v>
      </c>
      <c r="X1723" s="46">
        <v>11599637</v>
      </c>
      <c r="Y1723" s="46">
        <f t="shared" si="54"/>
        <v>8383187</v>
      </c>
      <c r="Z1723" s="19" t="s">
        <v>318</v>
      </c>
    </row>
    <row r="1724" spans="1:26" x14ac:dyDescent="0.25">
      <c r="A1724" s="20">
        <f>+VLOOKUP(D1724,Back!Q:R,2,0)</f>
        <v>11</v>
      </c>
      <c r="B1724" s="20" t="str">
        <f t="shared" si="53"/>
        <v>2018 NOV</v>
      </c>
      <c r="C1724" s="30">
        <v>2018</v>
      </c>
      <c r="D1724" s="30" t="s">
        <v>175</v>
      </c>
      <c r="E1724" s="30" t="s">
        <v>57</v>
      </c>
      <c r="F1724" s="30">
        <v>43874518</v>
      </c>
      <c r="G1724" s="30" t="s">
        <v>60</v>
      </c>
      <c r="H1724" s="32">
        <v>54051835</v>
      </c>
      <c r="I1724" s="32">
        <v>1375800</v>
      </c>
      <c r="J1724" s="32">
        <v>11275094</v>
      </c>
      <c r="K1724" s="33">
        <v>41400941</v>
      </c>
      <c r="L1724" s="33">
        <v>40333326</v>
      </c>
      <c r="M1724" s="34">
        <v>1.0264697982011204</v>
      </c>
      <c r="N1724" s="209" t="str">
        <f>IFERROR(VLOOKUP(F1724,Back!C:F,4,0),"NO")</f>
        <v>Si</v>
      </c>
      <c r="O1724" s="26">
        <v>24</v>
      </c>
      <c r="P1724" s="28" t="str">
        <f>IFERROR(VLOOKUP(F1724,Back!C:E,3,0),"")</f>
        <v>IPS Pto De Vista Punto Clave</v>
      </c>
      <c r="Q1724" s="28" t="str">
        <f>IFERROR(VLOOKUP(P1724,Back!M:N,2,0),"")</f>
        <v>Antioquia</v>
      </c>
      <c r="R1724" s="27" t="str">
        <f>IF(N1724="Si",IFERROR(VLOOKUP(F1724,'TD Cumpl'!B:AB,27,0),"No Aplica"),"No Aplica")</f>
        <v>Fluctúa</v>
      </c>
      <c r="S1724" s="38">
        <v>79</v>
      </c>
      <c r="T1724" s="46">
        <v>7614905</v>
      </c>
      <c r="U1724" s="38">
        <v>226</v>
      </c>
      <c r="V1724" s="46">
        <v>25781114</v>
      </c>
      <c r="W1724" s="38">
        <v>112</v>
      </c>
      <c r="X1724" s="46">
        <v>11275094</v>
      </c>
      <c r="Y1724" s="46">
        <f t="shared" si="54"/>
        <v>9380722</v>
      </c>
      <c r="Z1724" s="19" t="s">
        <v>318</v>
      </c>
    </row>
    <row r="1725" spans="1:26" x14ac:dyDescent="0.25">
      <c r="A1725" s="20">
        <f>+VLOOKUP(D1725,Back!Q:R,2,0)</f>
        <v>11</v>
      </c>
      <c r="B1725" s="20" t="str">
        <f t="shared" si="53"/>
        <v>2018 NOV</v>
      </c>
      <c r="C1725" s="30">
        <v>2018</v>
      </c>
      <c r="D1725" s="30" t="s">
        <v>175</v>
      </c>
      <c r="E1725" s="30" t="s">
        <v>64</v>
      </c>
      <c r="F1725" s="30">
        <v>1036598360</v>
      </c>
      <c r="G1725" s="30" t="s">
        <v>146</v>
      </c>
      <c r="H1725" s="32">
        <v>44609773</v>
      </c>
      <c r="I1725" s="32">
        <v>954000</v>
      </c>
      <c r="J1725" s="32">
        <v>9516003</v>
      </c>
      <c r="K1725" s="33">
        <v>34139770</v>
      </c>
      <c r="L1725" s="33">
        <v>40333326</v>
      </c>
      <c r="M1725" s="34">
        <v>0.84644073241071172</v>
      </c>
      <c r="N1725" s="209" t="str">
        <f>IFERROR(VLOOKUP(F1725,Back!C:F,4,0),"NO")</f>
        <v>Si</v>
      </c>
      <c r="O1725" s="26">
        <v>24</v>
      </c>
      <c r="P1725" s="28" t="str">
        <f>IFERROR(VLOOKUP(F1725,Back!C:E,3,0),"")</f>
        <v>IPS Pto De Vista Punto Clave</v>
      </c>
      <c r="Q1725" s="28" t="str">
        <f>IFERROR(VLOOKUP(P1725,Back!M:N,2,0),"")</f>
        <v>Antioquia</v>
      </c>
      <c r="R1725" s="27" t="str">
        <f>IF(N1725="Si",IFERROR(VLOOKUP(F1725,'TD Cumpl'!B:AB,27,0),"No Aplica"),"No Aplica")</f>
        <v>Fluctúa</v>
      </c>
      <c r="S1725" s="38">
        <v>66</v>
      </c>
      <c r="T1725" s="46">
        <v>7999808</v>
      </c>
      <c r="U1725" s="38">
        <v>148</v>
      </c>
      <c r="V1725" s="46">
        <v>18827052</v>
      </c>
      <c r="W1725" s="38">
        <v>97</v>
      </c>
      <c r="X1725" s="46">
        <v>9516003</v>
      </c>
      <c r="Y1725" s="46">
        <f t="shared" si="54"/>
        <v>8266910</v>
      </c>
      <c r="Z1725" s="19" t="s">
        <v>318</v>
      </c>
    </row>
    <row r="1726" spans="1:26" x14ac:dyDescent="0.25">
      <c r="A1726" s="20">
        <f>+VLOOKUP(D1726,Back!Q:R,2,0)</f>
        <v>11</v>
      </c>
      <c r="B1726" s="20" t="str">
        <f t="shared" ref="B1726:B1789" si="55">MID(UPPER(C1726&amp;" "&amp;D1726),1,8)</f>
        <v>2018 NOV</v>
      </c>
      <c r="C1726" s="30">
        <v>2018</v>
      </c>
      <c r="D1726" s="30" t="s">
        <v>175</v>
      </c>
      <c r="E1726" s="30" t="s">
        <v>261</v>
      </c>
      <c r="F1726" s="30">
        <v>1020425089</v>
      </c>
      <c r="G1726" s="30" t="s">
        <v>271</v>
      </c>
      <c r="H1726" s="32">
        <v>59415234</v>
      </c>
      <c r="I1726" s="32">
        <v>2394000</v>
      </c>
      <c r="J1726" s="32">
        <v>15137347</v>
      </c>
      <c r="K1726" s="33">
        <v>41883887</v>
      </c>
      <c r="L1726" s="33">
        <v>40333326</v>
      </c>
      <c r="M1726" s="34">
        <v>1.0384436681467826</v>
      </c>
      <c r="N1726" s="209" t="str">
        <f>IFERROR(VLOOKUP(F1726,Back!C:F,4,0),"NO")</f>
        <v>Si</v>
      </c>
      <c r="O1726" s="26">
        <v>24</v>
      </c>
      <c r="P1726" s="28" t="str">
        <f>IFERROR(VLOOKUP(F1726,Back!C:E,3,0),"")</f>
        <v>IPS Pto De Vista Punto Clave</v>
      </c>
      <c r="Q1726" s="28" t="str">
        <f>IFERROR(VLOOKUP(P1726,Back!M:N,2,0),"")</f>
        <v>Antioquia</v>
      </c>
      <c r="R1726" s="27" t="str">
        <f>IF(N1726="Si",IFERROR(VLOOKUP(F1726,'TD Cumpl'!B:AB,27,0),"No Aplica"),"No Aplica")</f>
        <v>Cumple</v>
      </c>
      <c r="S1726" s="38">
        <v>100</v>
      </c>
      <c r="T1726" s="46">
        <v>9815265</v>
      </c>
      <c r="U1726" s="38">
        <v>256</v>
      </c>
      <c r="V1726" s="46">
        <v>26489622</v>
      </c>
      <c r="W1726" s="38">
        <v>151</v>
      </c>
      <c r="X1726" s="46">
        <v>15137347</v>
      </c>
      <c r="Y1726" s="46">
        <f t="shared" si="54"/>
        <v>7973000</v>
      </c>
      <c r="Z1726" s="19" t="s">
        <v>318</v>
      </c>
    </row>
    <row r="1727" spans="1:26" x14ac:dyDescent="0.25">
      <c r="A1727" s="20">
        <f>+VLOOKUP(D1727,Back!Q:R,2,0)</f>
        <v>11</v>
      </c>
      <c r="B1727" s="20" t="str">
        <f t="shared" si="55"/>
        <v>2018 NOV</v>
      </c>
      <c r="C1727" s="30">
        <v>2018</v>
      </c>
      <c r="D1727" s="30" t="s">
        <v>175</v>
      </c>
      <c r="E1727" s="30" t="s">
        <v>90</v>
      </c>
      <c r="F1727" s="30">
        <v>1020419011</v>
      </c>
      <c r="G1727" s="30" t="s">
        <v>97</v>
      </c>
      <c r="H1727" s="32">
        <v>43045664</v>
      </c>
      <c r="I1727" s="32">
        <v>1260200</v>
      </c>
      <c r="J1727" s="32">
        <v>11992365</v>
      </c>
      <c r="K1727" s="33">
        <v>29793099</v>
      </c>
      <c r="L1727" s="33">
        <v>40333326</v>
      </c>
      <c r="M1727" s="34">
        <v>0.73867201033705976</v>
      </c>
      <c r="N1727" s="209" t="str">
        <f>IFERROR(VLOOKUP(F1727,Back!C:F,4,0),"NO")</f>
        <v>Si</v>
      </c>
      <c r="O1727" s="26">
        <v>24</v>
      </c>
      <c r="P1727" s="28" t="str">
        <f>IFERROR(VLOOKUP(F1727,Back!C:E,3,0),"")</f>
        <v>IPS Pto De Vista Punto Clave</v>
      </c>
      <c r="Q1727" s="28" t="str">
        <f>IFERROR(VLOOKUP(P1727,Back!M:N,2,0),"")</f>
        <v>Antioquia</v>
      </c>
      <c r="R1727" s="27" t="str">
        <f>IF(N1727="Si",IFERROR(VLOOKUP(F1727,'TD Cumpl'!B:AB,27,0),"No Aplica"),"No Aplica")</f>
        <v>Cumple</v>
      </c>
      <c r="S1727" s="38">
        <v>53</v>
      </c>
      <c r="T1727" s="46">
        <v>4792434</v>
      </c>
      <c r="U1727" s="38">
        <v>146</v>
      </c>
      <c r="V1727" s="46">
        <v>18524314</v>
      </c>
      <c r="W1727" s="38">
        <v>111</v>
      </c>
      <c r="X1727" s="46">
        <v>11992365</v>
      </c>
      <c r="Y1727" s="46">
        <f t="shared" si="54"/>
        <v>7736551</v>
      </c>
      <c r="Z1727" s="19" t="s">
        <v>318</v>
      </c>
    </row>
    <row r="1728" spans="1:26" x14ac:dyDescent="0.25">
      <c r="A1728" s="20">
        <f>+VLOOKUP(D1728,Back!Q:R,2,0)</f>
        <v>11</v>
      </c>
      <c r="B1728" s="20" t="str">
        <f t="shared" si="55"/>
        <v>2018 NOV</v>
      </c>
      <c r="C1728" s="30">
        <v>2018</v>
      </c>
      <c r="D1728" s="30" t="s">
        <v>175</v>
      </c>
      <c r="E1728" s="30" t="s">
        <v>117</v>
      </c>
      <c r="F1728" s="30">
        <v>1020419615</v>
      </c>
      <c r="G1728" s="30" t="s">
        <v>118</v>
      </c>
      <c r="H1728" s="32">
        <v>57329611</v>
      </c>
      <c r="I1728" s="32">
        <v>0</v>
      </c>
      <c r="J1728" s="32">
        <v>11591284</v>
      </c>
      <c r="K1728" s="33">
        <v>45738327</v>
      </c>
      <c r="L1728" s="33">
        <v>39666662</v>
      </c>
      <c r="M1728" s="34">
        <v>1.1530672028818558</v>
      </c>
      <c r="N1728" s="209" t="str">
        <f>IFERROR(VLOOKUP(F1728,Back!C:F,4,0),"NO")</f>
        <v>Si</v>
      </c>
      <c r="O1728" s="26">
        <v>24</v>
      </c>
      <c r="P1728" s="28" t="str">
        <f>IFERROR(VLOOKUP(F1728,Back!C:E,3,0),"")</f>
        <v>IPS Pto De Vista Punto Clave</v>
      </c>
      <c r="Q1728" s="28" t="str">
        <f>IFERROR(VLOOKUP(P1728,Back!M:N,2,0),"")</f>
        <v>Antioquia</v>
      </c>
      <c r="R1728" s="27" t="str">
        <f>IF(N1728="Si",IFERROR(VLOOKUP(F1728,'TD Cumpl'!B:AB,27,0),"No Aplica"),"No Aplica")</f>
        <v>Cumple</v>
      </c>
      <c r="S1728" s="38">
        <v>67</v>
      </c>
      <c r="T1728" s="46">
        <v>8704326</v>
      </c>
      <c r="U1728" s="38">
        <v>188</v>
      </c>
      <c r="V1728" s="46">
        <v>30472426</v>
      </c>
      <c r="W1728" s="38">
        <v>116</v>
      </c>
      <c r="X1728" s="46">
        <v>11591284</v>
      </c>
      <c r="Y1728" s="46">
        <f t="shared" si="54"/>
        <v>6561575</v>
      </c>
      <c r="Z1728" s="19" t="s">
        <v>318</v>
      </c>
    </row>
    <row r="1729" spans="1:26" x14ac:dyDescent="0.25">
      <c r="A1729" s="20">
        <f>+VLOOKUP(D1729,Back!Q:R,2,0)</f>
        <v>11</v>
      </c>
      <c r="B1729" s="20" t="str">
        <f t="shared" si="55"/>
        <v>2018 NOV</v>
      </c>
      <c r="C1729" s="30">
        <v>2018</v>
      </c>
      <c r="D1729" s="30" t="s">
        <v>175</v>
      </c>
      <c r="E1729" s="30" t="s">
        <v>6</v>
      </c>
      <c r="F1729" s="30">
        <v>43821410</v>
      </c>
      <c r="G1729" s="30" t="s">
        <v>40</v>
      </c>
      <c r="H1729" s="32">
        <v>71901395</v>
      </c>
      <c r="I1729" s="32">
        <v>1326600</v>
      </c>
      <c r="J1729" s="32">
        <v>11523460</v>
      </c>
      <c r="K1729" s="33">
        <v>59051335</v>
      </c>
      <c r="L1729" s="33">
        <v>40333326</v>
      </c>
      <c r="M1729" s="34">
        <v>1.4640829521473135</v>
      </c>
      <c r="N1729" s="209" t="str">
        <f>IFERROR(VLOOKUP(F1729,Back!C:F,4,0),"NO")</f>
        <v>Si</v>
      </c>
      <c r="O1729" s="26">
        <v>24</v>
      </c>
      <c r="P1729" s="28" t="str">
        <f>IFERROR(VLOOKUP(F1729,Back!C:E,3,0),"")</f>
        <v>IPS Pto De Vista Unicentro</v>
      </c>
      <c r="Q1729" s="28" t="str">
        <f>IFERROR(VLOOKUP(P1729,Back!M:N,2,0),"")</f>
        <v>Antioquia</v>
      </c>
      <c r="R1729" s="27" t="str">
        <f>IF(N1729="Si",IFERROR(VLOOKUP(F1729,'TD Cumpl'!B:AB,27,0),"No Aplica"),"No Aplica")</f>
        <v>Siempre Cumple</v>
      </c>
      <c r="S1729" s="38">
        <v>99</v>
      </c>
      <c r="T1729" s="46">
        <v>14576666</v>
      </c>
      <c r="U1729" s="38">
        <v>238</v>
      </c>
      <c r="V1729" s="46">
        <v>39176007</v>
      </c>
      <c r="W1729" s="38">
        <v>114</v>
      </c>
      <c r="X1729" s="46">
        <v>11026860</v>
      </c>
      <c r="Y1729" s="46">
        <f t="shared" ref="Y1729:Y1792" si="56">+H1729-X1729-V1729-T1729</f>
        <v>7121862</v>
      </c>
      <c r="Z1729" s="19" t="s">
        <v>318</v>
      </c>
    </row>
    <row r="1730" spans="1:26" x14ac:dyDescent="0.25">
      <c r="A1730" s="20">
        <f>+VLOOKUP(D1730,Back!Q:R,2,0)</f>
        <v>11</v>
      </c>
      <c r="B1730" s="20" t="str">
        <f t="shared" si="55"/>
        <v>2018 NOV</v>
      </c>
      <c r="C1730" s="30">
        <v>2018</v>
      </c>
      <c r="D1730" s="30" t="s">
        <v>175</v>
      </c>
      <c r="E1730" s="30" t="s">
        <v>21</v>
      </c>
      <c r="F1730" s="30">
        <v>1035417626</v>
      </c>
      <c r="G1730" s="30" t="s">
        <v>80</v>
      </c>
      <c r="H1730" s="32">
        <v>64945850</v>
      </c>
      <c r="I1730" s="32">
        <v>1234200</v>
      </c>
      <c r="J1730" s="32">
        <v>12313883</v>
      </c>
      <c r="K1730" s="33">
        <v>51397767</v>
      </c>
      <c r="L1730" s="33">
        <v>27499995</v>
      </c>
      <c r="M1730" s="34">
        <v>1.869010048910918</v>
      </c>
      <c r="N1730" s="209" t="str">
        <f>IFERROR(VLOOKUP(F1730,Back!C:F,4,0),"NO")</f>
        <v>Si</v>
      </c>
      <c r="O1730" s="26">
        <v>24</v>
      </c>
      <c r="P1730" s="28" t="str">
        <f>IFERROR(VLOOKUP(F1730,Back!C:E,3,0),"")</f>
        <v>IPS Pto De Vista Unicentro</v>
      </c>
      <c r="Q1730" s="28" t="str">
        <f>IFERROR(VLOOKUP(P1730,Back!M:N,2,0),"")</f>
        <v>Antioquia</v>
      </c>
      <c r="R1730" s="27" t="str">
        <f>IF(N1730="Si",IFERROR(VLOOKUP(F1730,'TD Cumpl'!B:AB,27,0),"No Aplica"),"No Aplica")</f>
        <v>Cumple</v>
      </c>
      <c r="S1730" s="38">
        <v>81</v>
      </c>
      <c r="T1730" s="46">
        <v>11577822</v>
      </c>
      <c r="U1730" s="38">
        <v>214</v>
      </c>
      <c r="V1730" s="46">
        <v>34460353</v>
      </c>
      <c r="W1730" s="38">
        <v>107</v>
      </c>
      <c r="X1730" s="46">
        <v>10877283</v>
      </c>
      <c r="Y1730" s="46">
        <f t="shared" si="56"/>
        <v>8030392</v>
      </c>
      <c r="Z1730" s="19" t="s">
        <v>317</v>
      </c>
    </row>
    <row r="1731" spans="1:26" x14ac:dyDescent="0.25">
      <c r="A1731" s="20">
        <f>+VLOOKUP(D1731,Back!Q:R,2,0)</f>
        <v>11</v>
      </c>
      <c r="B1731" s="20" t="str">
        <f t="shared" si="55"/>
        <v>2018 NOV</v>
      </c>
      <c r="C1731" s="30">
        <v>2018</v>
      </c>
      <c r="D1731" s="30" t="s">
        <v>175</v>
      </c>
      <c r="E1731" s="30" t="s">
        <v>7</v>
      </c>
      <c r="F1731" s="30">
        <v>43745952</v>
      </c>
      <c r="G1731" s="30" t="s">
        <v>50</v>
      </c>
      <c r="H1731" s="32">
        <v>76543441</v>
      </c>
      <c r="I1731" s="32">
        <v>1728000</v>
      </c>
      <c r="J1731" s="32">
        <v>14979925</v>
      </c>
      <c r="K1731" s="33">
        <v>59835516</v>
      </c>
      <c r="L1731" s="33">
        <v>40333326</v>
      </c>
      <c r="M1731" s="34">
        <v>1.4835254598145464</v>
      </c>
      <c r="N1731" s="209" t="str">
        <f>IFERROR(VLOOKUP(F1731,Back!C:F,4,0),"NO")</f>
        <v>Si</v>
      </c>
      <c r="O1731" s="26">
        <v>24</v>
      </c>
      <c r="P1731" s="28" t="str">
        <f>IFERROR(VLOOKUP(F1731,Back!C:E,3,0),"")</f>
        <v>IPS Pto De Vista Unicentro</v>
      </c>
      <c r="Q1731" s="28" t="str">
        <f>IFERROR(VLOOKUP(P1731,Back!M:N,2,0),"")</f>
        <v>Antioquia</v>
      </c>
      <c r="R1731" s="27" t="str">
        <f>IF(N1731="Si",IFERROR(VLOOKUP(F1731,'TD Cumpl'!B:AB,27,0),"No Aplica"),"No Aplica")</f>
        <v>Siempre Cumple</v>
      </c>
      <c r="S1731" s="38">
        <v>97</v>
      </c>
      <c r="T1731" s="46">
        <v>11967092</v>
      </c>
      <c r="U1731" s="38">
        <v>237</v>
      </c>
      <c r="V1731" s="46">
        <v>40505531</v>
      </c>
      <c r="W1731" s="38">
        <v>143</v>
      </c>
      <c r="X1731" s="46">
        <v>13771325</v>
      </c>
      <c r="Y1731" s="46">
        <f t="shared" si="56"/>
        <v>10299493</v>
      </c>
      <c r="Z1731" s="19" t="s">
        <v>318</v>
      </c>
    </row>
    <row r="1732" spans="1:26" x14ac:dyDescent="0.25">
      <c r="A1732" s="20">
        <f>+VLOOKUP(D1732,Back!Q:R,2,0)</f>
        <v>11</v>
      </c>
      <c r="B1732" s="20" t="str">
        <f t="shared" si="55"/>
        <v>2018 NOV</v>
      </c>
      <c r="C1732" s="30">
        <v>2018</v>
      </c>
      <c r="D1732" s="30" t="s">
        <v>175</v>
      </c>
      <c r="E1732" s="30" t="s">
        <v>18</v>
      </c>
      <c r="F1732" s="30">
        <v>39442617</v>
      </c>
      <c r="G1732" s="30" t="s">
        <v>41</v>
      </c>
      <c r="H1732" s="32">
        <v>20294530</v>
      </c>
      <c r="I1732" s="32">
        <v>0</v>
      </c>
      <c r="J1732" s="32">
        <v>4991673</v>
      </c>
      <c r="K1732" s="33">
        <v>15302857</v>
      </c>
      <c r="L1732" s="33">
        <v>12929999</v>
      </c>
      <c r="M1732" s="34">
        <v>1.1835157141156778</v>
      </c>
      <c r="N1732" s="209" t="str">
        <f>IFERROR(VLOOKUP(F1732,Back!C:F,4,0),"NO")</f>
        <v>Si</v>
      </c>
      <c r="O1732" s="26">
        <v>24</v>
      </c>
      <c r="P1732" s="28" t="str">
        <f>IFERROR(VLOOKUP(F1732,Back!C:E,3,0),"")</f>
        <v>IPS Pto De Vista San Diego</v>
      </c>
      <c r="Q1732" s="28" t="str">
        <f>IFERROR(VLOOKUP(P1732,Back!M:N,2,0),"")</f>
        <v>Antioquia</v>
      </c>
      <c r="R1732" s="27" t="str">
        <f>IF(N1732="Si",IFERROR(VLOOKUP(F1732,'TD Cumpl'!B:AB,27,0),"No Aplica"),"No Aplica")</f>
        <v>Cumple</v>
      </c>
      <c r="S1732" s="38">
        <v>27</v>
      </c>
      <c r="T1732" s="46">
        <v>3887053</v>
      </c>
      <c r="U1732" s="38">
        <v>64</v>
      </c>
      <c r="V1732" s="46">
        <v>9367466</v>
      </c>
      <c r="W1732" s="38">
        <v>49</v>
      </c>
      <c r="X1732" s="46">
        <v>4991673</v>
      </c>
      <c r="Y1732" s="46">
        <f t="shared" si="56"/>
        <v>2048338</v>
      </c>
      <c r="Z1732" s="19" t="s">
        <v>318</v>
      </c>
    </row>
    <row r="1733" spans="1:26" x14ac:dyDescent="0.25">
      <c r="A1733" s="20">
        <f>+VLOOKUP(D1733,Back!Q:R,2,0)</f>
        <v>11</v>
      </c>
      <c r="B1733" s="20" t="str">
        <f t="shared" si="55"/>
        <v>2018 NOV</v>
      </c>
      <c r="C1733" s="30">
        <v>2018</v>
      </c>
      <c r="D1733" s="30" t="s">
        <v>175</v>
      </c>
      <c r="E1733" s="30" t="s">
        <v>81</v>
      </c>
      <c r="F1733" s="30">
        <v>1017200970</v>
      </c>
      <c r="G1733" s="30" t="s">
        <v>82</v>
      </c>
      <c r="H1733" s="32">
        <v>32887032</v>
      </c>
      <c r="I1733" s="32">
        <v>2233800</v>
      </c>
      <c r="J1733" s="32">
        <v>6999851</v>
      </c>
      <c r="K1733" s="33">
        <v>23653381</v>
      </c>
      <c r="L1733" s="33">
        <v>33000000</v>
      </c>
      <c r="M1733" s="34">
        <v>0.71676912121212122</v>
      </c>
      <c r="N1733" s="209" t="str">
        <f>IFERROR(VLOOKUP(F1733,Back!C:F,4,0),"NO")</f>
        <v>Si</v>
      </c>
      <c r="O1733" s="26">
        <v>24</v>
      </c>
      <c r="P1733" s="28" t="str">
        <f>IFERROR(VLOOKUP(F1733,Back!C:E,3,0),"")</f>
        <v>IPS Pto De Vista San Diego</v>
      </c>
      <c r="Q1733" s="28" t="str">
        <f>IFERROR(VLOOKUP(P1733,Back!M:N,2,0),"")</f>
        <v>Antioquia</v>
      </c>
      <c r="R1733" s="27" t="str">
        <f>IF(N1733="Si",IFERROR(VLOOKUP(F1733,'TD Cumpl'!B:AB,27,0),"No Aplica"),"No Aplica")</f>
        <v>Cumple</v>
      </c>
      <c r="S1733" s="38">
        <v>48</v>
      </c>
      <c r="T1733" s="46">
        <v>5618543</v>
      </c>
      <c r="U1733" s="38">
        <v>102</v>
      </c>
      <c r="V1733" s="46">
        <v>12560858</v>
      </c>
      <c r="W1733" s="38">
        <v>70</v>
      </c>
      <c r="X1733" s="46">
        <v>6892322</v>
      </c>
      <c r="Y1733" s="46">
        <f t="shared" si="56"/>
        <v>7815309</v>
      </c>
      <c r="Z1733" s="19" t="s">
        <v>318</v>
      </c>
    </row>
    <row r="1734" spans="1:26" x14ac:dyDescent="0.25">
      <c r="A1734" s="20">
        <f>+VLOOKUP(D1734,Back!Q:R,2,0)</f>
        <v>11</v>
      </c>
      <c r="B1734" s="20" t="str">
        <f t="shared" si="55"/>
        <v>2018 NOV</v>
      </c>
      <c r="C1734" s="30">
        <v>2018</v>
      </c>
      <c r="D1734" s="30" t="s">
        <v>175</v>
      </c>
      <c r="E1734" s="30" t="s">
        <v>17</v>
      </c>
      <c r="F1734" s="30">
        <v>43113640</v>
      </c>
      <c r="G1734" s="30" t="s">
        <v>47</v>
      </c>
      <c r="H1734" s="32">
        <v>43548255</v>
      </c>
      <c r="I1734" s="32">
        <v>1864200</v>
      </c>
      <c r="J1734" s="32">
        <v>8106065</v>
      </c>
      <c r="K1734" s="33">
        <v>33577990</v>
      </c>
      <c r="L1734" s="33">
        <v>33000000</v>
      </c>
      <c r="M1734" s="34">
        <v>1.0175148484848484</v>
      </c>
      <c r="N1734" s="209" t="str">
        <f>IFERROR(VLOOKUP(F1734,Back!C:F,4,0),"NO")</f>
        <v>Si</v>
      </c>
      <c r="O1734" s="26">
        <v>24</v>
      </c>
      <c r="P1734" s="28" t="str">
        <f>IFERROR(VLOOKUP(F1734,Back!C:E,3,0),"")</f>
        <v>IPS Pto De Vista San Diego</v>
      </c>
      <c r="Q1734" s="28" t="str">
        <f>IFERROR(VLOOKUP(P1734,Back!M:N,2,0),"")</f>
        <v>Antioquia</v>
      </c>
      <c r="R1734" s="27" t="str">
        <f>IF(N1734="Si",IFERROR(VLOOKUP(F1734,'TD Cumpl'!B:AB,27,0),"No Aplica"),"No Aplica")</f>
        <v>Cumple</v>
      </c>
      <c r="S1734" s="38">
        <v>61</v>
      </c>
      <c r="T1734" s="46">
        <v>6132374</v>
      </c>
      <c r="U1734" s="38">
        <v>145</v>
      </c>
      <c r="V1734" s="46">
        <v>23211990</v>
      </c>
      <c r="W1734" s="38">
        <v>81</v>
      </c>
      <c r="X1734" s="46">
        <v>8106065</v>
      </c>
      <c r="Y1734" s="46">
        <f t="shared" si="56"/>
        <v>6097826</v>
      </c>
      <c r="Z1734" s="19" t="s">
        <v>318</v>
      </c>
    </row>
    <row r="1735" spans="1:26" x14ac:dyDescent="0.25">
      <c r="A1735" s="20">
        <f>+VLOOKUP(D1735,Back!Q:R,2,0)</f>
        <v>11</v>
      </c>
      <c r="B1735" s="20" t="str">
        <f t="shared" si="55"/>
        <v>2018 NOV</v>
      </c>
      <c r="C1735" s="30">
        <v>2018</v>
      </c>
      <c r="D1735" s="30" t="s">
        <v>175</v>
      </c>
      <c r="E1735" s="30" t="s">
        <v>235</v>
      </c>
      <c r="F1735" s="30">
        <v>39275090</v>
      </c>
      <c r="G1735" s="30" t="s">
        <v>236</v>
      </c>
      <c r="H1735" s="32">
        <v>45002969</v>
      </c>
      <c r="I1735" s="32">
        <v>2251600</v>
      </c>
      <c r="J1735" s="32">
        <v>8366492</v>
      </c>
      <c r="K1735" s="33">
        <v>34384877</v>
      </c>
      <c r="L1735" s="33">
        <v>33000000</v>
      </c>
      <c r="M1735" s="34">
        <v>1.0419659696969696</v>
      </c>
      <c r="N1735" s="209" t="str">
        <f>IFERROR(VLOOKUP(F1735,Back!C:F,4,0),"NO")</f>
        <v>Si</v>
      </c>
      <c r="O1735" s="26">
        <v>24</v>
      </c>
      <c r="P1735" s="28" t="str">
        <f>IFERROR(VLOOKUP(F1735,Back!C:E,3,0),"")</f>
        <v>IPS Pto De Vista San Diego</v>
      </c>
      <c r="Q1735" s="28" t="str">
        <f>IFERROR(VLOOKUP(P1735,Back!M:N,2,0),"")</f>
        <v>Antioquia</v>
      </c>
      <c r="R1735" s="27" t="str">
        <f>IF(N1735="Si",IFERROR(VLOOKUP(F1735,'TD Cumpl'!B:AB,27,0),"No Aplica"),"No Aplica")</f>
        <v>Siempre Cumple</v>
      </c>
      <c r="S1735" s="38">
        <v>59</v>
      </c>
      <c r="T1735" s="46">
        <v>8210645</v>
      </c>
      <c r="U1735" s="38">
        <v>156</v>
      </c>
      <c r="V1735" s="46">
        <v>24516126</v>
      </c>
      <c r="W1735" s="38">
        <v>86</v>
      </c>
      <c r="X1735" s="46">
        <v>8366492</v>
      </c>
      <c r="Y1735" s="46">
        <f t="shared" si="56"/>
        <v>3909706</v>
      </c>
      <c r="Z1735" s="19" t="s">
        <v>318</v>
      </c>
    </row>
    <row r="1736" spans="1:26" x14ac:dyDescent="0.25">
      <c r="A1736" s="20">
        <f>+VLOOKUP(D1736,Back!Q:R,2,0)</f>
        <v>11</v>
      </c>
      <c r="B1736" s="20" t="str">
        <f t="shared" si="55"/>
        <v>2018 NOV</v>
      </c>
      <c r="C1736" s="30">
        <v>2018</v>
      </c>
      <c r="D1736" s="30" t="s">
        <v>175</v>
      </c>
      <c r="E1736" s="30" t="s">
        <v>292</v>
      </c>
      <c r="F1736" s="30">
        <v>32352312</v>
      </c>
      <c r="G1736" s="30" t="s">
        <v>293</v>
      </c>
      <c r="H1736" s="32">
        <v>41074195</v>
      </c>
      <c r="I1736" s="32">
        <v>468000</v>
      </c>
      <c r="J1736" s="32">
        <v>7354249</v>
      </c>
      <c r="K1736" s="33">
        <v>33251946</v>
      </c>
      <c r="L1736" s="33">
        <v>33000000</v>
      </c>
      <c r="M1736" s="34">
        <v>1.0076347272727273</v>
      </c>
      <c r="N1736" s="209" t="str">
        <f>IFERROR(VLOOKUP(F1736,Back!C:F,4,0),"NO")</f>
        <v>Si</v>
      </c>
      <c r="O1736" s="26">
        <v>24</v>
      </c>
      <c r="P1736" s="28" t="str">
        <f>IFERROR(VLOOKUP(F1736,Back!C:E,3,0),"")</f>
        <v>IPS Pto De Vista San Diego</v>
      </c>
      <c r="Q1736" s="28" t="str">
        <f>IFERROR(VLOOKUP(P1736,Back!M:N,2,0),"")</f>
        <v>Antioquia</v>
      </c>
      <c r="R1736" s="27" t="str">
        <f>IF(N1736="Si",IFERROR(VLOOKUP(F1736,'TD Cumpl'!B:AB,27,0),"No Aplica"),"No Aplica")</f>
        <v>No Cumple</v>
      </c>
      <c r="S1736" s="38">
        <v>52</v>
      </c>
      <c r="T1736" s="46">
        <v>7075108</v>
      </c>
      <c r="U1736" s="38">
        <v>138</v>
      </c>
      <c r="V1736" s="46">
        <v>22097225</v>
      </c>
      <c r="W1736" s="38">
        <v>73</v>
      </c>
      <c r="X1736" s="46">
        <v>7354249</v>
      </c>
      <c r="Y1736" s="46">
        <f t="shared" si="56"/>
        <v>4547613</v>
      </c>
      <c r="Z1736" s="19" t="s">
        <v>318</v>
      </c>
    </row>
    <row r="1737" spans="1:26" x14ac:dyDescent="0.25">
      <c r="A1737" s="20">
        <f>+VLOOKUP(D1737,Back!Q:R,2,0)</f>
        <v>11</v>
      </c>
      <c r="B1737" s="20" t="str">
        <f t="shared" si="55"/>
        <v>2018 NOV</v>
      </c>
      <c r="C1737" s="30">
        <v>2018</v>
      </c>
      <c r="D1737" s="30" t="s">
        <v>175</v>
      </c>
      <c r="E1737" s="30" t="s">
        <v>84</v>
      </c>
      <c r="F1737" s="30">
        <v>1020736461</v>
      </c>
      <c r="G1737" s="30" t="s">
        <v>156</v>
      </c>
      <c r="H1737" s="32">
        <v>47170254</v>
      </c>
      <c r="I1737" s="32">
        <v>0</v>
      </c>
      <c r="J1737" s="32">
        <v>10079300</v>
      </c>
      <c r="K1737" s="33">
        <v>37090954</v>
      </c>
      <c r="L1737" s="33">
        <v>28000008</v>
      </c>
      <c r="M1737" s="34">
        <v>1.3246765500924143</v>
      </c>
      <c r="N1737" s="209" t="str">
        <f>IFERROR(VLOOKUP(F1737,Back!C:F,4,0),"NO")</f>
        <v>Si</v>
      </c>
      <c r="O1737" s="26">
        <v>24</v>
      </c>
      <c r="P1737" s="28" t="str">
        <f>IFERROR(VLOOKUP(F1737,Back!C:E,3,0),"")</f>
        <v>IPS Pto De Vista Santa Bárbara</v>
      </c>
      <c r="Q1737" s="28" t="str">
        <f>IFERROR(VLOOKUP(P1737,Back!M:N,2,0),"")</f>
        <v>Centro</v>
      </c>
      <c r="R1737" s="27" t="str">
        <f>IF(N1737="Si",IFERROR(VLOOKUP(F1737,'TD Cumpl'!B:AB,27,0),"No Aplica"),"No Aplica")</f>
        <v>Siempre Cumple</v>
      </c>
      <c r="S1737" s="38">
        <v>70</v>
      </c>
      <c r="T1737" s="46">
        <v>6650150</v>
      </c>
      <c r="U1737" s="38">
        <v>222</v>
      </c>
      <c r="V1737" s="46">
        <v>27741620</v>
      </c>
      <c r="W1737" s="38">
        <v>128</v>
      </c>
      <c r="X1737" s="46">
        <v>10079300</v>
      </c>
      <c r="Y1737" s="46">
        <f t="shared" si="56"/>
        <v>2699184</v>
      </c>
      <c r="Z1737" s="19" t="s">
        <v>318</v>
      </c>
    </row>
    <row r="1738" spans="1:26" x14ac:dyDescent="0.25">
      <c r="A1738" s="20">
        <f>+VLOOKUP(D1738,Back!Q:R,2,0)</f>
        <v>11</v>
      </c>
      <c r="B1738" s="20" t="str">
        <f t="shared" si="55"/>
        <v>2018 NOV</v>
      </c>
      <c r="C1738" s="30">
        <v>2018</v>
      </c>
      <c r="D1738" s="30" t="s">
        <v>175</v>
      </c>
      <c r="E1738" s="30" t="s">
        <v>295</v>
      </c>
      <c r="F1738" s="30">
        <v>1020769180</v>
      </c>
      <c r="G1738" s="30" t="s">
        <v>302</v>
      </c>
      <c r="H1738" s="32">
        <v>17775734</v>
      </c>
      <c r="I1738" s="32">
        <v>486000</v>
      </c>
      <c r="J1738" s="32">
        <v>2587782</v>
      </c>
      <c r="K1738" s="33">
        <v>14701952</v>
      </c>
      <c r="L1738" s="33">
        <v>28000008</v>
      </c>
      <c r="M1738" s="34">
        <v>0.52506956426583873</v>
      </c>
      <c r="N1738" s="209" t="str">
        <f>IFERROR(VLOOKUP(F1738,Back!C:F,4,0),"NO")</f>
        <v>Si</v>
      </c>
      <c r="O1738" s="26">
        <v>24</v>
      </c>
      <c r="P1738" s="28" t="str">
        <f>IFERROR(VLOOKUP(F1738,Back!C:E,3,0),"")</f>
        <v>IPS Pto De Vista Santa Bárbara</v>
      </c>
      <c r="Q1738" s="28" t="str">
        <f>IFERROR(VLOOKUP(P1738,Back!M:N,2,0),"")</f>
        <v>Centro</v>
      </c>
      <c r="R1738" s="27" t="str">
        <f>IF(N1738="Si",IFERROR(VLOOKUP(F1738,'TD Cumpl'!B:AB,27,0),"No Aplica"),"No Aplica")</f>
        <v>No Cumple</v>
      </c>
      <c r="S1738" s="38">
        <v>27</v>
      </c>
      <c r="T1738" s="46">
        <v>3210369</v>
      </c>
      <c r="U1738" s="38">
        <v>76</v>
      </c>
      <c r="V1738" s="46">
        <v>10147605</v>
      </c>
      <c r="W1738" s="38">
        <v>30</v>
      </c>
      <c r="X1738" s="46">
        <v>2587782</v>
      </c>
      <c r="Y1738" s="46">
        <f t="shared" si="56"/>
        <v>1829978</v>
      </c>
      <c r="Z1738" s="19" t="s">
        <v>318</v>
      </c>
    </row>
    <row r="1739" spans="1:26" x14ac:dyDescent="0.25">
      <c r="A1739" s="20">
        <f>+VLOOKUP(D1739,Back!Q:R,2,0)</f>
        <v>11</v>
      </c>
      <c r="B1739" s="20" t="str">
        <f t="shared" si="55"/>
        <v>2018 NOV</v>
      </c>
      <c r="C1739" s="30">
        <v>2018</v>
      </c>
      <c r="D1739" s="30" t="s">
        <v>175</v>
      </c>
      <c r="E1739" s="30" t="s">
        <v>2</v>
      </c>
      <c r="F1739" s="30">
        <v>52260671</v>
      </c>
      <c r="G1739" s="30" t="s">
        <v>26</v>
      </c>
      <c r="H1739" s="32">
        <v>41084488</v>
      </c>
      <c r="I1739" s="32">
        <v>2134200</v>
      </c>
      <c r="J1739" s="32">
        <v>8039802</v>
      </c>
      <c r="K1739" s="33">
        <v>30910486</v>
      </c>
      <c r="L1739" s="33">
        <v>28000008</v>
      </c>
      <c r="M1739" s="34">
        <v>1.1039456131583962</v>
      </c>
      <c r="N1739" s="209" t="str">
        <f>IFERROR(VLOOKUP(F1739,Back!C:F,4,0),"NO")</f>
        <v>Si</v>
      </c>
      <c r="O1739" s="26">
        <v>24</v>
      </c>
      <c r="P1739" s="28" t="str">
        <f>IFERROR(VLOOKUP(F1739,Back!C:E,3,0),"")</f>
        <v>IPS Pto De Vista Santa Bárbara</v>
      </c>
      <c r="Q1739" s="28" t="str">
        <f>IFERROR(VLOOKUP(P1739,Back!M:N,2,0),"")</f>
        <v>Centro</v>
      </c>
      <c r="R1739" s="27" t="str">
        <f>IF(N1739="Si",IFERROR(VLOOKUP(F1739,'TD Cumpl'!B:AB,27,0),"No Aplica"),"No Aplica")</f>
        <v>Siempre Cumple</v>
      </c>
      <c r="S1739" s="38">
        <v>60</v>
      </c>
      <c r="T1739" s="46">
        <v>6586190</v>
      </c>
      <c r="U1739" s="38">
        <v>158</v>
      </c>
      <c r="V1739" s="46">
        <v>20973900</v>
      </c>
      <c r="W1739" s="38">
        <v>104</v>
      </c>
      <c r="X1739" s="46">
        <v>8039802</v>
      </c>
      <c r="Y1739" s="46">
        <f t="shared" si="56"/>
        <v>5484596</v>
      </c>
      <c r="Z1739" s="19" t="s">
        <v>318</v>
      </c>
    </row>
    <row r="1740" spans="1:26" x14ac:dyDescent="0.25">
      <c r="A1740" s="20">
        <f>+VLOOKUP(D1740,Back!Q:R,2,0)</f>
        <v>11</v>
      </c>
      <c r="B1740" s="20" t="str">
        <f t="shared" si="55"/>
        <v>2018 NOV</v>
      </c>
      <c r="C1740" s="30">
        <v>2018</v>
      </c>
      <c r="D1740" s="30" t="s">
        <v>175</v>
      </c>
      <c r="E1740" s="30" t="s">
        <v>102</v>
      </c>
      <c r="F1740" s="30">
        <v>79850984</v>
      </c>
      <c r="G1740" s="30" t="s">
        <v>106</v>
      </c>
      <c r="H1740" s="32">
        <v>26513247</v>
      </c>
      <c r="I1740" s="32">
        <v>1251990</v>
      </c>
      <c r="J1740" s="32">
        <v>3813489</v>
      </c>
      <c r="K1740" s="33">
        <v>21447768</v>
      </c>
      <c r="L1740" s="33">
        <v>30000000</v>
      </c>
      <c r="M1740" s="34">
        <v>0.71492560000000005</v>
      </c>
      <c r="N1740" s="209" t="str">
        <f>IFERROR(VLOOKUP(F1740,Back!C:F,4,0),"NO")</f>
        <v>Si</v>
      </c>
      <c r="O1740" s="26">
        <v>24</v>
      </c>
      <c r="P1740" s="28" t="str">
        <f>IFERROR(VLOOKUP(F1740,Back!C:E,3,0),"")</f>
        <v>IPS Pto De Vista SSura Clle100</v>
      </c>
      <c r="Q1740" s="28" t="str">
        <f>IFERROR(VLOOKUP(P1740,Back!M:N,2,0),"")</f>
        <v>Centro</v>
      </c>
      <c r="R1740" s="27" t="str">
        <f>IF(N1740="Si",IFERROR(VLOOKUP(F1740,'TD Cumpl'!B:AB,27,0),"No Aplica"),"No Aplica")</f>
        <v>Fluctúa</v>
      </c>
      <c r="S1740" s="38">
        <v>28</v>
      </c>
      <c r="T1740" s="46">
        <v>3103841</v>
      </c>
      <c r="U1740" s="38">
        <v>122</v>
      </c>
      <c r="V1740" s="46">
        <v>14837921</v>
      </c>
      <c r="W1740" s="38">
        <v>51</v>
      </c>
      <c r="X1740" s="46">
        <v>3813489</v>
      </c>
      <c r="Y1740" s="46">
        <f t="shared" si="56"/>
        <v>4757996</v>
      </c>
      <c r="Z1740" s="19" t="s">
        <v>318</v>
      </c>
    </row>
    <row r="1741" spans="1:26" x14ac:dyDescent="0.25">
      <c r="A1741" s="20">
        <f>+VLOOKUP(D1741,Back!Q:R,2,0)</f>
        <v>11</v>
      </c>
      <c r="B1741" s="20" t="str">
        <f t="shared" si="55"/>
        <v>2018 NOV</v>
      </c>
      <c r="C1741" s="30">
        <v>2018</v>
      </c>
      <c r="D1741" s="30" t="s">
        <v>175</v>
      </c>
      <c r="E1741" s="30" t="s">
        <v>5</v>
      </c>
      <c r="F1741" s="30">
        <v>34542470</v>
      </c>
      <c r="G1741" s="30" t="s">
        <v>28</v>
      </c>
      <c r="H1741" s="32">
        <v>57847441</v>
      </c>
      <c r="I1741" s="32">
        <v>1517400</v>
      </c>
      <c r="J1741" s="32">
        <v>7609032</v>
      </c>
      <c r="K1741" s="33">
        <v>48721009</v>
      </c>
      <c r="L1741" s="33">
        <v>34999992</v>
      </c>
      <c r="M1741" s="34">
        <v>1.3920291467495192</v>
      </c>
      <c r="N1741" s="209" t="str">
        <f>IFERROR(VLOOKUP(F1741,Back!C:F,4,0),"NO")</f>
        <v>Si</v>
      </c>
      <c r="O1741" s="26">
        <v>24</v>
      </c>
      <c r="P1741" s="28" t="str">
        <f>IFERROR(VLOOKUP(F1741,Back!C:E,3,0),"")</f>
        <v>Optica Salud Sura Chipichape</v>
      </c>
      <c r="Q1741" s="28" t="str">
        <f>IFERROR(VLOOKUP(P1741,Back!M:N,2,0),"")</f>
        <v>Occidente</v>
      </c>
      <c r="R1741" s="27" t="str">
        <f>IF(N1741="Si",IFERROR(VLOOKUP(F1741,'TD Cumpl'!B:AB,27,0),"No Aplica"),"No Aplica")</f>
        <v>Siempre Cumple</v>
      </c>
      <c r="S1741" s="38">
        <v>98</v>
      </c>
      <c r="T1741" s="46">
        <v>11913714</v>
      </c>
      <c r="U1741" s="38">
        <v>268</v>
      </c>
      <c r="V1741" s="46">
        <v>33961556</v>
      </c>
      <c r="W1741" s="38">
        <v>82</v>
      </c>
      <c r="X1741" s="46">
        <v>7609032</v>
      </c>
      <c r="Y1741" s="46">
        <f t="shared" si="56"/>
        <v>4363139</v>
      </c>
      <c r="Z1741" s="19" t="s">
        <v>318</v>
      </c>
    </row>
    <row r="1742" spans="1:26" x14ac:dyDescent="0.25">
      <c r="A1742" s="20">
        <f>+VLOOKUP(D1742,Back!Q:R,2,0)</f>
        <v>11</v>
      </c>
      <c r="B1742" s="20" t="str">
        <f t="shared" si="55"/>
        <v>2018 NOV</v>
      </c>
      <c r="C1742" s="30">
        <v>2018</v>
      </c>
      <c r="D1742" s="30" t="s">
        <v>175</v>
      </c>
      <c r="E1742" s="30" t="s">
        <v>258</v>
      </c>
      <c r="F1742" s="30">
        <v>1130676531</v>
      </c>
      <c r="G1742" s="30" t="s">
        <v>262</v>
      </c>
      <c r="H1742" s="32">
        <v>22153865</v>
      </c>
      <c r="I1742" s="32">
        <v>0</v>
      </c>
      <c r="J1742" s="32">
        <v>419369</v>
      </c>
      <c r="K1742" s="33">
        <v>21734496</v>
      </c>
      <c r="L1742" s="33">
        <v>42073200</v>
      </c>
      <c r="M1742" s="34">
        <v>0.51658766150423552</v>
      </c>
      <c r="N1742" s="209" t="str">
        <f>IFERROR(VLOOKUP(F1742,Back!C:F,4,0),"NO")</f>
        <v>Si</v>
      </c>
      <c r="O1742" s="26">
        <v>24</v>
      </c>
      <c r="P1742" s="28" t="str">
        <f>IFERROR(VLOOKUP(F1742,Back!C:E,3,0),"")</f>
        <v>Punto de Vista Cali Norte</v>
      </c>
      <c r="Q1742" s="28" t="str">
        <f>IFERROR(VLOOKUP(P1742,Back!M:N,2,0),"")</f>
        <v>Occidente</v>
      </c>
      <c r="R1742" s="27" t="str">
        <f>IF(N1742="Si",IFERROR(VLOOKUP(F1742,'TD Cumpl'!B:AB,27,0),"No Aplica"),"No Aplica")</f>
        <v>No Cumple</v>
      </c>
      <c r="S1742" s="38">
        <v>22</v>
      </c>
      <c r="T1742" s="46">
        <v>2090623</v>
      </c>
      <c r="U1742" s="38">
        <v>53</v>
      </c>
      <c r="V1742" s="46">
        <v>5997844</v>
      </c>
      <c r="W1742" s="38">
        <v>7</v>
      </c>
      <c r="X1742" s="46">
        <v>419369</v>
      </c>
      <c r="Y1742" s="46">
        <f t="shared" si="56"/>
        <v>13646029</v>
      </c>
      <c r="Z1742" s="19" t="s">
        <v>318</v>
      </c>
    </row>
    <row r="1743" spans="1:26" x14ac:dyDescent="0.25">
      <c r="A1743" s="20">
        <f>+VLOOKUP(D1743,Back!Q:R,2,0)</f>
        <v>11</v>
      </c>
      <c r="B1743" s="20" t="str">
        <f t="shared" si="55"/>
        <v>2018 NOV</v>
      </c>
      <c r="C1743" s="30">
        <v>2018</v>
      </c>
      <c r="D1743" s="30" t="s">
        <v>175</v>
      </c>
      <c r="E1743" s="30" t="s">
        <v>249</v>
      </c>
      <c r="F1743" s="30">
        <v>1144061613</v>
      </c>
      <c r="G1743" s="30" t="s">
        <v>256</v>
      </c>
      <c r="H1743" s="32">
        <v>29269993</v>
      </c>
      <c r="I1743" s="32">
        <v>0</v>
      </c>
      <c r="J1743" s="32">
        <v>8172329</v>
      </c>
      <c r="K1743" s="33">
        <v>21097664</v>
      </c>
      <c r="L1743" s="33">
        <v>18750000</v>
      </c>
      <c r="M1743" s="34">
        <v>1.1252087466666667</v>
      </c>
      <c r="N1743" s="209" t="str">
        <f>IFERROR(VLOOKUP(F1743,Back!C:F,4,0),"NO")</f>
        <v>Si</v>
      </c>
      <c r="O1743" s="26">
        <v>24</v>
      </c>
      <c r="P1743" s="28" t="str">
        <f>IFERROR(VLOOKUP(F1743,Back!C:E,3,0),"")</f>
        <v>Punto de Vista Tequendama</v>
      </c>
      <c r="Q1743" s="28" t="str">
        <f>IFERROR(VLOOKUP(P1743,Back!M:N,2,0),"")</f>
        <v>Occidente</v>
      </c>
      <c r="R1743" s="27" t="str">
        <f>IF(N1743="Si",IFERROR(VLOOKUP(F1743,'TD Cumpl'!B:AB,27,0),"No Aplica"),"No Aplica")</f>
        <v>Fluctúa</v>
      </c>
      <c r="S1743" s="38">
        <v>43</v>
      </c>
      <c r="T1743" s="46">
        <v>5127075</v>
      </c>
      <c r="U1743" s="38">
        <v>114</v>
      </c>
      <c r="V1743" s="46">
        <v>13786207</v>
      </c>
      <c r="W1743" s="38">
        <v>85</v>
      </c>
      <c r="X1743" s="46">
        <v>8172329</v>
      </c>
      <c r="Y1743" s="46">
        <f t="shared" si="56"/>
        <v>2184382</v>
      </c>
      <c r="Z1743" s="19" t="s">
        <v>318</v>
      </c>
    </row>
    <row r="1744" spans="1:26" x14ac:dyDescent="0.25">
      <c r="A1744" s="20">
        <f>+VLOOKUP(D1744,Back!Q:R,2,0)</f>
        <v>11</v>
      </c>
      <c r="B1744" s="20" t="str">
        <f t="shared" si="55"/>
        <v>2018 NOV</v>
      </c>
      <c r="C1744" s="30">
        <v>2018</v>
      </c>
      <c r="D1744" s="30" t="s">
        <v>175</v>
      </c>
      <c r="E1744" s="30" t="s">
        <v>297</v>
      </c>
      <c r="F1744" s="30">
        <v>66910365</v>
      </c>
      <c r="G1744" s="30" t="s">
        <v>303</v>
      </c>
      <c r="H1744" s="32">
        <v>11973184</v>
      </c>
      <c r="I1744" s="32">
        <v>455100</v>
      </c>
      <c r="J1744" s="32">
        <v>4402187</v>
      </c>
      <c r="K1744" s="33">
        <v>7115897</v>
      </c>
      <c r="L1744" s="33">
        <v>30000000</v>
      </c>
      <c r="M1744" s="34">
        <v>0.23719656666666666</v>
      </c>
      <c r="N1744" s="209" t="str">
        <f>IFERROR(VLOOKUP(F1744,Back!C:F,4,0),"NO")</f>
        <v>Si</v>
      </c>
      <c r="O1744" s="26">
        <v>24</v>
      </c>
      <c r="P1744" s="28" t="str">
        <f>IFERROR(VLOOKUP(F1744,Back!C:E,3,0),"")</f>
        <v>Punto de Vista Tequendama</v>
      </c>
      <c r="Q1744" s="28" t="str">
        <f>IFERROR(VLOOKUP(P1744,Back!M:N,2,0),"")</f>
        <v>Occidente</v>
      </c>
      <c r="R1744" s="27" t="str">
        <f>IF(N1744="Si",IFERROR(VLOOKUP(F1744,'TD Cumpl'!B:AB,27,0),"No Aplica"),"No Aplica")</f>
        <v>Fluctúa</v>
      </c>
      <c r="S1744" s="38">
        <v>17</v>
      </c>
      <c r="T1744" s="46">
        <v>2008441</v>
      </c>
      <c r="U1744" s="38">
        <v>50</v>
      </c>
      <c r="V1744" s="46">
        <v>5041075</v>
      </c>
      <c r="W1744" s="38">
        <v>43</v>
      </c>
      <c r="X1744" s="46">
        <v>4402187</v>
      </c>
      <c r="Y1744" s="46">
        <f t="shared" si="56"/>
        <v>521481</v>
      </c>
      <c r="Z1744" s="19" t="s">
        <v>318</v>
      </c>
    </row>
    <row r="1745" spans="1:26" x14ac:dyDescent="0.25">
      <c r="A1745" s="20">
        <f>+VLOOKUP(D1745,Back!Q:R,2,0)</f>
        <v>11</v>
      </c>
      <c r="B1745" s="20" t="str">
        <f t="shared" si="55"/>
        <v>2018 NOV</v>
      </c>
      <c r="C1745" s="30">
        <v>2018</v>
      </c>
      <c r="D1745" s="30" t="s">
        <v>175</v>
      </c>
      <c r="E1745" s="30" t="s">
        <v>275</v>
      </c>
      <c r="F1745" s="30">
        <v>16379021</v>
      </c>
      <c r="G1745" s="30" t="s">
        <v>287</v>
      </c>
      <c r="H1745" s="32">
        <v>27070595</v>
      </c>
      <c r="I1745" s="32">
        <v>0</v>
      </c>
      <c r="J1745" s="32">
        <v>8922973</v>
      </c>
      <c r="K1745" s="33">
        <v>18147622</v>
      </c>
      <c r="L1745" s="33">
        <v>30000000</v>
      </c>
      <c r="M1745" s="34">
        <v>0.60492073333333329</v>
      </c>
      <c r="N1745" s="209" t="str">
        <f>IFERROR(VLOOKUP(F1745,Back!C:F,4,0),"NO")</f>
        <v>Si</v>
      </c>
      <c r="O1745" s="26">
        <v>24</v>
      </c>
      <c r="P1745" s="28" t="str">
        <f>IFERROR(VLOOKUP(F1745,Back!C:E,3,0),"")</f>
        <v>Punto de Vista Cali Norte</v>
      </c>
      <c r="Q1745" s="28" t="str">
        <f>IFERROR(VLOOKUP(P1745,Back!M:N,2,0),"")</f>
        <v>Occidente</v>
      </c>
      <c r="R1745" s="27" t="str">
        <f>IF(N1745="Si",IFERROR(VLOOKUP(F1745,'TD Cumpl'!B:AB,27,0),"No Aplica"),"No Aplica")</f>
        <v>Fluctúa</v>
      </c>
      <c r="S1745" s="38">
        <v>41</v>
      </c>
      <c r="T1745" s="46">
        <v>4915731</v>
      </c>
      <c r="U1745" s="38">
        <v>118</v>
      </c>
      <c r="V1745" s="46">
        <v>11323509</v>
      </c>
      <c r="W1745" s="38">
        <v>101</v>
      </c>
      <c r="X1745" s="46">
        <v>8866573</v>
      </c>
      <c r="Y1745" s="46">
        <f t="shared" si="56"/>
        <v>1964782</v>
      </c>
      <c r="Z1745" s="19" t="s">
        <v>318</v>
      </c>
    </row>
    <row r="1746" spans="1:26" x14ac:dyDescent="0.25">
      <c r="A1746" s="20">
        <f>+VLOOKUP(D1746,Back!Q:R,2,0)</f>
        <v>11</v>
      </c>
      <c r="B1746" s="20" t="str">
        <f t="shared" si="55"/>
        <v>2018 NOV</v>
      </c>
      <c r="C1746" s="30">
        <v>2018</v>
      </c>
      <c r="D1746" s="30" t="s">
        <v>175</v>
      </c>
      <c r="E1746" s="30" t="s">
        <v>88</v>
      </c>
      <c r="F1746" s="30">
        <v>31445278</v>
      </c>
      <c r="G1746" s="30" t="s">
        <v>93</v>
      </c>
      <c r="H1746" s="32">
        <v>32304813</v>
      </c>
      <c r="I1746" s="32">
        <v>439900</v>
      </c>
      <c r="J1746" s="32">
        <v>8336570</v>
      </c>
      <c r="K1746" s="33">
        <v>23528343</v>
      </c>
      <c r="L1746" s="33">
        <v>18750000</v>
      </c>
      <c r="M1746" s="34">
        <v>1.25484496</v>
      </c>
      <c r="N1746" s="209" t="str">
        <f>IFERROR(VLOOKUP(F1746,Back!C:F,4,0),"NO")</f>
        <v>Si</v>
      </c>
      <c r="O1746" s="26">
        <v>24</v>
      </c>
      <c r="P1746" s="28" t="str">
        <f>IFERROR(VLOOKUP(F1746,Back!C:E,3,0),"")</f>
        <v>Punto de Vista Tequendama</v>
      </c>
      <c r="Q1746" s="28" t="str">
        <f>IFERROR(VLOOKUP(P1746,Back!M:N,2,0),"")</f>
        <v>Occidente</v>
      </c>
      <c r="R1746" s="27" t="str">
        <f>IF(N1746="Si",IFERROR(VLOOKUP(F1746,'TD Cumpl'!B:AB,27,0),"No Aplica"),"No Aplica")</f>
        <v>Cumple</v>
      </c>
      <c r="S1746" s="38">
        <v>52</v>
      </c>
      <c r="T1746" s="46">
        <v>5577000</v>
      </c>
      <c r="U1746" s="38">
        <v>160</v>
      </c>
      <c r="V1746" s="46">
        <v>16308987</v>
      </c>
      <c r="W1746" s="38">
        <v>76</v>
      </c>
      <c r="X1746" s="46">
        <v>7012770</v>
      </c>
      <c r="Y1746" s="46">
        <f t="shared" si="56"/>
        <v>3406056</v>
      </c>
      <c r="Z1746" s="19" t="s">
        <v>318</v>
      </c>
    </row>
    <row r="1747" spans="1:26" x14ac:dyDescent="0.25">
      <c r="A1747" s="20">
        <f>+VLOOKUP(D1747,Back!Q:R,2,0)</f>
        <v>11</v>
      </c>
      <c r="B1747" s="20" t="str">
        <f t="shared" si="55"/>
        <v>2018 NOV</v>
      </c>
      <c r="C1747" s="30">
        <v>2018</v>
      </c>
      <c r="D1747" s="30" t="s">
        <v>175</v>
      </c>
      <c r="E1747" s="30" t="s">
        <v>149</v>
      </c>
      <c r="F1747" s="30">
        <v>1130597373</v>
      </c>
      <c r="G1747" s="30" t="s">
        <v>150</v>
      </c>
      <c r="H1747" s="32">
        <v>44752059</v>
      </c>
      <c r="I1747" s="32">
        <v>0</v>
      </c>
      <c r="J1747" s="32">
        <v>12879079</v>
      </c>
      <c r="K1747" s="33">
        <v>31872980</v>
      </c>
      <c r="L1747" s="33">
        <v>30000000</v>
      </c>
      <c r="M1747" s="34">
        <v>1.0624326666666666</v>
      </c>
      <c r="N1747" s="209" t="str">
        <f>IFERROR(VLOOKUP(F1747,Back!C:F,4,0),"NO")</f>
        <v>Si</v>
      </c>
      <c r="O1747" s="26">
        <v>24</v>
      </c>
      <c r="P1747" s="28" t="str">
        <f>IFERROR(VLOOKUP(F1747,Back!C:E,3,0),"")</f>
        <v>Punto de Vista Cali Norte</v>
      </c>
      <c r="Q1747" s="28" t="str">
        <f>IFERROR(VLOOKUP(P1747,Back!M:N,2,0),"")</f>
        <v>Occidente</v>
      </c>
      <c r="R1747" s="27" t="str">
        <f>IF(N1747="Si",IFERROR(VLOOKUP(F1747,'TD Cumpl'!B:AB,27,0),"No Aplica"),"No Aplica")</f>
        <v>Fluctúa</v>
      </c>
      <c r="S1747" s="38">
        <v>58</v>
      </c>
      <c r="T1747" s="46">
        <v>7196651</v>
      </c>
      <c r="U1747" s="38">
        <v>174</v>
      </c>
      <c r="V1747" s="46">
        <v>21939225</v>
      </c>
      <c r="W1747" s="38">
        <v>127</v>
      </c>
      <c r="X1747" s="46">
        <v>12879079</v>
      </c>
      <c r="Y1747" s="46">
        <f t="shared" si="56"/>
        <v>2737104</v>
      </c>
      <c r="Z1747" s="19" t="s">
        <v>318</v>
      </c>
    </row>
    <row r="1748" spans="1:26" x14ac:dyDescent="0.25">
      <c r="A1748" s="20">
        <f>+VLOOKUP(D1748,Back!Q:R,2,0)</f>
        <v>11</v>
      </c>
      <c r="B1748" s="20" t="str">
        <f t="shared" si="55"/>
        <v>2018 NOV</v>
      </c>
      <c r="C1748" s="30">
        <v>2018</v>
      </c>
      <c r="D1748" s="30" t="s">
        <v>175</v>
      </c>
      <c r="E1748" s="30" t="s">
        <v>259</v>
      </c>
      <c r="F1748" s="30">
        <v>1020399898</v>
      </c>
      <c r="G1748" s="30" t="s">
        <v>260</v>
      </c>
      <c r="H1748" s="32">
        <v>40557251</v>
      </c>
      <c r="I1748" s="32">
        <v>941100</v>
      </c>
      <c r="J1748" s="32">
        <v>8621612</v>
      </c>
      <c r="K1748" s="33">
        <v>30994539</v>
      </c>
      <c r="L1748" s="33">
        <v>15000000</v>
      </c>
      <c r="M1748" s="34">
        <v>2.0663026000000002</v>
      </c>
      <c r="N1748" s="209" t="str">
        <f>IFERROR(VLOOKUP(F1748,Back!C:F,4,0),"NO")</f>
        <v>Si</v>
      </c>
      <c r="O1748" s="26">
        <v>24</v>
      </c>
      <c r="P1748" s="28" t="str">
        <f>IFERROR(VLOOKUP(F1748,Back!C:E,3,0),"")</f>
        <v>IPS Punto de Vista Mayorca</v>
      </c>
      <c r="Q1748" s="28" t="str">
        <f>IFERROR(VLOOKUP(P1748,Back!M:N,2,0),"")</f>
        <v>Antioquia</v>
      </c>
      <c r="R1748" s="27" t="str">
        <f>IF(N1748="Si",IFERROR(VLOOKUP(F1748,'TD Cumpl'!B:AB,27,0),"No Aplica"),"No Aplica")</f>
        <v>Fluctúa</v>
      </c>
      <c r="S1748" s="38">
        <v>79</v>
      </c>
      <c r="T1748" s="46">
        <v>7850102</v>
      </c>
      <c r="U1748" s="38">
        <v>174</v>
      </c>
      <c r="V1748" s="46">
        <v>19253350</v>
      </c>
      <c r="W1748" s="38">
        <v>100</v>
      </c>
      <c r="X1748" s="46">
        <v>8621612</v>
      </c>
      <c r="Y1748" s="46">
        <f t="shared" si="56"/>
        <v>4832187</v>
      </c>
      <c r="Z1748" s="19" t="s">
        <v>318</v>
      </c>
    </row>
    <row r="1749" spans="1:26" x14ac:dyDescent="0.25">
      <c r="A1749" s="20">
        <f>+VLOOKUP(D1749,Back!Q:R,2,0)</f>
        <v>11</v>
      </c>
      <c r="B1749" s="20" t="str">
        <f t="shared" si="55"/>
        <v>2018 NOV</v>
      </c>
      <c r="C1749" s="30">
        <v>2018</v>
      </c>
      <c r="D1749" s="30" t="s">
        <v>175</v>
      </c>
      <c r="E1749" s="30" t="s">
        <v>38</v>
      </c>
      <c r="F1749" s="30">
        <v>43745192</v>
      </c>
      <c r="G1749" s="30" t="s">
        <v>45</v>
      </c>
      <c r="H1749" s="32">
        <v>16492689</v>
      </c>
      <c r="I1749" s="32">
        <v>0</v>
      </c>
      <c r="J1749" s="32">
        <v>1283731</v>
      </c>
      <c r="K1749" s="33">
        <v>15208958</v>
      </c>
      <c r="L1749" s="33">
        <v>3125000</v>
      </c>
      <c r="M1749" s="34">
        <v>4.8668665600000001</v>
      </c>
      <c r="N1749" s="209" t="str">
        <f>IFERROR(VLOOKUP(F1749,Back!C:F,4,0),"NO")</f>
        <v>Si</v>
      </c>
      <c r="O1749" s="26">
        <v>24</v>
      </c>
      <c r="P1749" s="28" t="str">
        <f>IFERROR(VLOOKUP(F1749,Back!C:E,3,0),"")</f>
        <v>IPS Punto de Vista Mayorca</v>
      </c>
      <c r="Q1749" s="28" t="str">
        <f>IFERROR(VLOOKUP(P1749,Back!M:N,2,0),"")</f>
        <v>Antioquia</v>
      </c>
      <c r="R1749" s="27" t="str">
        <f>IF(N1749="Si",IFERROR(VLOOKUP(F1749,'TD Cumpl'!B:AB,27,0),"No Aplica"),"No Aplica")</f>
        <v>Cumple</v>
      </c>
      <c r="S1749" s="38">
        <v>21</v>
      </c>
      <c r="T1749" s="46">
        <v>3173717</v>
      </c>
      <c r="U1749" s="38">
        <v>94</v>
      </c>
      <c r="V1749" s="46">
        <v>11484195</v>
      </c>
      <c r="W1749" s="38">
        <v>21</v>
      </c>
      <c r="X1749" s="46">
        <v>1283731</v>
      </c>
      <c r="Y1749" s="46">
        <f t="shared" si="56"/>
        <v>551046</v>
      </c>
      <c r="Z1749" s="19" t="s">
        <v>318</v>
      </c>
    </row>
    <row r="1750" spans="1:26" x14ac:dyDescent="0.25">
      <c r="A1750" s="20">
        <f>+VLOOKUP(D1750,Back!Q:R,2,0)</f>
        <v>11</v>
      </c>
      <c r="B1750" s="20" t="str">
        <f t="shared" si="55"/>
        <v>2018 NOV</v>
      </c>
      <c r="C1750" s="30">
        <v>2018</v>
      </c>
      <c r="D1750" s="30" t="s">
        <v>175</v>
      </c>
      <c r="E1750" s="30" t="s">
        <v>299</v>
      </c>
      <c r="F1750" s="30">
        <v>1232400088</v>
      </c>
      <c r="G1750" s="30" t="s">
        <v>304</v>
      </c>
      <c r="H1750" s="32">
        <v>21555813</v>
      </c>
      <c r="I1750" s="32">
        <v>221100</v>
      </c>
      <c r="J1750" s="32">
        <v>5464663</v>
      </c>
      <c r="K1750" s="33">
        <v>15870050</v>
      </c>
      <c r="L1750" s="33">
        <v>15000000</v>
      </c>
      <c r="M1750" s="34">
        <v>1.0580033333333334</v>
      </c>
      <c r="N1750" s="209" t="str">
        <f>IFERROR(VLOOKUP(F1750,Back!C:F,4,0),"NO")</f>
        <v>Si</v>
      </c>
      <c r="O1750" s="26">
        <v>24</v>
      </c>
      <c r="P1750" s="28" t="str">
        <f>IFERROR(VLOOKUP(F1750,Back!C:E,3,0),"")</f>
        <v>IPS Punto de Vista Mayorca</v>
      </c>
      <c r="Q1750" s="28" t="str">
        <f>IFERROR(VLOOKUP(P1750,Back!M:N,2,0),"")</f>
        <v>Antioquia</v>
      </c>
      <c r="R1750" s="27" t="str">
        <f>IF(N1750="Si",IFERROR(VLOOKUP(F1750,'TD Cumpl'!B:AB,27,0),"No Aplica"),"No Aplica")</f>
        <v>Fluctúa</v>
      </c>
      <c r="S1750" s="38">
        <v>43</v>
      </c>
      <c r="T1750" s="46">
        <v>3111739</v>
      </c>
      <c r="U1750" s="38">
        <v>96</v>
      </c>
      <c r="V1750" s="46">
        <v>11103458</v>
      </c>
      <c r="W1750" s="38">
        <v>53</v>
      </c>
      <c r="X1750" s="46">
        <v>5464663</v>
      </c>
      <c r="Y1750" s="46">
        <f t="shared" si="56"/>
        <v>1875953</v>
      </c>
      <c r="Z1750" s="19" t="s">
        <v>318</v>
      </c>
    </row>
    <row r="1751" spans="1:26" x14ac:dyDescent="0.25">
      <c r="A1751" s="20">
        <f>+VLOOKUP(D1751,Back!Q:R,2,0)</f>
        <v>11</v>
      </c>
      <c r="B1751" s="20" t="str">
        <f t="shared" si="55"/>
        <v>2018 NOV</v>
      </c>
      <c r="C1751" s="30">
        <v>2018</v>
      </c>
      <c r="D1751" s="30" t="s">
        <v>175</v>
      </c>
      <c r="E1751" s="30" t="s">
        <v>276</v>
      </c>
      <c r="F1751" s="30">
        <v>1035224144</v>
      </c>
      <c r="G1751" s="30" t="s">
        <v>286</v>
      </c>
      <c r="H1751" s="32">
        <v>44096230</v>
      </c>
      <c r="I1751" s="32">
        <v>0</v>
      </c>
      <c r="J1751" s="32">
        <v>9605069</v>
      </c>
      <c r="K1751" s="33">
        <v>34491161</v>
      </c>
      <c r="L1751" s="33">
        <v>15000000</v>
      </c>
      <c r="M1751" s="34">
        <v>2.2994107333333331</v>
      </c>
      <c r="N1751" s="209" t="str">
        <f>IFERROR(VLOOKUP(F1751,Back!C:F,4,0),"NO")</f>
        <v>Si</v>
      </c>
      <c r="O1751" s="26">
        <v>24</v>
      </c>
      <c r="P1751" s="28" t="str">
        <f>IFERROR(VLOOKUP(F1751,Back!C:E,3,0),"")</f>
        <v>IPS Punto de Vista Mayorca</v>
      </c>
      <c r="Q1751" s="28" t="str">
        <f>IFERROR(VLOOKUP(P1751,Back!M:N,2,0),"")</f>
        <v>Antioquia</v>
      </c>
      <c r="R1751" s="27" t="str">
        <f>IF(N1751="Si",IFERROR(VLOOKUP(F1751,'TD Cumpl'!B:AB,27,0),"No Aplica"),"No Aplica")</f>
        <v>Cumple</v>
      </c>
      <c r="S1751" s="38">
        <v>84</v>
      </c>
      <c r="T1751" s="46">
        <v>8168133</v>
      </c>
      <c r="U1751" s="38">
        <v>194</v>
      </c>
      <c r="V1751" s="46">
        <v>22968378</v>
      </c>
      <c r="W1751" s="38">
        <v>103</v>
      </c>
      <c r="X1751" s="46">
        <v>9605069</v>
      </c>
      <c r="Y1751" s="46">
        <f t="shared" si="56"/>
        <v>3354650</v>
      </c>
      <c r="Z1751" s="19" t="s">
        <v>318</v>
      </c>
    </row>
    <row r="1752" spans="1:26" x14ac:dyDescent="0.25">
      <c r="A1752" s="20">
        <f>+VLOOKUP(D1752,Back!Q:R,2,0)</f>
        <v>11</v>
      </c>
      <c r="B1752" s="20" t="str">
        <f t="shared" si="55"/>
        <v>2018 NOV</v>
      </c>
      <c r="C1752" s="30">
        <v>2018</v>
      </c>
      <c r="D1752" s="30" t="s">
        <v>175</v>
      </c>
      <c r="E1752" s="30" t="s">
        <v>83</v>
      </c>
      <c r="F1752" s="30"/>
      <c r="G1752" s="30"/>
      <c r="H1752" s="32">
        <v>73601</v>
      </c>
      <c r="I1752" s="32">
        <v>0</v>
      </c>
      <c r="J1752" s="32">
        <v>73601</v>
      </c>
      <c r="K1752" s="33">
        <v>0</v>
      </c>
      <c r="L1752" s="33"/>
      <c r="M1752" s="34"/>
      <c r="N1752" s="209" t="str">
        <f>IFERROR(VLOOKUP(F1752,Back!C:F,4,0),"NO")</f>
        <v>NO</v>
      </c>
      <c r="O1752" s="26">
        <v>24</v>
      </c>
      <c r="P1752" s="28" t="str">
        <f>IFERROR(VLOOKUP(F1752,Back!C:E,3,0),"")</f>
        <v/>
      </c>
      <c r="Q1752" s="28" t="str">
        <f>IFERROR(VLOOKUP(P1752,Back!M:N,2,0),"")</f>
        <v/>
      </c>
      <c r="R1752" s="27" t="str">
        <f>IF(N1752="Si",IFERROR(VLOOKUP(F1752,'TD Cumpl'!B:AB,27,0),"No Aplica"),"No Aplica")</f>
        <v>No Aplica</v>
      </c>
      <c r="S1752" s="38">
        <v>0</v>
      </c>
      <c r="T1752" s="46">
        <v>0</v>
      </c>
      <c r="U1752" s="38">
        <v>0</v>
      </c>
      <c r="V1752" s="46">
        <v>0</v>
      </c>
      <c r="W1752" s="38">
        <v>1</v>
      </c>
      <c r="X1752" s="46">
        <v>73601</v>
      </c>
      <c r="Y1752" s="46">
        <f t="shared" si="56"/>
        <v>0</v>
      </c>
    </row>
    <row r="1753" spans="1:26" x14ac:dyDescent="0.25">
      <c r="A1753" s="20">
        <f>+VLOOKUP(D1753,Back!Q:R,2,0)</f>
        <v>11</v>
      </c>
      <c r="B1753" s="20" t="str">
        <f t="shared" si="55"/>
        <v>2018 NOV</v>
      </c>
      <c r="C1753" s="30">
        <v>2018</v>
      </c>
      <c r="D1753" s="30" t="s">
        <v>175</v>
      </c>
      <c r="E1753" s="30" t="s">
        <v>119</v>
      </c>
      <c r="F1753" s="30"/>
      <c r="G1753" s="30"/>
      <c r="H1753" s="32">
        <v>727321</v>
      </c>
      <c r="I1753" s="32">
        <v>0</v>
      </c>
      <c r="J1753" s="32">
        <v>868878</v>
      </c>
      <c r="K1753" s="33">
        <v>-141557</v>
      </c>
      <c r="L1753" s="33"/>
      <c r="M1753" s="34"/>
      <c r="N1753" s="209" t="str">
        <f>IFERROR(VLOOKUP(F1753,Back!C:F,4,0),"NO")</f>
        <v>NO</v>
      </c>
      <c r="O1753" s="26">
        <v>24</v>
      </c>
      <c r="P1753" s="28" t="str">
        <f>IFERROR(VLOOKUP(F1753,Back!C:E,3,0),"")</f>
        <v/>
      </c>
      <c r="Q1753" s="28" t="str">
        <f>IFERROR(VLOOKUP(P1753,Back!M:N,2,0),"")</f>
        <v/>
      </c>
      <c r="R1753" s="27" t="str">
        <f>IF(N1753="Si",IFERROR(VLOOKUP(F1753,'TD Cumpl'!B:AB,27,0),"No Aplica"),"No Aplica")</f>
        <v>No Aplica</v>
      </c>
      <c r="S1753" s="38">
        <v>0</v>
      </c>
      <c r="T1753" s="46">
        <v>0</v>
      </c>
      <c r="U1753" s="38">
        <v>2</v>
      </c>
      <c r="V1753" s="46">
        <v>-141557</v>
      </c>
      <c r="W1753" s="38">
        <v>12</v>
      </c>
      <c r="X1753" s="46">
        <v>868878</v>
      </c>
      <c r="Y1753" s="46">
        <f t="shared" si="56"/>
        <v>0</v>
      </c>
    </row>
    <row r="1754" spans="1:26" x14ac:dyDescent="0.25">
      <c r="A1754" s="20">
        <f>+VLOOKUP(D1754,Back!Q:R,2,0)</f>
        <v>11</v>
      </c>
      <c r="B1754" s="20" t="str">
        <f t="shared" si="55"/>
        <v>2018 NOV</v>
      </c>
      <c r="C1754" s="30">
        <v>2018</v>
      </c>
      <c r="D1754" s="30" t="s">
        <v>175</v>
      </c>
      <c r="E1754" s="30" t="s">
        <v>92</v>
      </c>
      <c r="F1754" s="30"/>
      <c r="G1754" s="30"/>
      <c r="H1754" s="32">
        <v>468000</v>
      </c>
      <c r="I1754" s="32">
        <v>0</v>
      </c>
      <c r="J1754" s="32">
        <v>0</v>
      </c>
      <c r="K1754" s="33">
        <v>468000</v>
      </c>
      <c r="L1754" s="33"/>
      <c r="M1754" s="34"/>
      <c r="N1754" s="209" t="str">
        <f>IFERROR(VLOOKUP(F1754,Back!C:F,4,0),"NO")</f>
        <v>NO</v>
      </c>
      <c r="O1754" s="26">
        <v>24</v>
      </c>
      <c r="P1754" s="28" t="str">
        <f>IFERROR(VLOOKUP(F1754,Back!C:E,3,0),"")</f>
        <v/>
      </c>
      <c r="Q1754" s="28" t="str">
        <f>IFERROR(VLOOKUP(P1754,Back!M:N,2,0),"")</f>
        <v/>
      </c>
      <c r="R1754" s="27" t="str">
        <f>IF(N1754="Si",IFERROR(VLOOKUP(F1754,'TD Cumpl'!B:AB,27,0),"No Aplica"),"No Aplica")</f>
        <v>No Aplica</v>
      </c>
      <c r="S1754" s="38">
        <v>0</v>
      </c>
      <c r="T1754" s="46">
        <v>0</v>
      </c>
      <c r="U1754" s="38">
        <v>0</v>
      </c>
      <c r="V1754" s="46">
        <v>0</v>
      </c>
      <c r="W1754" s="38">
        <v>0</v>
      </c>
      <c r="X1754" s="46">
        <v>0</v>
      </c>
      <c r="Y1754" s="46">
        <f t="shared" si="56"/>
        <v>468000</v>
      </c>
    </row>
    <row r="1755" spans="1:26" x14ac:dyDescent="0.25">
      <c r="A1755" s="20">
        <f>+VLOOKUP(D1755,Back!Q:R,2,0)</f>
        <v>11</v>
      </c>
      <c r="B1755" s="20" t="str">
        <f t="shared" si="55"/>
        <v>2018 NOV</v>
      </c>
      <c r="C1755" s="30">
        <v>2018</v>
      </c>
      <c r="D1755" s="30" t="s">
        <v>175</v>
      </c>
      <c r="E1755" s="30" t="s">
        <v>111</v>
      </c>
      <c r="F1755" s="30"/>
      <c r="G1755" s="30"/>
      <c r="H1755" s="32">
        <v>361200</v>
      </c>
      <c r="I1755" s="32">
        <v>0</v>
      </c>
      <c r="J1755" s="32">
        <v>361200</v>
      </c>
      <c r="K1755" s="33">
        <v>0</v>
      </c>
      <c r="L1755" s="33"/>
      <c r="M1755" s="34"/>
      <c r="N1755" s="209" t="str">
        <f>IFERROR(VLOOKUP(F1755,Back!C:F,4,0),"NO")</f>
        <v>NO</v>
      </c>
      <c r="O1755" s="26">
        <v>24</v>
      </c>
      <c r="P1755" s="28" t="str">
        <f>IFERROR(VLOOKUP(F1755,Back!C:E,3,0),"")</f>
        <v/>
      </c>
      <c r="Q1755" s="28" t="str">
        <f>IFERROR(VLOOKUP(P1755,Back!M:N,2,0),"")</f>
        <v/>
      </c>
      <c r="R1755" s="27" t="str">
        <f>IF(N1755="Si",IFERROR(VLOOKUP(F1755,'TD Cumpl'!B:AB,27,0),"No Aplica"),"No Aplica")</f>
        <v>No Aplica</v>
      </c>
      <c r="S1755" s="38">
        <v>0</v>
      </c>
      <c r="T1755" s="46">
        <v>0</v>
      </c>
      <c r="U1755" s="38">
        <v>0</v>
      </c>
      <c r="V1755" s="46">
        <v>0</v>
      </c>
      <c r="W1755" s="38">
        <v>0</v>
      </c>
      <c r="X1755" s="46">
        <v>0</v>
      </c>
      <c r="Y1755" s="46">
        <f t="shared" si="56"/>
        <v>361200</v>
      </c>
    </row>
    <row r="1756" spans="1:26" x14ac:dyDescent="0.25">
      <c r="A1756" s="20">
        <f>+VLOOKUP(D1756,Back!Q:R,2,0)</f>
        <v>11</v>
      </c>
      <c r="B1756" s="20" t="str">
        <f t="shared" si="55"/>
        <v>2018 NOV</v>
      </c>
      <c r="C1756" s="30">
        <v>2018</v>
      </c>
      <c r="D1756" s="30" t="s">
        <v>175</v>
      </c>
      <c r="E1756" s="30" t="s">
        <v>91</v>
      </c>
      <c r="F1756" s="30"/>
      <c r="G1756" s="30"/>
      <c r="H1756" s="32">
        <v>217091</v>
      </c>
      <c r="I1756" s="32">
        <v>0</v>
      </c>
      <c r="J1756" s="32">
        <v>0</v>
      </c>
      <c r="K1756" s="33">
        <v>217091</v>
      </c>
      <c r="L1756" s="33"/>
      <c r="M1756" s="34"/>
      <c r="N1756" s="209" t="str">
        <f>IFERROR(VLOOKUP(F1756,Back!C:F,4,0),"NO")</f>
        <v>NO</v>
      </c>
      <c r="O1756" s="26">
        <v>24</v>
      </c>
      <c r="P1756" s="28" t="str">
        <f>IFERROR(VLOOKUP(F1756,Back!C:E,3,0),"")</f>
        <v/>
      </c>
      <c r="Q1756" s="28" t="str">
        <f>IFERROR(VLOOKUP(P1756,Back!M:N,2,0),"")</f>
        <v/>
      </c>
      <c r="R1756" s="27" t="str">
        <f>IF(N1756="Si",IFERROR(VLOOKUP(F1756,'TD Cumpl'!B:AB,27,0),"No Aplica"),"No Aplica")</f>
        <v>No Aplica</v>
      </c>
      <c r="S1756" s="38">
        <v>1</v>
      </c>
      <c r="T1756" s="46">
        <v>85714</v>
      </c>
      <c r="U1756" s="38">
        <v>2</v>
      </c>
      <c r="V1756" s="46">
        <v>131377</v>
      </c>
      <c r="W1756" s="38">
        <v>0</v>
      </c>
      <c r="X1756" s="46">
        <v>0</v>
      </c>
      <c r="Y1756" s="46">
        <f t="shared" si="56"/>
        <v>0</v>
      </c>
    </row>
    <row r="1757" spans="1:26" x14ac:dyDescent="0.25">
      <c r="A1757" s="20">
        <f>+VLOOKUP(D1757,Back!Q:R,2,0)</f>
        <v>11</v>
      </c>
      <c r="B1757" s="20" t="str">
        <f t="shared" si="55"/>
        <v>2018 NOV</v>
      </c>
      <c r="C1757" s="30">
        <v>2018</v>
      </c>
      <c r="D1757" s="30" t="s">
        <v>175</v>
      </c>
      <c r="E1757" s="30" t="s">
        <v>305</v>
      </c>
      <c r="F1757" s="30"/>
      <c r="G1757" s="30"/>
      <c r="H1757" s="32">
        <v>190600</v>
      </c>
      <c r="I1757" s="32">
        <v>0</v>
      </c>
      <c r="J1757" s="32">
        <v>190600</v>
      </c>
      <c r="K1757" s="33">
        <v>0</v>
      </c>
      <c r="L1757" s="33"/>
      <c r="M1757" s="34"/>
      <c r="N1757" s="209" t="str">
        <f>IFERROR(VLOOKUP(F1757,Back!C:F,4,0),"NO")</f>
        <v>NO</v>
      </c>
      <c r="O1757" s="26">
        <v>24</v>
      </c>
      <c r="P1757" s="28" t="str">
        <f>IFERROR(VLOOKUP(F1757,Back!C:E,3,0),"")</f>
        <v/>
      </c>
      <c r="Q1757" s="28" t="str">
        <f>IFERROR(VLOOKUP(P1757,Back!M:N,2,0),"")</f>
        <v/>
      </c>
      <c r="R1757" s="27" t="str">
        <f>IF(N1757="Si",IFERROR(VLOOKUP(F1757,'TD Cumpl'!B:AB,27,0),"No Aplica"),"No Aplica")</f>
        <v>No Aplica</v>
      </c>
      <c r="S1757" s="38">
        <v>0</v>
      </c>
      <c r="T1757" s="46">
        <v>0</v>
      </c>
      <c r="U1757" s="38">
        <v>0</v>
      </c>
      <c r="V1757" s="46">
        <v>0</v>
      </c>
      <c r="W1757" s="38">
        <v>0</v>
      </c>
      <c r="X1757" s="46">
        <v>0</v>
      </c>
      <c r="Y1757" s="46">
        <f t="shared" si="56"/>
        <v>190600</v>
      </c>
    </row>
    <row r="1758" spans="1:26" x14ac:dyDescent="0.25">
      <c r="A1758" s="20">
        <f>+VLOOKUP(D1758,Back!Q:R,2,0)</f>
        <v>11</v>
      </c>
      <c r="B1758" s="20" t="str">
        <f t="shared" si="55"/>
        <v>2018 NOV</v>
      </c>
      <c r="C1758" s="30">
        <v>2018</v>
      </c>
      <c r="D1758" s="30" t="s">
        <v>175</v>
      </c>
      <c r="E1758" s="30" t="s">
        <v>151</v>
      </c>
      <c r="F1758" s="30"/>
      <c r="G1758" s="30"/>
      <c r="H1758" s="32">
        <v>207600</v>
      </c>
      <c r="I1758" s="32">
        <v>0</v>
      </c>
      <c r="J1758" s="32">
        <v>207600</v>
      </c>
      <c r="K1758" s="33">
        <v>0</v>
      </c>
      <c r="L1758" s="33"/>
      <c r="M1758" s="34"/>
      <c r="N1758" s="209" t="str">
        <f>IFERROR(VLOOKUP(F1758,Back!C:F,4,0),"NO")</f>
        <v>NO</v>
      </c>
      <c r="O1758" s="26">
        <v>24</v>
      </c>
      <c r="P1758" s="28" t="str">
        <f>IFERROR(VLOOKUP(F1758,Back!C:E,3,0),"")</f>
        <v/>
      </c>
      <c r="Q1758" s="28" t="str">
        <f>IFERROR(VLOOKUP(P1758,Back!M:N,2,0),"")</f>
        <v/>
      </c>
      <c r="R1758" s="27" t="str">
        <f>IF(N1758="Si",IFERROR(VLOOKUP(F1758,'TD Cumpl'!B:AB,27,0),"No Aplica"),"No Aplica")</f>
        <v>No Aplica</v>
      </c>
      <c r="S1758" s="38">
        <v>0</v>
      </c>
      <c r="T1758" s="46">
        <v>0</v>
      </c>
      <c r="U1758" s="38">
        <v>0</v>
      </c>
      <c r="V1758" s="46">
        <v>0</v>
      </c>
      <c r="W1758" s="38">
        <v>0</v>
      </c>
      <c r="X1758" s="46">
        <v>0</v>
      </c>
      <c r="Y1758" s="46">
        <f t="shared" si="56"/>
        <v>207600</v>
      </c>
    </row>
    <row r="1759" spans="1:26" x14ac:dyDescent="0.25">
      <c r="A1759" s="20">
        <f>+VLOOKUP(D1759,Back!Q:R,2,0)</f>
        <v>11</v>
      </c>
      <c r="B1759" s="20" t="str">
        <f t="shared" si="55"/>
        <v>2018 NOV</v>
      </c>
      <c r="C1759" s="30">
        <v>2018</v>
      </c>
      <c r="D1759" s="30" t="s">
        <v>175</v>
      </c>
      <c r="E1759" s="30" t="s">
        <v>189</v>
      </c>
      <c r="F1759" s="30"/>
      <c r="G1759" s="30"/>
      <c r="H1759" s="32">
        <v>109600</v>
      </c>
      <c r="I1759" s="32">
        <v>0</v>
      </c>
      <c r="J1759" s="32">
        <v>109600</v>
      </c>
      <c r="K1759" s="33">
        <v>0</v>
      </c>
      <c r="L1759" s="33"/>
      <c r="M1759" s="34"/>
      <c r="N1759" s="209" t="str">
        <f>IFERROR(VLOOKUP(F1759,Back!C:F,4,0),"NO")</f>
        <v>NO</v>
      </c>
      <c r="O1759" s="26">
        <v>24</v>
      </c>
      <c r="P1759" s="28" t="str">
        <f>IFERROR(VLOOKUP(F1759,Back!C:E,3,0),"")</f>
        <v/>
      </c>
      <c r="Q1759" s="28" t="str">
        <f>IFERROR(VLOOKUP(P1759,Back!M:N,2,0),"")</f>
        <v/>
      </c>
      <c r="R1759" s="27" t="str">
        <f>IF(N1759="Si",IFERROR(VLOOKUP(F1759,'TD Cumpl'!B:AB,27,0),"No Aplica"),"No Aplica")</f>
        <v>No Aplica</v>
      </c>
      <c r="S1759" s="38">
        <v>0</v>
      </c>
      <c r="T1759" s="46">
        <v>0</v>
      </c>
      <c r="U1759" s="38">
        <v>0</v>
      </c>
      <c r="V1759" s="46">
        <v>0</v>
      </c>
      <c r="W1759" s="38">
        <v>0</v>
      </c>
      <c r="X1759" s="46">
        <v>0</v>
      </c>
      <c r="Y1759" s="46">
        <f t="shared" si="56"/>
        <v>109600</v>
      </c>
    </row>
    <row r="1760" spans="1:26" x14ac:dyDescent="0.25">
      <c r="A1760" s="20">
        <f>+VLOOKUP(D1760,Back!Q:R,2,0)</f>
        <v>11</v>
      </c>
      <c r="B1760" s="20" t="str">
        <f t="shared" si="55"/>
        <v>2018 NOV</v>
      </c>
      <c r="C1760" s="30">
        <v>2018</v>
      </c>
      <c r="D1760" s="30" t="s">
        <v>175</v>
      </c>
      <c r="E1760" s="30" t="s">
        <v>294</v>
      </c>
      <c r="F1760" s="30"/>
      <c r="G1760" s="30"/>
      <c r="H1760" s="32">
        <v>109600</v>
      </c>
      <c r="I1760" s="32">
        <v>0</v>
      </c>
      <c r="J1760" s="32">
        <v>109600</v>
      </c>
      <c r="K1760" s="33">
        <v>0</v>
      </c>
      <c r="L1760" s="33"/>
      <c r="M1760" s="34"/>
      <c r="N1760" s="209" t="str">
        <f>IFERROR(VLOOKUP(F1760,Back!C:F,4,0),"NO")</f>
        <v>NO</v>
      </c>
      <c r="O1760" s="26">
        <v>24</v>
      </c>
      <c r="P1760" s="28" t="str">
        <f>IFERROR(VLOOKUP(F1760,Back!C:E,3,0),"")</f>
        <v/>
      </c>
      <c r="Q1760" s="28" t="str">
        <f>IFERROR(VLOOKUP(P1760,Back!M:N,2,0),"")</f>
        <v/>
      </c>
      <c r="R1760" s="27" t="str">
        <f>IF(N1760="Si",IFERROR(VLOOKUP(F1760,'TD Cumpl'!B:AB,27,0),"No Aplica"),"No Aplica")</f>
        <v>No Aplica</v>
      </c>
      <c r="S1760" s="38">
        <v>0</v>
      </c>
      <c r="T1760" s="46">
        <v>0</v>
      </c>
      <c r="U1760" s="38">
        <v>0</v>
      </c>
      <c r="V1760" s="46">
        <v>0</v>
      </c>
      <c r="W1760" s="38">
        <v>0</v>
      </c>
      <c r="X1760" s="46">
        <v>0</v>
      </c>
      <c r="Y1760" s="46">
        <f t="shared" si="56"/>
        <v>109600</v>
      </c>
    </row>
    <row r="1761" spans="1:26" x14ac:dyDescent="0.25">
      <c r="A1761" s="20">
        <f>+VLOOKUP(D1761,Back!Q:R,2,0)</f>
        <v>11</v>
      </c>
      <c r="B1761" s="20" t="str">
        <f t="shared" si="55"/>
        <v>2018 NOV</v>
      </c>
      <c r="C1761" s="30">
        <v>2018</v>
      </c>
      <c r="D1761" s="30" t="s">
        <v>175</v>
      </c>
      <c r="E1761" s="30" t="s">
        <v>306</v>
      </c>
      <c r="F1761" s="30"/>
      <c r="G1761" s="30"/>
      <c r="H1761" s="32">
        <v>205225</v>
      </c>
      <c r="I1761" s="32">
        <v>0</v>
      </c>
      <c r="J1761" s="32">
        <v>205225</v>
      </c>
      <c r="K1761" s="33">
        <v>0</v>
      </c>
      <c r="L1761" s="33"/>
      <c r="M1761" s="34"/>
      <c r="N1761" s="209" t="str">
        <f>IFERROR(VLOOKUP(F1761,Back!C:F,4,0),"NO")</f>
        <v>NO</v>
      </c>
      <c r="O1761" s="26">
        <v>24</v>
      </c>
      <c r="P1761" s="28" t="str">
        <f>IFERROR(VLOOKUP(F1761,Back!C:E,3,0),"")</f>
        <v/>
      </c>
      <c r="Q1761" s="28" t="str">
        <f>IFERROR(VLOOKUP(P1761,Back!M:N,2,0),"")</f>
        <v/>
      </c>
      <c r="R1761" s="27" t="str">
        <f>IF(N1761="Si",IFERROR(VLOOKUP(F1761,'TD Cumpl'!B:AB,27,0),"No Aplica"),"No Aplica")</f>
        <v>No Aplica</v>
      </c>
      <c r="S1761" s="38">
        <v>0</v>
      </c>
      <c r="T1761" s="46">
        <v>0</v>
      </c>
      <c r="U1761" s="38">
        <v>0</v>
      </c>
      <c r="V1761" s="46">
        <v>0</v>
      </c>
      <c r="W1761" s="38">
        <v>3</v>
      </c>
      <c r="X1761" s="46">
        <v>205225</v>
      </c>
      <c r="Y1761" s="46">
        <f t="shared" si="56"/>
        <v>0</v>
      </c>
    </row>
    <row r="1762" spans="1:26" x14ac:dyDescent="0.25">
      <c r="A1762" s="20">
        <f>+VLOOKUP(D1762,Back!Q:R,2,0)</f>
        <v>11</v>
      </c>
      <c r="B1762" s="20" t="str">
        <f t="shared" si="55"/>
        <v>2018 NOV</v>
      </c>
      <c r="C1762" s="30">
        <v>2018</v>
      </c>
      <c r="D1762" s="30" t="s">
        <v>175</v>
      </c>
      <c r="E1762" s="30" t="s">
        <v>237</v>
      </c>
      <c r="F1762" s="30"/>
      <c r="G1762" s="30"/>
      <c r="H1762" s="32">
        <v>4424036</v>
      </c>
      <c r="I1762" s="32">
        <v>0</v>
      </c>
      <c r="J1762" s="32">
        <v>2631356</v>
      </c>
      <c r="K1762" s="33">
        <v>1792680</v>
      </c>
      <c r="L1762" s="33"/>
      <c r="M1762" s="34"/>
      <c r="N1762" s="209" t="str">
        <f>IFERROR(VLOOKUP(F1762,Back!C:F,4,0),"NO")</f>
        <v>NO</v>
      </c>
      <c r="O1762" s="26">
        <v>24</v>
      </c>
      <c r="P1762" s="28" t="str">
        <f>IFERROR(VLOOKUP(F1762,Back!C:E,3,0),"")</f>
        <v/>
      </c>
      <c r="Q1762" s="28" t="str">
        <f>IFERROR(VLOOKUP(P1762,Back!M:N,2,0),"")</f>
        <v/>
      </c>
      <c r="R1762" s="27" t="str">
        <f>IF(N1762="Si",IFERROR(VLOOKUP(F1762,'TD Cumpl'!B:AB,27,0),"No Aplica"),"No Aplica")</f>
        <v>No Aplica</v>
      </c>
      <c r="S1762" s="38">
        <v>3</v>
      </c>
      <c r="T1762" s="46">
        <v>400790</v>
      </c>
      <c r="U1762" s="38">
        <v>12</v>
      </c>
      <c r="V1762" s="46">
        <v>1247286</v>
      </c>
      <c r="W1762" s="38">
        <v>28</v>
      </c>
      <c r="X1762" s="46">
        <v>2631356</v>
      </c>
      <c r="Y1762" s="46">
        <f t="shared" si="56"/>
        <v>144604</v>
      </c>
    </row>
    <row r="1763" spans="1:26" x14ac:dyDescent="0.25">
      <c r="A1763" s="20">
        <f>+VLOOKUP(D1763,Back!Q:R,2,0)</f>
        <v>11</v>
      </c>
      <c r="B1763" s="20" t="str">
        <f t="shared" si="55"/>
        <v>2018 NOV</v>
      </c>
      <c r="C1763" s="30">
        <v>2018</v>
      </c>
      <c r="D1763" s="30" t="s">
        <v>175</v>
      </c>
      <c r="E1763" s="30" t="s">
        <v>298</v>
      </c>
      <c r="F1763" s="30"/>
      <c r="G1763" s="30"/>
      <c r="H1763" s="32">
        <v>6128887</v>
      </c>
      <c r="I1763" s="32">
        <v>0</v>
      </c>
      <c r="J1763" s="32">
        <v>0</v>
      </c>
      <c r="K1763" s="33">
        <v>6128887</v>
      </c>
      <c r="L1763" s="33"/>
      <c r="M1763" s="34"/>
      <c r="N1763" s="209" t="str">
        <f>IFERROR(VLOOKUP(F1763,Back!C:F,4,0),"NO")</f>
        <v>NO</v>
      </c>
      <c r="O1763" s="26">
        <v>24</v>
      </c>
      <c r="P1763" s="28" t="str">
        <f>IFERROR(VLOOKUP(F1763,Back!C:E,3,0),"")</f>
        <v/>
      </c>
      <c r="Q1763" s="28" t="str">
        <f>IFERROR(VLOOKUP(P1763,Back!M:N,2,0),"")</f>
        <v/>
      </c>
      <c r="R1763" s="27" t="str">
        <f>IF(N1763="Si",IFERROR(VLOOKUP(F1763,'TD Cumpl'!B:AB,27,0),"No Aplica"),"No Aplica")</f>
        <v>No Aplica</v>
      </c>
      <c r="S1763" s="38">
        <v>10</v>
      </c>
      <c r="T1763" s="46">
        <v>1494606</v>
      </c>
      <c r="U1763" s="38">
        <v>38</v>
      </c>
      <c r="V1763" s="46">
        <v>3856276</v>
      </c>
      <c r="W1763" s="38">
        <v>0</v>
      </c>
      <c r="X1763" s="46">
        <v>0</v>
      </c>
      <c r="Y1763" s="46">
        <f t="shared" si="56"/>
        <v>778005</v>
      </c>
    </row>
    <row r="1764" spans="1:26" x14ac:dyDescent="0.25">
      <c r="A1764" s="20">
        <f>+VLOOKUP(D1764,Back!Q:R,2,0)</f>
        <v>11</v>
      </c>
      <c r="B1764" s="20" t="str">
        <f t="shared" si="55"/>
        <v>2018 NOV</v>
      </c>
      <c r="C1764" s="30">
        <v>2018</v>
      </c>
      <c r="D1764" s="30" t="s">
        <v>175</v>
      </c>
      <c r="E1764" s="30" t="s">
        <v>307</v>
      </c>
      <c r="F1764" s="30"/>
      <c r="G1764" s="30"/>
      <c r="H1764" s="32">
        <v>46283</v>
      </c>
      <c r="I1764" s="32">
        <v>0</v>
      </c>
      <c r="J1764" s="32">
        <v>46283</v>
      </c>
      <c r="K1764" s="33">
        <v>0</v>
      </c>
      <c r="L1764" s="33"/>
      <c r="M1764" s="34"/>
      <c r="N1764" s="209" t="str">
        <f>IFERROR(VLOOKUP(F1764,Back!C:F,4,0),"NO")</f>
        <v>NO</v>
      </c>
      <c r="O1764" s="26">
        <v>24</v>
      </c>
      <c r="P1764" s="28" t="str">
        <f>IFERROR(VLOOKUP(F1764,Back!C:E,3,0),"")</f>
        <v/>
      </c>
      <c r="Q1764" s="28" t="str">
        <f>IFERROR(VLOOKUP(P1764,Back!M:N,2,0),"")</f>
        <v/>
      </c>
      <c r="R1764" s="27" t="str">
        <f>IF(N1764="Si",IFERROR(VLOOKUP(F1764,'TD Cumpl'!B:AB,27,0),"No Aplica"),"No Aplica")</f>
        <v>No Aplica</v>
      </c>
      <c r="S1764" s="38">
        <v>0</v>
      </c>
      <c r="T1764" s="46">
        <v>0</v>
      </c>
      <c r="U1764" s="38">
        <v>0</v>
      </c>
      <c r="V1764" s="46">
        <v>0</v>
      </c>
      <c r="W1764" s="38">
        <v>1</v>
      </c>
      <c r="X1764" s="46">
        <v>46283</v>
      </c>
      <c r="Y1764" s="46">
        <f t="shared" si="56"/>
        <v>0</v>
      </c>
    </row>
    <row r="1765" spans="1:26" x14ac:dyDescent="0.25">
      <c r="A1765" s="20">
        <f>+VLOOKUP(D1765,Back!Q:R,2,0)</f>
        <v>11</v>
      </c>
      <c r="B1765" s="20" t="str">
        <f t="shared" si="55"/>
        <v>2018 NOV</v>
      </c>
      <c r="C1765" s="30">
        <v>2018</v>
      </c>
      <c r="D1765" s="30" t="s">
        <v>175</v>
      </c>
      <c r="E1765" s="30" t="s">
        <v>87</v>
      </c>
      <c r="F1765" s="30"/>
      <c r="G1765" s="30"/>
      <c r="H1765" s="32">
        <v>-112659</v>
      </c>
      <c r="I1765" s="32">
        <v>0</v>
      </c>
      <c r="J1765" s="32">
        <v>0</v>
      </c>
      <c r="K1765" s="33">
        <v>-112659</v>
      </c>
      <c r="L1765" s="33"/>
      <c r="M1765" s="34"/>
      <c r="N1765" s="209" t="str">
        <f>IFERROR(VLOOKUP(F1765,Back!C:F,4,0),"NO")</f>
        <v>NO</v>
      </c>
      <c r="O1765" s="26">
        <v>24</v>
      </c>
      <c r="P1765" s="28" t="str">
        <f>IFERROR(VLOOKUP(F1765,Back!C:E,3,0),"")</f>
        <v/>
      </c>
      <c r="Q1765" s="28" t="str">
        <f>IFERROR(VLOOKUP(P1765,Back!M:N,2,0),"")</f>
        <v/>
      </c>
      <c r="R1765" s="27" t="str">
        <f>IF(N1765="Si",IFERROR(VLOOKUP(F1765,'TD Cumpl'!B:AB,27,0),"No Aplica"),"No Aplica")</f>
        <v>No Aplica</v>
      </c>
      <c r="S1765" s="38">
        <v>2</v>
      </c>
      <c r="T1765" s="46">
        <v>0</v>
      </c>
      <c r="U1765" s="38">
        <v>48</v>
      </c>
      <c r="V1765" s="46">
        <v>0</v>
      </c>
      <c r="W1765" s="38">
        <v>0</v>
      </c>
      <c r="X1765" s="46">
        <v>0</v>
      </c>
      <c r="Y1765" s="46">
        <f t="shared" si="56"/>
        <v>-112659</v>
      </c>
    </row>
    <row r="1766" spans="1:26" x14ac:dyDescent="0.25">
      <c r="A1766" s="20">
        <f>+VLOOKUP(D1766,Back!Q:R,2,0)</f>
        <v>12</v>
      </c>
      <c r="B1766" s="20" t="str">
        <f t="shared" si="55"/>
        <v>2018 DIC</v>
      </c>
      <c r="C1766" s="30">
        <v>2018</v>
      </c>
      <c r="D1766" s="30" t="s">
        <v>187</v>
      </c>
      <c r="E1766" s="30" t="s">
        <v>3</v>
      </c>
      <c r="F1766" s="30">
        <v>52725011</v>
      </c>
      <c r="G1766" s="30" t="s">
        <v>42</v>
      </c>
      <c r="H1766" s="32">
        <v>35530889</v>
      </c>
      <c r="I1766" s="32">
        <v>897300</v>
      </c>
      <c r="J1766" s="32">
        <v>6169064</v>
      </c>
      <c r="K1766" s="33">
        <v>28464525</v>
      </c>
      <c r="L1766" s="33">
        <v>23958341</v>
      </c>
      <c r="M1766" s="34">
        <v>1.1880841415522052</v>
      </c>
      <c r="N1766" s="209" t="str">
        <f>IFERROR(VLOOKUP(F1766,Back!C:F,4,0),"NO")</f>
        <v>Si</v>
      </c>
      <c r="O1766" s="26">
        <v>24</v>
      </c>
      <c r="P1766" s="28" t="str">
        <f>IFERROR(VLOOKUP(F1766,Back!C:E,3,0),"")</f>
        <v>IPS Pto De Vista Olaya</v>
      </c>
      <c r="Q1766" s="28" t="str">
        <f>IFERROR(VLOOKUP(P1766,Back!M:N,2,0),"")</f>
        <v>Centro</v>
      </c>
      <c r="R1766" s="27" t="str">
        <f>IF(N1766="Si",IFERROR(VLOOKUP(F1766,'TD Cumpl'!B:AB,27,0),"No Aplica"),"No Aplica")</f>
        <v>Fluctúa</v>
      </c>
      <c r="S1766" s="38">
        <v>77</v>
      </c>
      <c r="T1766" s="46">
        <v>5902124</v>
      </c>
      <c r="U1766" s="38">
        <v>204</v>
      </c>
      <c r="V1766" s="46">
        <v>21064495</v>
      </c>
      <c r="W1766" s="38">
        <v>84</v>
      </c>
      <c r="X1766" s="38">
        <v>6169064</v>
      </c>
      <c r="Y1766" s="46">
        <f t="shared" si="56"/>
        <v>2395206</v>
      </c>
      <c r="Z1766" s="19" t="s">
        <v>318</v>
      </c>
    </row>
    <row r="1767" spans="1:26" x14ac:dyDescent="0.25">
      <c r="A1767" s="20">
        <f>+VLOOKUP(D1767,Back!Q:R,2,0)</f>
        <v>12</v>
      </c>
      <c r="B1767" s="20" t="str">
        <f t="shared" si="55"/>
        <v>2018 DIC</v>
      </c>
      <c r="C1767" s="30">
        <v>2018</v>
      </c>
      <c r="D1767" s="30" t="s">
        <v>187</v>
      </c>
      <c r="E1767" s="30" t="s">
        <v>191</v>
      </c>
      <c r="F1767" s="30">
        <v>1010207310</v>
      </c>
      <c r="G1767" s="30" t="s">
        <v>253</v>
      </c>
      <c r="H1767" s="32">
        <v>33255365</v>
      </c>
      <c r="I1767" s="32">
        <v>0</v>
      </c>
      <c r="J1767" s="32">
        <v>5919364</v>
      </c>
      <c r="K1767" s="33">
        <v>27336001</v>
      </c>
      <c r="L1767" s="33">
        <v>23958341</v>
      </c>
      <c r="M1767" s="34">
        <v>1.1409805461905731</v>
      </c>
      <c r="N1767" s="209" t="str">
        <f>IFERROR(VLOOKUP(F1767,Back!C:F,4,0),"NO")</f>
        <v>Si</v>
      </c>
      <c r="O1767" s="26">
        <v>24</v>
      </c>
      <c r="P1767" s="28" t="str">
        <f>IFERROR(VLOOKUP(F1767,Back!C:E,3,0),"")</f>
        <v>IPS Pto De Vista Olaya</v>
      </c>
      <c r="Q1767" s="28" t="str">
        <f>IFERROR(VLOOKUP(P1767,Back!M:N,2,0),"")</f>
        <v>Centro</v>
      </c>
      <c r="R1767" s="27" t="str">
        <f>IF(N1767="Si",IFERROR(VLOOKUP(F1767,'TD Cumpl'!B:AB,27,0),"No Aplica"),"No Aplica")</f>
        <v>Cumple</v>
      </c>
      <c r="S1767" s="38">
        <v>67</v>
      </c>
      <c r="T1767" s="46">
        <v>5793435</v>
      </c>
      <c r="U1767" s="38">
        <v>184</v>
      </c>
      <c r="V1767" s="46">
        <v>19425783</v>
      </c>
      <c r="W1767" s="38">
        <v>74</v>
      </c>
      <c r="X1767" s="38">
        <v>5919364</v>
      </c>
      <c r="Y1767" s="46">
        <f t="shared" si="56"/>
        <v>2116783</v>
      </c>
      <c r="Z1767" s="19" t="s">
        <v>318</v>
      </c>
    </row>
    <row r="1768" spans="1:26" x14ac:dyDescent="0.25">
      <c r="A1768" s="20">
        <f>+VLOOKUP(D1768,Back!Q:R,2,0)</f>
        <v>12</v>
      </c>
      <c r="B1768" s="20" t="str">
        <f t="shared" si="55"/>
        <v>2018 DIC</v>
      </c>
      <c r="C1768" s="30">
        <v>2018</v>
      </c>
      <c r="D1768" s="30" t="s">
        <v>187</v>
      </c>
      <c r="E1768" s="30" t="s">
        <v>4</v>
      </c>
      <c r="F1768" s="30">
        <v>79701425</v>
      </c>
      <c r="G1768" s="30" t="s">
        <v>27</v>
      </c>
      <c r="H1768" s="32">
        <v>30997462</v>
      </c>
      <c r="I1768" s="32">
        <v>1400100</v>
      </c>
      <c r="J1768" s="32">
        <v>5598920</v>
      </c>
      <c r="K1768" s="33">
        <v>23998442</v>
      </c>
      <c r="L1768" s="33">
        <v>23958341</v>
      </c>
      <c r="M1768" s="34">
        <v>1.0016737803339555</v>
      </c>
      <c r="N1768" s="209" t="str">
        <f>IFERROR(VLOOKUP(F1768,Back!C:F,4,0),"NO")</f>
        <v>No</v>
      </c>
      <c r="O1768" s="26">
        <v>24</v>
      </c>
      <c r="P1768" s="28" t="str">
        <f>IFERROR(VLOOKUP(F1768,Back!C:E,3,0),"")</f>
        <v>IPS Pto De Vista Olaya</v>
      </c>
      <c r="Q1768" s="28" t="str">
        <f>IFERROR(VLOOKUP(P1768,Back!M:N,2,0),"")</f>
        <v>Centro</v>
      </c>
      <c r="R1768" s="27" t="str">
        <f>IF(N1768="Si",IFERROR(VLOOKUP(F1768,'TD Cumpl'!B:AB,27,0),"No Aplica"),"No Aplica")</f>
        <v>No Aplica</v>
      </c>
      <c r="S1768" s="38">
        <v>70</v>
      </c>
      <c r="T1768" s="46">
        <v>5180910</v>
      </c>
      <c r="U1768" s="38">
        <v>156</v>
      </c>
      <c r="V1768" s="46">
        <v>16453526</v>
      </c>
      <c r="W1768" s="38">
        <v>76</v>
      </c>
      <c r="X1768" s="38">
        <v>5466920</v>
      </c>
      <c r="Y1768" s="46">
        <f t="shared" si="56"/>
        <v>3896106</v>
      </c>
    </row>
    <row r="1769" spans="1:26" x14ac:dyDescent="0.25">
      <c r="A1769" s="20">
        <f>+VLOOKUP(D1769,Back!Q:R,2,0)</f>
        <v>12</v>
      </c>
      <c r="B1769" s="20" t="str">
        <f t="shared" si="55"/>
        <v>2018 DIC</v>
      </c>
      <c r="C1769" s="30">
        <v>2018</v>
      </c>
      <c r="D1769" s="30" t="s">
        <v>187</v>
      </c>
      <c r="E1769" s="30" t="s">
        <v>62</v>
      </c>
      <c r="F1769" s="30">
        <v>32256379</v>
      </c>
      <c r="G1769" s="30"/>
      <c r="H1769" s="32">
        <v>8603206</v>
      </c>
      <c r="I1769" s="32">
        <v>923100</v>
      </c>
      <c r="J1769" s="32">
        <v>234237</v>
      </c>
      <c r="K1769" s="33">
        <v>7445869</v>
      </c>
      <c r="L1769" s="33"/>
      <c r="M1769" s="34"/>
      <c r="N1769" s="209" t="str">
        <f>IFERROR(VLOOKUP(F1769,Back!C:F,4,0),"NO")</f>
        <v>Si</v>
      </c>
      <c r="O1769" s="26">
        <v>24</v>
      </c>
      <c r="P1769" s="28" t="str">
        <f>IFERROR(VLOOKUP(F1769,Back!C:E,3,0),"")</f>
        <v>Ferias Empresariales Antioquia</v>
      </c>
      <c r="Q1769" s="28" t="str">
        <f>IFERROR(VLOOKUP(P1769,Back!M:N,2,0),"")</f>
        <v>Antioquia</v>
      </c>
      <c r="R1769" s="27" t="str">
        <f>IF(N1769="Si",IFERROR(VLOOKUP(F1769,'TD Cumpl'!B:AB,27,0),"No Aplica"),"No Aplica")</f>
        <v>Fluctúa</v>
      </c>
      <c r="S1769" s="38">
        <v>15</v>
      </c>
      <c r="T1769" s="46">
        <v>1464396</v>
      </c>
      <c r="U1769" s="38">
        <v>28</v>
      </c>
      <c r="V1769" s="46">
        <v>4451876</v>
      </c>
      <c r="W1769" s="38">
        <v>3</v>
      </c>
      <c r="X1769" s="38">
        <v>234237</v>
      </c>
      <c r="Y1769" s="46">
        <f t="shared" si="56"/>
        <v>2452697</v>
      </c>
      <c r="Z1769" s="19" t="s">
        <v>318</v>
      </c>
    </row>
    <row r="1770" spans="1:26" x14ac:dyDescent="0.25">
      <c r="A1770" s="20">
        <f>+VLOOKUP(D1770,Back!Q:R,2,0)</f>
        <v>12</v>
      </c>
      <c r="B1770" s="20" t="str">
        <f t="shared" si="55"/>
        <v>2018 DIC</v>
      </c>
      <c r="C1770" s="30">
        <v>2018</v>
      </c>
      <c r="D1770" s="30" t="s">
        <v>187</v>
      </c>
      <c r="E1770" s="30" t="s">
        <v>266</v>
      </c>
      <c r="F1770" s="30">
        <v>1128476466</v>
      </c>
      <c r="G1770" s="30"/>
      <c r="H1770" s="32">
        <v>22408839</v>
      </c>
      <c r="I1770" s="32">
        <v>0</v>
      </c>
      <c r="J1770" s="32">
        <v>2119195</v>
      </c>
      <c r="K1770" s="33">
        <v>20289644</v>
      </c>
      <c r="L1770" s="33"/>
      <c r="M1770" s="34"/>
      <c r="N1770" s="209" t="str">
        <f>IFERROR(VLOOKUP(F1770,Back!C:F,4,0),"NO")</f>
        <v>Si</v>
      </c>
      <c r="O1770" s="26">
        <v>24</v>
      </c>
      <c r="P1770" s="28" t="str">
        <f>IFERROR(VLOOKUP(F1770,Back!C:E,3,0),"")</f>
        <v>IPS Pto De Vista San Diego</v>
      </c>
      <c r="Q1770" s="28" t="str">
        <f>IFERROR(VLOOKUP(P1770,Back!M:N,2,0),"")</f>
        <v>Antioquia</v>
      </c>
      <c r="R1770" s="27" t="str">
        <f>IF(N1770="Si",IFERROR(VLOOKUP(F1770,'TD Cumpl'!B:AB,27,0),"No Aplica"),"No Aplica")</f>
        <v>Fluctúa</v>
      </c>
      <c r="S1770" s="38">
        <v>34</v>
      </c>
      <c r="T1770" s="46">
        <v>2586383</v>
      </c>
      <c r="U1770" s="38">
        <v>76</v>
      </c>
      <c r="V1770" s="46">
        <v>12602940</v>
      </c>
      <c r="W1770" s="38">
        <v>29</v>
      </c>
      <c r="X1770" s="38">
        <v>2119195</v>
      </c>
      <c r="Y1770" s="46">
        <f t="shared" si="56"/>
        <v>5100321</v>
      </c>
      <c r="Z1770" s="19" t="s">
        <v>318</v>
      </c>
    </row>
    <row r="1771" spans="1:26" x14ac:dyDescent="0.25">
      <c r="A1771" s="20">
        <f>+VLOOKUP(D1771,Back!Q:R,2,0)</f>
        <v>12</v>
      </c>
      <c r="B1771" s="20" t="str">
        <f t="shared" si="55"/>
        <v>2018 DIC</v>
      </c>
      <c r="C1771" s="30">
        <v>2018</v>
      </c>
      <c r="D1771" s="30" t="s">
        <v>187</v>
      </c>
      <c r="E1771" s="30" t="s">
        <v>25</v>
      </c>
      <c r="F1771" s="30">
        <v>1040030764</v>
      </c>
      <c r="G1771" s="30" t="s">
        <v>43</v>
      </c>
      <c r="H1771" s="32">
        <v>51248383</v>
      </c>
      <c r="I1771" s="32">
        <v>2753940</v>
      </c>
      <c r="J1771" s="32">
        <v>9300053</v>
      </c>
      <c r="K1771" s="33">
        <v>39194390</v>
      </c>
      <c r="L1771" s="33">
        <v>33541659</v>
      </c>
      <c r="M1771" s="34">
        <v>1.1685286646077941</v>
      </c>
      <c r="N1771" s="209" t="str">
        <f>IFERROR(VLOOKUP(F1771,Back!C:F,4,0),"NO")</f>
        <v>Si</v>
      </c>
      <c r="O1771" s="26">
        <v>24</v>
      </c>
      <c r="P1771" s="28" t="str">
        <f>IFERROR(VLOOKUP(F1771,Back!C:E,3,0),"")</f>
        <v>IPS Pto De Vista Rionegro</v>
      </c>
      <c r="Q1771" s="28" t="str">
        <f>IFERROR(VLOOKUP(P1771,Back!M:N,2,0),"")</f>
        <v>Antioquia</v>
      </c>
      <c r="R1771" s="27" t="str">
        <f>IF(N1771="Si",IFERROR(VLOOKUP(F1771,'TD Cumpl'!B:AB,27,0),"No Aplica"),"No Aplica")</f>
        <v>Cumple</v>
      </c>
      <c r="S1771" s="38">
        <v>77</v>
      </c>
      <c r="T1771" s="46">
        <v>8334856</v>
      </c>
      <c r="U1771" s="38">
        <v>208</v>
      </c>
      <c r="V1771" s="46">
        <v>28076456</v>
      </c>
      <c r="W1771" s="38">
        <v>97</v>
      </c>
      <c r="X1771" s="38">
        <v>9300053</v>
      </c>
      <c r="Y1771" s="46">
        <f t="shared" si="56"/>
        <v>5537018</v>
      </c>
      <c r="Z1771" s="19" t="s">
        <v>318</v>
      </c>
    </row>
    <row r="1772" spans="1:26" x14ac:dyDescent="0.25">
      <c r="A1772" s="20">
        <f>+VLOOKUP(D1772,Back!Q:R,2,0)</f>
        <v>12</v>
      </c>
      <c r="B1772" s="20" t="str">
        <f t="shared" si="55"/>
        <v>2018 DIC</v>
      </c>
      <c r="C1772" s="30">
        <v>2018</v>
      </c>
      <c r="D1772" s="30" t="s">
        <v>187</v>
      </c>
      <c r="E1772" s="30" t="s">
        <v>284</v>
      </c>
      <c r="F1772" s="30">
        <v>1128267208</v>
      </c>
      <c r="G1772" s="30" t="s">
        <v>285</v>
      </c>
      <c r="H1772" s="32">
        <v>45264049</v>
      </c>
      <c r="I1772" s="32">
        <v>1864200</v>
      </c>
      <c r="J1772" s="32">
        <v>7249973</v>
      </c>
      <c r="K1772" s="33">
        <v>36149876</v>
      </c>
      <c r="L1772" s="33">
        <v>33541659</v>
      </c>
      <c r="M1772" s="34">
        <v>1.0777605246061324</v>
      </c>
      <c r="N1772" s="209" t="str">
        <f>IFERROR(VLOOKUP(F1772,Back!C:F,4,0),"NO")</f>
        <v>Si</v>
      </c>
      <c r="O1772" s="26">
        <v>24</v>
      </c>
      <c r="P1772" s="28" t="str">
        <f>IFERROR(VLOOKUP(F1772,Back!C:E,3,0),"")</f>
        <v>IPS Pto De Vista Rionegro</v>
      </c>
      <c r="Q1772" s="28" t="str">
        <f>IFERROR(VLOOKUP(P1772,Back!M:N,2,0),"")</f>
        <v>Antioquia</v>
      </c>
      <c r="R1772" s="27" t="str">
        <f>IF(N1772="Si",IFERROR(VLOOKUP(F1772,'TD Cumpl'!B:AB,27,0),"No Aplica"),"No Aplica")</f>
        <v>Fluctúa</v>
      </c>
      <c r="S1772" s="38">
        <v>62</v>
      </c>
      <c r="T1772" s="46">
        <v>8164609</v>
      </c>
      <c r="U1772" s="38">
        <v>150</v>
      </c>
      <c r="V1772" s="46">
        <v>22724741</v>
      </c>
      <c r="W1772" s="38">
        <v>79</v>
      </c>
      <c r="X1772" s="38">
        <v>7022255</v>
      </c>
      <c r="Y1772" s="46">
        <f t="shared" si="56"/>
        <v>7352444</v>
      </c>
      <c r="Z1772" s="19" t="s">
        <v>318</v>
      </c>
    </row>
    <row r="1773" spans="1:26" x14ac:dyDescent="0.25">
      <c r="A1773" s="20">
        <f>+VLOOKUP(D1773,Back!Q:R,2,0)</f>
        <v>12</v>
      </c>
      <c r="B1773" s="20" t="str">
        <f t="shared" si="55"/>
        <v>2018 DIC</v>
      </c>
      <c r="C1773" s="30">
        <v>2018</v>
      </c>
      <c r="D1773" s="30" t="s">
        <v>187</v>
      </c>
      <c r="E1773" s="30" t="s">
        <v>24</v>
      </c>
      <c r="F1773" s="30">
        <v>39448823</v>
      </c>
      <c r="G1773" s="30" t="s">
        <v>48</v>
      </c>
      <c r="H1773" s="32">
        <v>37772629</v>
      </c>
      <c r="I1773" s="32">
        <v>2838150</v>
      </c>
      <c r="J1773" s="32">
        <v>3943646</v>
      </c>
      <c r="K1773" s="33">
        <v>30990833</v>
      </c>
      <c r="L1773" s="33">
        <v>17499996</v>
      </c>
      <c r="M1773" s="34">
        <v>1.7709051476354623</v>
      </c>
      <c r="N1773" s="209" t="str">
        <f>IFERROR(VLOOKUP(F1773,Back!C:F,4,0),"NO")</f>
        <v>Si</v>
      </c>
      <c r="O1773" s="26">
        <v>24</v>
      </c>
      <c r="P1773" s="28" t="str">
        <f>IFERROR(VLOOKUP(F1773,Back!C:E,3,0),"")</f>
        <v>IPS Pto De Vista Rionegro</v>
      </c>
      <c r="Q1773" s="28" t="str">
        <f>IFERROR(VLOOKUP(P1773,Back!M:N,2,0),"")</f>
        <v>Antioquia</v>
      </c>
      <c r="R1773" s="27" t="str">
        <f>IF(N1773="Si",IFERROR(VLOOKUP(F1773,'TD Cumpl'!B:AB,27,0),"No Aplica"),"No Aplica")</f>
        <v>Siempre Cumple</v>
      </c>
      <c r="S1773" s="38">
        <v>60</v>
      </c>
      <c r="T1773" s="46">
        <v>6467291</v>
      </c>
      <c r="U1773" s="38">
        <v>168</v>
      </c>
      <c r="V1773" s="46">
        <v>21744599</v>
      </c>
      <c r="W1773" s="38">
        <v>42</v>
      </c>
      <c r="X1773" s="38">
        <v>3943646</v>
      </c>
      <c r="Y1773" s="46">
        <f t="shared" si="56"/>
        <v>5617093</v>
      </c>
      <c r="Z1773" s="19" t="s">
        <v>317</v>
      </c>
    </row>
    <row r="1774" spans="1:26" x14ac:dyDescent="0.25">
      <c r="A1774" s="20">
        <f>+VLOOKUP(D1774,Back!Q:R,2,0)</f>
        <v>12</v>
      </c>
      <c r="B1774" s="20" t="str">
        <f t="shared" si="55"/>
        <v>2018 DIC</v>
      </c>
      <c r="C1774" s="30">
        <v>2018</v>
      </c>
      <c r="D1774" s="30" t="s">
        <v>187</v>
      </c>
      <c r="E1774" s="30" t="s">
        <v>11</v>
      </c>
      <c r="F1774" s="30">
        <v>43253531</v>
      </c>
      <c r="G1774" s="30" t="s">
        <v>39</v>
      </c>
      <c r="H1774" s="32">
        <v>47203643</v>
      </c>
      <c r="I1774" s="32">
        <v>1110000</v>
      </c>
      <c r="J1774" s="32">
        <v>10199184</v>
      </c>
      <c r="K1774" s="33">
        <v>35894459</v>
      </c>
      <c r="L1774" s="33">
        <v>33541659</v>
      </c>
      <c r="M1774" s="34">
        <v>1.0701456060953931</v>
      </c>
      <c r="N1774" s="209" t="str">
        <f>IFERROR(VLOOKUP(F1774,Back!C:F,4,0),"NO")</f>
        <v>Si</v>
      </c>
      <c r="O1774" s="26">
        <v>24</v>
      </c>
      <c r="P1774" s="28" t="str">
        <f>IFERROR(VLOOKUP(F1774,Back!C:E,3,0),"")</f>
        <v>IPS Punto de Vista Bello</v>
      </c>
      <c r="Q1774" s="28" t="str">
        <f>IFERROR(VLOOKUP(P1774,Back!M:N,2,0),"")</f>
        <v>Antioquia</v>
      </c>
      <c r="R1774" s="27" t="str">
        <f>IF(N1774="Si",IFERROR(VLOOKUP(F1774,'TD Cumpl'!B:AB,27,0),"No Aplica"),"No Aplica")</f>
        <v>Cumple</v>
      </c>
      <c r="S1774" s="38">
        <v>84</v>
      </c>
      <c r="T1774" s="46">
        <v>7467942</v>
      </c>
      <c r="U1774" s="38">
        <v>194</v>
      </c>
      <c r="V1774" s="46">
        <v>23511019</v>
      </c>
      <c r="W1774" s="38">
        <v>102</v>
      </c>
      <c r="X1774" s="38">
        <v>10199184</v>
      </c>
      <c r="Y1774" s="46">
        <f t="shared" si="56"/>
        <v>6025498</v>
      </c>
      <c r="Z1774" s="19" t="s">
        <v>318</v>
      </c>
    </row>
    <row r="1775" spans="1:26" x14ac:dyDescent="0.25">
      <c r="A1775" s="20">
        <f>+VLOOKUP(D1775,Back!Q:R,2,0)</f>
        <v>12</v>
      </c>
      <c r="B1775" s="20" t="str">
        <f t="shared" si="55"/>
        <v>2018 DIC</v>
      </c>
      <c r="C1775" s="30">
        <v>2018</v>
      </c>
      <c r="D1775" s="30" t="s">
        <v>187</v>
      </c>
      <c r="E1775" s="30" t="s">
        <v>121</v>
      </c>
      <c r="F1775" s="30">
        <v>21982241</v>
      </c>
      <c r="G1775" s="30" t="s">
        <v>143</v>
      </c>
      <c r="H1775" s="32">
        <v>17597903</v>
      </c>
      <c r="I1775" s="32">
        <v>397980</v>
      </c>
      <c r="J1775" s="32">
        <v>2470720</v>
      </c>
      <c r="K1775" s="33">
        <v>14729203</v>
      </c>
      <c r="L1775" s="33">
        <v>11666664</v>
      </c>
      <c r="M1775" s="34">
        <v>1.2625034028579207</v>
      </c>
      <c r="N1775" s="209" t="str">
        <f>IFERROR(VLOOKUP(F1775,Back!C:F,4,0),"NO")</f>
        <v>Si</v>
      </c>
      <c r="O1775" s="26">
        <v>24</v>
      </c>
      <c r="P1775" s="28" t="str">
        <f>IFERROR(VLOOKUP(F1775,Back!C:E,3,0),"")</f>
        <v>IPS Punto de Vista Bello</v>
      </c>
      <c r="Q1775" s="28" t="str">
        <f>IFERROR(VLOOKUP(P1775,Back!M:N,2,0),"")</f>
        <v>Antioquia</v>
      </c>
      <c r="R1775" s="27" t="str">
        <f>IF(N1775="Si",IFERROR(VLOOKUP(F1775,'TD Cumpl'!B:AB,27,0),"No Aplica"),"No Aplica")</f>
        <v>Fluctúa</v>
      </c>
      <c r="S1775" s="38">
        <v>31</v>
      </c>
      <c r="T1775" s="46">
        <v>2597723</v>
      </c>
      <c r="U1775" s="38">
        <v>100</v>
      </c>
      <c r="V1775" s="46">
        <v>9987665</v>
      </c>
      <c r="W1775" s="38">
        <v>26</v>
      </c>
      <c r="X1775" s="38">
        <v>2470720</v>
      </c>
      <c r="Y1775" s="46">
        <f t="shared" si="56"/>
        <v>2541795</v>
      </c>
      <c r="Z1775" s="19" t="s">
        <v>319</v>
      </c>
    </row>
    <row r="1776" spans="1:26" x14ac:dyDescent="0.25">
      <c r="A1776" s="20">
        <f>+VLOOKUP(D1776,Back!Q:R,2,0)</f>
        <v>12</v>
      </c>
      <c r="B1776" s="20" t="str">
        <f t="shared" si="55"/>
        <v>2018 DIC</v>
      </c>
      <c r="C1776" s="30">
        <v>2018</v>
      </c>
      <c r="D1776" s="30" t="s">
        <v>187</v>
      </c>
      <c r="E1776" s="30" t="s">
        <v>9</v>
      </c>
      <c r="F1776" s="30">
        <v>43169964</v>
      </c>
      <c r="G1776" s="30" t="s">
        <v>155</v>
      </c>
      <c r="H1776" s="32">
        <v>55591763</v>
      </c>
      <c r="I1776" s="32">
        <v>468000</v>
      </c>
      <c r="J1776" s="32">
        <v>11489685</v>
      </c>
      <c r="K1776" s="33">
        <v>43634078</v>
      </c>
      <c r="L1776" s="33">
        <v>42166659</v>
      </c>
      <c r="M1776" s="34">
        <v>1.0348004569202411</v>
      </c>
      <c r="N1776" s="209" t="str">
        <f>IFERROR(VLOOKUP(F1776,Back!C:F,4,0),"NO")</f>
        <v>Si</v>
      </c>
      <c r="O1776" s="26">
        <v>24</v>
      </c>
      <c r="P1776" s="28" t="str">
        <f>IFERROR(VLOOKUP(F1776,Back!C:E,3,0),"")</f>
        <v>IPS Pto De Vista Molinos</v>
      </c>
      <c r="Q1776" s="28" t="str">
        <f>IFERROR(VLOOKUP(P1776,Back!M:N,2,0),"")</f>
        <v>Antioquia</v>
      </c>
      <c r="R1776" s="27" t="str">
        <f>IF(N1776="Si",IFERROR(VLOOKUP(F1776,'TD Cumpl'!B:AB,27,0),"No Aplica"),"No Aplica")</f>
        <v>Cumple</v>
      </c>
      <c r="S1776" s="38">
        <v>99</v>
      </c>
      <c r="T1776" s="46">
        <v>9769559</v>
      </c>
      <c r="U1776" s="38">
        <v>230</v>
      </c>
      <c r="V1776" s="46">
        <v>28948533</v>
      </c>
      <c r="W1776" s="38">
        <v>109</v>
      </c>
      <c r="X1776" s="38">
        <v>11489685</v>
      </c>
      <c r="Y1776" s="46">
        <f t="shared" si="56"/>
        <v>5383986</v>
      </c>
      <c r="Z1776" s="19" t="s">
        <v>318</v>
      </c>
    </row>
    <row r="1777" spans="1:26" x14ac:dyDescent="0.25">
      <c r="A1777" s="20">
        <f>+VLOOKUP(D1777,Back!Q:R,2,0)</f>
        <v>12</v>
      </c>
      <c r="B1777" s="20" t="str">
        <f t="shared" si="55"/>
        <v>2018 DIC</v>
      </c>
      <c r="C1777" s="30">
        <v>2018</v>
      </c>
      <c r="D1777" s="30" t="s">
        <v>187</v>
      </c>
      <c r="E1777" s="30" t="s">
        <v>288</v>
      </c>
      <c r="F1777" s="30">
        <v>1017191161</v>
      </c>
      <c r="G1777" s="30" t="s">
        <v>289</v>
      </c>
      <c r="H1777" s="32">
        <v>36187958</v>
      </c>
      <c r="I1777" s="32">
        <v>874800</v>
      </c>
      <c r="J1777" s="32">
        <v>8150768</v>
      </c>
      <c r="K1777" s="33">
        <v>27162390</v>
      </c>
      <c r="L1777" s="33">
        <v>42166659</v>
      </c>
      <c r="M1777" s="34">
        <v>0.64416746890001408</v>
      </c>
      <c r="N1777" s="209" t="str">
        <f>IFERROR(VLOOKUP(F1777,Back!C:F,4,0),"NO")</f>
        <v>Si</v>
      </c>
      <c r="O1777" s="26">
        <v>24</v>
      </c>
      <c r="P1777" s="28" t="str">
        <f>IFERROR(VLOOKUP(F1777,Back!C:E,3,0),"")</f>
        <v>IPS Pto De Vista Molinos</v>
      </c>
      <c r="Q1777" s="28" t="str">
        <f>IFERROR(VLOOKUP(P1777,Back!M:N,2,0),"")</f>
        <v>Antioquia</v>
      </c>
      <c r="R1777" s="27" t="str">
        <f>IF(N1777="Si",IFERROR(VLOOKUP(F1777,'TD Cumpl'!B:AB,27,0),"No Aplica"),"No Aplica")</f>
        <v>No Cumple</v>
      </c>
      <c r="S1777" s="38">
        <v>65</v>
      </c>
      <c r="T1777" s="46">
        <v>6248922</v>
      </c>
      <c r="U1777" s="38">
        <v>126</v>
      </c>
      <c r="V1777" s="46">
        <v>17384394</v>
      </c>
      <c r="W1777" s="38">
        <v>76</v>
      </c>
      <c r="X1777" s="38">
        <v>8150768</v>
      </c>
      <c r="Y1777" s="46">
        <f t="shared" si="56"/>
        <v>4403874</v>
      </c>
      <c r="Z1777" s="19" t="s">
        <v>318</v>
      </c>
    </row>
    <row r="1778" spans="1:26" x14ac:dyDescent="0.25">
      <c r="A1778" s="20">
        <f>+VLOOKUP(D1778,Back!Q:R,2,0)</f>
        <v>12</v>
      </c>
      <c r="B1778" s="20" t="str">
        <f t="shared" si="55"/>
        <v>2018 DIC</v>
      </c>
      <c r="C1778" s="30">
        <v>2018</v>
      </c>
      <c r="D1778" s="30" t="s">
        <v>187</v>
      </c>
      <c r="E1778" s="30" t="s">
        <v>308</v>
      </c>
      <c r="F1778" s="30">
        <v>1128402269</v>
      </c>
      <c r="G1778" s="30" t="s">
        <v>309</v>
      </c>
      <c r="H1778" s="32">
        <v>4256797</v>
      </c>
      <c r="I1778" s="32">
        <v>324000</v>
      </c>
      <c r="J1778" s="32">
        <v>1367605</v>
      </c>
      <c r="K1778" s="33">
        <v>2565192</v>
      </c>
      <c r="L1778" s="33">
        <v>18333330</v>
      </c>
      <c r="M1778" s="34">
        <v>0.13991958907628893</v>
      </c>
      <c r="N1778" s="209" t="str">
        <f>IFERROR(VLOOKUP(F1778,Back!C:F,4,0),"NO")</f>
        <v>Si</v>
      </c>
      <c r="O1778" s="26">
        <v>24</v>
      </c>
      <c r="P1778" s="28" t="str">
        <f>IFERROR(VLOOKUP(F1778,Back!C:E,3,0),"")</f>
        <v>IPS Pto De Vista Molinos</v>
      </c>
      <c r="Q1778" s="28" t="str">
        <f>IFERROR(VLOOKUP(P1778,Back!M:N,2,0),"")</f>
        <v>Antioquia</v>
      </c>
      <c r="R1778" s="27" t="str">
        <f>IF(N1778="Si",IFERROR(VLOOKUP(F1778,'TD Cumpl'!B:AB,27,0),"No Aplica"),"No Aplica")</f>
        <v>No Cumple</v>
      </c>
      <c r="S1778" s="38">
        <v>6</v>
      </c>
      <c r="T1778" s="46">
        <v>572615</v>
      </c>
      <c r="U1778" s="38">
        <v>14</v>
      </c>
      <c r="V1778" s="46">
        <v>1330116</v>
      </c>
      <c r="W1778" s="38">
        <v>11</v>
      </c>
      <c r="X1778" s="38">
        <v>1367605</v>
      </c>
      <c r="Y1778" s="46">
        <f t="shared" si="56"/>
        <v>986461</v>
      </c>
      <c r="Z1778" s="19" t="s">
        <v>318</v>
      </c>
    </row>
    <row r="1779" spans="1:26" x14ac:dyDescent="0.25">
      <c r="A1779" s="20">
        <f>+VLOOKUP(D1779,Back!Q:R,2,0)</f>
        <v>12</v>
      </c>
      <c r="B1779" s="20" t="str">
        <f t="shared" si="55"/>
        <v>2018 DIC</v>
      </c>
      <c r="C1779" s="30">
        <v>2018</v>
      </c>
      <c r="D1779" s="30" t="s">
        <v>187</v>
      </c>
      <c r="E1779" s="30" t="s">
        <v>20</v>
      </c>
      <c r="F1779" s="30">
        <v>1017141451</v>
      </c>
      <c r="G1779" s="30" t="s">
        <v>44</v>
      </c>
      <c r="H1779" s="32">
        <v>55321547</v>
      </c>
      <c r="I1779" s="32">
        <v>1000200</v>
      </c>
      <c r="J1779" s="32">
        <v>9316646</v>
      </c>
      <c r="K1779" s="33">
        <v>45004701</v>
      </c>
      <c r="L1779" s="33">
        <v>40333326</v>
      </c>
      <c r="M1779" s="34">
        <v>1.1158192359340759</v>
      </c>
      <c r="N1779" s="209" t="str">
        <f>IFERROR(VLOOKUP(F1779,Back!C:F,4,0),"NO")</f>
        <v>Si</v>
      </c>
      <c r="O1779" s="26">
        <v>24</v>
      </c>
      <c r="P1779" s="28" t="str">
        <f>IFERROR(VLOOKUP(F1779,Back!C:E,3,0),"")</f>
        <v>IPS Pto De Vista Molinos</v>
      </c>
      <c r="Q1779" s="28" t="str">
        <f>IFERROR(VLOOKUP(P1779,Back!M:N,2,0),"")</f>
        <v>Antioquia</v>
      </c>
      <c r="R1779" s="27" t="str">
        <f>IF(N1779="Si",IFERROR(VLOOKUP(F1779,'TD Cumpl'!B:AB,27,0),"No Aplica"),"No Aplica")</f>
        <v>Siempre Cumple</v>
      </c>
      <c r="S1779" s="38">
        <v>89</v>
      </c>
      <c r="T1779" s="46">
        <v>9282893</v>
      </c>
      <c r="U1779" s="38">
        <v>221</v>
      </c>
      <c r="V1779" s="46">
        <v>29399024</v>
      </c>
      <c r="W1779" s="38">
        <v>100</v>
      </c>
      <c r="X1779" s="38">
        <v>9316646</v>
      </c>
      <c r="Y1779" s="46">
        <f t="shared" si="56"/>
        <v>7322984</v>
      </c>
      <c r="Z1779" s="19" t="s">
        <v>318</v>
      </c>
    </row>
    <row r="1780" spans="1:26" x14ac:dyDescent="0.25">
      <c r="A1780" s="20">
        <f>+VLOOKUP(D1780,Back!Q:R,2,0)</f>
        <v>12</v>
      </c>
      <c r="B1780" s="20" t="str">
        <f t="shared" si="55"/>
        <v>2018 DIC</v>
      </c>
      <c r="C1780" s="30">
        <v>2018</v>
      </c>
      <c r="D1780" s="30" t="s">
        <v>187</v>
      </c>
      <c r="E1780" s="30" t="s">
        <v>290</v>
      </c>
      <c r="F1780" s="30">
        <v>1128442101</v>
      </c>
      <c r="G1780" s="30" t="s">
        <v>291</v>
      </c>
      <c r="H1780" s="32">
        <v>40458746</v>
      </c>
      <c r="I1780" s="32">
        <v>442200</v>
      </c>
      <c r="J1780" s="32">
        <v>8804148</v>
      </c>
      <c r="K1780" s="33">
        <v>31212398</v>
      </c>
      <c r="L1780" s="33">
        <v>42166659</v>
      </c>
      <c r="M1780" s="34">
        <v>0.74021510691658066</v>
      </c>
      <c r="N1780" s="209" t="str">
        <f>IFERROR(VLOOKUP(F1780,Back!C:F,4,0),"NO")</f>
        <v>Si</v>
      </c>
      <c r="O1780" s="26">
        <v>24</v>
      </c>
      <c r="P1780" s="28" t="str">
        <f>IFERROR(VLOOKUP(F1780,Back!C:E,3,0),"")</f>
        <v>IPS Punto de Vista Mayorca</v>
      </c>
      <c r="Q1780" s="28" t="str">
        <f>IFERROR(VLOOKUP(P1780,Back!M:N,2,0),"")</f>
        <v>Antioquia</v>
      </c>
      <c r="R1780" s="27" t="str">
        <f>IF(N1780="Si",IFERROR(VLOOKUP(F1780,'TD Cumpl'!B:AB,27,0),"No Aplica"),"No Aplica")</f>
        <v>Fluctúa</v>
      </c>
      <c r="S1780" s="38">
        <v>70</v>
      </c>
      <c r="T1780" s="46">
        <v>6912233</v>
      </c>
      <c r="U1780" s="38">
        <v>156</v>
      </c>
      <c r="V1780" s="46">
        <v>18448986</v>
      </c>
      <c r="W1780" s="38">
        <v>96</v>
      </c>
      <c r="X1780" s="38">
        <v>8804148</v>
      </c>
      <c r="Y1780" s="46">
        <f t="shared" si="56"/>
        <v>6293379</v>
      </c>
      <c r="Z1780" s="19" t="s">
        <v>318</v>
      </c>
    </row>
    <row r="1781" spans="1:26" x14ac:dyDescent="0.25">
      <c r="A1781" s="20">
        <f>+VLOOKUP(D1781,Back!Q:R,2,0)</f>
        <v>12</v>
      </c>
      <c r="B1781" s="20" t="str">
        <f t="shared" si="55"/>
        <v>2018 DIC</v>
      </c>
      <c r="C1781" s="30">
        <v>2018</v>
      </c>
      <c r="D1781" s="30" t="s">
        <v>187</v>
      </c>
      <c r="E1781" s="30" t="s">
        <v>103</v>
      </c>
      <c r="F1781" s="30">
        <v>1020409789</v>
      </c>
      <c r="G1781" s="30" t="s">
        <v>145</v>
      </c>
      <c r="H1781" s="32">
        <v>68336861</v>
      </c>
      <c r="I1781" s="32">
        <v>2183100</v>
      </c>
      <c r="J1781" s="32">
        <v>14180308</v>
      </c>
      <c r="K1781" s="33">
        <v>51973453</v>
      </c>
      <c r="L1781" s="33">
        <v>42166659</v>
      </c>
      <c r="M1781" s="34">
        <v>1.2325722320091805</v>
      </c>
      <c r="N1781" s="209" t="str">
        <f>IFERROR(VLOOKUP(F1781,Back!C:F,4,0),"NO")</f>
        <v>Si</v>
      </c>
      <c r="O1781" s="26">
        <v>24</v>
      </c>
      <c r="P1781" s="28" t="str">
        <f>IFERROR(VLOOKUP(F1781,Back!C:E,3,0),"")</f>
        <v>IPS Pto De Vista Molinos</v>
      </c>
      <c r="Q1781" s="28" t="str">
        <f>IFERROR(VLOOKUP(P1781,Back!M:N,2,0),"")</f>
        <v>Antioquia</v>
      </c>
      <c r="R1781" s="27" t="str">
        <f>IF(N1781="Si",IFERROR(VLOOKUP(F1781,'TD Cumpl'!B:AB,27,0),"No Aplica"),"No Aplica")</f>
        <v>Cumple</v>
      </c>
      <c r="S1781" s="38">
        <v>113</v>
      </c>
      <c r="T1781" s="46">
        <v>12064419</v>
      </c>
      <c r="U1781" s="38">
        <v>242</v>
      </c>
      <c r="V1781" s="46">
        <v>32029819</v>
      </c>
      <c r="W1781" s="38">
        <v>138</v>
      </c>
      <c r="X1781" s="38">
        <v>14180308</v>
      </c>
      <c r="Y1781" s="46">
        <f t="shared" si="56"/>
        <v>10062315</v>
      </c>
      <c r="Z1781" s="19" t="s">
        <v>318</v>
      </c>
    </row>
    <row r="1782" spans="1:26" x14ac:dyDescent="0.25">
      <c r="A1782" s="20">
        <f>+VLOOKUP(D1782,Back!Q:R,2,0)</f>
        <v>12</v>
      </c>
      <c r="B1782" s="20" t="str">
        <f t="shared" si="55"/>
        <v>2018 DIC</v>
      </c>
      <c r="C1782" s="30">
        <v>2018</v>
      </c>
      <c r="D1782" s="30" t="s">
        <v>187</v>
      </c>
      <c r="E1782" s="30" t="s">
        <v>8</v>
      </c>
      <c r="F1782" s="30">
        <v>43259130</v>
      </c>
      <c r="G1782" s="30" t="s">
        <v>51</v>
      </c>
      <c r="H1782" s="32">
        <v>40417586</v>
      </c>
      <c r="I1782" s="32">
        <v>923100</v>
      </c>
      <c r="J1782" s="32">
        <v>8515838</v>
      </c>
      <c r="K1782" s="33">
        <v>30978648</v>
      </c>
      <c r="L1782" s="33">
        <v>25666662</v>
      </c>
      <c r="M1782" s="34">
        <v>1.206960531135681</v>
      </c>
      <c r="N1782" s="209" t="str">
        <f>IFERROR(VLOOKUP(F1782,Back!C:F,4,0),"NO")</f>
        <v>Si</v>
      </c>
      <c r="O1782" s="26">
        <v>24</v>
      </c>
      <c r="P1782" s="28" t="str">
        <f>IFERROR(VLOOKUP(F1782,Back!C:E,3,0),"")</f>
        <v>IPS Pto De Vista Molinos</v>
      </c>
      <c r="Q1782" s="28" t="str">
        <f>IFERROR(VLOOKUP(P1782,Back!M:N,2,0),"")</f>
        <v>Antioquia</v>
      </c>
      <c r="R1782" s="27" t="str">
        <f>IF(N1782="Si",IFERROR(VLOOKUP(F1782,'TD Cumpl'!B:AB,27,0),"No Aplica"),"No Aplica")</f>
        <v>Fluctúa</v>
      </c>
      <c r="S1782" s="38">
        <v>72</v>
      </c>
      <c r="T1782" s="46">
        <v>7087420</v>
      </c>
      <c r="U1782" s="38">
        <v>174</v>
      </c>
      <c r="V1782" s="46">
        <v>17966957</v>
      </c>
      <c r="W1782" s="38">
        <v>88</v>
      </c>
      <c r="X1782" s="38">
        <v>8515838</v>
      </c>
      <c r="Y1782" s="46">
        <f t="shared" si="56"/>
        <v>6847371</v>
      </c>
      <c r="Z1782" s="19" t="s">
        <v>317</v>
      </c>
    </row>
    <row r="1783" spans="1:26" x14ac:dyDescent="0.25">
      <c r="A1783" s="20">
        <f>+VLOOKUP(D1783,Back!Q:R,2,0)</f>
        <v>12</v>
      </c>
      <c r="B1783" s="20" t="str">
        <f t="shared" si="55"/>
        <v>2018 DIC</v>
      </c>
      <c r="C1783" s="30">
        <v>2018</v>
      </c>
      <c r="D1783" s="30" t="s">
        <v>187</v>
      </c>
      <c r="E1783" s="30" t="s">
        <v>56</v>
      </c>
      <c r="F1783" s="30">
        <v>43971430</v>
      </c>
      <c r="G1783" s="30" t="s">
        <v>142</v>
      </c>
      <c r="H1783" s="32">
        <v>58990595</v>
      </c>
      <c r="I1783" s="32">
        <v>604200</v>
      </c>
      <c r="J1783" s="32">
        <v>13771999</v>
      </c>
      <c r="K1783" s="33">
        <v>44614396</v>
      </c>
      <c r="L1783" s="33">
        <v>40250000</v>
      </c>
      <c r="M1783" s="34">
        <v>1.1084321987577639</v>
      </c>
      <c r="N1783" s="209" t="str">
        <f>IFERROR(VLOOKUP(F1783,Back!C:F,4,0),"NO")</f>
        <v>Si</v>
      </c>
      <c r="O1783" s="26">
        <v>24</v>
      </c>
      <c r="P1783" s="28" t="str">
        <f>IFERROR(VLOOKUP(F1783,Back!C:E,3,0),"")</f>
        <v>IPS Pto De Vista Centro</v>
      </c>
      <c r="Q1783" s="28" t="str">
        <f>IFERROR(VLOOKUP(P1783,Back!M:N,2,0),"")</f>
        <v>Antioquia</v>
      </c>
      <c r="R1783" s="27" t="str">
        <f>IF(N1783="Si",IFERROR(VLOOKUP(F1783,'TD Cumpl'!B:AB,27,0),"No Aplica"),"No Aplica")</f>
        <v>Siempre Cumple</v>
      </c>
      <c r="S1783" s="38">
        <v>106</v>
      </c>
      <c r="T1783" s="46">
        <v>9092984</v>
      </c>
      <c r="U1783" s="38">
        <v>256</v>
      </c>
      <c r="V1783" s="46">
        <v>30009479</v>
      </c>
      <c r="W1783" s="38">
        <v>135</v>
      </c>
      <c r="X1783" s="38">
        <v>13771999</v>
      </c>
      <c r="Y1783" s="46">
        <f t="shared" si="56"/>
        <v>6116133</v>
      </c>
      <c r="Z1783" s="19" t="s">
        <v>318</v>
      </c>
    </row>
    <row r="1784" spans="1:26" x14ac:dyDescent="0.25">
      <c r="A1784" s="20">
        <f>+VLOOKUP(D1784,Back!Q:R,2,0)</f>
        <v>12</v>
      </c>
      <c r="B1784" s="20" t="str">
        <f t="shared" si="55"/>
        <v>2018 DIC</v>
      </c>
      <c r="C1784" s="30">
        <v>2018</v>
      </c>
      <c r="D1784" s="30" t="s">
        <v>187</v>
      </c>
      <c r="E1784" s="30" t="s">
        <v>34</v>
      </c>
      <c r="F1784" s="30">
        <v>43554403</v>
      </c>
      <c r="G1784" s="30" t="s">
        <v>35</v>
      </c>
      <c r="H1784" s="32">
        <v>63018874</v>
      </c>
      <c r="I1784" s="32">
        <v>2784900</v>
      </c>
      <c r="J1784" s="32">
        <v>14091578</v>
      </c>
      <c r="K1784" s="33">
        <v>46142396</v>
      </c>
      <c r="L1784" s="33">
        <v>40250000</v>
      </c>
      <c r="M1784" s="34">
        <v>1.1463949316770186</v>
      </c>
      <c r="N1784" s="209" t="str">
        <f>IFERROR(VLOOKUP(F1784,Back!C:F,4,0),"NO")</f>
        <v>Si</v>
      </c>
      <c r="O1784" s="26">
        <v>24</v>
      </c>
      <c r="P1784" s="28" t="str">
        <f>IFERROR(VLOOKUP(F1784,Back!C:E,3,0),"")</f>
        <v>IPS Pto De Vista Centro</v>
      </c>
      <c r="Q1784" s="28" t="str">
        <f>IFERROR(VLOOKUP(P1784,Back!M:N,2,0),"")</f>
        <v>Antioquia</v>
      </c>
      <c r="R1784" s="27" t="str">
        <f>IF(N1784="Si",IFERROR(VLOOKUP(F1784,'TD Cumpl'!B:AB,27,0),"No Aplica"),"No Aplica")</f>
        <v>Siempre Cumple</v>
      </c>
      <c r="S1784" s="38">
        <v>92</v>
      </c>
      <c r="T1784" s="46">
        <v>9040083</v>
      </c>
      <c r="U1784" s="38">
        <v>214</v>
      </c>
      <c r="V1784" s="46">
        <v>28888322</v>
      </c>
      <c r="W1784" s="38">
        <v>138</v>
      </c>
      <c r="X1784" s="38">
        <v>14091578</v>
      </c>
      <c r="Y1784" s="46">
        <f t="shared" si="56"/>
        <v>10998891</v>
      </c>
      <c r="Z1784" s="19" t="s">
        <v>318</v>
      </c>
    </row>
    <row r="1785" spans="1:26" x14ac:dyDescent="0.25">
      <c r="A1785" s="20">
        <f>+VLOOKUP(D1785,Back!Q:R,2,0)</f>
        <v>12</v>
      </c>
      <c r="B1785" s="20" t="str">
        <f t="shared" si="55"/>
        <v>2018 DIC</v>
      </c>
      <c r="C1785" s="30">
        <v>2018</v>
      </c>
      <c r="D1785" s="30" t="s">
        <v>187</v>
      </c>
      <c r="E1785" s="30" t="s">
        <v>101</v>
      </c>
      <c r="F1785" s="30">
        <v>21428423</v>
      </c>
      <c r="G1785" s="30" t="s">
        <v>154</v>
      </c>
      <c r="H1785" s="32">
        <v>54225241</v>
      </c>
      <c r="I1785" s="32">
        <v>468000</v>
      </c>
      <c r="J1785" s="32">
        <v>9881073</v>
      </c>
      <c r="K1785" s="33">
        <v>43876168</v>
      </c>
      <c r="L1785" s="33">
        <v>40250000</v>
      </c>
      <c r="M1785" s="34">
        <v>1.0900911304347827</v>
      </c>
      <c r="N1785" s="209" t="str">
        <f>IFERROR(VLOOKUP(F1785,Back!C:F,4,0),"NO")</f>
        <v>Si</v>
      </c>
      <c r="O1785" s="26">
        <v>24</v>
      </c>
      <c r="P1785" s="28" t="str">
        <f>IFERROR(VLOOKUP(F1785,Back!C:E,3,0),"")</f>
        <v>IPS Pto De Vista Centro</v>
      </c>
      <c r="Q1785" s="28" t="str">
        <f>IFERROR(VLOOKUP(P1785,Back!M:N,2,0),"")</f>
        <v>Antioquia</v>
      </c>
      <c r="R1785" s="27" t="str">
        <f>IF(N1785="Si",IFERROR(VLOOKUP(F1785,'TD Cumpl'!B:AB,27,0),"No Aplica"),"No Aplica")</f>
        <v>Fluctúa</v>
      </c>
      <c r="S1785" s="38">
        <v>112</v>
      </c>
      <c r="T1785" s="46">
        <v>9556159</v>
      </c>
      <c r="U1785" s="38">
        <v>244</v>
      </c>
      <c r="V1785" s="46">
        <v>27876494</v>
      </c>
      <c r="W1785" s="38">
        <v>109</v>
      </c>
      <c r="X1785" s="38">
        <v>9881073</v>
      </c>
      <c r="Y1785" s="46">
        <f t="shared" si="56"/>
        <v>6911515</v>
      </c>
      <c r="Z1785" s="19" t="s">
        <v>318</v>
      </c>
    </row>
    <row r="1786" spans="1:26" x14ac:dyDescent="0.25">
      <c r="A1786" s="20">
        <f>+VLOOKUP(D1786,Back!Q:R,2,0)</f>
        <v>12</v>
      </c>
      <c r="B1786" s="20" t="str">
        <f t="shared" si="55"/>
        <v>2018 DIC</v>
      </c>
      <c r="C1786" s="30">
        <v>2018</v>
      </c>
      <c r="D1786" s="30" t="s">
        <v>187</v>
      </c>
      <c r="E1786" s="30" t="s">
        <v>13</v>
      </c>
      <c r="F1786" s="30">
        <v>43866877</v>
      </c>
      <c r="G1786" s="30" t="s">
        <v>46</v>
      </c>
      <c r="H1786" s="32">
        <v>59708409</v>
      </c>
      <c r="I1786" s="32">
        <v>234000</v>
      </c>
      <c r="J1786" s="32">
        <v>11290445</v>
      </c>
      <c r="K1786" s="33">
        <v>48183964</v>
      </c>
      <c r="L1786" s="33">
        <v>40250000</v>
      </c>
      <c r="M1786" s="34">
        <v>1.1971171180124223</v>
      </c>
      <c r="N1786" s="209" t="str">
        <f>IFERROR(VLOOKUP(F1786,Back!C:F,4,0),"NO")</f>
        <v>Si</v>
      </c>
      <c r="O1786" s="26">
        <v>24</v>
      </c>
      <c r="P1786" s="28" t="str">
        <f>IFERROR(VLOOKUP(F1786,Back!C:E,3,0),"")</f>
        <v>IPS Pto De Vista Centro</v>
      </c>
      <c r="Q1786" s="28" t="str">
        <f>IFERROR(VLOOKUP(P1786,Back!M:N,2,0),"")</f>
        <v>Antioquia</v>
      </c>
      <c r="R1786" s="27" t="str">
        <f>IF(N1786="Si",IFERROR(VLOOKUP(F1786,'TD Cumpl'!B:AB,27,0),"No Aplica"),"No Aplica")</f>
        <v>Siempre Cumple</v>
      </c>
      <c r="S1786" s="38">
        <v>106</v>
      </c>
      <c r="T1786" s="46">
        <v>11076765</v>
      </c>
      <c r="U1786" s="38">
        <v>224</v>
      </c>
      <c r="V1786" s="46">
        <v>32542023</v>
      </c>
      <c r="W1786" s="38">
        <v>123</v>
      </c>
      <c r="X1786" s="38">
        <v>11290445</v>
      </c>
      <c r="Y1786" s="46">
        <f t="shared" si="56"/>
        <v>4799176</v>
      </c>
      <c r="Z1786" s="19" t="s">
        <v>318</v>
      </c>
    </row>
    <row r="1787" spans="1:26" x14ac:dyDescent="0.25">
      <c r="A1787" s="20">
        <f>+VLOOKUP(D1787,Back!Q:R,2,0)</f>
        <v>12</v>
      </c>
      <c r="B1787" s="20" t="str">
        <f t="shared" si="55"/>
        <v>2018 DIC</v>
      </c>
      <c r="C1787" s="30">
        <v>2018</v>
      </c>
      <c r="D1787" s="30" t="s">
        <v>187</v>
      </c>
      <c r="E1787" s="30" t="s">
        <v>269</v>
      </c>
      <c r="F1787" s="30">
        <v>1001131473</v>
      </c>
      <c r="G1787" s="30" t="s">
        <v>331</v>
      </c>
      <c r="H1787" s="32">
        <v>55743984</v>
      </c>
      <c r="I1787" s="32">
        <v>468000</v>
      </c>
      <c r="J1787" s="32">
        <v>12035486</v>
      </c>
      <c r="K1787" s="33">
        <v>43240498</v>
      </c>
      <c r="L1787" s="33">
        <v>40250000</v>
      </c>
      <c r="M1787" s="34">
        <v>1.0742980869565217</v>
      </c>
      <c r="N1787" s="209" t="str">
        <f>IFERROR(VLOOKUP(F1787,Back!C:F,4,0),"NO")</f>
        <v>Si</v>
      </c>
      <c r="O1787" s="26">
        <v>24</v>
      </c>
      <c r="P1787" s="28" t="str">
        <f>IFERROR(VLOOKUP(F1787,Back!C:E,3,0),"")</f>
        <v>IPS Pto De Vista Centro</v>
      </c>
      <c r="Q1787" s="28" t="str">
        <f>IFERROR(VLOOKUP(P1787,Back!M:N,2,0),"")</f>
        <v>Antioquia</v>
      </c>
      <c r="R1787" s="27" t="str">
        <f>IF(N1787="Si",IFERROR(VLOOKUP(F1787,'TD Cumpl'!B:AB,27,0),"No Aplica"),"No Aplica")</f>
        <v>No Cumple</v>
      </c>
      <c r="S1787" s="38">
        <v>90</v>
      </c>
      <c r="T1787" s="46">
        <v>9382932</v>
      </c>
      <c r="U1787" s="38">
        <v>225</v>
      </c>
      <c r="V1787" s="46">
        <v>28722750</v>
      </c>
      <c r="W1787" s="38">
        <v>130</v>
      </c>
      <c r="X1787" s="38">
        <v>12035486</v>
      </c>
      <c r="Y1787" s="46">
        <f t="shared" si="56"/>
        <v>5602816</v>
      </c>
      <c r="Z1787" s="19" t="s">
        <v>318</v>
      </c>
    </row>
    <row r="1788" spans="1:26" x14ac:dyDescent="0.25">
      <c r="A1788" s="20">
        <f>+VLOOKUP(D1788,Back!Q:R,2,0)</f>
        <v>12</v>
      </c>
      <c r="B1788" s="20" t="str">
        <f t="shared" si="55"/>
        <v>2018 DIC</v>
      </c>
      <c r="C1788" s="30">
        <v>2018</v>
      </c>
      <c r="D1788" s="30" t="s">
        <v>187</v>
      </c>
      <c r="E1788" s="30" t="s">
        <v>265</v>
      </c>
      <c r="F1788" s="30">
        <v>39175639</v>
      </c>
      <c r="G1788" s="30" t="s">
        <v>268</v>
      </c>
      <c r="H1788" s="32">
        <v>55493822</v>
      </c>
      <c r="I1788" s="32">
        <v>1740000</v>
      </c>
      <c r="J1788" s="32">
        <v>9708469</v>
      </c>
      <c r="K1788" s="33">
        <v>44045353</v>
      </c>
      <c r="L1788" s="33">
        <v>40250000</v>
      </c>
      <c r="M1788" s="34">
        <v>1.0942944844720497</v>
      </c>
      <c r="N1788" s="209" t="str">
        <f>IFERROR(VLOOKUP(F1788,Back!C:F,4,0),"NO")</f>
        <v>Si</v>
      </c>
      <c r="O1788" s="26">
        <v>24</v>
      </c>
      <c r="P1788" s="28" t="str">
        <f>IFERROR(VLOOKUP(F1788,Back!C:E,3,0),"")</f>
        <v>IPS Pto De Vista Centro</v>
      </c>
      <c r="Q1788" s="28" t="str">
        <f>IFERROR(VLOOKUP(P1788,Back!M:N,2,0),"")</f>
        <v>Antioquia</v>
      </c>
      <c r="R1788" s="27" t="str">
        <f>IF(N1788="Si",IFERROR(VLOOKUP(F1788,'TD Cumpl'!B:AB,27,0),"No Aplica"),"No Aplica")</f>
        <v>Fluctúa</v>
      </c>
      <c r="S1788" s="38">
        <v>92</v>
      </c>
      <c r="T1788" s="46">
        <v>8645283</v>
      </c>
      <c r="U1788" s="38">
        <v>203</v>
      </c>
      <c r="V1788" s="46">
        <v>28291438</v>
      </c>
      <c r="W1788" s="38">
        <v>91</v>
      </c>
      <c r="X1788" s="38">
        <v>9708469</v>
      </c>
      <c r="Y1788" s="46">
        <f t="shared" si="56"/>
        <v>8848632</v>
      </c>
      <c r="Z1788" s="19" t="s">
        <v>318</v>
      </c>
    </row>
    <row r="1789" spans="1:26" x14ac:dyDescent="0.25">
      <c r="A1789" s="20">
        <f>+VLOOKUP(D1789,Back!Q:R,2,0)</f>
        <v>12</v>
      </c>
      <c r="B1789" s="20" t="str">
        <f t="shared" si="55"/>
        <v>2018 DIC</v>
      </c>
      <c r="C1789" s="30">
        <v>2018</v>
      </c>
      <c r="D1789" s="30" t="s">
        <v>187</v>
      </c>
      <c r="E1789" s="30" t="s">
        <v>177</v>
      </c>
      <c r="F1789" s="30">
        <v>1035913369</v>
      </c>
      <c r="G1789" s="30" t="s">
        <v>183</v>
      </c>
      <c r="H1789" s="32">
        <v>54643726</v>
      </c>
      <c r="I1789" s="32">
        <v>0</v>
      </c>
      <c r="J1789" s="32">
        <v>11096507</v>
      </c>
      <c r="K1789" s="33">
        <v>43547219</v>
      </c>
      <c r="L1789" s="33">
        <v>40250000</v>
      </c>
      <c r="M1789" s="34">
        <v>1.0819184844720497</v>
      </c>
      <c r="N1789" s="209" t="str">
        <f>IFERROR(VLOOKUP(F1789,Back!C:F,4,0),"NO")</f>
        <v>Si</v>
      </c>
      <c r="O1789" s="26">
        <v>24</v>
      </c>
      <c r="P1789" s="28" t="str">
        <f>IFERROR(VLOOKUP(F1789,Back!C:E,3,0),"")</f>
        <v>IPS Pto De Vista Centro</v>
      </c>
      <c r="Q1789" s="28" t="str">
        <f>IFERROR(VLOOKUP(P1789,Back!M:N,2,0),"")</f>
        <v>Antioquia</v>
      </c>
      <c r="R1789" s="27" t="str">
        <f>IF(N1789="Si",IFERROR(VLOOKUP(F1789,'TD Cumpl'!B:AB,27,0),"No Aplica"),"No Aplica")</f>
        <v>Fluctúa</v>
      </c>
      <c r="S1789" s="38">
        <v>98</v>
      </c>
      <c r="T1789" s="46">
        <v>9689625</v>
      </c>
      <c r="U1789" s="38">
        <v>224</v>
      </c>
      <c r="V1789" s="46">
        <v>27546292</v>
      </c>
      <c r="W1789" s="38">
        <v>113</v>
      </c>
      <c r="X1789" s="38">
        <v>11096507</v>
      </c>
      <c r="Y1789" s="46">
        <f t="shared" si="56"/>
        <v>6311302</v>
      </c>
      <c r="Z1789" s="19" t="s">
        <v>318</v>
      </c>
    </row>
    <row r="1790" spans="1:26" x14ac:dyDescent="0.25">
      <c r="A1790" s="20">
        <f>+VLOOKUP(D1790,Back!Q:R,2,0)</f>
        <v>12</v>
      </c>
      <c r="B1790" s="20" t="str">
        <f t="shared" ref="B1790:B1853" si="57">MID(UPPER(C1790&amp;" "&amp;D1790),1,8)</f>
        <v>2018 DIC</v>
      </c>
      <c r="C1790" s="30">
        <v>2018</v>
      </c>
      <c r="D1790" s="30" t="s">
        <v>187</v>
      </c>
      <c r="E1790" s="30" t="s">
        <v>23</v>
      </c>
      <c r="F1790" s="30">
        <v>43907427</v>
      </c>
      <c r="G1790" s="30" t="s">
        <v>144</v>
      </c>
      <c r="H1790" s="32">
        <v>54539056</v>
      </c>
      <c r="I1790" s="32">
        <v>596970</v>
      </c>
      <c r="J1790" s="32">
        <v>5123637</v>
      </c>
      <c r="K1790" s="33">
        <v>48818449</v>
      </c>
      <c r="L1790" s="33">
        <v>38333341</v>
      </c>
      <c r="M1790" s="34">
        <v>1.2735245018168388</v>
      </c>
      <c r="N1790" s="209" t="str">
        <f>IFERROR(VLOOKUP(F1790,Back!C:F,4,0),"NO")</f>
        <v>Si</v>
      </c>
      <c r="O1790" s="26">
        <v>24</v>
      </c>
      <c r="P1790" s="28" t="str">
        <f>IFERROR(VLOOKUP(F1790,Back!C:E,3,0),"")</f>
        <v>IPS Pto De Vista Industriales</v>
      </c>
      <c r="Q1790" s="28" t="str">
        <f>IFERROR(VLOOKUP(P1790,Back!M:N,2,0),"")</f>
        <v>Antioquia</v>
      </c>
      <c r="R1790" s="27" t="str">
        <f>IF(N1790="Si",IFERROR(VLOOKUP(F1790,'TD Cumpl'!B:AB,27,0),"No Aplica"),"No Aplica")</f>
        <v>Siempre Cumple</v>
      </c>
      <c r="S1790" s="38">
        <v>50</v>
      </c>
      <c r="T1790" s="46">
        <v>9180776</v>
      </c>
      <c r="U1790" s="38">
        <v>165</v>
      </c>
      <c r="V1790" s="46">
        <v>32081925</v>
      </c>
      <c r="W1790" s="38">
        <v>63</v>
      </c>
      <c r="X1790" s="38">
        <v>5123637</v>
      </c>
      <c r="Y1790" s="46">
        <f t="shared" si="56"/>
        <v>8152718</v>
      </c>
      <c r="Z1790" s="19" t="s">
        <v>318</v>
      </c>
    </row>
    <row r="1791" spans="1:26" x14ac:dyDescent="0.25">
      <c r="A1791" s="20">
        <f>+VLOOKUP(D1791,Back!Q:R,2,0)</f>
        <v>12</v>
      </c>
      <c r="B1791" s="20" t="str">
        <f t="shared" si="57"/>
        <v>2018 DIC</v>
      </c>
      <c r="C1791" s="30">
        <v>2018</v>
      </c>
      <c r="D1791" s="30" t="s">
        <v>187</v>
      </c>
      <c r="E1791" s="30" t="s">
        <v>66</v>
      </c>
      <c r="F1791" s="30">
        <v>3438422</v>
      </c>
      <c r="G1791" s="30" t="s">
        <v>71</v>
      </c>
      <c r="H1791" s="32">
        <v>52315252</v>
      </c>
      <c r="I1791" s="32">
        <v>0</v>
      </c>
      <c r="J1791" s="32">
        <v>9084327</v>
      </c>
      <c r="K1791" s="33">
        <v>43230925</v>
      </c>
      <c r="L1791" s="33">
        <v>42166659</v>
      </c>
      <c r="M1791" s="34">
        <v>1.0252395144704256</v>
      </c>
      <c r="N1791" s="209" t="str">
        <f>IFERROR(VLOOKUP(F1791,Back!C:F,4,0),"NO")</f>
        <v>Si</v>
      </c>
      <c r="O1791" s="26">
        <v>24</v>
      </c>
      <c r="P1791" s="28" t="str">
        <f>IFERROR(VLOOKUP(F1791,Back!C:E,3,0),"")</f>
        <v>IPS Pto De Vista Punto Clave</v>
      </c>
      <c r="Q1791" s="28" t="str">
        <f>IFERROR(VLOOKUP(P1791,Back!M:N,2,0),"")</f>
        <v>Antioquia</v>
      </c>
      <c r="R1791" s="27" t="str">
        <f>IF(N1791="Si",IFERROR(VLOOKUP(F1791,'TD Cumpl'!B:AB,27,0),"No Aplica"),"No Aplica")</f>
        <v>Fluctúa</v>
      </c>
      <c r="S1791" s="38">
        <v>64</v>
      </c>
      <c r="T1791" s="46">
        <v>6045710</v>
      </c>
      <c r="U1791" s="38">
        <v>187</v>
      </c>
      <c r="V1791" s="46">
        <v>26609763</v>
      </c>
      <c r="W1791" s="38">
        <v>89</v>
      </c>
      <c r="X1791" s="38">
        <v>9084327</v>
      </c>
      <c r="Y1791" s="46">
        <f t="shared" si="56"/>
        <v>10575452</v>
      </c>
      <c r="Z1791" s="19" t="s">
        <v>318</v>
      </c>
    </row>
    <row r="1792" spans="1:26" x14ac:dyDescent="0.25">
      <c r="A1792" s="20">
        <f>+VLOOKUP(D1792,Back!Q:R,2,0)</f>
        <v>12</v>
      </c>
      <c r="B1792" s="20" t="str">
        <f t="shared" si="57"/>
        <v>2018 DIC</v>
      </c>
      <c r="C1792" s="30">
        <v>2018</v>
      </c>
      <c r="D1792" s="30" t="s">
        <v>187</v>
      </c>
      <c r="E1792" s="30" t="s">
        <v>166</v>
      </c>
      <c r="F1792" s="30">
        <v>1020451288</v>
      </c>
      <c r="G1792" s="30" t="s">
        <v>167</v>
      </c>
      <c r="H1792" s="32">
        <v>34998030</v>
      </c>
      <c r="I1792" s="32">
        <v>954000</v>
      </c>
      <c r="J1792" s="32">
        <v>5982242</v>
      </c>
      <c r="K1792" s="33">
        <v>28061788</v>
      </c>
      <c r="L1792" s="33">
        <v>27499995</v>
      </c>
      <c r="M1792" s="34">
        <v>1.0204288400779709</v>
      </c>
      <c r="N1792" s="209" t="str">
        <f>IFERROR(VLOOKUP(F1792,Back!C:F,4,0),"NO")</f>
        <v>Si</v>
      </c>
      <c r="O1792" s="26">
        <v>24</v>
      </c>
      <c r="P1792" s="28" t="str">
        <f>IFERROR(VLOOKUP(F1792,Back!C:E,3,0),"")</f>
        <v>IPS Pto De Vista Punto Clave</v>
      </c>
      <c r="Q1792" s="28" t="str">
        <f>IFERROR(VLOOKUP(P1792,Back!M:N,2,0),"")</f>
        <v>Antioquia</v>
      </c>
      <c r="R1792" s="27" t="str">
        <f>IF(N1792="Si",IFERROR(VLOOKUP(F1792,'TD Cumpl'!B:AB,27,0),"No Aplica"),"No Aplica")</f>
        <v>Cumple</v>
      </c>
      <c r="S1792" s="38">
        <v>57</v>
      </c>
      <c r="T1792" s="46">
        <v>5101688</v>
      </c>
      <c r="U1792" s="38">
        <v>138</v>
      </c>
      <c r="V1792" s="46">
        <v>17538848</v>
      </c>
      <c r="W1792" s="38">
        <v>58</v>
      </c>
      <c r="X1792" s="38">
        <v>5982242</v>
      </c>
      <c r="Y1792" s="46">
        <f t="shared" si="56"/>
        <v>6375252</v>
      </c>
      <c r="Z1792" s="19" t="s">
        <v>317</v>
      </c>
    </row>
    <row r="1793" spans="1:26" x14ac:dyDescent="0.25">
      <c r="A1793" s="20">
        <f>+VLOOKUP(D1793,Back!Q:R,2,0)</f>
        <v>12</v>
      </c>
      <c r="B1793" s="20" t="str">
        <f t="shared" si="57"/>
        <v>2018 DIC</v>
      </c>
      <c r="C1793" s="30">
        <v>2018</v>
      </c>
      <c r="D1793" s="30" t="s">
        <v>187</v>
      </c>
      <c r="E1793" s="30" t="s">
        <v>108</v>
      </c>
      <c r="F1793" s="30">
        <v>1020443426</v>
      </c>
      <c r="G1793" s="30" t="s">
        <v>109</v>
      </c>
      <c r="H1793" s="32">
        <v>33988800</v>
      </c>
      <c r="I1793" s="32">
        <v>0</v>
      </c>
      <c r="J1793" s="32">
        <v>11153853</v>
      </c>
      <c r="K1793" s="33">
        <v>22834947</v>
      </c>
      <c r="L1793" s="33">
        <v>36541659</v>
      </c>
      <c r="M1793" s="34">
        <v>0.62490175938645809</v>
      </c>
      <c r="N1793" s="209" t="str">
        <f>IFERROR(VLOOKUP(F1793,Back!C:F,4,0),"NO")</f>
        <v>Si</v>
      </c>
      <c r="O1793" s="26">
        <v>24</v>
      </c>
      <c r="P1793" s="28" t="str">
        <f>IFERROR(VLOOKUP(F1793,Back!C:E,3,0),"")</f>
        <v>IPS Pto De Vista San Diego</v>
      </c>
      <c r="Q1793" s="28" t="str">
        <f>IFERROR(VLOOKUP(P1793,Back!M:N,2,0),"")</f>
        <v>Antioquia</v>
      </c>
      <c r="R1793" s="27" t="str">
        <f>IF(N1793="Si",IFERROR(VLOOKUP(F1793,'TD Cumpl'!B:AB,27,0),"No Aplica"),"No Aplica")</f>
        <v>Fluctúa</v>
      </c>
      <c r="S1793" s="38">
        <v>61</v>
      </c>
      <c r="T1793" s="46">
        <v>5172985</v>
      </c>
      <c r="U1793" s="38">
        <v>154</v>
      </c>
      <c r="V1793" s="46">
        <v>14120841</v>
      </c>
      <c r="W1793" s="38">
        <v>115</v>
      </c>
      <c r="X1793" s="38">
        <v>11153853</v>
      </c>
      <c r="Y1793" s="46">
        <f t="shared" ref="Y1793:Y1856" si="58">+H1793-X1793-V1793-T1793</f>
        <v>3541121</v>
      </c>
      <c r="Z1793" s="19" t="s">
        <v>318</v>
      </c>
    </row>
    <row r="1794" spans="1:26" x14ac:dyDescent="0.25">
      <c r="A1794" s="20">
        <f>+VLOOKUP(D1794,Back!Q:R,2,0)</f>
        <v>12</v>
      </c>
      <c r="B1794" s="20" t="str">
        <f t="shared" si="57"/>
        <v>2018 DIC</v>
      </c>
      <c r="C1794" s="30">
        <v>2018</v>
      </c>
      <c r="D1794" s="30" t="s">
        <v>187</v>
      </c>
      <c r="E1794" s="30" t="s">
        <v>57</v>
      </c>
      <c r="F1794" s="30">
        <v>43874518</v>
      </c>
      <c r="G1794" s="30" t="s">
        <v>60</v>
      </c>
      <c r="H1794" s="32">
        <v>57357192</v>
      </c>
      <c r="I1794" s="32">
        <v>1840100</v>
      </c>
      <c r="J1794" s="32">
        <v>9444659</v>
      </c>
      <c r="K1794" s="33">
        <v>46072433</v>
      </c>
      <c r="L1794" s="33">
        <v>42166659</v>
      </c>
      <c r="M1794" s="34">
        <v>1.0926270682246844</v>
      </c>
      <c r="N1794" s="209" t="str">
        <f>IFERROR(VLOOKUP(F1794,Back!C:F,4,0),"NO")</f>
        <v>Si</v>
      </c>
      <c r="O1794" s="26">
        <v>24</v>
      </c>
      <c r="P1794" s="28" t="str">
        <f>IFERROR(VLOOKUP(F1794,Back!C:E,3,0),"")</f>
        <v>IPS Pto De Vista Punto Clave</v>
      </c>
      <c r="Q1794" s="28" t="str">
        <f>IFERROR(VLOOKUP(P1794,Back!M:N,2,0),"")</f>
        <v>Antioquia</v>
      </c>
      <c r="R1794" s="27" t="str">
        <f>IF(N1794="Si",IFERROR(VLOOKUP(F1794,'TD Cumpl'!B:AB,27,0),"No Aplica"),"No Aplica")</f>
        <v>Fluctúa</v>
      </c>
      <c r="S1794" s="38">
        <v>99</v>
      </c>
      <c r="T1794" s="46">
        <v>9164230</v>
      </c>
      <c r="U1794" s="38">
        <v>269</v>
      </c>
      <c r="V1794" s="46">
        <v>30459189</v>
      </c>
      <c r="W1794" s="38">
        <v>91</v>
      </c>
      <c r="X1794" s="38">
        <v>9444659</v>
      </c>
      <c r="Y1794" s="46">
        <f t="shared" si="58"/>
        <v>8289114</v>
      </c>
      <c r="Z1794" s="19" t="s">
        <v>318</v>
      </c>
    </row>
    <row r="1795" spans="1:26" x14ac:dyDescent="0.25">
      <c r="A1795" s="20">
        <f>+VLOOKUP(D1795,Back!Q:R,2,0)</f>
        <v>12</v>
      </c>
      <c r="B1795" s="20" t="str">
        <f t="shared" si="57"/>
        <v>2018 DIC</v>
      </c>
      <c r="C1795" s="30">
        <v>2018</v>
      </c>
      <c r="D1795" s="30" t="s">
        <v>187</v>
      </c>
      <c r="E1795" s="30" t="s">
        <v>64</v>
      </c>
      <c r="F1795" s="30">
        <v>1036598360</v>
      </c>
      <c r="G1795" s="30" t="s">
        <v>146</v>
      </c>
      <c r="H1795" s="32">
        <v>32191938</v>
      </c>
      <c r="I1795" s="32">
        <v>942000</v>
      </c>
      <c r="J1795" s="32">
        <v>8908227</v>
      </c>
      <c r="K1795" s="33">
        <v>22341711</v>
      </c>
      <c r="L1795" s="33">
        <v>42166659</v>
      </c>
      <c r="M1795" s="34">
        <v>0.52984304495169987</v>
      </c>
      <c r="N1795" s="209" t="str">
        <f>IFERROR(VLOOKUP(F1795,Back!C:F,4,0),"NO")</f>
        <v>Si</v>
      </c>
      <c r="O1795" s="26">
        <v>24</v>
      </c>
      <c r="P1795" s="28" t="str">
        <f>IFERROR(VLOOKUP(F1795,Back!C:E,3,0),"")</f>
        <v>IPS Pto De Vista Punto Clave</v>
      </c>
      <c r="Q1795" s="28" t="str">
        <f>IFERROR(VLOOKUP(P1795,Back!M:N,2,0),"")</f>
        <v>Antioquia</v>
      </c>
      <c r="R1795" s="27" t="str">
        <f>IF(N1795="Si",IFERROR(VLOOKUP(F1795,'TD Cumpl'!B:AB,27,0),"No Aplica"),"No Aplica")</f>
        <v>Fluctúa</v>
      </c>
      <c r="S1795" s="38">
        <v>52</v>
      </c>
      <c r="T1795" s="46">
        <v>4395350</v>
      </c>
      <c r="U1795" s="38">
        <v>122</v>
      </c>
      <c r="V1795" s="46">
        <v>12769597</v>
      </c>
      <c r="W1795" s="38">
        <v>81</v>
      </c>
      <c r="X1795" s="38">
        <v>8908227</v>
      </c>
      <c r="Y1795" s="46">
        <f t="shared" si="58"/>
        <v>6118764</v>
      </c>
      <c r="Z1795" s="19" t="s">
        <v>318</v>
      </c>
    </row>
    <row r="1796" spans="1:26" x14ac:dyDescent="0.25">
      <c r="A1796" s="20">
        <f>+VLOOKUP(D1796,Back!Q:R,2,0)</f>
        <v>12</v>
      </c>
      <c r="B1796" s="20" t="str">
        <f t="shared" si="57"/>
        <v>2018 DIC</v>
      </c>
      <c r="C1796" s="30">
        <v>2018</v>
      </c>
      <c r="D1796" s="30" t="s">
        <v>187</v>
      </c>
      <c r="E1796" s="30" t="s">
        <v>261</v>
      </c>
      <c r="F1796" s="30">
        <v>1020425089</v>
      </c>
      <c r="G1796" s="30" t="s">
        <v>271</v>
      </c>
      <c r="H1796" s="32">
        <v>57406600</v>
      </c>
      <c r="I1796" s="32">
        <v>936000</v>
      </c>
      <c r="J1796" s="32">
        <v>12649356</v>
      </c>
      <c r="K1796" s="33">
        <v>43821244</v>
      </c>
      <c r="L1796" s="33">
        <v>41833327</v>
      </c>
      <c r="M1796" s="34">
        <v>1.0475199354811058</v>
      </c>
      <c r="N1796" s="209" t="str">
        <f>IFERROR(VLOOKUP(F1796,Back!C:F,4,0),"NO")</f>
        <v>Si</v>
      </c>
      <c r="O1796" s="26">
        <v>24</v>
      </c>
      <c r="P1796" s="28" t="str">
        <f>IFERROR(VLOOKUP(F1796,Back!C:E,3,0),"")</f>
        <v>IPS Pto De Vista Punto Clave</v>
      </c>
      <c r="Q1796" s="28" t="str">
        <f>IFERROR(VLOOKUP(P1796,Back!M:N,2,0),"")</f>
        <v>Antioquia</v>
      </c>
      <c r="R1796" s="27" t="str">
        <f>IF(N1796="Si",IFERROR(VLOOKUP(F1796,'TD Cumpl'!B:AB,27,0),"No Aplica"),"No Aplica")</f>
        <v>Cumple</v>
      </c>
      <c r="S1796" s="38">
        <v>96</v>
      </c>
      <c r="T1796" s="46">
        <v>8716244</v>
      </c>
      <c r="U1796" s="38">
        <v>258</v>
      </c>
      <c r="V1796" s="46">
        <v>29027192</v>
      </c>
      <c r="W1796" s="38">
        <v>124</v>
      </c>
      <c r="X1796" s="38">
        <v>12649356</v>
      </c>
      <c r="Y1796" s="46">
        <f t="shared" si="58"/>
        <v>7013808</v>
      </c>
      <c r="Z1796" s="19" t="s">
        <v>318</v>
      </c>
    </row>
    <row r="1797" spans="1:26" x14ac:dyDescent="0.25">
      <c r="A1797" s="20">
        <f>+VLOOKUP(D1797,Back!Q:R,2,0)</f>
        <v>12</v>
      </c>
      <c r="B1797" s="20" t="str">
        <f t="shared" si="57"/>
        <v>2018 DIC</v>
      </c>
      <c r="C1797" s="30">
        <v>2018</v>
      </c>
      <c r="D1797" s="30" t="s">
        <v>187</v>
      </c>
      <c r="E1797" s="30" t="s">
        <v>90</v>
      </c>
      <c r="F1797" s="30">
        <v>1020419011</v>
      </c>
      <c r="G1797" s="30" t="s">
        <v>97</v>
      </c>
      <c r="H1797" s="32">
        <v>59257538</v>
      </c>
      <c r="I1797" s="32">
        <v>840000</v>
      </c>
      <c r="J1797" s="32">
        <v>12782673</v>
      </c>
      <c r="K1797" s="33">
        <v>45634865</v>
      </c>
      <c r="L1797" s="33">
        <v>42166659</v>
      </c>
      <c r="M1797" s="34">
        <v>1.0822499596185697</v>
      </c>
      <c r="N1797" s="209" t="str">
        <f>IFERROR(VLOOKUP(F1797,Back!C:F,4,0),"NO")</f>
        <v>Si</v>
      </c>
      <c r="O1797" s="26">
        <v>24</v>
      </c>
      <c r="P1797" s="28" t="str">
        <f>IFERROR(VLOOKUP(F1797,Back!C:E,3,0),"")</f>
        <v>IPS Pto De Vista Punto Clave</v>
      </c>
      <c r="Q1797" s="28" t="str">
        <f>IFERROR(VLOOKUP(P1797,Back!M:N,2,0),"")</f>
        <v>Antioquia</v>
      </c>
      <c r="R1797" s="27" t="str">
        <f>IF(N1797="Si",IFERROR(VLOOKUP(F1797,'TD Cumpl'!B:AB,27,0),"No Aplica"),"No Aplica")</f>
        <v>Cumple</v>
      </c>
      <c r="S1797" s="38">
        <v>99</v>
      </c>
      <c r="T1797" s="46">
        <v>9803327</v>
      </c>
      <c r="U1797" s="38">
        <v>226</v>
      </c>
      <c r="V1797" s="46">
        <v>29464117</v>
      </c>
      <c r="W1797" s="38">
        <v>117</v>
      </c>
      <c r="X1797" s="38">
        <v>12782673</v>
      </c>
      <c r="Y1797" s="46">
        <f t="shared" si="58"/>
        <v>7207421</v>
      </c>
      <c r="Z1797" s="19" t="s">
        <v>318</v>
      </c>
    </row>
    <row r="1798" spans="1:26" x14ac:dyDescent="0.25">
      <c r="A1798" s="20">
        <f>+VLOOKUP(D1798,Back!Q:R,2,0)</f>
        <v>12</v>
      </c>
      <c r="B1798" s="20" t="str">
        <f t="shared" si="57"/>
        <v>2018 DIC</v>
      </c>
      <c r="C1798" s="30">
        <v>2018</v>
      </c>
      <c r="D1798" s="30" t="s">
        <v>187</v>
      </c>
      <c r="E1798" s="30" t="s">
        <v>117</v>
      </c>
      <c r="F1798" s="30">
        <v>1020419615</v>
      </c>
      <c r="G1798" s="30" t="s">
        <v>118</v>
      </c>
      <c r="H1798" s="32">
        <v>58193090</v>
      </c>
      <c r="I1798" s="32">
        <v>640000</v>
      </c>
      <c r="J1798" s="32">
        <v>11530022</v>
      </c>
      <c r="K1798" s="33">
        <v>46023068</v>
      </c>
      <c r="L1798" s="33">
        <v>42166659</v>
      </c>
      <c r="M1798" s="34">
        <v>1.0914563565493771</v>
      </c>
      <c r="N1798" s="209" t="str">
        <f>IFERROR(VLOOKUP(F1798,Back!C:F,4,0),"NO")</f>
        <v>Si</v>
      </c>
      <c r="O1798" s="26">
        <v>24</v>
      </c>
      <c r="P1798" s="28" t="str">
        <f>IFERROR(VLOOKUP(F1798,Back!C:E,3,0),"")</f>
        <v>IPS Pto De Vista Punto Clave</v>
      </c>
      <c r="Q1798" s="28" t="str">
        <f>IFERROR(VLOOKUP(P1798,Back!M:N,2,0),"")</f>
        <v>Antioquia</v>
      </c>
      <c r="R1798" s="27" t="str">
        <f>IF(N1798="Si",IFERROR(VLOOKUP(F1798,'TD Cumpl'!B:AB,27,0),"No Aplica"),"No Aplica")</f>
        <v>Cumple</v>
      </c>
      <c r="S1798" s="38">
        <v>83</v>
      </c>
      <c r="T1798" s="46">
        <v>7742076</v>
      </c>
      <c r="U1798" s="38">
        <v>239</v>
      </c>
      <c r="V1798" s="46">
        <v>31194770</v>
      </c>
      <c r="W1798" s="38">
        <v>110</v>
      </c>
      <c r="X1798" s="38">
        <v>11124504</v>
      </c>
      <c r="Y1798" s="46">
        <f t="shared" si="58"/>
        <v>8131740</v>
      </c>
      <c r="Z1798" s="19" t="s">
        <v>318</v>
      </c>
    </row>
    <row r="1799" spans="1:26" x14ac:dyDescent="0.25">
      <c r="A1799" s="20">
        <f>+VLOOKUP(D1799,Back!Q:R,2,0)</f>
        <v>12</v>
      </c>
      <c r="B1799" s="20" t="str">
        <f t="shared" si="57"/>
        <v>2018 DIC</v>
      </c>
      <c r="C1799" s="30">
        <v>2018</v>
      </c>
      <c r="D1799" s="30" t="s">
        <v>187</v>
      </c>
      <c r="E1799" s="30" t="s">
        <v>6</v>
      </c>
      <c r="F1799" s="30">
        <v>43821410</v>
      </c>
      <c r="G1799" s="30" t="s">
        <v>40</v>
      </c>
      <c r="H1799" s="32">
        <v>70727093</v>
      </c>
      <c r="I1799" s="32">
        <v>2804100</v>
      </c>
      <c r="J1799" s="32">
        <v>11439189</v>
      </c>
      <c r="K1799" s="33">
        <v>56483804</v>
      </c>
      <c r="L1799" s="33">
        <v>42166659</v>
      </c>
      <c r="M1799" s="34">
        <v>1.3395370973071403</v>
      </c>
      <c r="N1799" s="209" t="str">
        <f>IFERROR(VLOOKUP(F1799,Back!C:F,4,0),"NO")</f>
        <v>Si</v>
      </c>
      <c r="O1799" s="26">
        <v>24</v>
      </c>
      <c r="P1799" s="28" t="str">
        <f>IFERROR(VLOOKUP(F1799,Back!C:E,3,0),"")</f>
        <v>IPS Pto De Vista Unicentro</v>
      </c>
      <c r="Q1799" s="28" t="str">
        <f>IFERROR(VLOOKUP(P1799,Back!M:N,2,0),"")</f>
        <v>Antioquia</v>
      </c>
      <c r="R1799" s="27" t="str">
        <f>IF(N1799="Si",IFERROR(VLOOKUP(F1799,'TD Cumpl'!B:AB,27,0),"No Aplica"),"No Aplica")</f>
        <v>Siempre Cumple</v>
      </c>
      <c r="S1799" s="38">
        <v>83</v>
      </c>
      <c r="T1799" s="46">
        <v>9244184</v>
      </c>
      <c r="U1799" s="38">
        <v>224</v>
      </c>
      <c r="V1799" s="46">
        <v>41430369</v>
      </c>
      <c r="W1799" s="38">
        <v>113</v>
      </c>
      <c r="X1799" s="38">
        <v>11193589</v>
      </c>
      <c r="Y1799" s="46">
        <f t="shared" si="58"/>
        <v>8858951</v>
      </c>
      <c r="Z1799" s="19" t="s">
        <v>318</v>
      </c>
    </row>
    <row r="1800" spans="1:26" x14ac:dyDescent="0.25">
      <c r="A1800" s="20">
        <f>+VLOOKUP(D1800,Back!Q:R,2,0)</f>
        <v>12</v>
      </c>
      <c r="B1800" s="20" t="str">
        <f t="shared" si="57"/>
        <v>2018 DIC</v>
      </c>
      <c r="C1800" s="30">
        <v>2018</v>
      </c>
      <c r="D1800" s="30" t="s">
        <v>187</v>
      </c>
      <c r="E1800" s="30" t="s">
        <v>21</v>
      </c>
      <c r="F1800" s="30">
        <v>1035417626</v>
      </c>
      <c r="G1800" s="30" t="s">
        <v>80</v>
      </c>
      <c r="H1800" s="32">
        <v>18734883</v>
      </c>
      <c r="I1800" s="32">
        <v>567000</v>
      </c>
      <c r="J1800" s="32">
        <v>4143904</v>
      </c>
      <c r="K1800" s="33">
        <v>14023979</v>
      </c>
      <c r="L1800" s="33">
        <v>27499995</v>
      </c>
      <c r="M1800" s="34">
        <v>0.50996296544781194</v>
      </c>
      <c r="N1800" s="209" t="str">
        <f>IFERROR(VLOOKUP(F1800,Back!C:F,4,0),"NO")</f>
        <v>Si</v>
      </c>
      <c r="O1800" s="26">
        <v>24</v>
      </c>
      <c r="P1800" s="28" t="str">
        <f>IFERROR(VLOOKUP(F1800,Back!C:E,3,0),"")</f>
        <v>IPS Pto De Vista Unicentro</v>
      </c>
      <c r="Q1800" s="28" t="str">
        <f>IFERROR(VLOOKUP(P1800,Back!M:N,2,0),"")</f>
        <v>Antioquia</v>
      </c>
      <c r="R1800" s="27" t="str">
        <f>IF(N1800="Si",IFERROR(VLOOKUP(F1800,'TD Cumpl'!B:AB,27,0),"No Aplica"),"No Aplica")</f>
        <v>Cumple</v>
      </c>
      <c r="S1800" s="38">
        <v>31</v>
      </c>
      <c r="T1800" s="46">
        <v>2633550</v>
      </c>
      <c r="U1800" s="38">
        <v>82</v>
      </c>
      <c r="V1800" s="46">
        <v>10022223</v>
      </c>
      <c r="W1800" s="38">
        <v>38</v>
      </c>
      <c r="X1800" s="38">
        <v>4143904</v>
      </c>
      <c r="Y1800" s="46">
        <f t="shared" si="58"/>
        <v>1935206</v>
      </c>
      <c r="Z1800" s="19" t="s">
        <v>319</v>
      </c>
    </row>
    <row r="1801" spans="1:26" x14ac:dyDescent="0.25">
      <c r="A1801" s="20">
        <f>+VLOOKUP(D1801,Back!Q:R,2,0)</f>
        <v>12</v>
      </c>
      <c r="B1801" s="20" t="str">
        <f t="shared" si="57"/>
        <v>2018 DIC</v>
      </c>
      <c r="C1801" s="30">
        <v>2018</v>
      </c>
      <c r="D1801" s="30" t="s">
        <v>187</v>
      </c>
      <c r="E1801" s="30" t="s">
        <v>7</v>
      </c>
      <c r="F1801" s="30">
        <v>43745952</v>
      </c>
      <c r="G1801" s="30" t="s">
        <v>50</v>
      </c>
      <c r="H1801" s="32">
        <v>77488844</v>
      </c>
      <c r="I1801" s="32">
        <v>1733100</v>
      </c>
      <c r="J1801" s="32">
        <v>11378236</v>
      </c>
      <c r="K1801" s="33">
        <v>64377508</v>
      </c>
      <c r="L1801" s="33">
        <v>42166659</v>
      </c>
      <c r="M1801" s="34">
        <v>1.5267395977471205</v>
      </c>
      <c r="N1801" s="209" t="str">
        <f>IFERROR(VLOOKUP(F1801,Back!C:F,4,0),"NO")</f>
        <v>Si</v>
      </c>
      <c r="O1801" s="26">
        <v>24</v>
      </c>
      <c r="P1801" s="28" t="str">
        <f>IFERROR(VLOOKUP(F1801,Back!C:E,3,0),"")</f>
        <v>IPS Pto De Vista Unicentro</v>
      </c>
      <c r="Q1801" s="28" t="str">
        <f>IFERROR(VLOOKUP(P1801,Back!M:N,2,0),"")</f>
        <v>Antioquia</v>
      </c>
      <c r="R1801" s="27" t="str">
        <f>IF(N1801="Si",IFERROR(VLOOKUP(F1801,'TD Cumpl'!B:AB,27,0),"No Aplica"),"No Aplica")</f>
        <v>Siempre Cumple</v>
      </c>
      <c r="S1801" s="38">
        <v>104</v>
      </c>
      <c r="T1801" s="46">
        <v>11760230</v>
      </c>
      <c r="U1801" s="38">
        <v>247</v>
      </c>
      <c r="V1801" s="46">
        <v>45203064</v>
      </c>
      <c r="W1801" s="38">
        <v>110</v>
      </c>
      <c r="X1801" s="38">
        <v>11222036</v>
      </c>
      <c r="Y1801" s="46">
        <f t="shared" si="58"/>
        <v>9303514</v>
      </c>
      <c r="Z1801" s="19" t="s">
        <v>318</v>
      </c>
    </row>
    <row r="1802" spans="1:26" x14ac:dyDescent="0.25">
      <c r="A1802" s="20">
        <f>+VLOOKUP(D1802,Back!Q:R,2,0)</f>
        <v>12</v>
      </c>
      <c r="B1802" s="20" t="str">
        <f t="shared" si="57"/>
        <v>2018 DIC</v>
      </c>
      <c r="C1802" s="30">
        <v>2018</v>
      </c>
      <c r="D1802" s="30" t="s">
        <v>187</v>
      </c>
      <c r="E1802" s="30" t="s">
        <v>18</v>
      </c>
      <c r="F1802" s="30">
        <v>39442617</v>
      </c>
      <c r="G1802" s="30" t="s">
        <v>41</v>
      </c>
      <c r="H1802" s="32">
        <v>21887657</v>
      </c>
      <c r="I1802" s="32">
        <v>0</v>
      </c>
      <c r="J1802" s="32">
        <v>5058049</v>
      </c>
      <c r="K1802" s="33">
        <v>16829608</v>
      </c>
      <c r="L1802" s="33">
        <v>15270000</v>
      </c>
      <c r="M1802" s="34">
        <v>1.1021354289456451</v>
      </c>
      <c r="N1802" s="209" t="str">
        <f>IFERROR(VLOOKUP(F1802,Back!C:F,4,0),"NO")</f>
        <v>Si</v>
      </c>
      <c r="O1802" s="26">
        <v>24</v>
      </c>
      <c r="P1802" s="28" t="str">
        <f>IFERROR(VLOOKUP(F1802,Back!C:E,3,0),"")</f>
        <v>IPS Pto De Vista San Diego</v>
      </c>
      <c r="Q1802" s="28" t="str">
        <f>IFERROR(VLOOKUP(P1802,Back!M:N,2,0),"")</f>
        <v>Antioquia</v>
      </c>
      <c r="R1802" s="27" t="str">
        <f>IF(N1802="Si",IFERROR(VLOOKUP(F1802,'TD Cumpl'!B:AB,27,0),"No Aplica"),"No Aplica")</f>
        <v>Cumple</v>
      </c>
      <c r="S1802" s="38">
        <v>33</v>
      </c>
      <c r="T1802" s="46">
        <v>3817650</v>
      </c>
      <c r="U1802" s="38">
        <v>73</v>
      </c>
      <c r="V1802" s="46">
        <v>10199258</v>
      </c>
      <c r="W1802" s="38">
        <v>49</v>
      </c>
      <c r="X1802" s="38">
        <v>5058049</v>
      </c>
      <c r="Y1802" s="46">
        <f t="shared" si="58"/>
        <v>2812700</v>
      </c>
      <c r="Z1802" s="19" t="s">
        <v>318</v>
      </c>
    </row>
    <row r="1803" spans="1:26" x14ac:dyDescent="0.25">
      <c r="A1803" s="20">
        <f>+VLOOKUP(D1803,Back!Q:R,2,0)</f>
        <v>12</v>
      </c>
      <c r="B1803" s="20" t="str">
        <f t="shared" si="57"/>
        <v>2018 DIC</v>
      </c>
      <c r="C1803" s="30">
        <v>2018</v>
      </c>
      <c r="D1803" s="30" t="s">
        <v>187</v>
      </c>
      <c r="E1803" s="30" t="s">
        <v>81</v>
      </c>
      <c r="F1803" s="30">
        <v>1017200970</v>
      </c>
      <c r="G1803" s="30" t="s">
        <v>82</v>
      </c>
      <c r="H1803" s="32">
        <v>45912025</v>
      </c>
      <c r="I1803" s="32">
        <v>945000</v>
      </c>
      <c r="J1803" s="32">
        <v>7202532</v>
      </c>
      <c r="K1803" s="33">
        <v>37764493</v>
      </c>
      <c r="L1803" s="33">
        <v>34500000</v>
      </c>
      <c r="M1803" s="34">
        <v>1.0946229855072465</v>
      </c>
      <c r="N1803" s="209" t="str">
        <f>IFERROR(VLOOKUP(F1803,Back!C:F,4,0),"NO")</f>
        <v>Si</v>
      </c>
      <c r="O1803" s="26">
        <v>24</v>
      </c>
      <c r="P1803" s="28" t="str">
        <f>IFERROR(VLOOKUP(F1803,Back!C:E,3,0),"")</f>
        <v>IPS Pto De Vista San Diego</v>
      </c>
      <c r="Q1803" s="28" t="str">
        <f>IFERROR(VLOOKUP(P1803,Back!M:N,2,0),"")</f>
        <v>Antioquia</v>
      </c>
      <c r="R1803" s="27" t="str">
        <f>IF(N1803="Si",IFERROR(VLOOKUP(F1803,'TD Cumpl'!B:AB,27,0),"No Aplica"),"No Aplica")</f>
        <v>Cumple</v>
      </c>
      <c r="S1803" s="38">
        <v>68</v>
      </c>
      <c r="T1803" s="46">
        <v>7412284</v>
      </c>
      <c r="U1803" s="38">
        <v>151</v>
      </c>
      <c r="V1803" s="46">
        <v>24242479</v>
      </c>
      <c r="W1803" s="38">
        <v>72</v>
      </c>
      <c r="X1803" s="38">
        <v>7202532</v>
      </c>
      <c r="Y1803" s="46">
        <f t="shared" si="58"/>
        <v>7054730</v>
      </c>
      <c r="Z1803" s="19" t="s">
        <v>318</v>
      </c>
    </row>
    <row r="1804" spans="1:26" x14ac:dyDescent="0.25">
      <c r="A1804" s="20">
        <f>+VLOOKUP(D1804,Back!Q:R,2,0)</f>
        <v>12</v>
      </c>
      <c r="B1804" s="20" t="str">
        <f t="shared" si="57"/>
        <v>2018 DIC</v>
      </c>
      <c r="C1804" s="30">
        <v>2018</v>
      </c>
      <c r="D1804" s="30" t="s">
        <v>187</v>
      </c>
      <c r="E1804" s="30" t="s">
        <v>17</v>
      </c>
      <c r="F1804" s="30">
        <v>43113640</v>
      </c>
      <c r="G1804" s="30" t="s">
        <v>47</v>
      </c>
      <c r="H1804" s="32">
        <v>48129831</v>
      </c>
      <c r="I1804" s="32">
        <v>221100</v>
      </c>
      <c r="J1804" s="32">
        <v>7028462</v>
      </c>
      <c r="K1804" s="33">
        <v>40880269</v>
      </c>
      <c r="L1804" s="33">
        <v>34500000</v>
      </c>
      <c r="M1804" s="34">
        <v>1.1849353333333332</v>
      </c>
      <c r="N1804" s="209" t="str">
        <f>IFERROR(VLOOKUP(F1804,Back!C:F,4,0),"NO")</f>
        <v>Si</v>
      </c>
      <c r="O1804" s="26">
        <v>24</v>
      </c>
      <c r="P1804" s="28" t="str">
        <f>IFERROR(VLOOKUP(F1804,Back!C:E,3,0),"")</f>
        <v>IPS Pto De Vista San Diego</v>
      </c>
      <c r="Q1804" s="28" t="str">
        <f>IFERROR(VLOOKUP(P1804,Back!M:N,2,0),"")</f>
        <v>Antioquia</v>
      </c>
      <c r="R1804" s="27" t="str">
        <f>IF(N1804="Si",IFERROR(VLOOKUP(F1804,'TD Cumpl'!B:AB,27,0),"No Aplica"),"No Aplica")</f>
        <v>Cumple</v>
      </c>
      <c r="S1804" s="38">
        <v>78</v>
      </c>
      <c r="T1804" s="46">
        <v>9170437</v>
      </c>
      <c r="U1804" s="38">
        <v>176</v>
      </c>
      <c r="V1804" s="46">
        <v>26087795</v>
      </c>
      <c r="W1804" s="38">
        <v>70</v>
      </c>
      <c r="X1804" s="38">
        <v>7028462</v>
      </c>
      <c r="Y1804" s="46">
        <f t="shared" si="58"/>
        <v>5843137</v>
      </c>
      <c r="Z1804" s="19" t="s">
        <v>318</v>
      </c>
    </row>
    <row r="1805" spans="1:26" x14ac:dyDescent="0.25">
      <c r="A1805" s="20">
        <f>+VLOOKUP(D1805,Back!Q:R,2,0)</f>
        <v>12</v>
      </c>
      <c r="B1805" s="20" t="str">
        <f t="shared" si="57"/>
        <v>2018 DIC</v>
      </c>
      <c r="C1805" s="30">
        <v>2018</v>
      </c>
      <c r="D1805" s="30" t="s">
        <v>187</v>
      </c>
      <c r="E1805" s="30" t="s">
        <v>181</v>
      </c>
      <c r="F1805" s="30">
        <v>32183069</v>
      </c>
      <c r="G1805" s="30" t="s">
        <v>182</v>
      </c>
      <c r="H1805" s="32">
        <v>38804047</v>
      </c>
      <c r="I1805" s="32">
        <v>630000</v>
      </c>
      <c r="J1805" s="32">
        <v>7658700</v>
      </c>
      <c r="K1805" s="33">
        <v>30515347</v>
      </c>
      <c r="L1805" s="33">
        <v>36708327</v>
      </c>
      <c r="M1805" s="34">
        <v>0.83129222968946526</v>
      </c>
      <c r="N1805" s="209" t="str">
        <f>IFERROR(VLOOKUP(F1805,Back!C:F,4,0),"NO")</f>
        <v>Si</v>
      </c>
      <c r="O1805" s="26">
        <v>24</v>
      </c>
      <c r="P1805" s="28" t="str">
        <f>IFERROR(VLOOKUP(F1805,Back!C:E,3,0),"")</f>
        <v>IPS Pto De Vista Molinos</v>
      </c>
      <c r="Q1805" s="28" t="str">
        <f>IFERROR(VLOOKUP(P1805,Back!M:N,2,0),"")</f>
        <v>Antioquia</v>
      </c>
      <c r="R1805" s="27" t="str">
        <f>IF(N1805="Si",IFERROR(VLOOKUP(F1805,'TD Cumpl'!B:AB,27,0),"No Aplica"),"No Aplica")</f>
        <v>No Cumple</v>
      </c>
      <c r="S1805" s="38">
        <v>66</v>
      </c>
      <c r="T1805" s="46">
        <v>5827351</v>
      </c>
      <c r="U1805" s="38">
        <v>154</v>
      </c>
      <c r="V1805" s="46">
        <v>20316465</v>
      </c>
      <c r="W1805" s="38">
        <v>76</v>
      </c>
      <c r="X1805" s="38">
        <v>7658700</v>
      </c>
      <c r="Y1805" s="46">
        <f t="shared" si="58"/>
        <v>5001531</v>
      </c>
      <c r="Z1805" s="19" t="s">
        <v>318</v>
      </c>
    </row>
    <row r="1806" spans="1:26" x14ac:dyDescent="0.25">
      <c r="A1806" s="20">
        <f>+VLOOKUP(D1806,Back!Q:R,2,0)</f>
        <v>12</v>
      </c>
      <c r="B1806" s="20" t="str">
        <f t="shared" si="57"/>
        <v>2018 DIC</v>
      </c>
      <c r="C1806" s="30">
        <v>2018</v>
      </c>
      <c r="D1806" s="30" t="s">
        <v>187</v>
      </c>
      <c r="E1806" s="30" t="s">
        <v>235</v>
      </c>
      <c r="F1806" s="30">
        <v>39275090</v>
      </c>
      <c r="G1806" s="30" t="s">
        <v>236</v>
      </c>
      <c r="H1806" s="32">
        <v>43438226</v>
      </c>
      <c r="I1806" s="32">
        <v>468000</v>
      </c>
      <c r="J1806" s="32">
        <v>9460802</v>
      </c>
      <c r="K1806" s="33">
        <v>33509424</v>
      </c>
      <c r="L1806" s="33">
        <v>30000000</v>
      </c>
      <c r="M1806" s="34">
        <v>1.1169808000000001</v>
      </c>
      <c r="N1806" s="209" t="str">
        <f>IFERROR(VLOOKUP(F1806,Back!C:F,4,0),"NO")</f>
        <v>Si</v>
      </c>
      <c r="O1806" s="26">
        <v>24</v>
      </c>
      <c r="P1806" s="28" t="str">
        <f>IFERROR(VLOOKUP(F1806,Back!C:E,3,0),"")</f>
        <v>IPS Pto De Vista San Diego</v>
      </c>
      <c r="Q1806" s="28" t="str">
        <f>IFERROR(VLOOKUP(P1806,Back!M:N,2,0),"")</f>
        <v>Antioquia</v>
      </c>
      <c r="R1806" s="27" t="str">
        <f>IF(N1806="Si",IFERROR(VLOOKUP(F1806,'TD Cumpl'!B:AB,27,0),"No Aplica"),"No Aplica")</f>
        <v>Siempre Cumple</v>
      </c>
      <c r="S1806" s="38">
        <v>61</v>
      </c>
      <c r="T1806" s="46">
        <v>5693145</v>
      </c>
      <c r="U1806" s="38">
        <v>146</v>
      </c>
      <c r="V1806" s="46">
        <v>23147017</v>
      </c>
      <c r="W1806" s="38">
        <v>94</v>
      </c>
      <c r="X1806" s="38">
        <v>9460802</v>
      </c>
      <c r="Y1806" s="46">
        <f t="shared" si="58"/>
        <v>5137262</v>
      </c>
      <c r="Z1806" s="19" t="s">
        <v>317</v>
      </c>
    </row>
    <row r="1807" spans="1:26" x14ac:dyDescent="0.25">
      <c r="A1807" s="20">
        <f>+VLOOKUP(D1807,Back!Q:R,2,0)</f>
        <v>12</v>
      </c>
      <c r="B1807" s="20" t="str">
        <f t="shared" si="57"/>
        <v>2018 DIC</v>
      </c>
      <c r="C1807" s="30">
        <v>2018</v>
      </c>
      <c r="D1807" s="30" t="s">
        <v>187</v>
      </c>
      <c r="E1807" s="30" t="s">
        <v>292</v>
      </c>
      <c r="F1807" s="30">
        <v>32352312</v>
      </c>
      <c r="G1807" s="30" t="s">
        <v>293</v>
      </c>
      <c r="H1807" s="32">
        <v>27067045</v>
      </c>
      <c r="I1807" s="32">
        <v>954000</v>
      </c>
      <c r="J1807" s="32">
        <v>5162356</v>
      </c>
      <c r="K1807" s="33">
        <v>20950689</v>
      </c>
      <c r="L1807" s="33">
        <v>34500000</v>
      </c>
      <c r="M1807" s="34">
        <v>0.60726634782608691</v>
      </c>
      <c r="N1807" s="209" t="str">
        <f>IFERROR(VLOOKUP(F1807,Back!C:F,4,0),"NO")</f>
        <v>Si</v>
      </c>
      <c r="O1807" s="26">
        <v>24</v>
      </c>
      <c r="P1807" s="28" t="str">
        <f>IFERROR(VLOOKUP(F1807,Back!C:E,3,0),"")</f>
        <v>IPS Pto De Vista San Diego</v>
      </c>
      <c r="Q1807" s="28" t="str">
        <f>IFERROR(VLOOKUP(P1807,Back!M:N,2,0),"")</f>
        <v>Antioquia</v>
      </c>
      <c r="R1807" s="27" t="str">
        <f>IF(N1807="Si",IFERROR(VLOOKUP(F1807,'TD Cumpl'!B:AB,27,0),"No Aplica"),"No Aplica")</f>
        <v>No Cumple</v>
      </c>
      <c r="S1807" s="38">
        <v>47</v>
      </c>
      <c r="T1807" s="46">
        <v>5644413</v>
      </c>
      <c r="U1807" s="38">
        <v>98</v>
      </c>
      <c r="V1807" s="46">
        <v>11842229</v>
      </c>
      <c r="W1807" s="38">
        <v>50</v>
      </c>
      <c r="X1807" s="38">
        <v>5162356</v>
      </c>
      <c r="Y1807" s="46">
        <f t="shared" si="58"/>
        <v>4418047</v>
      </c>
      <c r="Z1807" s="19" t="s">
        <v>318</v>
      </c>
    </row>
    <row r="1808" spans="1:26" x14ac:dyDescent="0.25">
      <c r="A1808" s="20">
        <f>+VLOOKUP(D1808,Back!Q:R,2,0)</f>
        <v>12</v>
      </c>
      <c r="B1808" s="20" t="str">
        <f t="shared" si="57"/>
        <v>2018 DIC</v>
      </c>
      <c r="C1808" s="30">
        <v>2018</v>
      </c>
      <c r="D1808" s="30" t="s">
        <v>187</v>
      </c>
      <c r="E1808" s="30" t="s">
        <v>84</v>
      </c>
      <c r="F1808" s="30">
        <v>1020736461</v>
      </c>
      <c r="G1808" s="30" t="s">
        <v>156</v>
      </c>
      <c r="H1808" s="32">
        <v>59161100</v>
      </c>
      <c r="I1808" s="32">
        <v>842400</v>
      </c>
      <c r="J1808" s="32">
        <v>8602197</v>
      </c>
      <c r="K1808" s="33">
        <v>49716503</v>
      </c>
      <c r="L1808" s="33">
        <v>26833341</v>
      </c>
      <c r="M1808" s="34">
        <v>1.8527884023089036</v>
      </c>
      <c r="N1808" s="209" t="str">
        <f>IFERROR(VLOOKUP(F1808,Back!C:F,4,0),"NO")</f>
        <v>Si</v>
      </c>
      <c r="O1808" s="26">
        <v>24</v>
      </c>
      <c r="P1808" s="28" t="str">
        <f>IFERROR(VLOOKUP(F1808,Back!C:E,3,0),"")</f>
        <v>IPS Pto De Vista Santa Bárbara</v>
      </c>
      <c r="Q1808" s="28" t="str">
        <f>IFERROR(VLOOKUP(P1808,Back!M:N,2,0),"")</f>
        <v>Centro</v>
      </c>
      <c r="R1808" s="27" t="str">
        <f>IF(N1808="Si",IFERROR(VLOOKUP(F1808,'TD Cumpl'!B:AB,27,0),"No Aplica"),"No Aplica")</f>
        <v>Siempre Cumple</v>
      </c>
      <c r="S1808" s="38">
        <v>84</v>
      </c>
      <c r="T1808" s="46">
        <v>9084178</v>
      </c>
      <c r="U1808" s="38">
        <v>232</v>
      </c>
      <c r="V1808" s="46">
        <v>36126522</v>
      </c>
      <c r="W1808" s="38">
        <v>99</v>
      </c>
      <c r="X1808" s="38">
        <v>8602197</v>
      </c>
      <c r="Y1808" s="46">
        <f t="shared" si="58"/>
        <v>5348203</v>
      </c>
      <c r="Z1808" s="19" t="s">
        <v>318</v>
      </c>
    </row>
    <row r="1809" spans="1:26" x14ac:dyDescent="0.25">
      <c r="A1809" s="20">
        <f>+VLOOKUP(D1809,Back!Q:R,2,0)</f>
        <v>12</v>
      </c>
      <c r="B1809" s="20" t="str">
        <f t="shared" si="57"/>
        <v>2018 DIC</v>
      </c>
      <c r="C1809" s="30">
        <v>2018</v>
      </c>
      <c r="D1809" s="30" t="s">
        <v>187</v>
      </c>
      <c r="E1809" s="30" t="s">
        <v>295</v>
      </c>
      <c r="F1809" s="30">
        <v>1020769180</v>
      </c>
      <c r="G1809" s="30" t="s">
        <v>302</v>
      </c>
      <c r="H1809" s="32">
        <v>26067777</v>
      </c>
      <c r="I1809" s="32">
        <v>1175400</v>
      </c>
      <c r="J1809" s="32">
        <v>5010298</v>
      </c>
      <c r="K1809" s="33">
        <v>19882079</v>
      </c>
      <c r="L1809" s="33">
        <v>26833341</v>
      </c>
      <c r="M1809" s="34">
        <v>0.74094683177916609</v>
      </c>
      <c r="N1809" s="209" t="str">
        <f>IFERROR(VLOOKUP(F1809,Back!C:F,4,0),"NO")</f>
        <v>Si</v>
      </c>
      <c r="O1809" s="26">
        <v>24</v>
      </c>
      <c r="P1809" s="28" t="str">
        <f>IFERROR(VLOOKUP(F1809,Back!C:E,3,0),"")</f>
        <v>IPS Pto De Vista Santa Bárbara</v>
      </c>
      <c r="Q1809" s="28" t="str">
        <f>IFERROR(VLOOKUP(P1809,Back!M:N,2,0),"")</f>
        <v>Centro</v>
      </c>
      <c r="R1809" s="27" t="str">
        <f>IF(N1809="Si",IFERROR(VLOOKUP(F1809,'TD Cumpl'!B:AB,27,0),"No Aplica"),"No Aplica")</f>
        <v>No Cumple</v>
      </c>
      <c r="S1809" s="38">
        <v>40</v>
      </c>
      <c r="T1809" s="46">
        <v>4359138</v>
      </c>
      <c r="U1809" s="38">
        <v>118</v>
      </c>
      <c r="V1809" s="46">
        <v>13043550</v>
      </c>
      <c r="W1809" s="38">
        <v>66</v>
      </c>
      <c r="X1809" s="38">
        <v>5010298</v>
      </c>
      <c r="Y1809" s="46">
        <f t="shared" si="58"/>
        <v>3654791</v>
      </c>
      <c r="Z1809" s="19" t="s">
        <v>318</v>
      </c>
    </row>
    <row r="1810" spans="1:26" x14ac:dyDescent="0.25">
      <c r="A1810" s="20">
        <f>+VLOOKUP(D1810,Back!Q:R,2,0)</f>
        <v>12</v>
      </c>
      <c r="B1810" s="20" t="str">
        <f t="shared" si="57"/>
        <v>2018 DIC</v>
      </c>
      <c r="C1810" s="30">
        <v>2018</v>
      </c>
      <c r="D1810" s="30" t="s">
        <v>187</v>
      </c>
      <c r="E1810" s="30" t="s">
        <v>2</v>
      </c>
      <c r="F1810" s="30">
        <v>52260671</v>
      </c>
      <c r="G1810" s="30" t="s">
        <v>26</v>
      </c>
      <c r="H1810" s="32">
        <v>33952545</v>
      </c>
      <c r="I1810" s="32">
        <v>1577400</v>
      </c>
      <c r="J1810" s="32">
        <v>4475449</v>
      </c>
      <c r="K1810" s="33">
        <v>27899696</v>
      </c>
      <c r="L1810" s="33">
        <v>26833341</v>
      </c>
      <c r="M1810" s="34">
        <v>1.039739926533934</v>
      </c>
      <c r="N1810" s="209" t="str">
        <f>IFERROR(VLOOKUP(F1810,Back!C:F,4,0),"NO")</f>
        <v>Si</v>
      </c>
      <c r="O1810" s="26">
        <v>24</v>
      </c>
      <c r="P1810" s="28" t="str">
        <f>IFERROR(VLOOKUP(F1810,Back!C:E,3,0),"")</f>
        <v>IPS Pto De Vista Santa Bárbara</v>
      </c>
      <c r="Q1810" s="28" t="str">
        <f>IFERROR(VLOOKUP(P1810,Back!M:N,2,0),"")</f>
        <v>Centro</v>
      </c>
      <c r="R1810" s="27" t="str">
        <f>IF(N1810="Si",IFERROR(VLOOKUP(F1810,'TD Cumpl'!B:AB,27,0),"No Aplica"),"No Aplica")</f>
        <v>Siempre Cumple</v>
      </c>
      <c r="S1810" s="38">
        <v>66</v>
      </c>
      <c r="T1810" s="46">
        <v>6485247</v>
      </c>
      <c r="U1810" s="38">
        <v>176</v>
      </c>
      <c r="V1810" s="46">
        <v>19880645</v>
      </c>
      <c r="W1810" s="38">
        <v>59</v>
      </c>
      <c r="X1810" s="38">
        <v>4475449</v>
      </c>
      <c r="Y1810" s="46">
        <f t="shared" si="58"/>
        <v>3111204</v>
      </c>
      <c r="Z1810" s="19" t="s">
        <v>318</v>
      </c>
    </row>
    <row r="1811" spans="1:26" x14ac:dyDescent="0.25">
      <c r="A1811" s="20">
        <f>+VLOOKUP(D1811,Back!Q:R,2,0)</f>
        <v>12</v>
      </c>
      <c r="B1811" s="20" t="str">
        <f t="shared" si="57"/>
        <v>2018 DIC</v>
      </c>
      <c r="C1811" s="30">
        <v>2018</v>
      </c>
      <c r="D1811" s="30" t="s">
        <v>187</v>
      </c>
      <c r="E1811" s="30" t="s">
        <v>102</v>
      </c>
      <c r="F1811" s="30">
        <v>79850984</v>
      </c>
      <c r="G1811" s="30" t="s">
        <v>106</v>
      </c>
      <c r="H1811" s="32">
        <v>34709705</v>
      </c>
      <c r="I1811" s="32">
        <v>0</v>
      </c>
      <c r="J1811" s="32">
        <v>2765576</v>
      </c>
      <c r="K1811" s="33">
        <v>31944129</v>
      </c>
      <c r="L1811" s="33">
        <v>28750000</v>
      </c>
      <c r="M1811" s="34">
        <v>1.1111001391304347</v>
      </c>
      <c r="N1811" s="209" t="str">
        <f>IFERROR(VLOOKUP(F1811,Back!C:F,4,0),"NO")</f>
        <v>Si</v>
      </c>
      <c r="O1811" s="26">
        <v>24</v>
      </c>
      <c r="P1811" s="28" t="str">
        <f>IFERROR(VLOOKUP(F1811,Back!C:E,3,0),"")</f>
        <v>IPS Pto De Vista SSura Clle100</v>
      </c>
      <c r="Q1811" s="28" t="str">
        <f>IFERROR(VLOOKUP(P1811,Back!M:N,2,0),"")</f>
        <v>Centro</v>
      </c>
      <c r="R1811" s="27" t="str">
        <f>IF(N1811="Si",IFERROR(VLOOKUP(F1811,'TD Cumpl'!B:AB,27,0),"No Aplica"),"No Aplica")</f>
        <v>Fluctúa</v>
      </c>
      <c r="S1811" s="38">
        <v>44</v>
      </c>
      <c r="T1811" s="46">
        <v>6407330</v>
      </c>
      <c r="U1811" s="38">
        <v>125</v>
      </c>
      <c r="V1811" s="46">
        <v>22087353</v>
      </c>
      <c r="W1811" s="38">
        <v>38</v>
      </c>
      <c r="X1811" s="38">
        <v>2765576</v>
      </c>
      <c r="Y1811" s="46">
        <f t="shared" si="58"/>
        <v>3449446</v>
      </c>
      <c r="Z1811" s="19" t="s">
        <v>318</v>
      </c>
    </row>
    <row r="1812" spans="1:26" x14ac:dyDescent="0.25">
      <c r="A1812" s="20">
        <f>+VLOOKUP(D1812,Back!Q:R,2,0)</f>
        <v>12</v>
      </c>
      <c r="B1812" s="20" t="str">
        <f t="shared" si="57"/>
        <v>2018 DIC</v>
      </c>
      <c r="C1812" s="30">
        <v>2018</v>
      </c>
      <c r="D1812" s="30" t="s">
        <v>187</v>
      </c>
      <c r="E1812" s="30" t="s">
        <v>5</v>
      </c>
      <c r="F1812" s="30">
        <v>34542470</v>
      </c>
      <c r="G1812" s="30" t="s">
        <v>28</v>
      </c>
      <c r="H1812" s="32">
        <v>55036374</v>
      </c>
      <c r="I1812" s="32">
        <v>4932540</v>
      </c>
      <c r="J1812" s="32">
        <v>5842151</v>
      </c>
      <c r="K1812" s="33">
        <v>44261683</v>
      </c>
      <c r="L1812" s="33">
        <v>33541659</v>
      </c>
      <c r="M1812" s="34">
        <v>1.3196032730521767</v>
      </c>
      <c r="N1812" s="209" t="str">
        <f>IFERROR(VLOOKUP(F1812,Back!C:F,4,0),"NO")</f>
        <v>Si</v>
      </c>
      <c r="O1812" s="26">
        <v>24</v>
      </c>
      <c r="P1812" s="28" t="str">
        <f>IFERROR(VLOOKUP(F1812,Back!C:E,3,0),"")</f>
        <v>Optica Salud Sura Chipichape</v>
      </c>
      <c r="Q1812" s="28" t="str">
        <f>IFERROR(VLOOKUP(P1812,Back!M:N,2,0),"")</f>
        <v>Occidente</v>
      </c>
      <c r="R1812" s="27" t="str">
        <f>IF(N1812="Si",IFERROR(VLOOKUP(F1812,'TD Cumpl'!B:AB,27,0),"No Aplica"),"No Aplica")</f>
        <v>Siempre Cumple</v>
      </c>
      <c r="S1812" s="38">
        <v>75</v>
      </c>
      <c r="T1812" s="46">
        <v>12186725</v>
      </c>
      <c r="U1812" s="38">
        <v>212</v>
      </c>
      <c r="V1812" s="46">
        <v>28368798</v>
      </c>
      <c r="W1812" s="38">
        <v>63</v>
      </c>
      <c r="X1812" s="38">
        <v>5842151</v>
      </c>
      <c r="Y1812" s="46">
        <f t="shared" si="58"/>
        <v>8638700</v>
      </c>
      <c r="Z1812" s="19" t="s">
        <v>318</v>
      </c>
    </row>
    <row r="1813" spans="1:26" x14ac:dyDescent="0.25">
      <c r="A1813" s="20">
        <f>+VLOOKUP(D1813,Back!Q:R,2,0)</f>
        <v>12</v>
      </c>
      <c r="B1813" s="20" t="str">
        <f t="shared" si="57"/>
        <v>2018 DIC</v>
      </c>
      <c r="C1813" s="30">
        <v>2018</v>
      </c>
      <c r="D1813" s="30" t="s">
        <v>187</v>
      </c>
      <c r="E1813" s="30" t="s">
        <v>149</v>
      </c>
      <c r="F1813" s="30">
        <v>1130597373</v>
      </c>
      <c r="G1813" s="30" t="s">
        <v>150</v>
      </c>
      <c r="H1813" s="32">
        <v>44311120</v>
      </c>
      <c r="I1813" s="32">
        <v>572400</v>
      </c>
      <c r="J1813" s="32">
        <v>8368595</v>
      </c>
      <c r="K1813" s="33">
        <v>35370125</v>
      </c>
      <c r="L1813" s="33">
        <v>28958333</v>
      </c>
      <c r="M1813" s="34">
        <v>1.2214144025486551</v>
      </c>
      <c r="N1813" s="209" t="str">
        <f>IFERROR(VLOOKUP(F1813,Back!C:F,4,0),"NO")</f>
        <v>Si</v>
      </c>
      <c r="O1813" s="26">
        <v>24</v>
      </c>
      <c r="P1813" s="28" t="str">
        <f>IFERROR(VLOOKUP(F1813,Back!C:E,3,0),"")</f>
        <v>Punto de Vista Cali Norte</v>
      </c>
      <c r="Q1813" s="28" t="str">
        <f>IFERROR(VLOOKUP(P1813,Back!M:N,2,0),"")</f>
        <v>Occidente</v>
      </c>
      <c r="R1813" s="27" t="str">
        <f>IF(N1813="Si",IFERROR(VLOOKUP(F1813,'TD Cumpl'!B:AB,27,0),"No Aplica"),"No Aplica")</f>
        <v>Fluctúa</v>
      </c>
      <c r="S1813" s="38">
        <v>59</v>
      </c>
      <c r="T1813" s="46">
        <v>6902023</v>
      </c>
      <c r="U1813" s="38">
        <v>182</v>
      </c>
      <c r="V1813" s="46">
        <v>26007210</v>
      </c>
      <c r="W1813" s="38">
        <v>84</v>
      </c>
      <c r="X1813" s="38">
        <v>8368595</v>
      </c>
      <c r="Y1813" s="46">
        <f t="shared" si="58"/>
        <v>3033292</v>
      </c>
      <c r="Z1813" s="19" t="s">
        <v>318</v>
      </c>
    </row>
    <row r="1814" spans="1:26" x14ac:dyDescent="0.25">
      <c r="A1814" s="20">
        <f>+VLOOKUP(D1814,Back!Q:R,2,0)</f>
        <v>12</v>
      </c>
      <c r="B1814" s="20" t="str">
        <f t="shared" si="57"/>
        <v>2018 DIC</v>
      </c>
      <c r="C1814" s="30">
        <v>2018</v>
      </c>
      <c r="D1814" s="30" t="s">
        <v>187</v>
      </c>
      <c r="E1814" s="30" t="s">
        <v>258</v>
      </c>
      <c r="F1814" s="30">
        <v>1130676531</v>
      </c>
      <c r="G1814" s="30" t="s">
        <v>262</v>
      </c>
      <c r="H1814" s="32">
        <v>23631197</v>
      </c>
      <c r="I1814" s="32">
        <v>0</v>
      </c>
      <c r="J1814" s="32">
        <v>4220216</v>
      </c>
      <c r="K1814" s="33">
        <v>19410981</v>
      </c>
      <c r="L1814" s="33">
        <v>17333328</v>
      </c>
      <c r="M1814" s="34">
        <v>1.1198646330352717</v>
      </c>
      <c r="N1814" s="209" t="str">
        <f>IFERROR(VLOOKUP(F1814,Back!C:F,4,0),"NO")</f>
        <v>Si</v>
      </c>
      <c r="O1814" s="26">
        <v>24</v>
      </c>
      <c r="P1814" s="28" t="str">
        <f>IFERROR(VLOOKUP(F1814,Back!C:E,3,0),"")</f>
        <v>Punto de Vista Cali Norte</v>
      </c>
      <c r="Q1814" s="28" t="str">
        <f>IFERROR(VLOOKUP(P1814,Back!M:N,2,0),"")</f>
        <v>Occidente</v>
      </c>
      <c r="R1814" s="27" t="str">
        <f>IF(N1814="Si",IFERROR(VLOOKUP(F1814,'TD Cumpl'!B:AB,27,0),"No Aplica"),"No Aplica")</f>
        <v>No Cumple</v>
      </c>
      <c r="S1814" s="38">
        <v>45</v>
      </c>
      <c r="T1814" s="46">
        <v>3960638</v>
      </c>
      <c r="U1814" s="38">
        <v>116</v>
      </c>
      <c r="V1814" s="46">
        <v>9955243</v>
      </c>
      <c r="W1814" s="38">
        <v>50</v>
      </c>
      <c r="X1814" s="38">
        <v>4220216</v>
      </c>
      <c r="Y1814" s="46">
        <f t="shared" si="58"/>
        <v>5495100</v>
      </c>
      <c r="Z1814" s="19" t="s">
        <v>318</v>
      </c>
    </row>
    <row r="1815" spans="1:26" x14ac:dyDescent="0.25">
      <c r="A1815" s="20">
        <f>+VLOOKUP(D1815,Back!Q:R,2,0)</f>
        <v>12</v>
      </c>
      <c r="B1815" s="20" t="str">
        <f t="shared" si="57"/>
        <v>2018 DIC</v>
      </c>
      <c r="C1815" s="30">
        <v>2018</v>
      </c>
      <c r="D1815" s="30" t="s">
        <v>187</v>
      </c>
      <c r="E1815" s="30" t="s">
        <v>275</v>
      </c>
      <c r="F1815" s="30">
        <v>16379021</v>
      </c>
      <c r="G1815" s="30" t="s">
        <v>287</v>
      </c>
      <c r="H1815" s="32">
        <v>43554868</v>
      </c>
      <c r="I1815" s="32">
        <v>221100</v>
      </c>
      <c r="J1815" s="32">
        <v>8859349</v>
      </c>
      <c r="K1815" s="33">
        <v>34474419</v>
      </c>
      <c r="L1815" s="33">
        <v>28750000</v>
      </c>
      <c r="M1815" s="34">
        <v>1.1991102260869566</v>
      </c>
      <c r="N1815" s="209" t="str">
        <f>IFERROR(VLOOKUP(F1815,Back!C:F,4,0),"NO")</f>
        <v>Si</v>
      </c>
      <c r="O1815" s="26">
        <v>24</v>
      </c>
      <c r="P1815" s="28" t="str">
        <f>IFERROR(VLOOKUP(F1815,Back!C:E,3,0),"")</f>
        <v>Punto de Vista Cali Norte</v>
      </c>
      <c r="Q1815" s="28" t="str">
        <f>IFERROR(VLOOKUP(P1815,Back!M:N,2,0),"")</f>
        <v>Occidente</v>
      </c>
      <c r="R1815" s="27" t="str">
        <f>IF(N1815="Si",IFERROR(VLOOKUP(F1815,'TD Cumpl'!B:AB,27,0),"No Aplica"),"No Aplica")</f>
        <v>Fluctúa</v>
      </c>
      <c r="S1815" s="38">
        <v>69</v>
      </c>
      <c r="T1815" s="46">
        <v>7461921</v>
      </c>
      <c r="U1815" s="38">
        <v>192</v>
      </c>
      <c r="V1815" s="46">
        <v>23940195</v>
      </c>
      <c r="W1815" s="38">
        <v>99</v>
      </c>
      <c r="X1815" s="38">
        <v>8859349</v>
      </c>
      <c r="Y1815" s="46">
        <f t="shared" si="58"/>
        <v>3293403</v>
      </c>
      <c r="Z1815" s="19" t="s">
        <v>318</v>
      </c>
    </row>
    <row r="1816" spans="1:26" x14ac:dyDescent="0.25">
      <c r="A1816" s="20">
        <f>+VLOOKUP(D1816,Back!Q:R,2,0)</f>
        <v>12</v>
      </c>
      <c r="B1816" s="20" t="str">
        <f t="shared" si="57"/>
        <v>2018 DIC</v>
      </c>
      <c r="C1816" s="30">
        <v>2018</v>
      </c>
      <c r="D1816" s="30" t="s">
        <v>187</v>
      </c>
      <c r="E1816" s="30" t="s">
        <v>298</v>
      </c>
      <c r="F1816" s="30">
        <v>6228363</v>
      </c>
      <c r="G1816" s="30" t="s">
        <v>310</v>
      </c>
      <c r="H1816" s="32">
        <v>48979386</v>
      </c>
      <c r="I1816" s="32">
        <v>0</v>
      </c>
      <c r="J1816" s="32">
        <v>11890657</v>
      </c>
      <c r="K1816" s="33">
        <v>37088729</v>
      </c>
      <c r="L1816" s="33">
        <v>28958333</v>
      </c>
      <c r="M1816" s="34">
        <v>1.2807618794907842</v>
      </c>
      <c r="N1816" s="209" t="str">
        <f>IFERROR(VLOOKUP(F1816,Back!C:F,4,0),"NO")</f>
        <v>Si</v>
      </c>
      <c r="O1816" s="26">
        <v>24</v>
      </c>
      <c r="P1816" s="28" t="str">
        <f>IFERROR(VLOOKUP(F1816,Back!C:E,3,0),"")</f>
        <v>Punto de Vista Cali Norte</v>
      </c>
      <c r="Q1816" s="28" t="str">
        <f>IFERROR(VLOOKUP(P1816,Back!M:N,2,0),"")</f>
        <v>Occidente</v>
      </c>
      <c r="R1816" s="27" t="str">
        <f>IF(N1816="Si",IFERROR(VLOOKUP(F1816,'TD Cumpl'!B:AB,27,0),"No Aplica"),"No Aplica")</f>
        <v>Siempre Cumple</v>
      </c>
      <c r="S1816" s="38">
        <v>72</v>
      </c>
      <c r="T1816" s="46">
        <v>6776423</v>
      </c>
      <c r="U1816" s="38">
        <v>218</v>
      </c>
      <c r="V1816" s="46">
        <v>26457102</v>
      </c>
      <c r="W1816" s="38">
        <v>125</v>
      </c>
      <c r="X1816" s="38">
        <v>11890657</v>
      </c>
      <c r="Y1816" s="46">
        <f t="shared" si="58"/>
        <v>3855204</v>
      </c>
      <c r="Z1816" s="19" t="s">
        <v>318</v>
      </c>
    </row>
    <row r="1817" spans="1:26" x14ac:dyDescent="0.25">
      <c r="A1817" s="20">
        <f>+VLOOKUP(D1817,Back!Q:R,2,0)</f>
        <v>12</v>
      </c>
      <c r="B1817" s="20" t="str">
        <f t="shared" si="57"/>
        <v>2018 DIC</v>
      </c>
      <c r="C1817" s="30">
        <v>2018</v>
      </c>
      <c r="D1817" s="30" t="s">
        <v>187</v>
      </c>
      <c r="E1817" s="30" t="s">
        <v>259</v>
      </c>
      <c r="F1817" s="30">
        <v>1020399898</v>
      </c>
      <c r="G1817" s="30" t="s">
        <v>260</v>
      </c>
      <c r="H1817" s="32">
        <v>35014143</v>
      </c>
      <c r="I1817" s="32">
        <v>636000</v>
      </c>
      <c r="J1817" s="32">
        <v>7029590</v>
      </c>
      <c r="K1817" s="33">
        <v>27348553</v>
      </c>
      <c r="L1817" s="33">
        <v>24725000</v>
      </c>
      <c r="M1817" s="34">
        <v>1.1061093225480283</v>
      </c>
      <c r="N1817" s="209" t="str">
        <f>IFERROR(VLOOKUP(F1817,Back!C:F,4,0),"NO")</f>
        <v>Si</v>
      </c>
      <c r="O1817" s="26">
        <v>24</v>
      </c>
      <c r="P1817" s="28" t="str">
        <f>IFERROR(VLOOKUP(F1817,Back!C:E,3,0),"")</f>
        <v>IPS Punto de Vista Mayorca</v>
      </c>
      <c r="Q1817" s="28" t="str">
        <f>IFERROR(VLOOKUP(P1817,Back!M:N,2,0),"")</f>
        <v>Antioquia</v>
      </c>
      <c r="R1817" s="27" t="str">
        <f>IF(N1817="Si",IFERROR(VLOOKUP(F1817,'TD Cumpl'!B:AB,27,0),"No Aplica"),"No Aplica")</f>
        <v>Fluctúa</v>
      </c>
      <c r="S1817" s="38">
        <v>60</v>
      </c>
      <c r="T1817" s="46">
        <v>5563175</v>
      </c>
      <c r="U1817" s="38">
        <v>142</v>
      </c>
      <c r="V1817" s="46">
        <v>18236936</v>
      </c>
      <c r="W1817" s="38">
        <v>68</v>
      </c>
      <c r="X1817" s="38">
        <v>7029590</v>
      </c>
      <c r="Y1817" s="46">
        <f t="shared" si="58"/>
        <v>4184442</v>
      </c>
      <c r="Z1817" s="19" t="s">
        <v>318</v>
      </c>
    </row>
    <row r="1818" spans="1:26" x14ac:dyDescent="0.25">
      <c r="A1818" s="20">
        <f>+VLOOKUP(D1818,Back!Q:R,2,0)</f>
        <v>12</v>
      </c>
      <c r="B1818" s="20" t="str">
        <f t="shared" si="57"/>
        <v>2018 DIC</v>
      </c>
      <c r="C1818" s="30">
        <v>2018</v>
      </c>
      <c r="D1818" s="30" t="s">
        <v>187</v>
      </c>
      <c r="E1818" s="30" t="s">
        <v>38</v>
      </c>
      <c r="F1818" s="30">
        <v>43745192</v>
      </c>
      <c r="G1818" s="30" t="s">
        <v>45</v>
      </c>
      <c r="H1818" s="32">
        <v>33075066</v>
      </c>
      <c r="I1818" s="32">
        <v>0</v>
      </c>
      <c r="J1818" s="32">
        <v>6336137</v>
      </c>
      <c r="K1818" s="33">
        <v>26738929</v>
      </c>
      <c r="L1818" s="33">
        <v>24725000</v>
      </c>
      <c r="M1818" s="34">
        <v>1.0814531445904954</v>
      </c>
      <c r="N1818" s="209" t="str">
        <f>IFERROR(VLOOKUP(F1818,Back!C:F,4,0),"NO")</f>
        <v>Si</v>
      </c>
      <c r="O1818" s="26">
        <v>24</v>
      </c>
      <c r="P1818" s="28" t="str">
        <f>IFERROR(VLOOKUP(F1818,Back!C:E,3,0),"")</f>
        <v>IPS Punto de Vista Mayorca</v>
      </c>
      <c r="Q1818" s="28" t="str">
        <f>IFERROR(VLOOKUP(P1818,Back!M:N,2,0),"")</f>
        <v>Antioquia</v>
      </c>
      <c r="R1818" s="27" t="str">
        <f>IF(N1818="Si",IFERROR(VLOOKUP(F1818,'TD Cumpl'!B:AB,27,0),"No Aplica"),"No Aplica")</f>
        <v>Cumple</v>
      </c>
      <c r="S1818" s="38">
        <v>53</v>
      </c>
      <c r="T1818" s="46">
        <v>7046705</v>
      </c>
      <c r="U1818" s="38">
        <v>134</v>
      </c>
      <c r="V1818" s="46">
        <v>18232559</v>
      </c>
      <c r="W1818" s="38">
        <v>73</v>
      </c>
      <c r="X1818" s="38">
        <v>6336137</v>
      </c>
      <c r="Y1818" s="46">
        <f t="shared" si="58"/>
        <v>1459665</v>
      </c>
      <c r="Z1818" s="19" t="s">
        <v>317</v>
      </c>
    </row>
    <row r="1819" spans="1:26" x14ac:dyDescent="0.25">
      <c r="A1819" s="20">
        <f>+VLOOKUP(D1819,Back!Q:R,2,0)</f>
        <v>12</v>
      </c>
      <c r="B1819" s="20" t="str">
        <f t="shared" si="57"/>
        <v>2018 DIC</v>
      </c>
      <c r="C1819" s="30">
        <v>2018</v>
      </c>
      <c r="D1819" s="30" t="s">
        <v>187</v>
      </c>
      <c r="E1819" s="30" t="s">
        <v>299</v>
      </c>
      <c r="F1819" s="30">
        <v>1232400088</v>
      </c>
      <c r="G1819" s="30" t="s">
        <v>304</v>
      </c>
      <c r="H1819" s="32">
        <v>28245251</v>
      </c>
      <c r="I1819" s="32">
        <v>0</v>
      </c>
      <c r="J1819" s="32">
        <v>6379257</v>
      </c>
      <c r="K1819" s="33">
        <v>21865994</v>
      </c>
      <c r="L1819" s="33">
        <v>24725000</v>
      </c>
      <c r="M1819" s="34">
        <v>0.88436780586450958</v>
      </c>
      <c r="N1819" s="209" t="str">
        <f>IFERROR(VLOOKUP(F1819,Back!C:F,4,0),"NO")</f>
        <v>Si</v>
      </c>
      <c r="O1819" s="26">
        <v>24</v>
      </c>
      <c r="P1819" s="28" t="str">
        <f>IFERROR(VLOOKUP(F1819,Back!C:E,3,0),"")</f>
        <v>IPS Punto de Vista Mayorca</v>
      </c>
      <c r="Q1819" s="28" t="str">
        <f>IFERROR(VLOOKUP(P1819,Back!M:N,2,0),"")</f>
        <v>Antioquia</v>
      </c>
      <c r="R1819" s="27" t="str">
        <f>IF(N1819="Si",IFERROR(VLOOKUP(F1819,'TD Cumpl'!B:AB,27,0),"No Aplica"),"No Aplica")</f>
        <v>Fluctúa</v>
      </c>
      <c r="S1819" s="38">
        <v>47</v>
      </c>
      <c r="T1819" s="46">
        <v>4111683</v>
      </c>
      <c r="U1819" s="38">
        <v>114</v>
      </c>
      <c r="V1819" s="46">
        <v>14278973</v>
      </c>
      <c r="W1819" s="38">
        <v>65</v>
      </c>
      <c r="X1819" s="38">
        <v>6379257</v>
      </c>
      <c r="Y1819" s="46">
        <f t="shared" si="58"/>
        <v>3475338</v>
      </c>
      <c r="Z1819" s="19" t="s">
        <v>318</v>
      </c>
    </row>
    <row r="1820" spans="1:26" x14ac:dyDescent="0.25">
      <c r="A1820" s="20">
        <f>+VLOOKUP(D1820,Back!Q:R,2,0)</f>
        <v>12</v>
      </c>
      <c r="B1820" s="20" t="str">
        <f t="shared" si="57"/>
        <v>2018 DIC</v>
      </c>
      <c r="C1820" s="30">
        <v>2018</v>
      </c>
      <c r="D1820" s="30" t="s">
        <v>187</v>
      </c>
      <c r="E1820" s="30" t="s">
        <v>276</v>
      </c>
      <c r="F1820" s="30">
        <v>1035224144</v>
      </c>
      <c r="G1820" s="30" t="s">
        <v>286</v>
      </c>
      <c r="H1820" s="32">
        <v>33015518</v>
      </c>
      <c r="I1820" s="32">
        <v>884400</v>
      </c>
      <c r="J1820" s="32">
        <v>5905253</v>
      </c>
      <c r="K1820" s="33">
        <v>26225865</v>
      </c>
      <c r="L1820" s="33">
        <v>24725000</v>
      </c>
      <c r="M1820" s="34">
        <v>1.0607023255813954</v>
      </c>
      <c r="N1820" s="209" t="str">
        <f>IFERROR(VLOOKUP(F1820,Back!C:F,4,0),"NO")</f>
        <v>Si</v>
      </c>
      <c r="O1820" s="26">
        <v>24</v>
      </c>
      <c r="P1820" s="28" t="str">
        <f>IFERROR(VLOOKUP(F1820,Back!C:E,3,0),"")</f>
        <v>IPS Punto de Vista Mayorca</v>
      </c>
      <c r="Q1820" s="28" t="str">
        <f>IFERROR(VLOOKUP(P1820,Back!M:N,2,0),"")</f>
        <v>Antioquia</v>
      </c>
      <c r="R1820" s="27" t="str">
        <f>IF(N1820="Si",IFERROR(VLOOKUP(F1820,'TD Cumpl'!B:AB,27,0),"No Aplica"),"No Aplica")</f>
        <v>Cumple</v>
      </c>
      <c r="S1820" s="38">
        <v>58</v>
      </c>
      <c r="T1820" s="46">
        <v>5925398</v>
      </c>
      <c r="U1820" s="38">
        <v>126</v>
      </c>
      <c r="V1820" s="46">
        <v>16269597</v>
      </c>
      <c r="W1820" s="38">
        <v>57</v>
      </c>
      <c r="X1820" s="38">
        <v>5905253</v>
      </c>
      <c r="Y1820" s="46">
        <f t="shared" si="58"/>
        <v>4915270</v>
      </c>
      <c r="Z1820" s="19" t="s">
        <v>318</v>
      </c>
    </row>
    <row r="1821" spans="1:26" x14ac:dyDescent="0.25">
      <c r="A1821" s="20">
        <f>+VLOOKUP(D1821,Back!Q:R,2,0)</f>
        <v>12</v>
      </c>
      <c r="B1821" s="20" t="str">
        <f t="shared" si="57"/>
        <v>2018 DIC</v>
      </c>
      <c r="C1821" s="30">
        <v>2018</v>
      </c>
      <c r="D1821" s="30" t="s">
        <v>187</v>
      </c>
      <c r="E1821" s="30" t="s">
        <v>249</v>
      </c>
      <c r="F1821" s="30">
        <v>1144061613</v>
      </c>
      <c r="G1821" s="30" t="s">
        <v>256</v>
      </c>
      <c r="H1821" s="32">
        <v>35652242</v>
      </c>
      <c r="I1821" s="32">
        <v>0</v>
      </c>
      <c r="J1821" s="32">
        <v>7390372</v>
      </c>
      <c r="K1821" s="33">
        <v>28261870</v>
      </c>
      <c r="L1821" s="33">
        <v>24916659</v>
      </c>
      <c r="M1821" s="34">
        <v>1.1342560011757596</v>
      </c>
      <c r="N1821" s="209" t="str">
        <f>IFERROR(VLOOKUP(F1821,Back!C:F,4,0),"NO")</f>
        <v>Si</v>
      </c>
      <c r="O1821" s="26">
        <v>24</v>
      </c>
      <c r="P1821" s="28" t="str">
        <f>IFERROR(VLOOKUP(F1821,Back!C:E,3,0),"")</f>
        <v>Punto de Vista Tequendama</v>
      </c>
      <c r="Q1821" s="28" t="str">
        <f>IFERROR(VLOOKUP(P1821,Back!M:N,2,0),"")</f>
        <v>Occidente</v>
      </c>
      <c r="R1821" s="27" t="str">
        <f>IF(N1821="Si",IFERROR(VLOOKUP(F1821,'TD Cumpl'!B:AB,27,0),"No Aplica"),"No Aplica")</f>
        <v>Fluctúa</v>
      </c>
      <c r="S1821" s="38">
        <v>58</v>
      </c>
      <c r="T1821" s="46">
        <v>5294607</v>
      </c>
      <c r="U1821" s="38">
        <v>180</v>
      </c>
      <c r="V1821" s="46">
        <v>20967569</v>
      </c>
      <c r="W1821" s="38">
        <v>80</v>
      </c>
      <c r="X1821" s="38">
        <v>7390372</v>
      </c>
      <c r="Y1821" s="46">
        <f t="shared" si="58"/>
        <v>1999694</v>
      </c>
      <c r="Z1821" s="19" t="s">
        <v>318</v>
      </c>
    </row>
    <row r="1822" spans="1:26" x14ac:dyDescent="0.25">
      <c r="A1822" s="20">
        <f>+VLOOKUP(D1822,Back!Q:R,2,0)</f>
        <v>12</v>
      </c>
      <c r="B1822" s="20" t="str">
        <f t="shared" si="57"/>
        <v>2018 DIC</v>
      </c>
      <c r="C1822" s="30">
        <v>2018</v>
      </c>
      <c r="D1822" s="30" t="s">
        <v>187</v>
      </c>
      <c r="E1822" s="30" t="s">
        <v>297</v>
      </c>
      <c r="F1822" s="30">
        <v>66910365</v>
      </c>
      <c r="G1822" s="30" t="s">
        <v>303</v>
      </c>
      <c r="H1822" s="32">
        <v>36319885</v>
      </c>
      <c r="I1822" s="32">
        <v>0</v>
      </c>
      <c r="J1822" s="32">
        <v>9501554</v>
      </c>
      <c r="K1822" s="33">
        <v>26818331</v>
      </c>
      <c r="L1822" s="33">
        <v>24916659</v>
      </c>
      <c r="M1822" s="34">
        <v>1.0763213077644158</v>
      </c>
      <c r="N1822" s="209" t="str">
        <f>IFERROR(VLOOKUP(F1822,Back!C:F,4,0),"NO")</f>
        <v>Si</v>
      </c>
      <c r="O1822" s="26">
        <v>24</v>
      </c>
      <c r="P1822" s="28" t="str">
        <f>IFERROR(VLOOKUP(F1822,Back!C:E,3,0),"")</f>
        <v>Punto de Vista Tequendama</v>
      </c>
      <c r="Q1822" s="28" t="str">
        <f>IFERROR(VLOOKUP(P1822,Back!M:N,2,0),"")</f>
        <v>Occidente</v>
      </c>
      <c r="R1822" s="27" t="str">
        <f>IF(N1822="Si",IFERROR(VLOOKUP(F1822,'TD Cumpl'!B:AB,27,0),"No Aplica"),"No Aplica")</f>
        <v>Fluctúa</v>
      </c>
      <c r="S1822" s="38">
        <v>71</v>
      </c>
      <c r="T1822" s="46">
        <v>6457898</v>
      </c>
      <c r="U1822" s="38">
        <v>182</v>
      </c>
      <c r="V1822" s="46">
        <v>18322879</v>
      </c>
      <c r="W1822" s="38">
        <v>94</v>
      </c>
      <c r="X1822" s="38">
        <v>9501554</v>
      </c>
      <c r="Y1822" s="46">
        <f t="shared" si="58"/>
        <v>2037554</v>
      </c>
      <c r="Z1822" s="19" t="s">
        <v>318</v>
      </c>
    </row>
    <row r="1823" spans="1:26" x14ac:dyDescent="0.25">
      <c r="A1823" s="20">
        <f>+VLOOKUP(D1823,Back!Q:R,2,0)</f>
        <v>12</v>
      </c>
      <c r="B1823" s="20" t="str">
        <f t="shared" si="57"/>
        <v>2018 DIC</v>
      </c>
      <c r="C1823" s="30">
        <v>2018</v>
      </c>
      <c r="D1823" s="30" t="s">
        <v>187</v>
      </c>
      <c r="E1823" s="30" t="s">
        <v>88</v>
      </c>
      <c r="F1823" s="30">
        <v>31445278</v>
      </c>
      <c r="G1823" s="30" t="s">
        <v>93</v>
      </c>
      <c r="H1823" s="32">
        <v>24433870</v>
      </c>
      <c r="I1823" s="32">
        <v>0</v>
      </c>
      <c r="J1823" s="32">
        <v>2437448</v>
      </c>
      <c r="K1823" s="33">
        <v>21996422</v>
      </c>
      <c r="L1823" s="33">
        <v>7583331</v>
      </c>
      <c r="M1823" s="34">
        <v>2.9006279694239905</v>
      </c>
      <c r="N1823" s="209" t="str">
        <f>IFERROR(VLOOKUP(F1823,Back!C:F,4,0),"NO")</f>
        <v>Si</v>
      </c>
      <c r="O1823" s="26">
        <v>24</v>
      </c>
      <c r="P1823" s="28" t="str">
        <f>IFERROR(VLOOKUP(F1823,Back!C:E,3,0),"")</f>
        <v>Punto de Vista Tequendama</v>
      </c>
      <c r="Q1823" s="28" t="str">
        <f>IFERROR(VLOOKUP(P1823,Back!M:N,2,0),"")</f>
        <v>Occidente</v>
      </c>
      <c r="R1823" s="27" t="str">
        <f>IF(N1823="Si",IFERROR(VLOOKUP(F1823,'TD Cumpl'!B:AB,27,0),"No Aplica"),"No Aplica")</f>
        <v>Cumple</v>
      </c>
      <c r="S1823" s="38">
        <v>46</v>
      </c>
      <c r="T1823" s="46">
        <v>4902893</v>
      </c>
      <c r="U1823" s="38">
        <v>124</v>
      </c>
      <c r="V1823" s="46">
        <v>15196602</v>
      </c>
      <c r="W1823" s="38">
        <v>29</v>
      </c>
      <c r="X1823" s="38">
        <v>2437448</v>
      </c>
      <c r="Y1823" s="46">
        <f t="shared" si="58"/>
        <v>1896927</v>
      </c>
      <c r="Z1823" s="19" t="s">
        <v>318</v>
      </c>
    </row>
    <row r="1824" spans="1:26" x14ac:dyDescent="0.25">
      <c r="A1824" s="20">
        <f>+VLOOKUP(D1824,Back!Q:R,2,0)</f>
        <v>12</v>
      </c>
      <c r="B1824" s="20" t="str">
        <f t="shared" si="57"/>
        <v>2018 DIC</v>
      </c>
      <c r="C1824" s="30">
        <v>2018</v>
      </c>
      <c r="D1824" s="30" t="s">
        <v>187</v>
      </c>
      <c r="E1824" s="30" t="s">
        <v>22</v>
      </c>
      <c r="F1824" s="30">
        <v>42164020</v>
      </c>
      <c r="G1824" s="30"/>
      <c r="H1824" s="32">
        <v>1229515</v>
      </c>
      <c r="I1824" s="32">
        <v>0</v>
      </c>
      <c r="J1824" s="32">
        <v>0</v>
      </c>
      <c r="K1824" s="33">
        <v>1229515</v>
      </c>
      <c r="L1824" s="33"/>
      <c r="M1824" s="34"/>
      <c r="N1824" s="209" t="str">
        <f>IFERROR(VLOOKUP(F1824,Back!C:F,4,0),"NO")</f>
        <v>Si</v>
      </c>
      <c r="O1824" s="26">
        <v>24</v>
      </c>
      <c r="P1824" s="28" t="str">
        <f>IFERROR(VLOOKUP(F1824,Back!C:E,3,0),"")</f>
        <v>IPS Pto De Vista Molinos</v>
      </c>
      <c r="Q1824" s="28" t="str">
        <f>IFERROR(VLOOKUP(P1824,Back!M:N,2,0),"")</f>
        <v>Antioquia</v>
      </c>
      <c r="R1824" s="27" t="str">
        <f>IF(N1824="Si",IFERROR(VLOOKUP(F1824,'TD Cumpl'!B:AB,27,0),"No Aplica"),"No Aplica")</f>
        <v>Siempre Cumple</v>
      </c>
      <c r="S1824" s="38">
        <v>0</v>
      </c>
      <c r="T1824" s="46">
        <v>0</v>
      </c>
      <c r="U1824" s="38">
        <v>2</v>
      </c>
      <c r="V1824" s="46">
        <v>284215</v>
      </c>
      <c r="W1824" s="38">
        <v>0</v>
      </c>
      <c r="X1824" s="38">
        <v>0</v>
      </c>
      <c r="Y1824" s="46">
        <f t="shared" si="58"/>
        <v>945300</v>
      </c>
    </row>
    <row r="1825" spans="1:25" x14ac:dyDescent="0.25">
      <c r="A1825" s="20">
        <f>+VLOOKUP(D1825,Back!Q:R,2,0)</f>
        <v>12</v>
      </c>
      <c r="B1825" s="20" t="str">
        <f t="shared" si="57"/>
        <v>2018 DIC</v>
      </c>
      <c r="C1825" s="30">
        <v>2018</v>
      </c>
      <c r="D1825" s="30" t="s">
        <v>187</v>
      </c>
      <c r="E1825" s="30" t="s">
        <v>294</v>
      </c>
      <c r="F1825" s="30"/>
      <c r="G1825" s="30"/>
      <c r="H1825" s="32">
        <v>98000</v>
      </c>
      <c r="I1825" s="32">
        <v>0</v>
      </c>
      <c r="J1825" s="32">
        <v>98000</v>
      </c>
      <c r="K1825" s="33">
        <v>0</v>
      </c>
      <c r="L1825" s="33"/>
      <c r="M1825" s="34"/>
      <c r="N1825" s="209" t="str">
        <f>IFERROR(VLOOKUP(F1825,Back!C:F,4,0),"NO")</f>
        <v>NO</v>
      </c>
      <c r="O1825" s="26">
        <v>24</v>
      </c>
      <c r="P1825" s="28" t="str">
        <f>IFERROR(VLOOKUP(F1825,Back!C:E,3,0),"")</f>
        <v/>
      </c>
      <c r="Q1825" s="28" t="str">
        <f>IFERROR(VLOOKUP(P1825,Back!M:N,2,0),"")</f>
        <v/>
      </c>
      <c r="R1825" s="27" t="str">
        <f>IF(N1825="Si",IFERROR(VLOOKUP(F1825,'TD Cumpl'!B:AB,27,0),"No Aplica"),"No Aplica")</f>
        <v>No Aplica</v>
      </c>
      <c r="S1825" s="38">
        <v>0</v>
      </c>
      <c r="T1825" s="46">
        <v>0</v>
      </c>
      <c r="U1825" s="38">
        <v>0</v>
      </c>
      <c r="V1825" s="46">
        <v>0</v>
      </c>
      <c r="W1825" s="38">
        <v>0</v>
      </c>
      <c r="X1825" s="38">
        <v>0</v>
      </c>
      <c r="Y1825" s="46">
        <f t="shared" si="58"/>
        <v>98000</v>
      </c>
    </row>
    <row r="1826" spans="1:25" x14ac:dyDescent="0.25">
      <c r="A1826" s="20">
        <f>+VLOOKUP(D1826,Back!Q:R,2,0)</f>
        <v>12</v>
      </c>
      <c r="B1826" s="20" t="str">
        <f t="shared" si="57"/>
        <v>2018 DIC</v>
      </c>
      <c r="C1826" s="30">
        <v>2018</v>
      </c>
      <c r="D1826" s="30" t="s">
        <v>187</v>
      </c>
      <c r="E1826" s="30" t="s">
        <v>189</v>
      </c>
      <c r="F1826" s="30"/>
      <c r="G1826" s="30"/>
      <c r="H1826" s="32">
        <v>196000</v>
      </c>
      <c r="I1826" s="32">
        <v>0</v>
      </c>
      <c r="J1826" s="32">
        <v>196000</v>
      </c>
      <c r="K1826" s="33">
        <v>0</v>
      </c>
      <c r="L1826" s="33"/>
      <c r="M1826" s="34"/>
      <c r="N1826" s="209" t="str">
        <f>IFERROR(VLOOKUP(F1826,Back!C:F,4,0),"NO")</f>
        <v>NO</v>
      </c>
      <c r="O1826" s="26">
        <v>24</v>
      </c>
      <c r="P1826" s="28" t="str">
        <f>IFERROR(VLOOKUP(F1826,Back!C:E,3,0),"")</f>
        <v/>
      </c>
      <c r="Q1826" s="28" t="str">
        <f>IFERROR(VLOOKUP(P1826,Back!M:N,2,0),"")</f>
        <v/>
      </c>
      <c r="R1826" s="27" t="str">
        <f>IF(N1826="Si",IFERROR(VLOOKUP(F1826,'TD Cumpl'!B:AB,27,0),"No Aplica"),"No Aplica")</f>
        <v>No Aplica</v>
      </c>
      <c r="S1826" s="38">
        <v>0</v>
      </c>
      <c r="T1826" s="46">
        <v>0</v>
      </c>
      <c r="U1826" s="38">
        <v>0</v>
      </c>
      <c r="V1826" s="46">
        <v>0</v>
      </c>
      <c r="W1826" s="38">
        <v>0</v>
      </c>
      <c r="X1826" s="38">
        <v>0</v>
      </c>
      <c r="Y1826" s="46">
        <f t="shared" si="58"/>
        <v>196000</v>
      </c>
    </row>
    <row r="1827" spans="1:25" x14ac:dyDescent="0.25">
      <c r="A1827" s="20">
        <f>+VLOOKUP(D1827,Back!Q:R,2,0)</f>
        <v>12</v>
      </c>
      <c r="B1827" s="20" t="str">
        <f t="shared" si="57"/>
        <v>2018 DIC</v>
      </c>
      <c r="C1827" s="30">
        <v>2018</v>
      </c>
      <c r="D1827" s="30" t="s">
        <v>187</v>
      </c>
      <c r="E1827" s="30" t="s">
        <v>307</v>
      </c>
      <c r="F1827" s="30"/>
      <c r="G1827" s="30"/>
      <c r="H1827" s="32">
        <v>141671</v>
      </c>
      <c r="I1827" s="32">
        <v>0</v>
      </c>
      <c r="J1827" s="32">
        <v>141671</v>
      </c>
      <c r="K1827" s="33">
        <v>0</v>
      </c>
      <c r="L1827" s="33"/>
      <c r="M1827" s="34"/>
      <c r="N1827" s="209" t="str">
        <f>IFERROR(VLOOKUP(F1827,Back!C:F,4,0),"NO")</f>
        <v>NO</v>
      </c>
      <c r="O1827" s="26">
        <v>24</v>
      </c>
      <c r="P1827" s="28" t="str">
        <f>IFERROR(VLOOKUP(F1827,Back!C:E,3,0),"")</f>
        <v/>
      </c>
      <c r="Q1827" s="28" t="str">
        <f>IFERROR(VLOOKUP(P1827,Back!M:N,2,0),"")</f>
        <v/>
      </c>
      <c r="R1827" s="27" t="str">
        <f>IF(N1827="Si",IFERROR(VLOOKUP(F1827,'TD Cumpl'!B:AB,27,0),"No Aplica"),"No Aplica")</f>
        <v>No Aplica</v>
      </c>
      <c r="S1827" s="38">
        <v>0</v>
      </c>
      <c r="T1827" s="46">
        <v>0</v>
      </c>
      <c r="U1827" s="38">
        <v>0</v>
      </c>
      <c r="V1827" s="46">
        <v>0</v>
      </c>
      <c r="W1827" s="38">
        <v>1</v>
      </c>
      <c r="X1827" s="38">
        <v>141671</v>
      </c>
      <c r="Y1827" s="46">
        <f t="shared" si="58"/>
        <v>0</v>
      </c>
    </row>
    <row r="1828" spans="1:25" x14ac:dyDescent="0.25">
      <c r="A1828" s="20">
        <f>+VLOOKUP(D1828,Back!Q:R,2,0)</f>
        <v>12</v>
      </c>
      <c r="B1828" s="20" t="str">
        <f t="shared" si="57"/>
        <v>2018 DIC</v>
      </c>
      <c r="C1828" s="30">
        <v>2018</v>
      </c>
      <c r="D1828" s="30" t="s">
        <v>187</v>
      </c>
      <c r="E1828" s="30" t="s">
        <v>184</v>
      </c>
      <c r="F1828" s="30"/>
      <c r="G1828" s="30"/>
      <c r="H1828" s="32">
        <v>407150</v>
      </c>
      <c r="I1828" s="32">
        <v>0</v>
      </c>
      <c r="J1828" s="32">
        <v>0</v>
      </c>
      <c r="K1828" s="33">
        <v>407150</v>
      </c>
      <c r="L1828" s="33"/>
      <c r="M1828" s="34"/>
      <c r="N1828" s="209" t="str">
        <f>IFERROR(VLOOKUP(F1828,Back!C:F,4,0),"NO")</f>
        <v>NO</v>
      </c>
      <c r="O1828" s="26">
        <v>24</v>
      </c>
      <c r="P1828" s="28" t="str">
        <f>IFERROR(VLOOKUP(F1828,Back!C:E,3,0),"")</f>
        <v/>
      </c>
      <c r="Q1828" s="28" t="str">
        <f>IFERROR(VLOOKUP(P1828,Back!M:N,2,0),"")</f>
        <v/>
      </c>
      <c r="R1828" s="27" t="str">
        <f>IF(N1828="Si",IFERROR(VLOOKUP(F1828,'TD Cumpl'!B:AB,27,0),"No Aplica"),"No Aplica")</f>
        <v>No Aplica</v>
      </c>
      <c r="S1828" s="38">
        <v>0</v>
      </c>
      <c r="T1828" s="46">
        <v>0</v>
      </c>
      <c r="U1828" s="38">
        <v>0</v>
      </c>
      <c r="V1828" s="46">
        <v>0</v>
      </c>
      <c r="W1828" s="38">
        <v>0</v>
      </c>
      <c r="X1828" s="38">
        <v>0</v>
      </c>
      <c r="Y1828" s="46">
        <f t="shared" si="58"/>
        <v>407150</v>
      </c>
    </row>
    <row r="1829" spans="1:25" x14ac:dyDescent="0.25">
      <c r="A1829" s="20">
        <f>+VLOOKUP(D1829,Back!Q:R,2,0)</f>
        <v>12</v>
      </c>
      <c r="B1829" s="20" t="str">
        <f t="shared" si="57"/>
        <v>2018 DIC</v>
      </c>
      <c r="C1829" s="30">
        <v>2018</v>
      </c>
      <c r="D1829" s="30" t="s">
        <v>187</v>
      </c>
      <c r="E1829" s="30" t="s">
        <v>151</v>
      </c>
      <c r="F1829" s="30"/>
      <c r="G1829" s="30"/>
      <c r="H1829" s="32">
        <v>92600</v>
      </c>
      <c r="I1829" s="32">
        <v>0</v>
      </c>
      <c r="J1829" s="32">
        <v>92600</v>
      </c>
      <c r="K1829" s="33">
        <v>0</v>
      </c>
      <c r="L1829" s="33"/>
      <c r="M1829" s="34"/>
      <c r="N1829" s="209" t="str">
        <f>IFERROR(VLOOKUP(F1829,Back!C:F,4,0),"NO")</f>
        <v>NO</v>
      </c>
      <c r="O1829" s="26">
        <v>24</v>
      </c>
      <c r="P1829" s="28" t="str">
        <f>IFERROR(VLOOKUP(F1829,Back!C:E,3,0),"")</f>
        <v/>
      </c>
      <c r="Q1829" s="28" t="str">
        <f>IFERROR(VLOOKUP(P1829,Back!M:N,2,0),"")</f>
        <v/>
      </c>
      <c r="R1829" s="27" t="str">
        <f>IF(N1829="Si",IFERROR(VLOOKUP(F1829,'TD Cumpl'!B:AB,27,0),"No Aplica"),"No Aplica")</f>
        <v>No Aplica</v>
      </c>
      <c r="S1829" s="38">
        <v>0</v>
      </c>
      <c r="T1829" s="46">
        <v>0</v>
      </c>
      <c r="U1829" s="38">
        <v>0</v>
      </c>
      <c r="V1829" s="46">
        <v>0</v>
      </c>
      <c r="W1829" s="38">
        <v>0</v>
      </c>
      <c r="X1829" s="38">
        <v>0</v>
      </c>
      <c r="Y1829" s="46">
        <f t="shared" si="58"/>
        <v>92600</v>
      </c>
    </row>
    <row r="1830" spans="1:25" x14ac:dyDescent="0.25">
      <c r="A1830" s="20">
        <f>+VLOOKUP(D1830,Back!Q:R,2,0)</f>
        <v>12</v>
      </c>
      <c r="B1830" s="20" t="str">
        <f t="shared" si="57"/>
        <v>2018 DIC</v>
      </c>
      <c r="C1830" s="30">
        <v>2018</v>
      </c>
      <c r="D1830" s="30" t="s">
        <v>187</v>
      </c>
      <c r="E1830" s="30" t="s">
        <v>119</v>
      </c>
      <c r="F1830" s="30"/>
      <c r="G1830" s="30"/>
      <c r="H1830" s="32">
        <v>141671</v>
      </c>
      <c r="I1830" s="32">
        <v>0</v>
      </c>
      <c r="J1830" s="32">
        <v>141671</v>
      </c>
      <c r="K1830" s="33">
        <v>0</v>
      </c>
      <c r="L1830" s="33"/>
      <c r="M1830" s="34"/>
      <c r="N1830" s="209" t="str">
        <f>IFERROR(VLOOKUP(F1830,Back!C:F,4,0),"NO")</f>
        <v>NO</v>
      </c>
      <c r="O1830" s="26">
        <v>24</v>
      </c>
      <c r="P1830" s="28" t="str">
        <f>IFERROR(VLOOKUP(F1830,Back!C:E,3,0),"")</f>
        <v/>
      </c>
      <c r="Q1830" s="28" t="str">
        <f>IFERROR(VLOOKUP(P1830,Back!M:N,2,0),"")</f>
        <v/>
      </c>
      <c r="R1830" s="27" t="str">
        <f>IF(N1830="Si",IFERROR(VLOOKUP(F1830,'TD Cumpl'!B:AB,27,0),"No Aplica"),"No Aplica")</f>
        <v>No Aplica</v>
      </c>
      <c r="S1830" s="38">
        <v>0</v>
      </c>
      <c r="T1830" s="46">
        <v>0</v>
      </c>
      <c r="U1830" s="38">
        <v>0</v>
      </c>
      <c r="V1830" s="46">
        <v>0</v>
      </c>
      <c r="W1830" s="38">
        <v>1</v>
      </c>
      <c r="X1830" s="38">
        <v>141671</v>
      </c>
      <c r="Y1830" s="46">
        <f t="shared" si="58"/>
        <v>0</v>
      </c>
    </row>
    <row r="1831" spans="1:25" x14ac:dyDescent="0.25">
      <c r="A1831" s="20">
        <f>+VLOOKUP(D1831,Back!Q:R,2,0)</f>
        <v>12</v>
      </c>
      <c r="B1831" s="20" t="str">
        <f t="shared" si="57"/>
        <v>2018 DIC</v>
      </c>
      <c r="C1831" s="30">
        <v>2018</v>
      </c>
      <c r="D1831" s="30" t="s">
        <v>187</v>
      </c>
      <c r="E1831" s="30" t="s">
        <v>171</v>
      </c>
      <c r="F1831" s="30"/>
      <c r="G1831" s="30"/>
      <c r="H1831" s="32">
        <v>141671</v>
      </c>
      <c r="I1831" s="32">
        <v>0</v>
      </c>
      <c r="J1831" s="32">
        <v>141671</v>
      </c>
      <c r="K1831" s="33">
        <v>0</v>
      </c>
      <c r="L1831" s="33"/>
      <c r="M1831" s="34"/>
      <c r="N1831" s="209" t="str">
        <f>IFERROR(VLOOKUP(F1831,Back!C:F,4,0),"NO")</f>
        <v>NO</v>
      </c>
      <c r="O1831" s="26">
        <v>24</v>
      </c>
      <c r="P1831" s="28" t="str">
        <f>IFERROR(VLOOKUP(F1831,Back!C:E,3,0),"")</f>
        <v/>
      </c>
      <c r="Q1831" s="28" t="str">
        <f>IFERROR(VLOOKUP(P1831,Back!M:N,2,0),"")</f>
        <v/>
      </c>
      <c r="R1831" s="27" t="str">
        <f>IF(N1831="Si",IFERROR(VLOOKUP(F1831,'TD Cumpl'!B:AB,27,0),"No Aplica"),"No Aplica")</f>
        <v>No Aplica</v>
      </c>
      <c r="S1831" s="38">
        <v>0</v>
      </c>
      <c r="T1831" s="46">
        <v>0</v>
      </c>
      <c r="U1831" s="38">
        <v>0</v>
      </c>
      <c r="V1831" s="46">
        <v>0</v>
      </c>
      <c r="W1831" s="38">
        <v>1</v>
      </c>
      <c r="X1831" s="38">
        <v>141671</v>
      </c>
      <c r="Y1831" s="46">
        <f t="shared" si="58"/>
        <v>0</v>
      </c>
    </row>
    <row r="1832" spans="1:25" x14ac:dyDescent="0.25">
      <c r="A1832" s="20">
        <f>+VLOOKUP(D1832,Back!Q:R,2,0)</f>
        <v>12</v>
      </c>
      <c r="B1832" s="20" t="str">
        <f t="shared" si="57"/>
        <v>2018 DIC</v>
      </c>
      <c r="C1832" s="30">
        <v>2018</v>
      </c>
      <c r="D1832" s="30" t="s">
        <v>187</v>
      </c>
      <c r="E1832" s="30" t="s">
        <v>312</v>
      </c>
      <c r="F1832" s="30"/>
      <c r="G1832" s="30"/>
      <c r="H1832" s="32">
        <v>936000</v>
      </c>
      <c r="I1832" s="32">
        <v>936000</v>
      </c>
      <c r="J1832" s="32">
        <v>0</v>
      </c>
      <c r="K1832" s="33">
        <v>0</v>
      </c>
      <c r="L1832" s="33"/>
      <c r="M1832" s="34"/>
      <c r="N1832" s="209" t="str">
        <f>IFERROR(VLOOKUP(F1832,Back!C:F,4,0),"NO")</f>
        <v>NO</v>
      </c>
      <c r="O1832" s="26">
        <v>24</v>
      </c>
      <c r="P1832" s="28" t="str">
        <f>IFERROR(VLOOKUP(F1832,Back!C:E,3,0),"")</f>
        <v/>
      </c>
      <c r="Q1832" s="28" t="str">
        <f>IFERROR(VLOOKUP(P1832,Back!M:N,2,0),"")</f>
        <v/>
      </c>
      <c r="R1832" s="27" t="str">
        <f>IF(N1832="Si",IFERROR(VLOOKUP(F1832,'TD Cumpl'!B:AB,27,0),"No Aplica"),"No Aplica")</f>
        <v>No Aplica</v>
      </c>
      <c r="S1832" s="38">
        <v>0</v>
      </c>
      <c r="T1832" s="46">
        <v>0</v>
      </c>
      <c r="U1832" s="38">
        <v>0</v>
      </c>
      <c r="V1832" s="46">
        <v>0</v>
      </c>
      <c r="W1832" s="38">
        <v>0</v>
      </c>
      <c r="X1832" s="38">
        <v>0</v>
      </c>
      <c r="Y1832" s="46">
        <f t="shared" si="58"/>
        <v>936000</v>
      </c>
    </row>
    <row r="1833" spans="1:25" x14ac:dyDescent="0.25">
      <c r="A1833" s="20">
        <f>+VLOOKUP(D1833,Back!Q:R,2,0)</f>
        <v>12</v>
      </c>
      <c r="B1833" s="20" t="str">
        <f t="shared" si="57"/>
        <v>2018 DIC</v>
      </c>
      <c r="C1833" s="30">
        <v>2018</v>
      </c>
      <c r="D1833" s="30" t="s">
        <v>187</v>
      </c>
      <c r="E1833" s="30" t="s">
        <v>313</v>
      </c>
      <c r="F1833" s="30"/>
      <c r="G1833" s="30"/>
      <c r="H1833" s="32">
        <v>147577</v>
      </c>
      <c r="I1833" s="32">
        <v>0</v>
      </c>
      <c r="J1833" s="32">
        <v>0</v>
      </c>
      <c r="K1833" s="33">
        <v>147577</v>
      </c>
      <c r="L1833" s="33"/>
      <c r="M1833" s="34"/>
      <c r="N1833" s="209" t="str">
        <f>IFERROR(VLOOKUP(F1833,Back!C:F,4,0),"NO")</f>
        <v>NO</v>
      </c>
      <c r="O1833" s="26">
        <v>24</v>
      </c>
      <c r="P1833" s="28" t="str">
        <f>IFERROR(VLOOKUP(F1833,Back!C:E,3,0),"")</f>
        <v/>
      </c>
      <c r="Q1833" s="28" t="str">
        <f>IFERROR(VLOOKUP(P1833,Back!M:N,2,0),"")</f>
        <v/>
      </c>
      <c r="R1833" s="27" t="str">
        <f>IF(N1833="Si",IFERROR(VLOOKUP(F1833,'TD Cumpl'!B:AB,27,0),"No Aplica"),"No Aplica")</f>
        <v>No Aplica</v>
      </c>
      <c r="S1833" s="38">
        <v>0</v>
      </c>
      <c r="T1833" s="46">
        <v>0</v>
      </c>
      <c r="U1833" s="38">
        <v>2</v>
      </c>
      <c r="V1833" s="46">
        <v>147577</v>
      </c>
      <c r="W1833" s="38">
        <v>0</v>
      </c>
      <c r="X1833" s="38">
        <v>0</v>
      </c>
      <c r="Y1833" s="46">
        <f t="shared" si="58"/>
        <v>0</v>
      </c>
    </row>
    <row r="1834" spans="1:25" x14ac:dyDescent="0.25">
      <c r="A1834" s="20">
        <f>+VLOOKUP(D1834,Back!Q:R,2,0)</f>
        <v>12</v>
      </c>
      <c r="B1834" s="20" t="str">
        <f t="shared" si="57"/>
        <v>2018 DIC</v>
      </c>
      <c r="C1834" s="30">
        <v>2018</v>
      </c>
      <c r="D1834" s="30" t="s">
        <v>187</v>
      </c>
      <c r="E1834" s="30" t="s">
        <v>237</v>
      </c>
      <c r="F1834" s="30"/>
      <c r="G1834" s="30"/>
      <c r="H1834" s="32">
        <v>201435</v>
      </c>
      <c r="I1834" s="32">
        <v>0</v>
      </c>
      <c r="J1834" s="32">
        <v>134285</v>
      </c>
      <c r="K1834" s="33">
        <v>67150</v>
      </c>
      <c r="L1834" s="33"/>
      <c r="M1834" s="34"/>
      <c r="N1834" s="209" t="str">
        <f>IFERROR(VLOOKUP(F1834,Back!C:F,4,0),"NO")</f>
        <v>NO</v>
      </c>
      <c r="O1834" s="26">
        <v>24</v>
      </c>
      <c r="P1834" s="28" t="str">
        <f>IFERROR(VLOOKUP(F1834,Back!C:E,3,0),"")</f>
        <v/>
      </c>
      <c r="Q1834" s="28" t="str">
        <f>IFERROR(VLOOKUP(P1834,Back!M:N,2,0),"")</f>
        <v/>
      </c>
      <c r="R1834" s="27" t="str">
        <f>IF(N1834="Si",IFERROR(VLOOKUP(F1834,'TD Cumpl'!B:AB,27,0),"No Aplica"),"No Aplica")</f>
        <v>No Aplica</v>
      </c>
      <c r="S1834" s="38">
        <v>0</v>
      </c>
      <c r="T1834" s="46">
        <v>0</v>
      </c>
      <c r="U1834" s="38">
        <v>2</v>
      </c>
      <c r="V1834" s="46">
        <v>67150</v>
      </c>
      <c r="W1834" s="38">
        <v>1</v>
      </c>
      <c r="X1834" s="38">
        <v>134285</v>
      </c>
      <c r="Y1834" s="46">
        <f t="shared" si="58"/>
        <v>0</v>
      </c>
    </row>
    <row r="1835" spans="1:25" x14ac:dyDescent="0.25">
      <c r="A1835" s="20">
        <f>+VLOOKUP(D1835,Back!Q:R,2,0)</f>
        <v>12</v>
      </c>
      <c r="B1835" s="20" t="str">
        <f t="shared" si="57"/>
        <v>2018 DIC</v>
      </c>
      <c r="C1835" s="30">
        <v>2018</v>
      </c>
      <c r="D1835" s="30" t="s">
        <v>187</v>
      </c>
      <c r="E1835" s="30" t="s">
        <v>169</v>
      </c>
      <c r="F1835" s="30"/>
      <c r="G1835" s="30"/>
      <c r="H1835" s="32">
        <v>86270</v>
      </c>
      <c r="I1835" s="32">
        <v>0</v>
      </c>
      <c r="J1835" s="32">
        <v>0</v>
      </c>
      <c r="K1835" s="33">
        <v>86270</v>
      </c>
      <c r="L1835" s="33"/>
      <c r="M1835" s="34"/>
      <c r="N1835" s="209" t="str">
        <f>IFERROR(VLOOKUP(F1835,Back!C:F,4,0),"NO")</f>
        <v>NO</v>
      </c>
      <c r="O1835" s="26">
        <v>24</v>
      </c>
      <c r="P1835" s="28" t="str">
        <f>IFERROR(VLOOKUP(F1835,Back!C:E,3,0),"")</f>
        <v/>
      </c>
      <c r="Q1835" s="28" t="str">
        <f>IFERROR(VLOOKUP(P1835,Back!M:N,2,0),"")</f>
        <v/>
      </c>
      <c r="R1835" s="27" t="str">
        <f>IF(N1835="Si",IFERROR(VLOOKUP(F1835,'TD Cumpl'!B:AB,27,0),"No Aplica"),"No Aplica")</f>
        <v>No Aplica</v>
      </c>
      <c r="S1835" s="38">
        <v>0</v>
      </c>
      <c r="T1835" s="46">
        <v>0</v>
      </c>
      <c r="U1835" s="38">
        <v>2</v>
      </c>
      <c r="V1835" s="46">
        <v>86270</v>
      </c>
      <c r="W1835" s="38">
        <v>0</v>
      </c>
      <c r="X1835" s="38">
        <v>0</v>
      </c>
      <c r="Y1835" s="46">
        <f t="shared" si="58"/>
        <v>0</v>
      </c>
    </row>
    <row r="1836" spans="1:25" x14ac:dyDescent="0.25">
      <c r="A1836" s="20">
        <f>+VLOOKUP(D1836,Back!Q:R,2,0)</f>
        <v>12</v>
      </c>
      <c r="B1836" s="20" t="str">
        <f t="shared" si="57"/>
        <v>2018 DIC</v>
      </c>
      <c r="C1836" s="30">
        <v>2018</v>
      </c>
      <c r="D1836" s="30" t="s">
        <v>187</v>
      </c>
      <c r="E1836" s="30" t="s">
        <v>87</v>
      </c>
      <c r="F1836" s="30"/>
      <c r="G1836" s="30"/>
      <c r="H1836" s="32">
        <v>24551871</v>
      </c>
      <c r="I1836" s="32">
        <v>0</v>
      </c>
      <c r="J1836" s="32">
        <v>0</v>
      </c>
      <c r="K1836" s="33">
        <v>24551871</v>
      </c>
      <c r="L1836" s="33"/>
      <c r="M1836" s="34"/>
      <c r="N1836" s="209" t="str">
        <f>IFERROR(VLOOKUP(F1836,Back!C:F,4,0),"NO")</f>
        <v>NO</v>
      </c>
      <c r="O1836" s="26">
        <v>24</v>
      </c>
      <c r="P1836" s="28" t="str">
        <f>IFERROR(VLOOKUP(F1836,Back!C:E,3,0),"")</f>
        <v/>
      </c>
      <c r="Q1836" s="28" t="str">
        <f>IFERROR(VLOOKUP(P1836,Back!M:N,2,0),"")</f>
        <v/>
      </c>
      <c r="R1836" s="27" t="str">
        <f>IF(N1836="Si",IFERROR(VLOOKUP(F1836,'TD Cumpl'!B:AB,27,0),"No Aplica"),"No Aplica")</f>
        <v>No Aplica</v>
      </c>
      <c r="S1836" s="38">
        <v>87</v>
      </c>
      <c r="T1836" s="46">
        <v>5974352</v>
      </c>
      <c r="U1836" s="38">
        <v>128</v>
      </c>
      <c r="V1836" s="46">
        <v>14208507</v>
      </c>
      <c r="W1836" s="38">
        <v>0</v>
      </c>
      <c r="X1836" s="38">
        <v>0</v>
      </c>
      <c r="Y1836" s="46">
        <f t="shared" si="58"/>
        <v>4369012</v>
      </c>
    </row>
    <row r="1837" spans="1:25" x14ac:dyDescent="0.25">
      <c r="A1837" s="20">
        <f>+VLOOKUP(D1837,Back!Q:R,2,0)</f>
        <v>1</v>
      </c>
      <c r="B1837" s="20" t="str">
        <f t="shared" si="57"/>
        <v>2019 ENE</v>
      </c>
      <c r="C1837" s="30">
        <v>2019</v>
      </c>
      <c r="D1837" s="30" t="s">
        <v>122</v>
      </c>
      <c r="E1837" s="30" t="s">
        <v>3</v>
      </c>
      <c r="F1837" s="30">
        <v>52725011</v>
      </c>
      <c r="G1837" s="30" t="s">
        <v>42</v>
      </c>
      <c r="H1837" s="32">
        <v>37339206</v>
      </c>
      <c r="I1837" s="32">
        <v>468000</v>
      </c>
      <c r="J1837" s="32">
        <v>7220929</v>
      </c>
      <c r="K1837" s="33">
        <v>29650277</v>
      </c>
      <c r="L1837" s="33">
        <v>28000000</v>
      </c>
      <c r="M1837" s="34">
        <v>1.0589384642857143</v>
      </c>
      <c r="N1837" s="209" t="str">
        <f>IFERROR(VLOOKUP(F1837,Back!C:F,4,0),"NO")</f>
        <v>Si</v>
      </c>
      <c r="O1837" s="26">
        <v>25</v>
      </c>
      <c r="P1837" s="28" t="str">
        <f>IFERROR(VLOOKUP(F1837,Back!C:E,3,0),"")</f>
        <v>IPS Pto De Vista Olaya</v>
      </c>
      <c r="Q1837" s="28" t="str">
        <f>IFERROR(VLOOKUP(P1837,Back!M:N,2,0),"")</f>
        <v>Centro</v>
      </c>
      <c r="R1837" s="27" t="str">
        <f>IF(N1837="Si",IFERROR(VLOOKUP(F1837,'TD Cumpl'!B:AB,27,0),"No Aplica"),"No Aplica")</f>
        <v>Fluctúa</v>
      </c>
      <c r="S1837" s="38">
        <v>72</v>
      </c>
      <c r="T1837" s="46">
        <v>5655997</v>
      </c>
      <c r="U1837" s="38">
        <v>202</v>
      </c>
      <c r="V1837" s="46">
        <v>23295092</v>
      </c>
      <c r="W1837" s="38">
        <v>91</v>
      </c>
      <c r="X1837" s="46">
        <v>7220929</v>
      </c>
      <c r="Y1837" s="46">
        <f t="shared" si="58"/>
        <v>1167188</v>
      </c>
    </row>
    <row r="1838" spans="1:25" x14ac:dyDescent="0.25">
      <c r="A1838" s="20">
        <f>+VLOOKUP(D1838,Back!Q:R,2,0)</f>
        <v>1</v>
      </c>
      <c r="B1838" s="20" t="str">
        <f t="shared" si="57"/>
        <v>2019 ENE</v>
      </c>
      <c r="C1838" s="30">
        <v>2019</v>
      </c>
      <c r="D1838" s="30" t="s">
        <v>122</v>
      </c>
      <c r="E1838" s="30" t="s">
        <v>191</v>
      </c>
      <c r="F1838" s="30">
        <v>1010207310</v>
      </c>
      <c r="G1838" s="30" t="s">
        <v>253</v>
      </c>
      <c r="H1838" s="32">
        <v>38740268</v>
      </c>
      <c r="I1838" s="32">
        <v>0</v>
      </c>
      <c r="J1838" s="32">
        <v>7944864</v>
      </c>
      <c r="K1838" s="33">
        <v>30795404</v>
      </c>
      <c r="L1838" s="33">
        <v>28000000</v>
      </c>
      <c r="M1838" s="34">
        <v>1.0998358571428573</v>
      </c>
      <c r="N1838" s="209" t="str">
        <f>IFERROR(VLOOKUP(F1838,Back!C:F,4,0),"NO")</f>
        <v>Si</v>
      </c>
      <c r="O1838" s="26">
        <v>25</v>
      </c>
      <c r="P1838" s="28" t="str">
        <f>IFERROR(VLOOKUP(F1838,Back!C:E,3,0),"")</f>
        <v>IPS Pto De Vista Olaya</v>
      </c>
      <c r="Q1838" s="28" t="str">
        <f>IFERROR(VLOOKUP(P1838,Back!M:N,2,0),"")</f>
        <v>Centro</v>
      </c>
      <c r="R1838" s="27" t="str">
        <f>IF(N1838="Si",IFERROR(VLOOKUP(F1838,'TD Cumpl'!B:AB,27,0),"No Aplica"),"No Aplica")</f>
        <v>Cumple</v>
      </c>
      <c r="S1838" s="38">
        <v>76</v>
      </c>
      <c r="T1838" s="46">
        <v>6278738</v>
      </c>
      <c r="U1838" s="38">
        <v>212</v>
      </c>
      <c r="V1838" s="46">
        <v>21946527</v>
      </c>
      <c r="W1838" s="38">
        <v>104</v>
      </c>
      <c r="X1838" s="46">
        <v>7944864</v>
      </c>
      <c r="Y1838" s="46">
        <f t="shared" si="58"/>
        <v>2570139</v>
      </c>
    </row>
    <row r="1839" spans="1:25" x14ac:dyDescent="0.25">
      <c r="A1839" s="20">
        <f>+VLOOKUP(D1839,Back!Q:R,2,0)</f>
        <v>1</v>
      </c>
      <c r="B1839" s="20" t="str">
        <f t="shared" si="57"/>
        <v>2019 ENE</v>
      </c>
      <c r="C1839" s="30">
        <v>2019</v>
      </c>
      <c r="D1839" s="30" t="s">
        <v>122</v>
      </c>
      <c r="E1839" s="30" t="s">
        <v>4</v>
      </c>
      <c r="F1839" s="30">
        <v>79701425</v>
      </c>
      <c r="G1839" s="30" t="s">
        <v>27</v>
      </c>
      <c r="H1839" s="32">
        <v>11474983</v>
      </c>
      <c r="I1839" s="32">
        <v>0</v>
      </c>
      <c r="J1839" s="32">
        <v>1438271</v>
      </c>
      <c r="K1839" s="33">
        <v>10036712</v>
      </c>
      <c r="L1839" s="33">
        <v>6720000</v>
      </c>
      <c r="M1839" s="34">
        <v>1.4935583333333333</v>
      </c>
      <c r="N1839" s="209" t="str">
        <f>IFERROR(VLOOKUP(F1839,Back!C:F,4,0),"NO")</f>
        <v>No</v>
      </c>
      <c r="O1839" s="26">
        <v>25</v>
      </c>
      <c r="P1839" s="28" t="str">
        <f>IFERROR(VLOOKUP(F1839,Back!C:E,3,0),"")</f>
        <v>IPS Pto De Vista Olaya</v>
      </c>
      <c r="Q1839" s="28" t="str">
        <f>IFERROR(VLOOKUP(P1839,Back!M:N,2,0),"")</f>
        <v>Centro</v>
      </c>
      <c r="R1839" s="27" t="str">
        <f>IF(N1839="Si",IFERROR(VLOOKUP(F1839,'TD Cumpl'!B:AB,27,0),"No Aplica"),"No Aplica")</f>
        <v>No Aplica</v>
      </c>
      <c r="S1839" s="38">
        <v>29</v>
      </c>
      <c r="T1839" s="46">
        <v>2409944</v>
      </c>
      <c r="U1839" s="38">
        <v>76</v>
      </c>
      <c r="V1839" s="46">
        <v>6820703</v>
      </c>
      <c r="W1839" s="38">
        <v>19</v>
      </c>
      <c r="X1839" s="46">
        <v>1438271</v>
      </c>
      <c r="Y1839" s="46">
        <f t="shared" si="58"/>
        <v>806065</v>
      </c>
    </row>
    <row r="1840" spans="1:25" x14ac:dyDescent="0.25">
      <c r="A1840" s="20">
        <f>+VLOOKUP(D1840,Back!Q:R,2,0)</f>
        <v>1</v>
      </c>
      <c r="B1840" s="20" t="str">
        <f t="shared" si="57"/>
        <v>2019 ENE</v>
      </c>
      <c r="C1840" s="30">
        <v>2019</v>
      </c>
      <c r="D1840" s="30" t="s">
        <v>122</v>
      </c>
      <c r="E1840" s="30" t="s">
        <v>62</v>
      </c>
      <c r="F1840" s="30">
        <v>32256379</v>
      </c>
      <c r="G1840" s="30"/>
      <c r="H1840" s="32">
        <v>486000</v>
      </c>
      <c r="I1840" s="32">
        <v>486000</v>
      </c>
      <c r="J1840" s="32">
        <v>0</v>
      </c>
      <c r="K1840" s="33">
        <v>0</v>
      </c>
      <c r="L1840" s="33"/>
      <c r="M1840" s="34"/>
      <c r="N1840" s="209" t="str">
        <f>IFERROR(VLOOKUP(F1840,Back!C:F,4,0),"NO")</f>
        <v>Si</v>
      </c>
      <c r="O1840" s="26">
        <v>25</v>
      </c>
      <c r="P1840" s="28" t="str">
        <f>IFERROR(VLOOKUP(F1840,Back!C:E,3,0),"")</f>
        <v>Ferias Empresariales Antioquia</v>
      </c>
      <c r="Q1840" s="28" t="str">
        <f>IFERROR(VLOOKUP(P1840,Back!M:N,2,0),"")</f>
        <v>Antioquia</v>
      </c>
      <c r="R1840" s="27" t="str">
        <f>IF(N1840="Si",IFERROR(VLOOKUP(F1840,'TD Cumpl'!B:AB,27,0),"No Aplica"),"No Aplica")</f>
        <v>Fluctúa</v>
      </c>
      <c r="S1840" s="38">
        <v>0</v>
      </c>
      <c r="T1840" s="46">
        <v>0</v>
      </c>
      <c r="U1840" s="38">
        <v>0</v>
      </c>
      <c r="V1840" s="46">
        <v>0</v>
      </c>
      <c r="W1840" s="38">
        <v>0</v>
      </c>
      <c r="X1840" s="46">
        <v>0</v>
      </c>
      <c r="Y1840" s="46">
        <f t="shared" si="58"/>
        <v>486000</v>
      </c>
    </row>
    <row r="1841" spans="1:25" x14ac:dyDescent="0.25">
      <c r="A1841" s="20">
        <f>+VLOOKUP(D1841,Back!Q:R,2,0)</f>
        <v>1</v>
      </c>
      <c r="B1841" s="20" t="str">
        <f t="shared" si="57"/>
        <v>2019 ENE</v>
      </c>
      <c r="C1841" s="30">
        <v>2019</v>
      </c>
      <c r="D1841" s="30" t="s">
        <v>122</v>
      </c>
      <c r="E1841" s="30" t="s">
        <v>266</v>
      </c>
      <c r="F1841" s="30">
        <v>1128476466</v>
      </c>
      <c r="G1841" s="30" t="s">
        <v>267</v>
      </c>
      <c r="H1841" s="32">
        <v>19889152</v>
      </c>
      <c r="I1841" s="32">
        <v>0</v>
      </c>
      <c r="J1841" s="32">
        <v>4404783</v>
      </c>
      <c r="K1841" s="33">
        <v>15484369</v>
      </c>
      <c r="L1841" s="33">
        <v>22400000</v>
      </c>
      <c r="M1841" s="34">
        <v>0.69126647321428569</v>
      </c>
      <c r="N1841" s="209" t="str">
        <f>IFERROR(VLOOKUP(F1841,Back!C:F,4,0),"NO")</f>
        <v>Si</v>
      </c>
      <c r="O1841" s="26">
        <v>25</v>
      </c>
      <c r="P1841" s="28" t="str">
        <f>IFERROR(VLOOKUP(F1841,Back!C:E,3,0),"")</f>
        <v>IPS Pto De Vista San Diego</v>
      </c>
      <c r="Q1841" s="28" t="str">
        <f>IFERROR(VLOOKUP(P1841,Back!M:N,2,0),"")</f>
        <v>Antioquia</v>
      </c>
      <c r="R1841" s="27" t="str">
        <f>IF(N1841="Si",IFERROR(VLOOKUP(F1841,'TD Cumpl'!B:AB,27,0),"No Aplica"),"No Aplica")</f>
        <v>Fluctúa</v>
      </c>
      <c r="S1841" s="38">
        <v>40</v>
      </c>
      <c r="T1841" s="46">
        <v>3941998</v>
      </c>
      <c r="U1841" s="38">
        <v>92</v>
      </c>
      <c r="V1841" s="46">
        <v>9039210</v>
      </c>
      <c r="W1841" s="38">
        <v>51</v>
      </c>
      <c r="X1841" s="46">
        <v>4404783</v>
      </c>
      <c r="Y1841" s="46">
        <f t="shared" si="58"/>
        <v>2503161</v>
      </c>
    </row>
    <row r="1842" spans="1:25" x14ac:dyDescent="0.25">
      <c r="A1842" s="20">
        <f>+VLOOKUP(D1842,Back!Q:R,2,0)</f>
        <v>1</v>
      </c>
      <c r="B1842" s="20" t="str">
        <f t="shared" si="57"/>
        <v>2019 ENE</v>
      </c>
      <c r="C1842" s="30">
        <v>2019</v>
      </c>
      <c r="D1842" s="30" t="s">
        <v>122</v>
      </c>
      <c r="E1842" s="30" t="s">
        <v>25</v>
      </c>
      <c r="F1842" s="30">
        <v>1040030764</v>
      </c>
      <c r="G1842" s="30" t="s">
        <v>43</v>
      </c>
      <c r="H1842" s="32">
        <v>41338131</v>
      </c>
      <c r="I1842" s="32">
        <v>2322900</v>
      </c>
      <c r="J1842" s="32">
        <v>7331897</v>
      </c>
      <c r="K1842" s="33">
        <v>31683334</v>
      </c>
      <c r="L1842" s="33">
        <v>16000000</v>
      </c>
      <c r="M1842" s="34">
        <v>1.9802083749999999</v>
      </c>
      <c r="N1842" s="209" t="str">
        <f>IFERROR(VLOOKUP(F1842,Back!C:F,4,0),"NO")</f>
        <v>Si</v>
      </c>
      <c r="O1842" s="26">
        <v>25</v>
      </c>
      <c r="P1842" s="28" t="str">
        <f>IFERROR(VLOOKUP(F1842,Back!C:E,3,0),"")</f>
        <v>IPS Pto De Vista Rionegro</v>
      </c>
      <c r="Q1842" s="28" t="str">
        <f>IFERROR(VLOOKUP(P1842,Back!M:N,2,0),"")</f>
        <v>Antioquia</v>
      </c>
      <c r="R1842" s="27" t="str">
        <f>IF(N1842="Si",IFERROR(VLOOKUP(F1842,'TD Cumpl'!B:AB,27,0),"No Aplica"),"No Aplica")</f>
        <v>Cumple</v>
      </c>
      <c r="S1842" s="38">
        <v>74</v>
      </c>
      <c r="T1842" s="46">
        <v>8704817</v>
      </c>
      <c r="U1842" s="38">
        <v>174</v>
      </c>
      <c r="V1842" s="46">
        <v>19929828</v>
      </c>
      <c r="W1842" s="38">
        <v>71</v>
      </c>
      <c r="X1842" s="46">
        <v>7331897</v>
      </c>
      <c r="Y1842" s="46">
        <f t="shared" si="58"/>
        <v>5371589</v>
      </c>
    </row>
    <row r="1843" spans="1:25" x14ac:dyDescent="0.25">
      <c r="A1843" s="20">
        <f>+VLOOKUP(D1843,Back!Q:R,2,0)</f>
        <v>1</v>
      </c>
      <c r="B1843" s="20" t="str">
        <f t="shared" si="57"/>
        <v>2019 ENE</v>
      </c>
      <c r="C1843" s="30">
        <v>2019</v>
      </c>
      <c r="D1843" s="30" t="s">
        <v>122</v>
      </c>
      <c r="E1843" s="30" t="s">
        <v>284</v>
      </c>
      <c r="F1843" s="30">
        <v>1128267208</v>
      </c>
      <c r="G1843" s="30" t="s">
        <v>285</v>
      </c>
      <c r="H1843" s="32">
        <v>50288339</v>
      </c>
      <c r="I1843" s="32">
        <v>1884900</v>
      </c>
      <c r="J1843" s="32">
        <v>6804724</v>
      </c>
      <c r="K1843" s="33">
        <v>41598715</v>
      </c>
      <c r="L1843" s="33">
        <v>36800000</v>
      </c>
      <c r="M1843" s="34">
        <v>1.1303998641304347</v>
      </c>
      <c r="N1843" s="209" t="str">
        <f>IFERROR(VLOOKUP(F1843,Back!C:F,4,0),"NO")</f>
        <v>Si</v>
      </c>
      <c r="O1843" s="26">
        <v>25</v>
      </c>
      <c r="P1843" s="28" t="str">
        <f>IFERROR(VLOOKUP(F1843,Back!C:E,3,0),"")</f>
        <v>IPS Pto De Vista Rionegro</v>
      </c>
      <c r="Q1843" s="28" t="str">
        <f>IFERROR(VLOOKUP(P1843,Back!M:N,2,0),"")</f>
        <v>Antioquia</v>
      </c>
      <c r="R1843" s="27" t="str">
        <f>IF(N1843="Si",IFERROR(VLOOKUP(F1843,'TD Cumpl'!B:AB,27,0),"No Aplica"),"No Aplica")</f>
        <v>Fluctúa</v>
      </c>
      <c r="S1843" s="38">
        <v>69</v>
      </c>
      <c r="T1843" s="46">
        <v>10421960</v>
      </c>
      <c r="U1843" s="38">
        <v>157</v>
      </c>
      <c r="V1843" s="46">
        <v>25164151</v>
      </c>
      <c r="W1843" s="38">
        <v>74</v>
      </c>
      <c r="X1843" s="46">
        <v>6804724</v>
      </c>
      <c r="Y1843" s="46">
        <f t="shared" si="58"/>
        <v>7897504</v>
      </c>
    </row>
    <row r="1844" spans="1:25" x14ac:dyDescent="0.25">
      <c r="A1844" s="20">
        <f>+VLOOKUP(D1844,Back!Q:R,2,0)</f>
        <v>1</v>
      </c>
      <c r="B1844" s="20" t="str">
        <f t="shared" si="57"/>
        <v>2019 ENE</v>
      </c>
      <c r="C1844" s="30">
        <v>2019</v>
      </c>
      <c r="D1844" s="30" t="s">
        <v>122</v>
      </c>
      <c r="E1844" s="30" t="s">
        <v>24</v>
      </c>
      <c r="F1844" s="30">
        <v>39448823</v>
      </c>
      <c r="G1844" s="30" t="s">
        <v>48</v>
      </c>
      <c r="H1844" s="32">
        <v>31697169</v>
      </c>
      <c r="I1844" s="32">
        <v>1544100</v>
      </c>
      <c r="J1844" s="32">
        <v>4974643</v>
      </c>
      <c r="K1844" s="33">
        <v>25178426</v>
      </c>
      <c r="L1844" s="33">
        <v>22400000</v>
      </c>
      <c r="M1844" s="34">
        <v>1.124036875</v>
      </c>
      <c r="N1844" s="209" t="str">
        <f>IFERROR(VLOOKUP(F1844,Back!C:F,4,0),"NO")</f>
        <v>Si</v>
      </c>
      <c r="O1844" s="26">
        <v>25</v>
      </c>
      <c r="P1844" s="28" t="str">
        <f>IFERROR(VLOOKUP(F1844,Back!C:E,3,0),"")</f>
        <v>IPS Pto De Vista Rionegro</v>
      </c>
      <c r="Q1844" s="28" t="str">
        <f>IFERROR(VLOOKUP(P1844,Back!M:N,2,0),"")</f>
        <v>Antioquia</v>
      </c>
      <c r="R1844" s="27" t="str">
        <f>IF(N1844="Si",IFERROR(VLOOKUP(F1844,'TD Cumpl'!B:AB,27,0),"No Aplica"),"No Aplica")</f>
        <v>Siempre Cumple</v>
      </c>
      <c r="S1844" s="38">
        <v>43</v>
      </c>
      <c r="T1844" s="46">
        <v>5427563</v>
      </c>
      <c r="U1844" s="38">
        <v>126</v>
      </c>
      <c r="V1844" s="46">
        <v>16523993</v>
      </c>
      <c r="W1844" s="38">
        <v>55</v>
      </c>
      <c r="X1844" s="46">
        <v>4974643</v>
      </c>
      <c r="Y1844" s="46">
        <f t="shared" si="58"/>
        <v>4770970</v>
      </c>
    </row>
    <row r="1845" spans="1:25" x14ac:dyDescent="0.25">
      <c r="A1845" s="20">
        <f>+VLOOKUP(D1845,Back!Q:R,2,0)</f>
        <v>1</v>
      </c>
      <c r="B1845" s="20" t="str">
        <f t="shared" si="57"/>
        <v>2019 ENE</v>
      </c>
      <c r="C1845" s="30">
        <v>2019</v>
      </c>
      <c r="D1845" s="30" t="s">
        <v>122</v>
      </c>
      <c r="E1845" s="30" t="s">
        <v>11</v>
      </c>
      <c r="F1845" s="30">
        <v>43253531</v>
      </c>
      <c r="G1845" s="30" t="s">
        <v>39</v>
      </c>
      <c r="H1845" s="32">
        <v>54018464</v>
      </c>
      <c r="I1845" s="32">
        <v>1812600</v>
      </c>
      <c r="J1845" s="32">
        <v>11975433</v>
      </c>
      <c r="K1845" s="33">
        <v>40230431</v>
      </c>
      <c r="L1845" s="33">
        <v>34040000</v>
      </c>
      <c r="M1845" s="34">
        <v>1.1818575499412456</v>
      </c>
      <c r="N1845" s="209" t="str">
        <f>IFERROR(VLOOKUP(F1845,Back!C:F,4,0),"NO")</f>
        <v>Si</v>
      </c>
      <c r="O1845" s="26">
        <v>25</v>
      </c>
      <c r="P1845" s="28" t="str">
        <f>IFERROR(VLOOKUP(F1845,Back!C:E,3,0),"")</f>
        <v>IPS Punto de Vista Bello</v>
      </c>
      <c r="Q1845" s="28" t="str">
        <f>IFERROR(VLOOKUP(P1845,Back!M:N,2,0),"")</f>
        <v>Antioquia</v>
      </c>
      <c r="R1845" s="27" t="str">
        <f>IF(N1845="Si",IFERROR(VLOOKUP(F1845,'TD Cumpl'!B:AB,27,0),"No Aplica"),"No Aplica")</f>
        <v>Cumple</v>
      </c>
      <c r="S1845" s="38">
        <v>79</v>
      </c>
      <c r="T1845" s="46">
        <v>8837006</v>
      </c>
      <c r="U1845" s="38">
        <v>186</v>
      </c>
      <c r="V1845" s="46">
        <v>26227615</v>
      </c>
      <c r="W1845" s="38">
        <v>123</v>
      </c>
      <c r="X1845" s="46">
        <v>11975433</v>
      </c>
      <c r="Y1845" s="46">
        <f t="shared" si="58"/>
        <v>6978410</v>
      </c>
    </row>
    <row r="1846" spans="1:25" x14ac:dyDescent="0.25">
      <c r="A1846" s="20">
        <f>+VLOOKUP(D1846,Back!Q:R,2,0)</f>
        <v>1</v>
      </c>
      <c r="B1846" s="20" t="str">
        <f t="shared" si="57"/>
        <v>2019 ENE</v>
      </c>
      <c r="C1846" s="30">
        <v>2019</v>
      </c>
      <c r="D1846" s="30" t="s">
        <v>122</v>
      </c>
      <c r="E1846" s="30" t="s">
        <v>121</v>
      </c>
      <c r="F1846" s="30">
        <v>21982241</v>
      </c>
      <c r="G1846" s="30" t="s">
        <v>143</v>
      </c>
      <c r="H1846" s="32">
        <v>27082204</v>
      </c>
      <c r="I1846" s="32">
        <v>421200</v>
      </c>
      <c r="J1846" s="32">
        <v>7733995</v>
      </c>
      <c r="K1846" s="33">
        <v>18927009</v>
      </c>
      <c r="L1846" s="33">
        <v>34040000</v>
      </c>
      <c r="M1846" s="34">
        <v>0.55602259106933016</v>
      </c>
      <c r="N1846" s="209" t="str">
        <f>IFERROR(VLOOKUP(F1846,Back!C:F,4,0),"NO")</f>
        <v>Si</v>
      </c>
      <c r="O1846" s="26">
        <v>25</v>
      </c>
      <c r="P1846" s="28" t="str">
        <f>IFERROR(VLOOKUP(F1846,Back!C:E,3,0),"")</f>
        <v>IPS Punto de Vista Bello</v>
      </c>
      <c r="Q1846" s="28" t="str">
        <f>IFERROR(VLOOKUP(P1846,Back!M:N,2,0),"")</f>
        <v>Antioquia</v>
      </c>
      <c r="R1846" s="27" t="str">
        <f>IF(N1846="Si",IFERROR(VLOOKUP(F1846,'TD Cumpl'!B:AB,27,0),"No Aplica"),"No Aplica")</f>
        <v>Fluctúa</v>
      </c>
      <c r="S1846" s="38">
        <v>35</v>
      </c>
      <c r="T1846" s="46">
        <v>3186715</v>
      </c>
      <c r="U1846" s="38">
        <v>128</v>
      </c>
      <c r="V1846" s="46">
        <v>14293290</v>
      </c>
      <c r="W1846" s="38">
        <v>77</v>
      </c>
      <c r="X1846" s="46">
        <v>7733995</v>
      </c>
      <c r="Y1846" s="46">
        <f t="shared" si="58"/>
        <v>1868204</v>
      </c>
    </row>
    <row r="1847" spans="1:25" x14ac:dyDescent="0.25">
      <c r="A1847" s="20">
        <f>+VLOOKUP(D1847,Back!Q:R,2,0)</f>
        <v>1</v>
      </c>
      <c r="B1847" s="20" t="str">
        <f t="shared" si="57"/>
        <v>2019 ENE</v>
      </c>
      <c r="C1847" s="30">
        <v>2019</v>
      </c>
      <c r="D1847" s="30" t="s">
        <v>122</v>
      </c>
      <c r="E1847" s="30" t="s">
        <v>9</v>
      </c>
      <c r="F1847" s="30">
        <v>43169964</v>
      </c>
      <c r="G1847" s="30" t="s">
        <v>155</v>
      </c>
      <c r="H1847" s="32">
        <v>50719664</v>
      </c>
      <c r="I1847" s="32">
        <v>1602990</v>
      </c>
      <c r="J1847" s="32">
        <v>7234702</v>
      </c>
      <c r="K1847" s="33">
        <v>41881972</v>
      </c>
      <c r="L1847" s="33">
        <v>41400000</v>
      </c>
      <c r="M1847" s="34">
        <v>1.0116418357487922</v>
      </c>
      <c r="N1847" s="209" t="str">
        <f>IFERROR(VLOOKUP(F1847,Back!C:F,4,0),"NO")</f>
        <v>Si</v>
      </c>
      <c r="O1847" s="26">
        <v>25</v>
      </c>
      <c r="P1847" s="28" t="str">
        <f>IFERROR(VLOOKUP(F1847,Back!C:E,3,0),"")</f>
        <v>IPS Pto De Vista Molinos</v>
      </c>
      <c r="Q1847" s="28" t="str">
        <f>IFERROR(VLOOKUP(P1847,Back!M:N,2,0),"")</f>
        <v>Antioquia</v>
      </c>
      <c r="R1847" s="27" t="str">
        <f>IF(N1847="Si",IFERROR(VLOOKUP(F1847,'TD Cumpl'!B:AB,27,0),"No Aplica"),"No Aplica")</f>
        <v>Cumple</v>
      </c>
      <c r="S1847" s="38">
        <v>91</v>
      </c>
      <c r="T1847" s="46">
        <v>10149919</v>
      </c>
      <c r="U1847" s="38">
        <v>202</v>
      </c>
      <c r="V1847" s="46">
        <v>25490157</v>
      </c>
      <c r="W1847" s="38">
        <v>76</v>
      </c>
      <c r="X1847" s="46">
        <v>7234702</v>
      </c>
      <c r="Y1847" s="46">
        <f t="shared" si="58"/>
        <v>7844886</v>
      </c>
    </row>
    <row r="1848" spans="1:25" x14ac:dyDescent="0.25">
      <c r="A1848" s="20">
        <f>+VLOOKUP(D1848,Back!Q:R,2,0)</f>
        <v>1</v>
      </c>
      <c r="B1848" s="20" t="str">
        <f t="shared" si="57"/>
        <v>2019 ENE</v>
      </c>
      <c r="C1848" s="30">
        <v>2019</v>
      </c>
      <c r="D1848" s="30" t="s">
        <v>122</v>
      </c>
      <c r="E1848" s="30" t="s">
        <v>288</v>
      </c>
      <c r="F1848" s="30">
        <v>1017191161</v>
      </c>
      <c r="G1848" s="30" t="s">
        <v>289</v>
      </c>
      <c r="H1848" s="32">
        <v>40926951</v>
      </c>
      <c r="I1848" s="32">
        <v>324000</v>
      </c>
      <c r="J1848" s="32">
        <v>9550546</v>
      </c>
      <c r="K1848" s="33">
        <v>31052405</v>
      </c>
      <c r="L1848" s="33">
        <v>39600000</v>
      </c>
      <c r="M1848" s="34">
        <v>0.7841516414141414</v>
      </c>
      <c r="N1848" s="209" t="str">
        <f>IFERROR(VLOOKUP(F1848,Back!C:F,4,0),"NO")</f>
        <v>Si</v>
      </c>
      <c r="O1848" s="26">
        <v>25</v>
      </c>
      <c r="P1848" s="28" t="str">
        <f>IFERROR(VLOOKUP(F1848,Back!C:E,3,0),"")</f>
        <v>IPS Pto De Vista Molinos</v>
      </c>
      <c r="Q1848" s="28" t="str">
        <f>IFERROR(VLOOKUP(P1848,Back!M:N,2,0),"")</f>
        <v>Antioquia</v>
      </c>
      <c r="R1848" s="27" t="str">
        <f>IF(N1848="Si",IFERROR(VLOOKUP(F1848,'TD Cumpl'!B:AB,27,0),"No Aplica"),"No Aplica")</f>
        <v>No Cumple</v>
      </c>
      <c r="S1848" s="38">
        <v>72</v>
      </c>
      <c r="T1848" s="46">
        <v>6208231</v>
      </c>
      <c r="U1848" s="38">
        <v>174</v>
      </c>
      <c r="V1848" s="46">
        <v>20582587</v>
      </c>
      <c r="W1848" s="38">
        <v>98</v>
      </c>
      <c r="X1848" s="46">
        <v>9550546</v>
      </c>
      <c r="Y1848" s="46">
        <f t="shared" si="58"/>
        <v>4585587</v>
      </c>
    </row>
    <row r="1849" spans="1:25" x14ac:dyDescent="0.25">
      <c r="A1849" s="20">
        <f>+VLOOKUP(D1849,Back!Q:R,2,0)</f>
        <v>1</v>
      </c>
      <c r="B1849" s="20" t="str">
        <f t="shared" si="57"/>
        <v>2019 ENE</v>
      </c>
      <c r="C1849" s="30">
        <v>2019</v>
      </c>
      <c r="D1849" s="30" t="s">
        <v>122</v>
      </c>
      <c r="E1849" s="30" t="s">
        <v>308</v>
      </c>
      <c r="F1849" s="30">
        <v>1128402269</v>
      </c>
      <c r="G1849" s="30" t="s">
        <v>309</v>
      </c>
      <c r="H1849" s="32">
        <v>27653424</v>
      </c>
      <c r="I1849" s="32">
        <v>1656000</v>
      </c>
      <c r="J1849" s="32">
        <v>6840508</v>
      </c>
      <c r="K1849" s="33">
        <v>19156916</v>
      </c>
      <c r="L1849" s="33">
        <v>38800000</v>
      </c>
      <c r="M1849" s="34">
        <v>0.49373494845360827</v>
      </c>
      <c r="N1849" s="209" t="str">
        <f>IFERROR(VLOOKUP(F1849,Back!C:F,4,0),"NO")</f>
        <v>Si</v>
      </c>
      <c r="O1849" s="26">
        <v>25</v>
      </c>
      <c r="P1849" s="28" t="str">
        <f>IFERROR(VLOOKUP(F1849,Back!C:E,3,0),"")</f>
        <v>IPS Pto De Vista Molinos</v>
      </c>
      <c r="Q1849" s="28" t="str">
        <f>IFERROR(VLOOKUP(P1849,Back!M:N,2,0),"")</f>
        <v>Antioquia</v>
      </c>
      <c r="R1849" s="27" t="str">
        <f>IF(N1849="Si",IFERROR(VLOOKUP(F1849,'TD Cumpl'!B:AB,27,0),"No Aplica"),"No Aplica")</f>
        <v>No Cumple</v>
      </c>
      <c r="S1849" s="38">
        <v>46</v>
      </c>
      <c r="T1849" s="46">
        <v>4301903</v>
      </c>
      <c r="U1849" s="38">
        <v>112</v>
      </c>
      <c r="V1849" s="46">
        <v>12299648</v>
      </c>
      <c r="W1849" s="38">
        <v>68</v>
      </c>
      <c r="X1849" s="46">
        <v>6840508</v>
      </c>
      <c r="Y1849" s="46">
        <f t="shared" si="58"/>
        <v>4211365</v>
      </c>
    </row>
    <row r="1850" spans="1:25" x14ac:dyDescent="0.25">
      <c r="A1850" s="20">
        <f>+VLOOKUP(D1850,Back!Q:R,2,0)</f>
        <v>1</v>
      </c>
      <c r="B1850" s="20" t="str">
        <f t="shared" si="57"/>
        <v>2019 ENE</v>
      </c>
      <c r="C1850" s="30">
        <v>2019</v>
      </c>
      <c r="D1850" s="30" t="s">
        <v>122</v>
      </c>
      <c r="E1850" s="30" t="s">
        <v>20</v>
      </c>
      <c r="F1850" s="30">
        <v>1017141451</v>
      </c>
      <c r="G1850" s="30" t="s">
        <v>44</v>
      </c>
      <c r="H1850" s="32">
        <v>50462553</v>
      </c>
      <c r="I1850" s="32">
        <v>221100</v>
      </c>
      <c r="J1850" s="32">
        <v>8338496</v>
      </c>
      <c r="K1850" s="33">
        <v>41902957</v>
      </c>
      <c r="L1850" s="33">
        <v>41400000</v>
      </c>
      <c r="M1850" s="34">
        <v>1.0121487198067634</v>
      </c>
      <c r="N1850" s="209" t="str">
        <f>IFERROR(VLOOKUP(F1850,Back!C:F,4,0),"NO")</f>
        <v>Si</v>
      </c>
      <c r="O1850" s="26">
        <v>25</v>
      </c>
      <c r="P1850" s="28" t="str">
        <f>IFERROR(VLOOKUP(F1850,Back!C:E,3,0),"")</f>
        <v>IPS Pto De Vista Molinos</v>
      </c>
      <c r="Q1850" s="28" t="str">
        <f>IFERROR(VLOOKUP(P1850,Back!M:N,2,0),"")</f>
        <v>Antioquia</v>
      </c>
      <c r="R1850" s="27" t="str">
        <f>IF(N1850="Si",IFERROR(VLOOKUP(F1850,'TD Cumpl'!B:AB,27,0),"No Aplica"),"No Aplica")</f>
        <v>Siempre Cumple</v>
      </c>
      <c r="S1850" s="38">
        <v>85</v>
      </c>
      <c r="T1850" s="46">
        <v>9599771</v>
      </c>
      <c r="U1850" s="38">
        <v>219</v>
      </c>
      <c r="V1850" s="46">
        <v>28671053</v>
      </c>
      <c r="W1850" s="38">
        <v>88</v>
      </c>
      <c r="X1850" s="46">
        <v>8338496</v>
      </c>
      <c r="Y1850" s="46">
        <f t="shared" si="58"/>
        <v>3853233</v>
      </c>
    </row>
    <row r="1851" spans="1:25" x14ac:dyDescent="0.25">
      <c r="A1851" s="20">
        <f>+VLOOKUP(D1851,Back!Q:R,2,0)</f>
        <v>1</v>
      </c>
      <c r="B1851" s="20" t="str">
        <f t="shared" si="57"/>
        <v>2019 ENE</v>
      </c>
      <c r="C1851" s="30">
        <v>2019</v>
      </c>
      <c r="D1851" s="30" t="s">
        <v>122</v>
      </c>
      <c r="E1851" s="30" t="s">
        <v>290</v>
      </c>
      <c r="F1851" s="30">
        <v>1128442101</v>
      </c>
      <c r="G1851" s="30" t="s">
        <v>291</v>
      </c>
      <c r="H1851" s="32">
        <v>42493607</v>
      </c>
      <c r="I1851" s="32">
        <v>468000</v>
      </c>
      <c r="J1851" s="32">
        <v>8098615</v>
      </c>
      <c r="K1851" s="33">
        <v>33926992</v>
      </c>
      <c r="L1851" s="33">
        <v>31500000</v>
      </c>
      <c r="M1851" s="34">
        <v>1.077047365079365</v>
      </c>
      <c r="N1851" s="209" t="str">
        <f>IFERROR(VLOOKUP(F1851,Back!C:F,4,0),"NO")</f>
        <v>Si</v>
      </c>
      <c r="O1851" s="26">
        <v>25</v>
      </c>
      <c r="P1851" s="28" t="str">
        <f>IFERROR(VLOOKUP(F1851,Back!C:E,3,0),"")</f>
        <v>IPS Punto de Vista Mayorca</v>
      </c>
      <c r="Q1851" s="28" t="str">
        <f>IFERROR(VLOOKUP(P1851,Back!M:N,2,0),"")</f>
        <v>Antioquia</v>
      </c>
      <c r="R1851" s="27" t="str">
        <f>IF(N1851="Si",IFERROR(VLOOKUP(F1851,'TD Cumpl'!B:AB,27,0),"No Aplica"),"No Aplica")</f>
        <v>Fluctúa</v>
      </c>
      <c r="S1851" s="38">
        <v>65</v>
      </c>
      <c r="T1851" s="46">
        <v>7997401</v>
      </c>
      <c r="U1851" s="38">
        <v>164</v>
      </c>
      <c r="V1851" s="46">
        <v>20778988</v>
      </c>
      <c r="W1851" s="38">
        <v>89</v>
      </c>
      <c r="X1851" s="46">
        <v>8098615</v>
      </c>
      <c r="Y1851" s="46">
        <f t="shared" si="58"/>
        <v>5618603</v>
      </c>
    </row>
    <row r="1852" spans="1:25" x14ac:dyDescent="0.25">
      <c r="A1852" s="20">
        <f>+VLOOKUP(D1852,Back!Q:R,2,0)</f>
        <v>1</v>
      </c>
      <c r="B1852" s="20" t="str">
        <f t="shared" si="57"/>
        <v>2019 ENE</v>
      </c>
      <c r="C1852" s="30">
        <v>2019</v>
      </c>
      <c r="D1852" s="30" t="s">
        <v>122</v>
      </c>
      <c r="E1852" s="30" t="s">
        <v>103</v>
      </c>
      <c r="F1852" s="30">
        <v>1020409789</v>
      </c>
      <c r="G1852" s="30" t="s">
        <v>145</v>
      </c>
      <c r="H1852" s="32">
        <v>57923521</v>
      </c>
      <c r="I1852" s="32">
        <v>0</v>
      </c>
      <c r="J1852" s="32">
        <v>10857755</v>
      </c>
      <c r="K1852" s="33">
        <v>47065766</v>
      </c>
      <c r="L1852" s="33">
        <v>41400000</v>
      </c>
      <c r="M1852" s="34">
        <v>1.1368542512077295</v>
      </c>
      <c r="N1852" s="209" t="str">
        <f>IFERROR(VLOOKUP(F1852,Back!C:F,4,0),"NO")</f>
        <v>Si</v>
      </c>
      <c r="O1852" s="26">
        <v>25</v>
      </c>
      <c r="P1852" s="28" t="str">
        <f>IFERROR(VLOOKUP(F1852,Back!C:E,3,0),"")</f>
        <v>IPS Pto De Vista Molinos</v>
      </c>
      <c r="Q1852" s="28" t="str">
        <f>IFERROR(VLOOKUP(P1852,Back!M:N,2,0),"")</f>
        <v>Antioquia</v>
      </c>
      <c r="R1852" s="27" t="str">
        <f>IF(N1852="Si",IFERROR(VLOOKUP(F1852,'TD Cumpl'!B:AB,27,0),"No Aplica"),"No Aplica")</f>
        <v>Cumple</v>
      </c>
      <c r="S1852" s="38">
        <v>87</v>
      </c>
      <c r="T1852" s="46">
        <v>9553587</v>
      </c>
      <c r="U1852" s="38">
        <v>226</v>
      </c>
      <c r="V1852" s="46">
        <v>32062937</v>
      </c>
      <c r="W1852" s="38">
        <v>111</v>
      </c>
      <c r="X1852" s="46">
        <v>10857755</v>
      </c>
      <c r="Y1852" s="46">
        <f t="shared" si="58"/>
        <v>5449242</v>
      </c>
    </row>
    <row r="1853" spans="1:25" x14ac:dyDescent="0.25">
      <c r="A1853" s="20">
        <f>+VLOOKUP(D1853,Back!Q:R,2,0)</f>
        <v>1</v>
      </c>
      <c r="B1853" s="20" t="str">
        <f t="shared" si="57"/>
        <v>2019 ENE</v>
      </c>
      <c r="C1853" s="30">
        <v>2019</v>
      </c>
      <c r="D1853" s="30" t="s">
        <v>122</v>
      </c>
      <c r="E1853" s="30" t="s">
        <v>8</v>
      </c>
      <c r="F1853" s="30">
        <v>43259130</v>
      </c>
      <c r="G1853" s="30" t="s">
        <v>51</v>
      </c>
      <c r="H1853" s="32">
        <v>49631063</v>
      </c>
      <c r="I1853" s="32">
        <v>0</v>
      </c>
      <c r="J1853" s="32">
        <v>9322290</v>
      </c>
      <c r="K1853" s="33">
        <v>40308773</v>
      </c>
      <c r="L1853" s="33">
        <v>39600000</v>
      </c>
      <c r="M1853" s="34">
        <v>1.0178983080808082</v>
      </c>
      <c r="N1853" s="209" t="str">
        <f>IFERROR(VLOOKUP(F1853,Back!C:F,4,0),"NO")</f>
        <v>Si</v>
      </c>
      <c r="O1853" s="26">
        <v>25</v>
      </c>
      <c r="P1853" s="28" t="str">
        <f>IFERROR(VLOOKUP(F1853,Back!C:E,3,0),"")</f>
        <v>IPS Pto De Vista Molinos</v>
      </c>
      <c r="Q1853" s="28" t="str">
        <f>IFERROR(VLOOKUP(P1853,Back!M:N,2,0),"")</f>
        <v>Antioquia</v>
      </c>
      <c r="R1853" s="27" t="str">
        <f>IF(N1853="Si",IFERROR(VLOOKUP(F1853,'TD Cumpl'!B:AB,27,0),"No Aplica"),"No Aplica")</f>
        <v>Fluctúa</v>
      </c>
      <c r="S1853" s="38">
        <v>95</v>
      </c>
      <c r="T1853" s="46">
        <v>9293592</v>
      </c>
      <c r="U1853" s="38">
        <v>224</v>
      </c>
      <c r="V1853" s="46">
        <v>25628912</v>
      </c>
      <c r="W1853" s="38">
        <v>96</v>
      </c>
      <c r="X1853" s="46">
        <v>9322290</v>
      </c>
      <c r="Y1853" s="46">
        <f t="shared" si="58"/>
        <v>5386269</v>
      </c>
    </row>
    <row r="1854" spans="1:25" x14ac:dyDescent="0.25">
      <c r="A1854" s="20">
        <f>+VLOOKUP(D1854,Back!Q:R,2,0)</f>
        <v>1</v>
      </c>
      <c r="B1854" s="20" t="str">
        <f t="shared" ref="B1854:B1917" si="59">MID(UPPER(C1854&amp;" "&amp;D1854),1,8)</f>
        <v>2019 ENE</v>
      </c>
      <c r="C1854" s="30">
        <v>2019</v>
      </c>
      <c r="D1854" s="30" t="s">
        <v>122</v>
      </c>
      <c r="E1854" s="30" t="s">
        <v>56</v>
      </c>
      <c r="F1854" s="30">
        <v>43971430</v>
      </c>
      <c r="G1854" s="30" t="s">
        <v>142</v>
      </c>
      <c r="H1854" s="32">
        <v>62929606</v>
      </c>
      <c r="I1854" s="32">
        <v>2906190</v>
      </c>
      <c r="J1854" s="32">
        <v>12236535</v>
      </c>
      <c r="K1854" s="33">
        <v>47786881</v>
      </c>
      <c r="L1854" s="33">
        <v>40480000</v>
      </c>
      <c r="M1854" s="34">
        <v>1.1805059535573124</v>
      </c>
      <c r="N1854" s="209" t="str">
        <f>IFERROR(VLOOKUP(F1854,Back!C:F,4,0),"NO")</f>
        <v>Si</v>
      </c>
      <c r="O1854" s="26">
        <v>25</v>
      </c>
      <c r="P1854" s="28" t="str">
        <f>IFERROR(VLOOKUP(F1854,Back!C:E,3,0),"")</f>
        <v>IPS Pto De Vista Centro</v>
      </c>
      <c r="Q1854" s="28" t="str">
        <f>IFERROR(VLOOKUP(P1854,Back!M:N,2,0),"")</f>
        <v>Antioquia</v>
      </c>
      <c r="R1854" s="27" t="str">
        <f>IF(N1854="Si",IFERROR(VLOOKUP(F1854,'TD Cumpl'!B:AB,27,0),"No Aplica"),"No Aplica")</f>
        <v>Siempre Cumple</v>
      </c>
      <c r="S1854" s="38">
        <v>96</v>
      </c>
      <c r="T1854" s="46">
        <v>10422098</v>
      </c>
      <c r="U1854" s="38">
        <v>264</v>
      </c>
      <c r="V1854" s="46">
        <v>32122950</v>
      </c>
      <c r="W1854" s="38">
        <v>119</v>
      </c>
      <c r="X1854" s="46">
        <v>12236535</v>
      </c>
      <c r="Y1854" s="46">
        <f t="shared" si="58"/>
        <v>8148023</v>
      </c>
    </row>
    <row r="1855" spans="1:25" x14ac:dyDescent="0.25">
      <c r="A1855" s="20">
        <f>+VLOOKUP(D1855,Back!Q:R,2,0)</f>
        <v>1</v>
      </c>
      <c r="B1855" s="20" t="str">
        <f t="shared" si="59"/>
        <v>2019 ENE</v>
      </c>
      <c r="C1855" s="30">
        <v>2019</v>
      </c>
      <c r="D1855" s="30" t="s">
        <v>122</v>
      </c>
      <c r="E1855" s="30" t="s">
        <v>34</v>
      </c>
      <c r="F1855" s="30">
        <v>43554403</v>
      </c>
      <c r="G1855" s="30" t="s">
        <v>35</v>
      </c>
      <c r="H1855" s="32">
        <v>65277768</v>
      </c>
      <c r="I1855" s="32">
        <v>442200</v>
      </c>
      <c r="J1855" s="32">
        <v>12553856</v>
      </c>
      <c r="K1855" s="33">
        <v>52281712</v>
      </c>
      <c r="L1855" s="33">
        <v>40480000</v>
      </c>
      <c r="M1855" s="34">
        <v>1.2915442687747036</v>
      </c>
      <c r="N1855" s="209" t="str">
        <f>IFERROR(VLOOKUP(F1855,Back!C:F,4,0),"NO")</f>
        <v>Si</v>
      </c>
      <c r="O1855" s="26">
        <v>25</v>
      </c>
      <c r="P1855" s="28" t="str">
        <f>IFERROR(VLOOKUP(F1855,Back!C:E,3,0),"")</f>
        <v>IPS Pto De Vista Centro</v>
      </c>
      <c r="Q1855" s="28" t="str">
        <f>IFERROR(VLOOKUP(P1855,Back!M:N,2,0),"")</f>
        <v>Antioquia</v>
      </c>
      <c r="R1855" s="27" t="str">
        <f>IF(N1855="Si",IFERROR(VLOOKUP(F1855,'TD Cumpl'!B:AB,27,0),"No Aplica"),"No Aplica")</f>
        <v>Siempre Cumple</v>
      </c>
      <c r="S1855" s="38">
        <v>87</v>
      </c>
      <c r="T1855" s="46">
        <v>10580834</v>
      </c>
      <c r="U1855" s="38">
        <v>242</v>
      </c>
      <c r="V1855" s="46">
        <v>34808536</v>
      </c>
      <c r="W1855" s="38">
        <v>128</v>
      </c>
      <c r="X1855" s="46">
        <v>12553856</v>
      </c>
      <c r="Y1855" s="46">
        <f t="shared" si="58"/>
        <v>7334542</v>
      </c>
    </row>
    <row r="1856" spans="1:25" x14ac:dyDescent="0.25">
      <c r="A1856" s="20">
        <f>+VLOOKUP(D1856,Back!Q:R,2,0)</f>
        <v>1</v>
      </c>
      <c r="B1856" s="20" t="str">
        <f t="shared" si="59"/>
        <v>2019 ENE</v>
      </c>
      <c r="C1856" s="30">
        <v>2019</v>
      </c>
      <c r="D1856" s="30" t="s">
        <v>122</v>
      </c>
      <c r="E1856" s="30" t="s">
        <v>101</v>
      </c>
      <c r="F1856" s="30">
        <v>21428423</v>
      </c>
      <c r="G1856" s="30" t="s">
        <v>154</v>
      </c>
      <c r="H1856" s="32">
        <v>56596530</v>
      </c>
      <c r="I1856" s="32">
        <v>1890000</v>
      </c>
      <c r="J1856" s="32">
        <v>9279909</v>
      </c>
      <c r="K1856" s="33">
        <v>45426621</v>
      </c>
      <c r="L1856" s="33">
        <v>40480000</v>
      </c>
      <c r="M1856" s="34">
        <v>1.1221991353754941</v>
      </c>
      <c r="N1856" s="209" t="str">
        <f>IFERROR(VLOOKUP(F1856,Back!C:F,4,0),"NO")</f>
        <v>Si</v>
      </c>
      <c r="O1856" s="26">
        <v>25</v>
      </c>
      <c r="P1856" s="28" t="str">
        <f>IFERROR(VLOOKUP(F1856,Back!C:E,3,0),"")</f>
        <v>IPS Pto De Vista Centro</v>
      </c>
      <c r="Q1856" s="28" t="str">
        <f>IFERROR(VLOOKUP(P1856,Back!M:N,2,0),"")</f>
        <v>Antioquia</v>
      </c>
      <c r="R1856" s="27" t="str">
        <f>IF(N1856="Si",IFERROR(VLOOKUP(F1856,'TD Cumpl'!B:AB,27,0),"No Aplica"),"No Aplica")</f>
        <v>Fluctúa</v>
      </c>
      <c r="S1856" s="38">
        <v>89</v>
      </c>
      <c r="T1856" s="46">
        <v>8716540</v>
      </c>
      <c r="U1856" s="38">
        <v>235</v>
      </c>
      <c r="V1856" s="46">
        <v>29919635</v>
      </c>
      <c r="W1856" s="38">
        <v>93</v>
      </c>
      <c r="X1856" s="46">
        <v>8961509</v>
      </c>
      <c r="Y1856" s="46">
        <f t="shared" si="58"/>
        <v>8998846</v>
      </c>
    </row>
    <row r="1857" spans="1:25" x14ac:dyDescent="0.25">
      <c r="A1857" s="20">
        <f>+VLOOKUP(D1857,Back!Q:R,2,0)</f>
        <v>1</v>
      </c>
      <c r="B1857" s="20" t="str">
        <f t="shared" si="59"/>
        <v>2019 ENE</v>
      </c>
      <c r="C1857" s="30">
        <v>2019</v>
      </c>
      <c r="D1857" s="30" t="s">
        <v>122</v>
      </c>
      <c r="E1857" s="30" t="s">
        <v>13</v>
      </c>
      <c r="F1857" s="30">
        <v>43866877</v>
      </c>
      <c r="G1857" s="30" t="s">
        <v>46</v>
      </c>
      <c r="H1857" s="32">
        <v>57583370</v>
      </c>
      <c r="I1857" s="32">
        <v>720000</v>
      </c>
      <c r="J1857" s="32">
        <v>10673075</v>
      </c>
      <c r="K1857" s="33">
        <v>46190295</v>
      </c>
      <c r="L1857" s="33">
        <v>40480000</v>
      </c>
      <c r="M1857" s="34">
        <v>1.1410645998023716</v>
      </c>
      <c r="N1857" s="209" t="str">
        <f>IFERROR(VLOOKUP(F1857,Back!C:F,4,0),"NO")</f>
        <v>Si</v>
      </c>
      <c r="O1857" s="26">
        <v>25</v>
      </c>
      <c r="P1857" s="28" t="str">
        <f>IFERROR(VLOOKUP(F1857,Back!C:E,3,0),"")</f>
        <v>IPS Pto De Vista Centro</v>
      </c>
      <c r="Q1857" s="28" t="str">
        <f>IFERROR(VLOOKUP(P1857,Back!M:N,2,0),"")</f>
        <v>Antioquia</v>
      </c>
      <c r="R1857" s="27" t="str">
        <f>IF(N1857="Si",IFERROR(VLOOKUP(F1857,'TD Cumpl'!B:AB,27,0),"No Aplica"),"No Aplica")</f>
        <v>Siempre Cumple</v>
      </c>
      <c r="S1857" s="38">
        <v>101</v>
      </c>
      <c r="T1857" s="46">
        <v>12850337</v>
      </c>
      <c r="U1857" s="38">
        <v>248</v>
      </c>
      <c r="V1857" s="46">
        <v>26163723</v>
      </c>
      <c r="W1857" s="38">
        <v>115</v>
      </c>
      <c r="X1857" s="46">
        <v>10673075</v>
      </c>
      <c r="Y1857" s="46">
        <f t="shared" ref="Y1857:Y1920" si="60">+H1857-X1857-V1857-T1857</f>
        <v>7896235</v>
      </c>
    </row>
    <row r="1858" spans="1:25" x14ac:dyDescent="0.25">
      <c r="A1858" s="20">
        <f>+VLOOKUP(D1858,Back!Q:R,2,0)</f>
        <v>1</v>
      </c>
      <c r="B1858" s="20" t="str">
        <f t="shared" si="59"/>
        <v>2019 ENE</v>
      </c>
      <c r="C1858" s="30">
        <v>2019</v>
      </c>
      <c r="D1858" s="30" t="s">
        <v>122</v>
      </c>
      <c r="E1858" s="30" t="s">
        <v>269</v>
      </c>
      <c r="F1858" s="30">
        <v>1001131473</v>
      </c>
      <c r="G1858" s="30" t="s">
        <v>331</v>
      </c>
      <c r="H1858" s="32">
        <v>30196722</v>
      </c>
      <c r="I1858" s="32">
        <v>1702200</v>
      </c>
      <c r="J1858" s="32">
        <v>7968231</v>
      </c>
      <c r="K1858" s="33">
        <v>20526291</v>
      </c>
      <c r="L1858" s="33">
        <v>40480000</v>
      </c>
      <c r="M1858" s="34">
        <v>0.50707240612648219</v>
      </c>
      <c r="N1858" s="209" t="str">
        <f>IFERROR(VLOOKUP(F1858,Back!C:F,4,0),"NO")</f>
        <v>Si</v>
      </c>
      <c r="O1858" s="26">
        <v>25</v>
      </c>
      <c r="P1858" s="28" t="str">
        <f>IFERROR(VLOOKUP(F1858,Back!C:E,3,0),"")</f>
        <v>IPS Pto De Vista Centro</v>
      </c>
      <c r="Q1858" s="28" t="str">
        <f>IFERROR(VLOOKUP(P1858,Back!M:N,2,0),"")</f>
        <v>Antioquia</v>
      </c>
      <c r="R1858" s="27" t="str">
        <f>IF(N1858="Si",IFERROR(VLOOKUP(F1858,'TD Cumpl'!B:AB,27,0),"No Aplica"),"No Aplica")</f>
        <v>No Cumple</v>
      </c>
      <c r="S1858" s="38">
        <v>34</v>
      </c>
      <c r="T1858" s="46">
        <v>3710230</v>
      </c>
      <c r="U1858" s="38">
        <v>110</v>
      </c>
      <c r="V1858" s="46">
        <v>12442498</v>
      </c>
      <c r="W1858" s="38">
        <v>81</v>
      </c>
      <c r="X1858" s="46">
        <v>7968231</v>
      </c>
      <c r="Y1858" s="46">
        <f t="shared" si="60"/>
        <v>6075763</v>
      </c>
    </row>
    <row r="1859" spans="1:25" x14ac:dyDescent="0.25">
      <c r="A1859" s="20">
        <f>+VLOOKUP(D1859,Back!Q:R,2,0)</f>
        <v>1</v>
      </c>
      <c r="B1859" s="20" t="str">
        <f t="shared" si="59"/>
        <v>2019 ENE</v>
      </c>
      <c r="C1859" s="30">
        <v>2019</v>
      </c>
      <c r="D1859" s="30" t="s">
        <v>122</v>
      </c>
      <c r="E1859" s="30" t="s">
        <v>265</v>
      </c>
      <c r="F1859" s="30">
        <v>39175639</v>
      </c>
      <c r="G1859" s="30" t="s">
        <v>268</v>
      </c>
      <c r="H1859" s="32">
        <v>57122103</v>
      </c>
      <c r="I1859" s="32">
        <v>1940400</v>
      </c>
      <c r="J1859" s="32">
        <v>9405034</v>
      </c>
      <c r="K1859" s="33">
        <v>45776669</v>
      </c>
      <c r="L1859" s="33">
        <v>40480000</v>
      </c>
      <c r="M1859" s="34">
        <v>1.1308465662055336</v>
      </c>
      <c r="N1859" s="209" t="str">
        <f>IFERROR(VLOOKUP(F1859,Back!C:F,4,0),"NO")</f>
        <v>Si</v>
      </c>
      <c r="O1859" s="26">
        <v>25</v>
      </c>
      <c r="P1859" s="28" t="str">
        <f>IFERROR(VLOOKUP(F1859,Back!C:E,3,0),"")</f>
        <v>IPS Pto De Vista Centro</v>
      </c>
      <c r="Q1859" s="28" t="str">
        <f>IFERROR(VLOOKUP(P1859,Back!M:N,2,0),"")</f>
        <v>Antioquia</v>
      </c>
      <c r="R1859" s="27" t="str">
        <f>IF(N1859="Si",IFERROR(VLOOKUP(F1859,'TD Cumpl'!B:AB,27,0),"No Aplica"),"No Aplica")</f>
        <v>Fluctúa</v>
      </c>
      <c r="S1859" s="38">
        <v>81</v>
      </c>
      <c r="T1859" s="46">
        <v>8704487</v>
      </c>
      <c r="U1859" s="38">
        <v>204</v>
      </c>
      <c r="V1859" s="46">
        <v>31609151</v>
      </c>
      <c r="W1859" s="38">
        <v>90</v>
      </c>
      <c r="X1859" s="46">
        <v>9405034</v>
      </c>
      <c r="Y1859" s="46">
        <f t="shared" si="60"/>
        <v>7403431</v>
      </c>
    </row>
    <row r="1860" spans="1:25" x14ac:dyDescent="0.25">
      <c r="A1860" s="20">
        <f>+VLOOKUP(D1860,Back!Q:R,2,0)</f>
        <v>1</v>
      </c>
      <c r="B1860" s="20" t="str">
        <f t="shared" si="59"/>
        <v>2019 ENE</v>
      </c>
      <c r="C1860" s="30">
        <v>2019</v>
      </c>
      <c r="D1860" s="30" t="s">
        <v>122</v>
      </c>
      <c r="E1860" s="30" t="s">
        <v>177</v>
      </c>
      <c r="F1860" s="30">
        <v>1035913369</v>
      </c>
      <c r="G1860" s="30" t="s">
        <v>183</v>
      </c>
      <c r="H1860" s="32">
        <v>30053419</v>
      </c>
      <c r="I1860" s="32">
        <v>1197000</v>
      </c>
      <c r="J1860" s="32">
        <v>7580696</v>
      </c>
      <c r="K1860" s="33">
        <v>21275723</v>
      </c>
      <c r="L1860" s="33">
        <v>40480000</v>
      </c>
      <c r="M1860" s="34">
        <v>0.52558604249011853</v>
      </c>
      <c r="N1860" s="209" t="str">
        <f>IFERROR(VLOOKUP(F1860,Back!C:F,4,0),"NO")</f>
        <v>Si</v>
      </c>
      <c r="O1860" s="26">
        <v>25</v>
      </c>
      <c r="P1860" s="28" t="str">
        <f>IFERROR(VLOOKUP(F1860,Back!C:E,3,0),"")</f>
        <v>IPS Pto De Vista Centro</v>
      </c>
      <c r="Q1860" s="28" t="str">
        <f>IFERROR(VLOOKUP(P1860,Back!M:N,2,0),"")</f>
        <v>Antioquia</v>
      </c>
      <c r="R1860" s="27" t="str">
        <f>IF(N1860="Si",IFERROR(VLOOKUP(F1860,'TD Cumpl'!B:AB,27,0),"No Aplica"),"No Aplica")</f>
        <v>Fluctúa</v>
      </c>
      <c r="S1860" s="38">
        <v>43</v>
      </c>
      <c r="T1860" s="46">
        <v>4619837</v>
      </c>
      <c r="U1860" s="38">
        <v>110</v>
      </c>
      <c r="V1860" s="46">
        <v>14301209</v>
      </c>
      <c r="W1860" s="38">
        <v>72</v>
      </c>
      <c r="X1860" s="46">
        <v>7580696</v>
      </c>
      <c r="Y1860" s="46">
        <f t="shared" si="60"/>
        <v>3551677</v>
      </c>
    </row>
    <row r="1861" spans="1:25" x14ac:dyDescent="0.25">
      <c r="A1861" s="20">
        <f>+VLOOKUP(D1861,Back!Q:R,2,0)</f>
        <v>1</v>
      </c>
      <c r="B1861" s="20" t="str">
        <f t="shared" si="59"/>
        <v>2019 ENE</v>
      </c>
      <c r="C1861" s="30">
        <v>2019</v>
      </c>
      <c r="D1861" s="30" t="s">
        <v>122</v>
      </c>
      <c r="E1861" s="30" t="s">
        <v>23</v>
      </c>
      <c r="F1861" s="30">
        <v>43907427</v>
      </c>
      <c r="G1861" s="30" t="s">
        <v>144</v>
      </c>
      <c r="H1861" s="32">
        <v>46474200</v>
      </c>
      <c r="I1861" s="32">
        <v>421200</v>
      </c>
      <c r="J1861" s="32">
        <v>4971580</v>
      </c>
      <c r="K1861" s="33">
        <v>41081420</v>
      </c>
      <c r="L1861" s="33">
        <v>36800000</v>
      </c>
      <c r="M1861" s="34">
        <v>1.1163429347826086</v>
      </c>
      <c r="N1861" s="209" t="str">
        <f>IFERROR(VLOOKUP(F1861,Back!C:F,4,0),"NO")</f>
        <v>Si</v>
      </c>
      <c r="O1861" s="26">
        <v>25</v>
      </c>
      <c r="P1861" s="28" t="str">
        <f>IFERROR(VLOOKUP(F1861,Back!C:E,3,0),"")</f>
        <v>IPS Pto De Vista Industriales</v>
      </c>
      <c r="Q1861" s="28" t="str">
        <f>IFERROR(VLOOKUP(P1861,Back!M:N,2,0),"")</f>
        <v>Antioquia</v>
      </c>
      <c r="R1861" s="27" t="str">
        <f>IF(N1861="Si",IFERROR(VLOOKUP(F1861,'TD Cumpl'!B:AB,27,0),"No Aplica"),"No Aplica")</f>
        <v>Siempre Cumple</v>
      </c>
      <c r="S1861" s="38">
        <v>39</v>
      </c>
      <c r="T1861" s="46">
        <v>8390831</v>
      </c>
      <c r="U1861" s="38">
        <v>126</v>
      </c>
      <c r="V1861" s="46">
        <v>28020254</v>
      </c>
      <c r="W1861" s="38">
        <v>50</v>
      </c>
      <c r="X1861" s="46">
        <v>4971580</v>
      </c>
      <c r="Y1861" s="46">
        <f t="shared" si="60"/>
        <v>5091535</v>
      </c>
    </row>
    <row r="1862" spans="1:25" x14ac:dyDescent="0.25">
      <c r="A1862" s="20">
        <f>+VLOOKUP(D1862,Back!Q:R,2,0)</f>
        <v>1</v>
      </c>
      <c r="B1862" s="20" t="str">
        <f t="shared" si="59"/>
        <v>2019 ENE</v>
      </c>
      <c r="C1862" s="30">
        <v>2019</v>
      </c>
      <c r="D1862" s="30" t="s">
        <v>122</v>
      </c>
      <c r="E1862" s="30" t="s">
        <v>66</v>
      </c>
      <c r="F1862" s="30">
        <v>3438422</v>
      </c>
      <c r="G1862" s="30" t="s">
        <v>71</v>
      </c>
      <c r="H1862" s="32">
        <v>37016520</v>
      </c>
      <c r="I1862" s="32">
        <v>1605900</v>
      </c>
      <c r="J1862" s="32">
        <v>10290168</v>
      </c>
      <c r="K1862" s="33">
        <v>25120452</v>
      </c>
      <c r="L1862" s="33">
        <v>42320000</v>
      </c>
      <c r="M1862" s="34">
        <v>0.59358345935727785</v>
      </c>
      <c r="N1862" s="209" t="str">
        <f>IFERROR(VLOOKUP(F1862,Back!C:F,4,0),"NO")</f>
        <v>Si</v>
      </c>
      <c r="O1862" s="26">
        <v>25</v>
      </c>
      <c r="P1862" s="28" t="str">
        <f>IFERROR(VLOOKUP(F1862,Back!C:E,3,0),"")</f>
        <v>IPS Pto De Vista Punto Clave</v>
      </c>
      <c r="Q1862" s="28" t="str">
        <f>IFERROR(VLOOKUP(P1862,Back!M:N,2,0),"")</f>
        <v>Antioquia</v>
      </c>
      <c r="R1862" s="27" t="str">
        <f>IF(N1862="Si",IFERROR(VLOOKUP(F1862,'TD Cumpl'!B:AB,27,0),"No Aplica"),"No Aplica")</f>
        <v>Fluctúa</v>
      </c>
      <c r="S1862" s="38">
        <v>41</v>
      </c>
      <c r="T1862" s="46">
        <v>3759718</v>
      </c>
      <c r="U1862" s="38">
        <v>106</v>
      </c>
      <c r="V1862" s="46">
        <v>15839653</v>
      </c>
      <c r="W1862" s="38">
        <v>100</v>
      </c>
      <c r="X1862" s="46">
        <v>10290168</v>
      </c>
      <c r="Y1862" s="46">
        <f t="shared" si="60"/>
        <v>7126981</v>
      </c>
    </row>
    <row r="1863" spans="1:25" x14ac:dyDescent="0.25">
      <c r="A1863" s="20">
        <f>+VLOOKUP(D1863,Back!Q:R,2,0)</f>
        <v>1</v>
      </c>
      <c r="B1863" s="20" t="str">
        <f t="shared" si="59"/>
        <v>2019 ENE</v>
      </c>
      <c r="C1863" s="30">
        <v>2019</v>
      </c>
      <c r="D1863" s="30" t="s">
        <v>122</v>
      </c>
      <c r="E1863" s="30" t="s">
        <v>166</v>
      </c>
      <c r="F1863" s="30">
        <v>1020451288</v>
      </c>
      <c r="G1863" s="30" t="s">
        <v>167</v>
      </c>
      <c r="H1863" s="32">
        <v>32105444</v>
      </c>
      <c r="I1863" s="32">
        <v>889200</v>
      </c>
      <c r="J1863" s="32">
        <v>3690444</v>
      </c>
      <c r="K1863" s="33">
        <v>27525800</v>
      </c>
      <c r="L1863" s="33">
        <v>23920000</v>
      </c>
      <c r="M1863" s="34">
        <v>1.1507441471571906</v>
      </c>
      <c r="N1863" s="209" t="str">
        <f>IFERROR(VLOOKUP(F1863,Back!C:F,4,0),"NO")</f>
        <v>Si</v>
      </c>
      <c r="O1863" s="26">
        <v>25</v>
      </c>
      <c r="P1863" s="28" t="str">
        <f>IFERROR(VLOOKUP(F1863,Back!C:E,3,0),"")</f>
        <v>IPS Pto De Vista Punto Clave</v>
      </c>
      <c r="Q1863" s="28" t="str">
        <f>IFERROR(VLOOKUP(P1863,Back!M:N,2,0),"")</f>
        <v>Antioquia</v>
      </c>
      <c r="R1863" s="27" t="str">
        <f>IF(N1863="Si",IFERROR(VLOOKUP(F1863,'TD Cumpl'!B:AB,27,0),"No Aplica"),"No Aplica")</f>
        <v>Cumple</v>
      </c>
      <c r="S1863" s="38">
        <v>50</v>
      </c>
      <c r="T1863" s="46">
        <v>4528155</v>
      </c>
      <c r="U1863" s="38">
        <v>147</v>
      </c>
      <c r="V1863" s="46">
        <v>19754085</v>
      </c>
      <c r="W1863" s="38">
        <v>38</v>
      </c>
      <c r="X1863" s="46">
        <v>3690444</v>
      </c>
      <c r="Y1863" s="46">
        <f t="shared" si="60"/>
        <v>4132760</v>
      </c>
    </row>
    <row r="1864" spans="1:25" x14ac:dyDescent="0.25">
      <c r="A1864" s="20">
        <f>+VLOOKUP(D1864,Back!Q:R,2,0)</f>
        <v>1</v>
      </c>
      <c r="B1864" s="20" t="str">
        <f t="shared" si="59"/>
        <v>2019 ENE</v>
      </c>
      <c r="C1864" s="30">
        <v>2019</v>
      </c>
      <c r="D1864" s="30" t="s">
        <v>122</v>
      </c>
      <c r="E1864" s="30" t="s">
        <v>108</v>
      </c>
      <c r="F1864" s="30">
        <v>1020443426</v>
      </c>
      <c r="G1864" s="30" t="s">
        <v>109</v>
      </c>
      <c r="H1864" s="32">
        <v>53263561</v>
      </c>
      <c r="I1864" s="32">
        <v>810000</v>
      </c>
      <c r="J1864" s="32">
        <v>11950596</v>
      </c>
      <c r="K1864" s="33">
        <v>40502965</v>
      </c>
      <c r="L1864" s="33">
        <v>39200000</v>
      </c>
      <c r="M1864" s="34">
        <v>1.0332389030612246</v>
      </c>
      <c r="N1864" s="209" t="str">
        <f>IFERROR(VLOOKUP(F1864,Back!C:F,4,0),"NO")</f>
        <v>Si</v>
      </c>
      <c r="O1864" s="26">
        <v>25</v>
      </c>
      <c r="P1864" s="28" t="str">
        <f>IFERROR(VLOOKUP(F1864,Back!C:E,3,0),"")</f>
        <v>IPS Pto De Vista San Diego</v>
      </c>
      <c r="Q1864" s="28" t="str">
        <f>IFERROR(VLOOKUP(P1864,Back!M:N,2,0),"")</f>
        <v>Antioquia</v>
      </c>
      <c r="R1864" s="27" t="str">
        <f>IF(N1864="Si",IFERROR(VLOOKUP(F1864,'TD Cumpl'!B:AB,27,0),"No Aplica"),"No Aplica")</f>
        <v>Fluctúa</v>
      </c>
      <c r="S1864" s="38">
        <v>92</v>
      </c>
      <c r="T1864" s="46">
        <v>8292139</v>
      </c>
      <c r="U1864" s="38">
        <v>250</v>
      </c>
      <c r="V1864" s="46">
        <v>26951128</v>
      </c>
      <c r="W1864" s="38">
        <v>110</v>
      </c>
      <c r="X1864" s="46">
        <v>11950596</v>
      </c>
      <c r="Y1864" s="46">
        <f t="shared" si="60"/>
        <v>6069698</v>
      </c>
    </row>
    <row r="1865" spans="1:25" x14ac:dyDescent="0.25">
      <c r="A1865" s="20">
        <f>+VLOOKUP(D1865,Back!Q:R,2,0)</f>
        <v>1</v>
      </c>
      <c r="B1865" s="20" t="str">
        <f t="shared" si="59"/>
        <v>2019 ENE</v>
      </c>
      <c r="C1865" s="30">
        <v>2019</v>
      </c>
      <c r="D1865" s="30" t="s">
        <v>122</v>
      </c>
      <c r="E1865" s="30" t="s">
        <v>57</v>
      </c>
      <c r="F1865" s="30">
        <v>43874518</v>
      </c>
      <c r="G1865" s="30" t="s">
        <v>60</v>
      </c>
      <c r="H1865" s="32">
        <v>55197426</v>
      </c>
      <c r="I1865" s="32">
        <v>1510400</v>
      </c>
      <c r="J1865" s="32">
        <v>10328099</v>
      </c>
      <c r="K1865" s="33">
        <v>43358927</v>
      </c>
      <c r="L1865" s="33">
        <v>42320000</v>
      </c>
      <c r="M1865" s="34">
        <v>1.0245493147448015</v>
      </c>
      <c r="N1865" s="209" t="str">
        <f>IFERROR(VLOOKUP(F1865,Back!C:F,4,0),"NO")</f>
        <v>Si</v>
      </c>
      <c r="O1865" s="26">
        <v>25</v>
      </c>
      <c r="P1865" s="28" t="str">
        <f>IFERROR(VLOOKUP(F1865,Back!C:E,3,0),"")</f>
        <v>IPS Pto De Vista Punto Clave</v>
      </c>
      <c r="Q1865" s="28" t="str">
        <f>IFERROR(VLOOKUP(P1865,Back!M:N,2,0),"")</f>
        <v>Antioquia</v>
      </c>
      <c r="R1865" s="27" t="str">
        <f>IF(N1865="Si",IFERROR(VLOOKUP(F1865,'TD Cumpl'!B:AB,27,0),"No Aplica"),"No Aplica")</f>
        <v>Fluctúa</v>
      </c>
      <c r="S1865" s="38">
        <v>91</v>
      </c>
      <c r="T1865" s="46">
        <v>9102233</v>
      </c>
      <c r="U1865" s="38">
        <v>256</v>
      </c>
      <c r="V1865" s="46">
        <v>27641841</v>
      </c>
      <c r="W1865" s="38">
        <v>101</v>
      </c>
      <c r="X1865" s="46">
        <v>10328099</v>
      </c>
      <c r="Y1865" s="46">
        <f t="shared" si="60"/>
        <v>8125253</v>
      </c>
    </row>
    <row r="1866" spans="1:25" x14ac:dyDescent="0.25">
      <c r="A1866" s="20">
        <f>+VLOOKUP(D1866,Back!Q:R,2,0)</f>
        <v>1</v>
      </c>
      <c r="B1866" s="20" t="str">
        <f t="shared" si="59"/>
        <v>2019 ENE</v>
      </c>
      <c r="C1866" s="30">
        <v>2019</v>
      </c>
      <c r="D1866" s="30" t="s">
        <v>122</v>
      </c>
      <c r="E1866" s="30" t="s">
        <v>64</v>
      </c>
      <c r="F1866" s="30">
        <v>1036598360</v>
      </c>
      <c r="G1866" s="30" t="s">
        <v>146</v>
      </c>
      <c r="H1866" s="32">
        <v>61382022</v>
      </c>
      <c r="I1866" s="32">
        <v>1564200</v>
      </c>
      <c r="J1866" s="32">
        <v>8295713</v>
      </c>
      <c r="K1866" s="33">
        <v>51522109</v>
      </c>
      <c r="L1866" s="33">
        <v>42320000</v>
      </c>
      <c r="M1866" s="34">
        <v>1.2174411389413988</v>
      </c>
      <c r="N1866" s="209" t="str">
        <f>IFERROR(VLOOKUP(F1866,Back!C:F,4,0),"NO")</f>
        <v>Si</v>
      </c>
      <c r="O1866" s="26">
        <v>25</v>
      </c>
      <c r="P1866" s="28" t="str">
        <f>IFERROR(VLOOKUP(F1866,Back!C:E,3,0),"")</f>
        <v>IPS Pto De Vista Punto Clave</v>
      </c>
      <c r="Q1866" s="28" t="str">
        <f>IFERROR(VLOOKUP(P1866,Back!M:N,2,0),"")</f>
        <v>Antioquia</v>
      </c>
      <c r="R1866" s="27" t="str">
        <f>IF(N1866="Si",IFERROR(VLOOKUP(F1866,'TD Cumpl'!B:AB,27,0),"No Aplica"),"No Aplica")</f>
        <v>Fluctúa</v>
      </c>
      <c r="S1866" s="38">
        <v>99</v>
      </c>
      <c r="T1866" s="46">
        <v>8856240</v>
      </c>
      <c r="U1866" s="38">
        <v>270</v>
      </c>
      <c r="V1866" s="46">
        <v>35018553</v>
      </c>
      <c r="W1866" s="38">
        <v>83</v>
      </c>
      <c r="X1866" s="46">
        <v>8295713</v>
      </c>
      <c r="Y1866" s="46">
        <f t="shared" si="60"/>
        <v>9211516</v>
      </c>
    </row>
    <row r="1867" spans="1:25" x14ac:dyDescent="0.25">
      <c r="A1867" s="20">
        <f>+VLOOKUP(D1867,Back!Q:R,2,0)</f>
        <v>1</v>
      </c>
      <c r="B1867" s="20" t="str">
        <f t="shared" si="59"/>
        <v>2019 ENE</v>
      </c>
      <c r="C1867" s="30">
        <v>2019</v>
      </c>
      <c r="D1867" s="30" t="s">
        <v>122</v>
      </c>
      <c r="E1867" s="30" t="s">
        <v>261</v>
      </c>
      <c r="F1867" s="30">
        <v>1020425089</v>
      </c>
      <c r="G1867" s="30" t="s">
        <v>271</v>
      </c>
      <c r="H1867" s="32">
        <v>59504566</v>
      </c>
      <c r="I1867" s="32">
        <v>453000</v>
      </c>
      <c r="J1867" s="32">
        <v>14105686</v>
      </c>
      <c r="K1867" s="33">
        <v>44945880</v>
      </c>
      <c r="L1867" s="33">
        <v>42320000</v>
      </c>
      <c r="M1867" s="34">
        <v>1.0620482041587902</v>
      </c>
      <c r="N1867" s="209" t="str">
        <f>IFERROR(VLOOKUP(F1867,Back!C:F,4,0),"NO")</f>
        <v>Si</v>
      </c>
      <c r="O1867" s="26">
        <v>25</v>
      </c>
      <c r="P1867" s="28" t="str">
        <f>IFERROR(VLOOKUP(F1867,Back!C:E,3,0),"")</f>
        <v>IPS Pto De Vista Punto Clave</v>
      </c>
      <c r="Q1867" s="28" t="str">
        <f>IFERROR(VLOOKUP(P1867,Back!M:N,2,0),"")</f>
        <v>Antioquia</v>
      </c>
      <c r="R1867" s="27" t="str">
        <f>IF(N1867="Si",IFERROR(VLOOKUP(F1867,'TD Cumpl'!B:AB,27,0),"No Aplica"),"No Aplica")</f>
        <v>Cumple</v>
      </c>
      <c r="S1867" s="38">
        <v>94</v>
      </c>
      <c r="T1867" s="46">
        <v>9934403</v>
      </c>
      <c r="U1867" s="38">
        <v>257</v>
      </c>
      <c r="V1867" s="46">
        <v>29505090</v>
      </c>
      <c r="W1867" s="38">
        <v>130</v>
      </c>
      <c r="X1867" s="46">
        <v>14105686</v>
      </c>
      <c r="Y1867" s="46">
        <f t="shared" si="60"/>
        <v>5959387</v>
      </c>
    </row>
    <row r="1868" spans="1:25" x14ac:dyDescent="0.25">
      <c r="A1868" s="20">
        <f>+VLOOKUP(D1868,Back!Q:R,2,0)</f>
        <v>1</v>
      </c>
      <c r="B1868" s="20" t="str">
        <f t="shared" si="59"/>
        <v>2019 ENE</v>
      </c>
      <c r="C1868" s="30">
        <v>2019</v>
      </c>
      <c r="D1868" s="30" t="s">
        <v>122</v>
      </c>
      <c r="E1868" s="30" t="s">
        <v>90</v>
      </c>
      <c r="F1868" s="30">
        <v>1020419011</v>
      </c>
      <c r="G1868" s="30" t="s">
        <v>97</v>
      </c>
      <c r="H1868" s="32">
        <v>57743482</v>
      </c>
      <c r="I1868" s="32">
        <v>1422000</v>
      </c>
      <c r="J1868" s="32">
        <v>10817229</v>
      </c>
      <c r="K1868" s="33">
        <v>45504253</v>
      </c>
      <c r="L1868" s="33">
        <v>42320000</v>
      </c>
      <c r="M1868" s="34">
        <v>1.0752422731568998</v>
      </c>
      <c r="N1868" s="209" t="str">
        <f>IFERROR(VLOOKUP(F1868,Back!C:F,4,0),"NO")</f>
        <v>Si</v>
      </c>
      <c r="O1868" s="26">
        <v>25</v>
      </c>
      <c r="P1868" s="28" t="str">
        <f>IFERROR(VLOOKUP(F1868,Back!C:E,3,0),"")</f>
        <v>IPS Pto De Vista Punto Clave</v>
      </c>
      <c r="Q1868" s="28" t="str">
        <f>IFERROR(VLOOKUP(P1868,Back!M:N,2,0),"")</f>
        <v>Antioquia</v>
      </c>
      <c r="R1868" s="27" t="str">
        <f>IF(N1868="Si",IFERROR(VLOOKUP(F1868,'TD Cumpl'!B:AB,27,0),"No Aplica"),"No Aplica")</f>
        <v>Cumple</v>
      </c>
      <c r="S1868" s="38">
        <v>90</v>
      </c>
      <c r="T1868" s="46">
        <v>9614756</v>
      </c>
      <c r="U1868" s="38">
        <v>226</v>
      </c>
      <c r="V1868" s="46">
        <v>26820658</v>
      </c>
      <c r="W1868" s="38">
        <v>101</v>
      </c>
      <c r="X1868" s="46">
        <v>10817229</v>
      </c>
      <c r="Y1868" s="46">
        <f t="shared" si="60"/>
        <v>10490839</v>
      </c>
    </row>
    <row r="1869" spans="1:25" x14ac:dyDescent="0.25">
      <c r="A1869" s="20">
        <f>+VLOOKUP(D1869,Back!Q:R,2,0)</f>
        <v>1</v>
      </c>
      <c r="B1869" s="20" t="str">
        <f t="shared" si="59"/>
        <v>2019 ENE</v>
      </c>
      <c r="C1869" s="30">
        <v>2019</v>
      </c>
      <c r="D1869" s="30" t="s">
        <v>122</v>
      </c>
      <c r="E1869" s="30" t="s">
        <v>117</v>
      </c>
      <c r="F1869" s="30">
        <v>1020419615</v>
      </c>
      <c r="G1869" s="30" t="s">
        <v>118</v>
      </c>
      <c r="H1869" s="32">
        <v>68543572</v>
      </c>
      <c r="I1869" s="32">
        <v>707000</v>
      </c>
      <c r="J1869" s="32">
        <v>13578515</v>
      </c>
      <c r="K1869" s="33">
        <v>54258057</v>
      </c>
      <c r="L1869" s="33">
        <v>42080000</v>
      </c>
      <c r="M1869" s="34">
        <v>1.2894024952471483</v>
      </c>
      <c r="N1869" s="209" t="str">
        <f>IFERROR(VLOOKUP(F1869,Back!C:F,4,0),"NO")</f>
        <v>Si</v>
      </c>
      <c r="O1869" s="26">
        <v>25</v>
      </c>
      <c r="P1869" s="28" t="str">
        <f>IFERROR(VLOOKUP(F1869,Back!C:E,3,0),"")</f>
        <v>IPS Pto De Vista Punto Clave</v>
      </c>
      <c r="Q1869" s="28" t="str">
        <f>IFERROR(VLOOKUP(P1869,Back!M:N,2,0),"")</f>
        <v>Antioquia</v>
      </c>
      <c r="R1869" s="27" t="str">
        <f>IF(N1869="Si",IFERROR(VLOOKUP(F1869,'TD Cumpl'!B:AB,27,0),"No Aplica"),"No Aplica")</f>
        <v>Cumple</v>
      </c>
      <c r="S1869" s="38">
        <v>109</v>
      </c>
      <c r="T1869" s="46">
        <v>10844836</v>
      </c>
      <c r="U1869" s="38">
        <v>268</v>
      </c>
      <c r="V1869" s="46">
        <v>34588070</v>
      </c>
      <c r="W1869" s="38">
        <v>131</v>
      </c>
      <c r="X1869" s="46">
        <v>13578515</v>
      </c>
      <c r="Y1869" s="46">
        <f t="shared" si="60"/>
        <v>9532151</v>
      </c>
    </row>
    <row r="1870" spans="1:25" x14ac:dyDescent="0.25">
      <c r="A1870" s="20">
        <f>+VLOOKUP(D1870,Back!Q:R,2,0)</f>
        <v>1</v>
      </c>
      <c r="B1870" s="20" t="str">
        <f t="shared" si="59"/>
        <v>2019 ENE</v>
      </c>
      <c r="C1870" s="30">
        <v>2019</v>
      </c>
      <c r="D1870" s="30" t="s">
        <v>122</v>
      </c>
      <c r="E1870" s="30" t="s">
        <v>6</v>
      </c>
      <c r="F1870" s="30">
        <v>43821410</v>
      </c>
      <c r="G1870" s="30" t="s">
        <v>40</v>
      </c>
      <c r="H1870" s="32">
        <v>70199260</v>
      </c>
      <c r="I1870" s="32">
        <v>0</v>
      </c>
      <c r="J1870" s="32">
        <v>8466319</v>
      </c>
      <c r="K1870" s="33">
        <v>61732941</v>
      </c>
      <c r="L1870" s="33">
        <v>41400000</v>
      </c>
      <c r="M1870" s="34">
        <v>1.4911338405797101</v>
      </c>
      <c r="N1870" s="209" t="str">
        <f>IFERROR(VLOOKUP(F1870,Back!C:F,4,0),"NO")</f>
        <v>Si</v>
      </c>
      <c r="O1870" s="26">
        <v>25</v>
      </c>
      <c r="P1870" s="28" t="str">
        <f>IFERROR(VLOOKUP(F1870,Back!C:E,3,0),"")</f>
        <v>IPS Pto De Vista Unicentro</v>
      </c>
      <c r="Q1870" s="28" t="str">
        <f>IFERROR(VLOOKUP(P1870,Back!M:N,2,0),"")</f>
        <v>Antioquia</v>
      </c>
      <c r="R1870" s="27" t="str">
        <f>IF(N1870="Si",IFERROR(VLOOKUP(F1870,'TD Cumpl'!B:AB,27,0),"No Aplica"),"No Aplica")</f>
        <v>Siempre Cumple</v>
      </c>
      <c r="S1870" s="38">
        <v>91</v>
      </c>
      <c r="T1870" s="46">
        <v>11034805</v>
      </c>
      <c r="U1870" s="38">
        <v>212</v>
      </c>
      <c r="V1870" s="46">
        <v>42240483</v>
      </c>
      <c r="W1870" s="38">
        <v>75</v>
      </c>
      <c r="X1870" s="46">
        <v>8209919</v>
      </c>
      <c r="Y1870" s="46">
        <f t="shared" si="60"/>
        <v>8714053</v>
      </c>
    </row>
    <row r="1871" spans="1:25" x14ac:dyDescent="0.25">
      <c r="A1871" s="20">
        <f>+VLOOKUP(D1871,Back!Q:R,2,0)</f>
        <v>1</v>
      </c>
      <c r="B1871" s="20" t="str">
        <f t="shared" si="59"/>
        <v>2019 ENE</v>
      </c>
      <c r="C1871" s="30">
        <v>2019</v>
      </c>
      <c r="D1871" s="30" t="s">
        <v>122</v>
      </c>
      <c r="E1871" s="30" t="s">
        <v>21</v>
      </c>
      <c r="F1871" s="30">
        <v>1035417626</v>
      </c>
      <c r="G1871" s="30" t="s">
        <v>80</v>
      </c>
      <c r="H1871" s="32">
        <v>63805713</v>
      </c>
      <c r="I1871" s="32">
        <v>1841000</v>
      </c>
      <c r="J1871" s="32">
        <v>8225836</v>
      </c>
      <c r="K1871" s="33">
        <v>53738877</v>
      </c>
      <c r="L1871" s="33">
        <v>41400000</v>
      </c>
      <c r="M1871" s="34">
        <v>1.2980405072463768</v>
      </c>
      <c r="N1871" s="209" t="str">
        <f>IFERROR(VLOOKUP(F1871,Back!C:F,4,0),"NO")</f>
        <v>Si</v>
      </c>
      <c r="O1871" s="26">
        <v>25</v>
      </c>
      <c r="P1871" s="28" t="str">
        <f>IFERROR(VLOOKUP(F1871,Back!C:E,3,0),"")</f>
        <v>IPS Pto De Vista Unicentro</v>
      </c>
      <c r="Q1871" s="28" t="str">
        <f>IFERROR(VLOOKUP(P1871,Back!M:N,2,0),"")</f>
        <v>Antioquia</v>
      </c>
      <c r="R1871" s="27" t="str">
        <f>IF(N1871="Si",IFERROR(VLOOKUP(F1871,'TD Cumpl'!B:AB,27,0),"No Aplica"),"No Aplica")</f>
        <v>Cumple</v>
      </c>
      <c r="S1871" s="38">
        <v>87</v>
      </c>
      <c r="T1871" s="46">
        <v>10185129</v>
      </c>
      <c r="U1871" s="38">
        <v>218</v>
      </c>
      <c r="V1871" s="46">
        <v>39972305</v>
      </c>
      <c r="W1871" s="38">
        <v>88</v>
      </c>
      <c r="X1871" s="46">
        <v>8225836</v>
      </c>
      <c r="Y1871" s="46">
        <f t="shared" si="60"/>
        <v>5422443</v>
      </c>
    </row>
    <row r="1872" spans="1:25" x14ac:dyDescent="0.25">
      <c r="A1872" s="20">
        <f>+VLOOKUP(D1872,Back!Q:R,2,0)</f>
        <v>1</v>
      </c>
      <c r="B1872" s="20" t="str">
        <f t="shared" si="59"/>
        <v>2019 ENE</v>
      </c>
      <c r="C1872" s="30">
        <v>2019</v>
      </c>
      <c r="D1872" s="30" t="s">
        <v>122</v>
      </c>
      <c r="E1872" s="30" t="s">
        <v>7</v>
      </c>
      <c r="F1872" s="30">
        <v>43745952</v>
      </c>
      <c r="G1872" s="30" t="s">
        <v>50</v>
      </c>
      <c r="H1872" s="32">
        <v>76978398</v>
      </c>
      <c r="I1872" s="32">
        <v>1527300</v>
      </c>
      <c r="J1872" s="32">
        <v>14279579</v>
      </c>
      <c r="K1872" s="33">
        <v>61171519</v>
      </c>
      <c r="L1872" s="33">
        <v>41400000</v>
      </c>
      <c r="M1872" s="34">
        <v>1.477572922705314</v>
      </c>
      <c r="N1872" s="209" t="str">
        <f>IFERROR(VLOOKUP(F1872,Back!C:F,4,0),"NO")</f>
        <v>Si</v>
      </c>
      <c r="O1872" s="26">
        <v>25</v>
      </c>
      <c r="P1872" s="28" t="str">
        <f>IFERROR(VLOOKUP(F1872,Back!C:E,3,0),"")</f>
        <v>IPS Pto De Vista Unicentro</v>
      </c>
      <c r="Q1872" s="28" t="str">
        <f>IFERROR(VLOOKUP(P1872,Back!M:N,2,0),"")</f>
        <v>Antioquia</v>
      </c>
      <c r="R1872" s="27" t="str">
        <f>IF(N1872="Si",IFERROR(VLOOKUP(F1872,'TD Cumpl'!B:AB,27,0),"No Aplica"),"No Aplica")</f>
        <v>Siempre Cumple</v>
      </c>
      <c r="S1872" s="38">
        <v>123</v>
      </c>
      <c r="T1872" s="46">
        <v>12568012</v>
      </c>
      <c r="U1872" s="38">
        <v>263</v>
      </c>
      <c r="V1872" s="46">
        <v>41138884</v>
      </c>
      <c r="W1872" s="38">
        <v>135</v>
      </c>
      <c r="X1872" s="46">
        <v>13428379</v>
      </c>
      <c r="Y1872" s="46">
        <f t="shared" si="60"/>
        <v>9843123</v>
      </c>
    </row>
    <row r="1873" spans="1:25" x14ac:dyDescent="0.25">
      <c r="A1873" s="20">
        <f>+VLOOKUP(D1873,Back!Q:R,2,0)</f>
        <v>1</v>
      </c>
      <c r="B1873" s="20" t="str">
        <f t="shared" si="59"/>
        <v>2019 ENE</v>
      </c>
      <c r="C1873" s="30">
        <v>2019</v>
      </c>
      <c r="D1873" s="30" t="s">
        <v>122</v>
      </c>
      <c r="E1873" s="30" t="s">
        <v>18</v>
      </c>
      <c r="F1873" s="30">
        <v>39442617</v>
      </c>
      <c r="G1873" s="30" t="s">
        <v>41</v>
      </c>
      <c r="H1873" s="32">
        <v>8148197</v>
      </c>
      <c r="I1873" s="32">
        <v>453600</v>
      </c>
      <c r="J1873" s="32">
        <v>988875</v>
      </c>
      <c r="K1873" s="33">
        <v>6705722</v>
      </c>
      <c r="L1873" s="33">
        <v>4000000</v>
      </c>
      <c r="M1873" s="34">
        <v>1.6764304999999999</v>
      </c>
      <c r="N1873" s="209" t="str">
        <f>IFERROR(VLOOKUP(F1873,Back!C:F,4,0),"NO")</f>
        <v>Si</v>
      </c>
      <c r="O1873" s="26">
        <v>25</v>
      </c>
      <c r="P1873" s="28" t="str">
        <f>IFERROR(VLOOKUP(F1873,Back!C:E,3,0),"")</f>
        <v>IPS Pto De Vista San Diego</v>
      </c>
      <c r="Q1873" s="28" t="str">
        <f>IFERROR(VLOOKUP(P1873,Back!M:N,2,0),"")</f>
        <v>Antioquia</v>
      </c>
      <c r="R1873" s="27" t="str">
        <f>IF(N1873="Si",IFERROR(VLOOKUP(F1873,'TD Cumpl'!B:AB,27,0),"No Aplica"),"No Aplica")</f>
        <v>Cumple</v>
      </c>
      <c r="S1873" s="38">
        <v>9</v>
      </c>
      <c r="T1873" s="46">
        <v>1032491</v>
      </c>
      <c r="U1873" s="38">
        <v>32</v>
      </c>
      <c r="V1873" s="46">
        <v>4549569</v>
      </c>
      <c r="W1873" s="38">
        <v>9</v>
      </c>
      <c r="X1873" s="46">
        <v>988875</v>
      </c>
      <c r="Y1873" s="46">
        <f t="shared" si="60"/>
        <v>1577262</v>
      </c>
    </row>
    <row r="1874" spans="1:25" x14ac:dyDescent="0.25">
      <c r="A1874" s="20">
        <f>+VLOOKUP(D1874,Back!Q:R,2,0)</f>
        <v>1</v>
      </c>
      <c r="B1874" s="20" t="str">
        <f t="shared" si="59"/>
        <v>2019 ENE</v>
      </c>
      <c r="C1874" s="30">
        <v>2019</v>
      </c>
      <c r="D1874" s="30" t="s">
        <v>122</v>
      </c>
      <c r="E1874" s="30" t="s">
        <v>81</v>
      </c>
      <c r="F1874" s="30">
        <v>1017200970</v>
      </c>
      <c r="G1874" s="30" t="s">
        <v>82</v>
      </c>
      <c r="H1874" s="32">
        <v>29467892</v>
      </c>
      <c r="I1874" s="32">
        <v>442200</v>
      </c>
      <c r="J1874" s="32">
        <v>6349684</v>
      </c>
      <c r="K1874" s="33">
        <v>22676008</v>
      </c>
      <c r="L1874" s="33">
        <v>16000000</v>
      </c>
      <c r="M1874" s="34">
        <v>1.4172505</v>
      </c>
      <c r="N1874" s="209" t="str">
        <f>IFERROR(VLOOKUP(F1874,Back!C:F,4,0),"NO")</f>
        <v>Si</v>
      </c>
      <c r="O1874" s="26">
        <v>25</v>
      </c>
      <c r="P1874" s="28" t="str">
        <f>IFERROR(VLOOKUP(F1874,Back!C:E,3,0),"")</f>
        <v>IPS Pto De Vista San Diego</v>
      </c>
      <c r="Q1874" s="28" t="str">
        <f>IFERROR(VLOOKUP(P1874,Back!M:N,2,0),"")</f>
        <v>Antioquia</v>
      </c>
      <c r="R1874" s="27" t="str">
        <f>IF(N1874="Si",IFERROR(VLOOKUP(F1874,'TD Cumpl'!B:AB,27,0),"No Aplica"),"No Aplica")</f>
        <v>Cumple</v>
      </c>
      <c r="S1874" s="38">
        <v>40</v>
      </c>
      <c r="T1874" s="46">
        <v>4420179</v>
      </c>
      <c r="U1874" s="38">
        <v>106</v>
      </c>
      <c r="V1874" s="46">
        <v>14675797</v>
      </c>
      <c r="W1874" s="38">
        <v>68</v>
      </c>
      <c r="X1874" s="46">
        <v>6349684</v>
      </c>
      <c r="Y1874" s="46">
        <f t="shared" si="60"/>
        <v>4022232</v>
      </c>
    </row>
    <row r="1875" spans="1:25" x14ac:dyDescent="0.25">
      <c r="A1875" s="20">
        <f>+VLOOKUP(D1875,Back!Q:R,2,0)</f>
        <v>1</v>
      </c>
      <c r="B1875" s="20" t="str">
        <f t="shared" si="59"/>
        <v>2019 ENE</v>
      </c>
      <c r="C1875" s="30">
        <v>2019</v>
      </c>
      <c r="D1875" s="30" t="s">
        <v>122</v>
      </c>
      <c r="E1875" s="30" t="s">
        <v>17</v>
      </c>
      <c r="F1875" s="30">
        <v>43113640</v>
      </c>
      <c r="G1875" s="30" t="s">
        <v>47</v>
      </c>
      <c r="H1875" s="32">
        <v>48092808</v>
      </c>
      <c r="I1875" s="32">
        <v>396000</v>
      </c>
      <c r="J1875" s="32">
        <v>8631544</v>
      </c>
      <c r="K1875" s="33">
        <v>39065264</v>
      </c>
      <c r="L1875" s="33">
        <v>36800000</v>
      </c>
      <c r="M1875" s="34">
        <v>1.0615560869565217</v>
      </c>
      <c r="N1875" s="209" t="str">
        <f>IFERROR(VLOOKUP(F1875,Back!C:F,4,0),"NO")</f>
        <v>Si</v>
      </c>
      <c r="O1875" s="26">
        <v>25</v>
      </c>
      <c r="P1875" s="28" t="str">
        <f>IFERROR(VLOOKUP(F1875,Back!C:E,3,0),"")</f>
        <v>IPS Pto De Vista San Diego</v>
      </c>
      <c r="Q1875" s="28" t="str">
        <f>IFERROR(VLOOKUP(P1875,Back!M:N,2,0),"")</f>
        <v>Antioquia</v>
      </c>
      <c r="R1875" s="27" t="str">
        <f>IF(N1875="Si",IFERROR(VLOOKUP(F1875,'TD Cumpl'!B:AB,27,0),"No Aplica"),"No Aplica")</f>
        <v>Cumple</v>
      </c>
      <c r="S1875" s="38">
        <v>73</v>
      </c>
      <c r="T1875" s="46">
        <v>7425662</v>
      </c>
      <c r="U1875" s="38">
        <v>172</v>
      </c>
      <c r="V1875" s="46">
        <v>25097930</v>
      </c>
      <c r="W1875" s="38">
        <v>78</v>
      </c>
      <c r="X1875" s="46">
        <v>8631544</v>
      </c>
      <c r="Y1875" s="46">
        <f t="shared" si="60"/>
        <v>6937672</v>
      </c>
    </row>
    <row r="1876" spans="1:25" x14ac:dyDescent="0.25">
      <c r="A1876" s="20">
        <f>+VLOOKUP(D1876,Back!Q:R,2,0)</f>
        <v>1</v>
      </c>
      <c r="B1876" s="20" t="str">
        <f t="shared" si="59"/>
        <v>2019 ENE</v>
      </c>
      <c r="C1876" s="30">
        <v>2019</v>
      </c>
      <c r="D1876" s="30" t="s">
        <v>122</v>
      </c>
      <c r="E1876" s="30" t="s">
        <v>181</v>
      </c>
      <c r="F1876" s="30">
        <v>32183069</v>
      </c>
      <c r="G1876" s="30" t="s">
        <v>182</v>
      </c>
      <c r="H1876" s="32">
        <v>37670258</v>
      </c>
      <c r="I1876" s="32">
        <v>0</v>
      </c>
      <c r="J1876" s="32">
        <v>6712384</v>
      </c>
      <c r="K1876" s="33">
        <v>30957874</v>
      </c>
      <c r="L1876" s="33">
        <v>36800000</v>
      </c>
      <c r="M1876" s="34">
        <v>0.84124657608695652</v>
      </c>
      <c r="N1876" s="209" t="str">
        <f>IFERROR(VLOOKUP(F1876,Back!C:F,4,0),"NO")</f>
        <v>Si</v>
      </c>
      <c r="O1876" s="26">
        <v>25</v>
      </c>
      <c r="P1876" s="28" t="str">
        <f>IFERROR(VLOOKUP(F1876,Back!C:E,3,0),"")</f>
        <v>IPS Pto De Vista Molinos</v>
      </c>
      <c r="Q1876" s="28" t="str">
        <f>IFERROR(VLOOKUP(P1876,Back!M:N,2,0),"")</f>
        <v>Antioquia</v>
      </c>
      <c r="R1876" s="27" t="str">
        <f>IF(N1876="Si",IFERROR(VLOOKUP(F1876,'TD Cumpl'!B:AB,27,0),"No Aplica"),"No Aplica")</f>
        <v>No Cumple</v>
      </c>
      <c r="S1876" s="38">
        <v>65</v>
      </c>
      <c r="T1876" s="46">
        <v>7069754</v>
      </c>
      <c r="U1876" s="38">
        <v>186</v>
      </c>
      <c r="V1876" s="46">
        <v>19069147</v>
      </c>
      <c r="W1876" s="38">
        <v>62</v>
      </c>
      <c r="X1876" s="46">
        <v>6712384</v>
      </c>
      <c r="Y1876" s="46">
        <f t="shared" si="60"/>
        <v>4818973</v>
      </c>
    </row>
    <row r="1877" spans="1:25" x14ac:dyDescent="0.25">
      <c r="A1877" s="20">
        <f>+VLOOKUP(D1877,Back!Q:R,2,0)</f>
        <v>1</v>
      </c>
      <c r="B1877" s="20" t="str">
        <f t="shared" si="59"/>
        <v>2019 ENE</v>
      </c>
      <c r="C1877" s="30">
        <v>2019</v>
      </c>
      <c r="D1877" s="30" t="s">
        <v>122</v>
      </c>
      <c r="E1877" s="30" t="s">
        <v>235</v>
      </c>
      <c r="F1877" s="30">
        <v>39275090</v>
      </c>
      <c r="G1877" s="30" t="s">
        <v>236</v>
      </c>
      <c r="H1877" s="32">
        <v>18254096</v>
      </c>
      <c r="I1877" s="32">
        <v>162000</v>
      </c>
      <c r="J1877" s="32">
        <v>2113777</v>
      </c>
      <c r="K1877" s="33">
        <v>15978319</v>
      </c>
      <c r="L1877" s="33">
        <v>14400000</v>
      </c>
      <c r="M1877" s="34">
        <v>1.1096054861111111</v>
      </c>
      <c r="N1877" s="209" t="str">
        <f>IFERROR(VLOOKUP(F1877,Back!C:F,4,0),"NO")</f>
        <v>Si</v>
      </c>
      <c r="O1877" s="26">
        <v>25</v>
      </c>
      <c r="P1877" s="28" t="str">
        <f>IFERROR(VLOOKUP(F1877,Back!C:E,3,0),"")</f>
        <v>IPS Pto De Vista San Diego</v>
      </c>
      <c r="Q1877" s="28" t="str">
        <f>IFERROR(VLOOKUP(P1877,Back!M:N,2,0),"")</f>
        <v>Antioquia</v>
      </c>
      <c r="R1877" s="27" t="str">
        <f>IF(N1877="Si",IFERROR(VLOOKUP(F1877,'TD Cumpl'!B:AB,27,0),"No Aplica"),"No Aplica")</f>
        <v>Siempre Cumple</v>
      </c>
      <c r="S1877" s="38">
        <v>34</v>
      </c>
      <c r="T1877" s="46">
        <v>3448664</v>
      </c>
      <c r="U1877" s="38">
        <v>76</v>
      </c>
      <c r="V1877" s="46">
        <v>11251584</v>
      </c>
      <c r="W1877" s="38">
        <v>23</v>
      </c>
      <c r="X1877" s="46">
        <v>2113777</v>
      </c>
      <c r="Y1877" s="46">
        <f t="shared" si="60"/>
        <v>1440071</v>
      </c>
    </row>
    <row r="1878" spans="1:25" x14ac:dyDescent="0.25">
      <c r="A1878" s="20">
        <f>+VLOOKUP(D1878,Back!Q:R,2,0)</f>
        <v>1</v>
      </c>
      <c r="B1878" s="20" t="str">
        <f t="shared" si="59"/>
        <v>2019 ENE</v>
      </c>
      <c r="C1878" s="30">
        <v>2019</v>
      </c>
      <c r="D1878" s="30" t="s">
        <v>122</v>
      </c>
      <c r="E1878" s="30" t="s">
        <v>292</v>
      </c>
      <c r="F1878" s="30">
        <v>32352312</v>
      </c>
      <c r="G1878" s="30" t="s">
        <v>293</v>
      </c>
      <c r="H1878" s="32">
        <v>46688441</v>
      </c>
      <c r="I1878" s="32">
        <v>910200</v>
      </c>
      <c r="J1878" s="32">
        <v>7109853</v>
      </c>
      <c r="K1878" s="33">
        <v>38668388</v>
      </c>
      <c r="L1878" s="33">
        <v>36800000</v>
      </c>
      <c r="M1878" s="34">
        <v>1.0507714130434782</v>
      </c>
      <c r="N1878" s="209" t="str">
        <f>IFERROR(VLOOKUP(F1878,Back!C:F,4,0),"NO")</f>
        <v>Si</v>
      </c>
      <c r="O1878" s="26">
        <v>25</v>
      </c>
      <c r="P1878" s="28" t="str">
        <f>IFERROR(VLOOKUP(F1878,Back!C:E,3,0),"")</f>
        <v>IPS Pto De Vista San Diego</v>
      </c>
      <c r="Q1878" s="28" t="str">
        <f>IFERROR(VLOOKUP(P1878,Back!M:N,2,0),"")</f>
        <v>Antioquia</v>
      </c>
      <c r="R1878" s="27" t="str">
        <f>IF(N1878="Si",IFERROR(VLOOKUP(F1878,'TD Cumpl'!B:AB,27,0),"No Aplica"),"No Aplica")</f>
        <v>No Cumple</v>
      </c>
      <c r="S1878" s="38">
        <v>69</v>
      </c>
      <c r="T1878" s="46">
        <v>8202546</v>
      </c>
      <c r="U1878" s="38">
        <v>174</v>
      </c>
      <c r="V1878" s="46">
        <v>25744093</v>
      </c>
      <c r="W1878" s="38">
        <v>75</v>
      </c>
      <c r="X1878" s="46">
        <v>7109853</v>
      </c>
      <c r="Y1878" s="46">
        <f t="shared" si="60"/>
        <v>5631949</v>
      </c>
    </row>
    <row r="1879" spans="1:25" x14ac:dyDescent="0.25">
      <c r="A1879" s="20">
        <f>+VLOOKUP(D1879,Back!Q:R,2,0)</f>
        <v>1</v>
      </c>
      <c r="B1879" s="20" t="str">
        <f t="shared" si="59"/>
        <v>2019 ENE</v>
      </c>
      <c r="C1879" s="30">
        <v>2019</v>
      </c>
      <c r="D1879" s="30" t="s">
        <v>122</v>
      </c>
      <c r="E1879" s="30" t="s">
        <v>84</v>
      </c>
      <c r="F1879" s="30">
        <v>1020736461</v>
      </c>
      <c r="G1879" s="30" t="s">
        <v>156</v>
      </c>
      <c r="H1879" s="32">
        <v>54940302</v>
      </c>
      <c r="I1879" s="32">
        <v>1342800</v>
      </c>
      <c r="J1879" s="32">
        <v>7513755</v>
      </c>
      <c r="K1879" s="33">
        <v>46083747</v>
      </c>
      <c r="L1879" s="33">
        <v>32160000</v>
      </c>
      <c r="M1879" s="34">
        <v>1.4329523320895523</v>
      </c>
      <c r="N1879" s="209" t="str">
        <f>IFERROR(VLOOKUP(F1879,Back!C:F,4,0),"NO")</f>
        <v>Si</v>
      </c>
      <c r="O1879" s="26">
        <v>25</v>
      </c>
      <c r="P1879" s="28" t="str">
        <f>IFERROR(VLOOKUP(F1879,Back!C:E,3,0),"")</f>
        <v>IPS Pto De Vista Santa Bárbara</v>
      </c>
      <c r="Q1879" s="28" t="str">
        <f>IFERROR(VLOOKUP(P1879,Back!M:N,2,0),"")</f>
        <v>Centro</v>
      </c>
      <c r="R1879" s="27" t="str">
        <f>IF(N1879="Si",IFERROR(VLOOKUP(F1879,'TD Cumpl'!B:AB,27,0),"No Aplica"),"No Aplica")</f>
        <v>Siempre Cumple</v>
      </c>
      <c r="S1879" s="38">
        <v>86</v>
      </c>
      <c r="T1879" s="46">
        <v>10563648</v>
      </c>
      <c r="U1879" s="38">
        <v>246</v>
      </c>
      <c r="V1879" s="46">
        <v>32336176</v>
      </c>
      <c r="W1879" s="38">
        <v>97</v>
      </c>
      <c r="X1879" s="46">
        <v>7513755</v>
      </c>
      <c r="Y1879" s="46">
        <f t="shared" si="60"/>
        <v>4526723</v>
      </c>
    </row>
    <row r="1880" spans="1:25" x14ac:dyDescent="0.25">
      <c r="A1880" s="20">
        <f>+VLOOKUP(D1880,Back!Q:R,2,0)</f>
        <v>1</v>
      </c>
      <c r="B1880" s="20" t="str">
        <f t="shared" si="59"/>
        <v>2019 ENE</v>
      </c>
      <c r="C1880" s="30">
        <v>2019</v>
      </c>
      <c r="D1880" s="30" t="s">
        <v>122</v>
      </c>
      <c r="E1880" s="30" t="s">
        <v>295</v>
      </c>
      <c r="F1880" s="30">
        <v>1020769180</v>
      </c>
      <c r="G1880" s="30" t="s">
        <v>302</v>
      </c>
      <c r="H1880" s="32">
        <v>32321764</v>
      </c>
      <c r="I1880" s="32">
        <v>2654400</v>
      </c>
      <c r="J1880" s="32">
        <v>4804961</v>
      </c>
      <c r="K1880" s="33">
        <v>24862403</v>
      </c>
      <c r="L1880" s="33">
        <v>33500000</v>
      </c>
      <c r="M1880" s="34">
        <v>0.74216128358208955</v>
      </c>
      <c r="N1880" s="209" t="str">
        <f>IFERROR(VLOOKUP(F1880,Back!C:F,4,0),"NO")</f>
        <v>Si</v>
      </c>
      <c r="O1880" s="26">
        <v>25</v>
      </c>
      <c r="P1880" s="28" t="str">
        <f>IFERROR(VLOOKUP(F1880,Back!C:E,3,0),"")</f>
        <v>IPS Pto De Vista Santa Bárbara</v>
      </c>
      <c r="Q1880" s="28" t="str">
        <f>IFERROR(VLOOKUP(P1880,Back!M:N,2,0),"")</f>
        <v>Centro</v>
      </c>
      <c r="R1880" s="27" t="str">
        <f>IF(N1880="Si",IFERROR(VLOOKUP(F1880,'TD Cumpl'!B:AB,27,0),"No Aplica"),"No Aplica")</f>
        <v>No Cumple</v>
      </c>
      <c r="S1880" s="38">
        <v>45</v>
      </c>
      <c r="T1880" s="46">
        <v>4754765</v>
      </c>
      <c r="U1880" s="38">
        <v>141</v>
      </c>
      <c r="V1880" s="46">
        <v>19055391</v>
      </c>
      <c r="W1880" s="38">
        <v>67</v>
      </c>
      <c r="X1880" s="46">
        <v>4804961</v>
      </c>
      <c r="Y1880" s="46">
        <f t="shared" si="60"/>
        <v>3706647</v>
      </c>
    </row>
    <row r="1881" spans="1:25" x14ac:dyDescent="0.25">
      <c r="A1881" s="20">
        <f>+VLOOKUP(D1881,Back!Q:R,2,0)</f>
        <v>1</v>
      </c>
      <c r="B1881" s="20" t="str">
        <f t="shared" si="59"/>
        <v>2019 ENE</v>
      </c>
      <c r="C1881" s="30">
        <v>2019</v>
      </c>
      <c r="D1881" s="30" t="s">
        <v>122</v>
      </c>
      <c r="E1881" s="30" t="s">
        <v>2</v>
      </c>
      <c r="F1881" s="30">
        <v>52260671</v>
      </c>
      <c r="G1881" s="30" t="s">
        <v>26</v>
      </c>
      <c r="H1881" s="32">
        <v>43341642</v>
      </c>
      <c r="I1881" s="32">
        <v>814200</v>
      </c>
      <c r="J1881" s="32">
        <v>8242615</v>
      </c>
      <c r="K1881" s="33">
        <v>34284827</v>
      </c>
      <c r="L1881" s="33">
        <v>33500000</v>
      </c>
      <c r="M1881" s="34">
        <v>1.0234276716417909</v>
      </c>
      <c r="N1881" s="209" t="str">
        <f>IFERROR(VLOOKUP(F1881,Back!C:F,4,0),"NO")</f>
        <v>Si</v>
      </c>
      <c r="O1881" s="26">
        <v>25</v>
      </c>
      <c r="P1881" s="28" t="str">
        <f>IFERROR(VLOOKUP(F1881,Back!C:E,3,0),"")</f>
        <v>IPS Pto De Vista Santa Bárbara</v>
      </c>
      <c r="Q1881" s="28" t="str">
        <f>IFERROR(VLOOKUP(P1881,Back!M:N,2,0),"")</f>
        <v>Centro</v>
      </c>
      <c r="R1881" s="27" t="str">
        <f>IF(N1881="Si",IFERROR(VLOOKUP(F1881,'TD Cumpl'!B:AB,27,0),"No Aplica"),"No Aplica")</f>
        <v>Siempre Cumple</v>
      </c>
      <c r="S1881" s="38">
        <v>74</v>
      </c>
      <c r="T1881" s="46">
        <v>7861317</v>
      </c>
      <c r="U1881" s="38">
        <v>224</v>
      </c>
      <c r="V1881" s="46">
        <v>21963500</v>
      </c>
      <c r="W1881" s="38">
        <v>101</v>
      </c>
      <c r="X1881" s="46">
        <v>8022415</v>
      </c>
      <c r="Y1881" s="46">
        <f t="shared" si="60"/>
        <v>5494410</v>
      </c>
    </row>
    <row r="1882" spans="1:25" x14ac:dyDescent="0.25">
      <c r="A1882" s="20">
        <f>+VLOOKUP(D1882,Back!Q:R,2,0)</f>
        <v>1</v>
      </c>
      <c r="B1882" s="20" t="str">
        <f t="shared" si="59"/>
        <v>2019 ENE</v>
      </c>
      <c r="C1882" s="30">
        <v>2019</v>
      </c>
      <c r="D1882" s="30" t="s">
        <v>122</v>
      </c>
      <c r="E1882" s="30" t="s">
        <v>102</v>
      </c>
      <c r="F1882" s="30">
        <v>79850984</v>
      </c>
      <c r="G1882" s="30" t="s">
        <v>106</v>
      </c>
      <c r="H1882" s="32">
        <v>44881047</v>
      </c>
      <c r="I1882" s="32">
        <v>0</v>
      </c>
      <c r="J1882" s="32">
        <v>3194991</v>
      </c>
      <c r="K1882" s="33">
        <v>41686056</v>
      </c>
      <c r="L1882" s="33">
        <v>30000000</v>
      </c>
      <c r="M1882" s="34">
        <v>1.3895352000000001</v>
      </c>
      <c r="N1882" s="209" t="str">
        <f>IFERROR(VLOOKUP(F1882,Back!C:F,4,0),"NO")</f>
        <v>Si</v>
      </c>
      <c r="O1882" s="26">
        <v>25</v>
      </c>
      <c r="P1882" s="28" t="str">
        <f>IFERROR(VLOOKUP(F1882,Back!C:E,3,0),"")</f>
        <v>IPS Pto De Vista SSura Clle100</v>
      </c>
      <c r="Q1882" s="28" t="str">
        <f>IFERROR(VLOOKUP(P1882,Back!M:N,2,0),"")</f>
        <v>Centro</v>
      </c>
      <c r="R1882" s="27" t="str">
        <f>IF(N1882="Si",IFERROR(VLOOKUP(F1882,'TD Cumpl'!B:AB,27,0),"No Aplica"),"No Aplica")</f>
        <v>Fluctúa</v>
      </c>
      <c r="S1882" s="38">
        <v>64</v>
      </c>
      <c r="T1882" s="46">
        <v>10872030</v>
      </c>
      <c r="U1882" s="38">
        <v>161</v>
      </c>
      <c r="V1882" s="46">
        <v>27284412</v>
      </c>
      <c r="W1882" s="38">
        <v>45</v>
      </c>
      <c r="X1882" s="46">
        <v>3194991</v>
      </c>
      <c r="Y1882" s="46">
        <f t="shared" si="60"/>
        <v>3529614</v>
      </c>
    </row>
    <row r="1883" spans="1:25" x14ac:dyDescent="0.25">
      <c r="A1883" s="20">
        <f>+VLOOKUP(D1883,Back!Q:R,2,0)</f>
        <v>1</v>
      </c>
      <c r="B1883" s="20" t="str">
        <f t="shared" si="59"/>
        <v>2019 ENE</v>
      </c>
      <c r="C1883" s="30">
        <v>2019</v>
      </c>
      <c r="D1883" s="30" t="s">
        <v>122</v>
      </c>
      <c r="E1883" s="30" t="s">
        <v>5</v>
      </c>
      <c r="F1883" s="30">
        <v>34542470</v>
      </c>
      <c r="G1883" s="30" t="s">
        <v>28</v>
      </c>
      <c r="H1883" s="32">
        <v>31353778</v>
      </c>
      <c r="I1883" s="32">
        <v>2212272</v>
      </c>
      <c r="J1883" s="32">
        <v>3727246</v>
      </c>
      <c r="K1883" s="33">
        <v>25414260</v>
      </c>
      <c r="L1883" s="33">
        <v>13320000</v>
      </c>
      <c r="M1883" s="34">
        <v>1.9079774774774774</v>
      </c>
      <c r="N1883" s="209" t="str">
        <f>IFERROR(VLOOKUP(F1883,Back!C:F,4,0),"NO")</f>
        <v>Si</v>
      </c>
      <c r="O1883" s="26">
        <v>25</v>
      </c>
      <c r="P1883" s="28" t="str">
        <f>IFERROR(VLOOKUP(F1883,Back!C:E,3,0),"")</f>
        <v>Optica Salud Sura Chipichape</v>
      </c>
      <c r="Q1883" s="28" t="str">
        <f>IFERROR(VLOOKUP(P1883,Back!M:N,2,0),"")</f>
        <v>Occidente</v>
      </c>
      <c r="R1883" s="27" t="str">
        <f>IF(N1883="Si",IFERROR(VLOOKUP(F1883,'TD Cumpl'!B:AB,27,0),"No Aplica"),"No Aplica")</f>
        <v>Siempre Cumple</v>
      </c>
      <c r="S1883" s="38">
        <v>46</v>
      </c>
      <c r="T1883" s="46">
        <v>5474375</v>
      </c>
      <c r="U1883" s="38">
        <v>141</v>
      </c>
      <c r="V1883" s="46">
        <v>15883638</v>
      </c>
      <c r="W1883" s="38">
        <v>42</v>
      </c>
      <c r="X1883" s="46">
        <v>3727246</v>
      </c>
      <c r="Y1883" s="46">
        <f t="shared" si="60"/>
        <v>6268519</v>
      </c>
    </row>
    <row r="1884" spans="1:25" x14ac:dyDescent="0.25">
      <c r="A1884" s="20">
        <f>+VLOOKUP(D1884,Back!Q:R,2,0)</f>
        <v>1</v>
      </c>
      <c r="B1884" s="20" t="str">
        <f t="shared" si="59"/>
        <v>2019 ENE</v>
      </c>
      <c r="C1884" s="30">
        <v>2019</v>
      </c>
      <c r="D1884" s="30" t="s">
        <v>122</v>
      </c>
      <c r="E1884" s="30" t="s">
        <v>149</v>
      </c>
      <c r="F1884" s="30">
        <v>1130597373</v>
      </c>
      <c r="G1884" s="30" t="s">
        <v>150</v>
      </c>
      <c r="H1884" s="31">
        <v>45183666</v>
      </c>
      <c r="I1884" s="32">
        <v>0</v>
      </c>
      <c r="J1884" s="32">
        <v>9025629</v>
      </c>
      <c r="K1884" s="33">
        <v>36158037</v>
      </c>
      <c r="L1884" s="33">
        <v>31000000</v>
      </c>
      <c r="M1884" s="34">
        <v>1.1663882903225806</v>
      </c>
      <c r="N1884" s="209" t="str">
        <f>IFERROR(VLOOKUP(F1884,Back!C:F,4,0),"NO")</f>
        <v>Si</v>
      </c>
      <c r="O1884" s="26">
        <v>25</v>
      </c>
      <c r="P1884" s="28" t="str">
        <f>IFERROR(VLOOKUP(F1884,Back!C:E,3,0),"")</f>
        <v>Punto de Vista Cali Norte</v>
      </c>
      <c r="Q1884" s="28" t="str">
        <f>IFERROR(VLOOKUP(P1884,Back!M:N,2,0),"")</f>
        <v>Occidente</v>
      </c>
      <c r="R1884" s="27" t="str">
        <f>IF(N1884="Si",IFERROR(VLOOKUP(F1884,'TD Cumpl'!B:AB,27,0),"No Aplica"),"No Aplica")</f>
        <v>Fluctúa</v>
      </c>
      <c r="S1884" s="38">
        <v>69</v>
      </c>
      <c r="T1884" s="46">
        <v>9210947</v>
      </c>
      <c r="U1884" s="38">
        <v>193</v>
      </c>
      <c r="V1884" s="46">
        <v>24137482</v>
      </c>
      <c r="W1884" s="38">
        <v>97</v>
      </c>
      <c r="X1884" s="46">
        <v>9025629</v>
      </c>
      <c r="Y1884" s="46">
        <f t="shared" si="60"/>
        <v>2809608</v>
      </c>
    </row>
    <row r="1885" spans="1:25" x14ac:dyDescent="0.25">
      <c r="A1885" s="20">
        <f>+VLOOKUP(D1885,Back!Q:R,2,0)</f>
        <v>1</v>
      </c>
      <c r="B1885" s="20" t="str">
        <f t="shared" si="59"/>
        <v>2019 ENE</v>
      </c>
      <c r="C1885" s="30">
        <v>2019</v>
      </c>
      <c r="D1885" s="30" t="s">
        <v>122</v>
      </c>
      <c r="E1885" s="30" t="s">
        <v>258</v>
      </c>
      <c r="F1885" s="30">
        <v>1130676531</v>
      </c>
      <c r="G1885" s="30" t="s">
        <v>262</v>
      </c>
      <c r="H1885" s="32">
        <v>30011191</v>
      </c>
      <c r="I1885" s="32">
        <v>684405</v>
      </c>
      <c r="J1885" s="32">
        <v>3963740</v>
      </c>
      <c r="K1885" s="33">
        <v>25363046</v>
      </c>
      <c r="L1885" s="33">
        <v>23680000</v>
      </c>
      <c r="M1885" s="34">
        <v>1.0710745777027026</v>
      </c>
      <c r="N1885" s="209" t="str">
        <f>IFERROR(VLOOKUP(F1885,Back!C:F,4,0),"NO")</f>
        <v>Si</v>
      </c>
      <c r="O1885" s="26">
        <v>25</v>
      </c>
      <c r="P1885" s="28" t="str">
        <f>IFERROR(VLOOKUP(F1885,Back!C:E,3,0),"")</f>
        <v>Punto de Vista Cali Norte</v>
      </c>
      <c r="Q1885" s="28" t="str">
        <f>IFERROR(VLOOKUP(P1885,Back!M:N,2,0),"")</f>
        <v>Occidente</v>
      </c>
      <c r="R1885" s="27" t="str">
        <f>IF(N1885="Si",IFERROR(VLOOKUP(F1885,'TD Cumpl'!B:AB,27,0),"No Aplica"),"No Aplica")</f>
        <v>No Cumple</v>
      </c>
      <c r="S1885" s="38">
        <v>43</v>
      </c>
      <c r="T1885" s="46">
        <v>4972557</v>
      </c>
      <c r="U1885" s="38">
        <v>126</v>
      </c>
      <c r="V1885" s="46">
        <v>15179080</v>
      </c>
      <c r="W1885" s="38">
        <v>40</v>
      </c>
      <c r="X1885" s="46">
        <v>3963740</v>
      </c>
      <c r="Y1885" s="46">
        <f t="shared" si="60"/>
        <v>5895814</v>
      </c>
    </row>
    <row r="1886" spans="1:25" x14ac:dyDescent="0.25">
      <c r="A1886" s="20">
        <f>+VLOOKUP(D1886,Back!Q:R,2,0)</f>
        <v>1</v>
      </c>
      <c r="B1886" s="20" t="str">
        <f t="shared" si="59"/>
        <v>2019 ENE</v>
      </c>
      <c r="C1886" s="30">
        <v>2019</v>
      </c>
      <c r="D1886" s="30" t="s">
        <v>122</v>
      </c>
      <c r="E1886" s="30" t="s">
        <v>275</v>
      </c>
      <c r="F1886" s="30">
        <v>16379021</v>
      </c>
      <c r="G1886" s="30" t="s">
        <v>287</v>
      </c>
      <c r="H1886" s="31">
        <v>40437486</v>
      </c>
      <c r="I1886" s="32">
        <v>0</v>
      </c>
      <c r="J1886" s="32">
        <v>7021124</v>
      </c>
      <c r="K1886" s="33">
        <v>33416362</v>
      </c>
      <c r="L1886" s="33">
        <v>31000000</v>
      </c>
      <c r="M1886" s="34">
        <v>1.0779471612903226</v>
      </c>
      <c r="N1886" s="209" t="str">
        <f>IFERROR(VLOOKUP(F1886,Back!C:F,4,0),"NO")</f>
        <v>Si</v>
      </c>
      <c r="O1886" s="26">
        <v>25</v>
      </c>
      <c r="P1886" s="28" t="str">
        <f>IFERROR(VLOOKUP(F1886,Back!C:E,3,0),"")</f>
        <v>Punto de Vista Cali Norte</v>
      </c>
      <c r="Q1886" s="28" t="str">
        <f>IFERROR(VLOOKUP(P1886,Back!M:N,2,0),"")</f>
        <v>Occidente</v>
      </c>
      <c r="R1886" s="27" t="str">
        <f>IF(N1886="Si",IFERROR(VLOOKUP(F1886,'TD Cumpl'!B:AB,27,0),"No Aplica"),"No Aplica")</f>
        <v>Fluctúa</v>
      </c>
      <c r="S1886" s="38">
        <v>75</v>
      </c>
      <c r="T1886" s="46">
        <v>7635394</v>
      </c>
      <c r="U1886" s="38">
        <v>198</v>
      </c>
      <c r="V1886" s="46">
        <v>22705871</v>
      </c>
      <c r="W1886" s="38">
        <v>74</v>
      </c>
      <c r="X1886" s="46">
        <v>7021124</v>
      </c>
      <c r="Y1886" s="46">
        <f t="shared" si="60"/>
        <v>3075097</v>
      </c>
    </row>
    <row r="1887" spans="1:25" x14ac:dyDescent="0.25">
      <c r="A1887" s="20">
        <f>+VLOOKUP(D1887,Back!Q:R,2,0)</f>
        <v>1</v>
      </c>
      <c r="B1887" s="20" t="str">
        <f t="shared" si="59"/>
        <v>2019 ENE</v>
      </c>
      <c r="C1887" s="30">
        <v>2019</v>
      </c>
      <c r="D1887" s="30" t="s">
        <v>122</v>
      </c>
      <c r="E1887" s="30" t="s">
        <v>298</v>
      </c>
      <c r="F1887" s="30">
        <v>6228363</v>
      </c>
      <c r="G1887" s="30" t="s">
        <v>310</v>
      </c>
      <c r="H1887" s="31">
        <v>58512552</v>
      </c>
      <c r="I1887" s="32">
        <v>0</v>
      </c>
      <c r="J1887" s="32">
        <v>11624473</v>
      </c>
      <c r="K1887" s="33">
        <v>46888079</v>
      </c>
      <c r="L1887" s="33">
        <v>31000000</v>
      </c>
      <c r="M1887" s="34">
        <v>1.5125186774193549</v>
      </c>
      <c r="N1887" s="209" t="str">
        <f>IFERROR(VLOOKUP(F1887,Back!C:F,4,0),"NO")</f>
        <v>Si</v>
      </c>
      <c r="O1887" s="26">
        <v>25</v>
      </c>
      <c r="P1887" s="28" t="str">
        <f>IFERROR(VLOOKUP(F1887,Back!C:E,3,0),"")</f>
        <v>Punto de Vista Cali Norte</v>
      </c>
      <c r="Q1887" s="28" t="str">
        <f>IFERROR(VLOOKUP(P1887,Back!M:N,2,0),"")</f>
        <v>Occidente</v>
      </c>
      <c r="R1887" s="27" t="str">
        <f>IF(N1887="Si",IFERROR(VLOOKUP(F1887,'TD Cumpl'!B:AB,27,0),"No Aplica"),"No Aplica")</f>
        <v>Siempre Cumple</v>
      </c>
      <c r="S1887" s="38">
        <v>88</v>
      </c>
      <c r="T1887" s="46">
        <v>8935375</v>
      </c>
      <c r="U1887" s="38">
        <v>269</v>
      </c>
      <c r="V1887" s="46">
        <v>35566694</v>
      </c>
      <c r="W1887" s="38">
        <v>129</v>
      </c>
      <c r="X1887" s="46">
        <v>11624473</v>
      </c>
      <c r="Y1887" s="46">
        <f t="shared" si="60"/>
        <v>2386010</v>
      </c>
    </row>
    <row r="1888" spans="1:25" x14ac:dyDescent="0.25">
      <c r="A1888" s="20">
        <f>+VLOOKUP(D1888,Back!Q:R,2,0)</f>
        <v>1</v>
      </c>
      <c r="B1888" s="20" t="str">
        <f t="shared" si="59"/>
        <v>2019 ENE</v>
      </c>
      <c r="C1888" s="30">
        <v>2019</v>
      </c>
      <c r="D1888" s="30" t="s">
        <v>122</v>
      </c>
      <c r="E1888" s="30" t="s">
        <v>259</v>
      </c>
      <c r="F1888" s="30">
        <v>1020399898</v>
      </c>
      <c r="G1888" s="30" t="s">
        <v>260</v>
      </c>
      <c r="H1888" s="32">
        <v>32692464</v>
      </c>
      <c r="I1888" s="32">
        <v>698100</v>
      </c>
      <c r="J1888" s="32">
        <v>5412736</v>
      </c>
      <c r="K1888" s="33">
        <v>26581628</v>
      </c>
      <c r="L1888" s="33">
        <v>26220000</v>
      </c>
      <c r="M1888" s="34">
        <v>1.0137920671243326</v>
      </c>
      <c r="N1888" s="209" t="str">
        <f>IFERROR(VLOOKUP(F1888,Back!C:F,4,0),"NO")</f>
        <v>Si</v>
      </c>
      <c r="O1888" s="26">
        <v>25</v>
      </c>
      <c r="P1888" s="28" t="str">
        <f>IFERROR(VLOOKUP(F1888,Back!C:E,3,0),"")</f>
        <v>IPS Punto de Vista Mayorca</v>
      </c>
      <c r="Q1888" s="28" t="str">
        <f>IFERROR(VLOOKUP(P1888,Back!M:N,2,0),"")</f>
        <v>Antioquia</v>
      </c>
      <c r="R1888" s="27" t="str">
        <f>IF(N1888="Si",IFERROR(VLOOKUP(F1888,'TD Cumpl'!B:AB,27,0),"No Aplica"),"No Aplica")</f>
        <v>Fluctúa</v>
      </c>
      <c r="S1888" s="38">
        <v>66</v>
      </c>
      <c r="T1888" s="46">
        <v>6116937</v>
      </c>
      <c r="U1888" s="38">
        <v>146</v>
      </c>
      <c r="V1888" s="46">
        <v>18118199</v>
      </c>
      <c r="W1888" s="38">
        <v>56</v>
      </c>
      <c r="X1888" s="46">
        <v>5412736</v>
      </c>
      <c r="Y1888" s="46">
        <f t="shared" si="60"/>
        <v>3044592</v>
      </c>
    </row>
    <row r="1889" spans="1:25" x14ac:dyDescent="0.25">
      <c r="A1889" s="20">
        <f>+VLOOKUP(D1889,Back!Q:R,2,0)</f>
        <v>1</v>
      </c>
      <c r="B1889" s="20" t="str">
        <f t="shared" si="59"/>
        <v>2019 ENE</v>
      </c>
      <c r="C1889" s="30">
        <v>2019</v>
      </c>
      <c r="D1889" s="30" t="s">
        <v>122</v>
      </c>
      <c r="E1889" s="30" t="s">
        <v>38</v>
      </c>
      <c r="F1889" s="30">
        <v>43745192</v>
      </c>
      <c r="G1889" s="30" t="s">
        <v>45</v>
      </c>
      <c r="H1889" s="32">
        <v>32583796</v>
      </c>
      <c r="I1889" s="32">
        <v>455100</v>
      </c>
      <c r="J1889" s="32">
        <v>4742198</v>
      </c>
      <c r="K1889" s="33">
        <v>27386498</v>
      </c>
      <c r="L1889" s="33">
        <v>26220000</v>
      </c>
      <c r="M1889" s="34">
        <v>1.0444888634630054</v>
      </c>
      <c r="N1889" s="209" t="str">
        <f>IFERROR(VLOOKUP(F1889,Back!C:F,4,0),"NO")</f>
        <v>Si</v>
      </c>
      <c r="O1889" s="26">
        <v>25</v>
      </c>
      <c r="P1889" s="28" t="str">
        <f>IFERROR(VLOOKUP(F1889,Back!C:E,3,0),"")</f>
        <v>IPS Punto de Vista Mayorca</v>
      </c>
      <c r="Q1889" s="28" t="str">
        <f>IFERROR(VLOOKUP(P1889,Back!M:N,2,0),"")</f>
        <v>Antioquia</v>
      </c>
      <c r="R1889" s="27" t="str">
        <f>IF(N1889="Si",IFERROR(VLOOKUP(F1889,'TD Cumpl'!B:AB,27,0),"No Aplica"),"No Aplica")</f>
        <v>Cumple</v>
      </c>
      <c r="S1889" s="38">
        <v>68</v>
      </c>
      <c r="T1889" s="46">
        <v>7597121</v>
      </c>
      <c r="U1889" s="38">
        <v>156</v>
      </c>
      <c r="V1889" s="46">
        <v>17414764</v>
      </c>
      <c r="W1889" s="38">
        <v>58</v>
      </c>
      <c r="X1889" s="46">
        <v>4742198</v>
      </c>
      <c r="Y1889" s="46">
        <f t="shared" si="60"/>
        <v>2829713</v>
      </c>
    </row>
    <row r="1890" spans="1:25" x14ac:dyDescent="0.25">
      <c r="A1890" s="20">
        <f>+VLOOKUP(D1890,Back!Q:R,2,0)</f>
        <v>1</v>
      </c>
      <c r="B1890" s="20" t="str">
        <f t="shared" si="59"/>
        <v>2019 ENE</v>
      </c>
      <c r="C1890" s="30">
        <v>2019</v>
      </c>
      <c r="D1890" s="30" t="s">
        <v>122</v>
      </c>
      <c r="E1890" s="30" t="s">
        <v>299</v>
      </c>
      <c r="F1890" s="30">
        <v>1232400088</v>
      </c>
      <c r="G1890" s="30" t="s">
        <v>304</v>
      </c>
      <c r="H1890" s="32">
        <v>33006396</v>
      </c>
      <c r="I1890" s="32">
        <v>468000</v>
      </c>
      <c r="J1890" s="32">
        <v>5440053</v>
      </c>
      <c r="K1890" s="33">
        <v>27098343</v>
      </c>
      <c r="L1890" s="33">
        <v>26220000</v>
      </c>
      <c r="M1890" s="34">
        <v>1.0334989702517163</v>
      </c>
      <c r="N1890" s="209" t="str">
        <f>IFERROR(VLOOKUP(F1890,Back!C:F,4,0),"NO")</f>
        <v>Si</v>
      </c>
      <c r="O1890" s="26">
        <v>25</v>
      </c>
      <c r="P1890" s="28" t="str">
        <f>IFERROR(VLOOKUP(F1890,Back!C:E,3,0),"")</f>
        <v>IPS Punto de Vista Mayorca</v>
      </c>
      <c r="Q1890" s="28" t="str">
        <f>IFERROR(VLOOKUP(P1890,Back!M:N,2,0),"")</f>
        <v>Antioquia</v>
      </c>
      <c r="R1890" s="27" t="str">
        <f>IF(N1890="Si",IFERROR(VLOOKUP(F1890,'TD Cumpl'!B:AB,27,0),"No Aplica"),"No Aplica")</f>
        <v>Fluctúa</v>
      </c>
      <c r="S1890" s="38">
        <v>52</v>
      </c>
      <c r="T1890" s="46">
        <v>5455972</v>
      </c>
      <c r="U1890" s="38">
        <v>120</v>
      </c>
      <c r="V1890" s="46">
        <v>16726917</v>
      </c>
      <c r="W1890" s="38">
        <v>57</v>
      </c>
      <c r="X1890" s="46">
        <v>5440053</v>
      </c>
      <c r="Y1890" s="46">
        <f t="shared" si="60"/>
        <v>5383454</v>
      </c>
    </row>
    <row r="1891" spans="1:25" x14ac:dyDescent="0.25">
      <c r="A1891" s="20">
        <f>+VLOOKUP(D1891,Back!Q:R,2,0)</f>
        <v>1</v>
      </c>
      <c r="B1891" s="20" t="str">
        <f t="shared" si="59"/>
        <v>2019 ENE</v>
      </c>
      <c r="C1891" s="30">
        <v>2019</v>
      </c>
      <c r="D1891" s="30" t="s">
        <v>122</v>
      </c>
      <c r="E1891" s="30" t="s">
        <v>276</v>
      </c>
      <c r="F1891" s="30">
        <v>1035224144</v>
      </c>
      <c r="G1891" s="30" t="s">
        <v>286</v>
      </c>
      <c r="H1891" s="32">
        <v>33791266</v>
      </c>
      <c r="I1891" s="32">
        <v>468000</v>
      </c>
      <c r="J1891" s="32">
        <v>4954648</v>
      </c>
      <c r="K1891" s="33">
        <v>28368618</v>
      </c>
      <c r="L1891" s="33">
        <v>26220000</v>
      </c>
      <c r="M1891" s="34">
        <v>1.0819457665903891</v>
      </c>
      <c r="N1891" s="209" t="str">
        <f>IFERROR(VLOOKUP(F1891,Back!C:F,4,0),"NO")</f>
        <v>Si</v>
      </c>
      <c r="O1891" s="26">
        <v>25</v>
      </c>
      <c r="P1891" s="28" t="str">
        <f>IFERROR(VLOOKUP(F1891,Back!C:E,3,0),"")</f>
        <v>IPS Punto de Vista Mayorca</v>
      </c>
      <c r="Q1891" s="28" t="str">
        <f>IFERROR(VLOOKUP(P1891,Back!M:N,2,0),"")</f>
        <v>Antioquia</v>
      </c>
      <c r="R1891" s="27" t="str">
        <f>IF(N1891="Si",IFERROR(VLOOKUP(F1891,'TD Cumpl'!B:AB,27,0),"No Aplica"),"No Aplica")</f>
        <v>Cumple</v>
      </c>
      <c r="S1891" s="38">
        <v>64</v>
      </c>
      <c r="T1891" s="46">
        <v>6511295</v>
      </c>
      <c r="U1891" s="38">
        <v>172</v>
      </c>
      <c r="V1891" s="46">
        <v>18505880</v>
      </c>
      <c r="W1891" s="38">
        <v>62</v>
      </c>
      <c r="X1891" s="46">
        <v>4954648</v>
      </c>
      <c r="Y1891" s="46">
        <f t="shared" si="60"/>
        <v>3819443</v>
      </c>
    </row>
    <row r="1892" spans="1:25" x14ac:dyDescent="0.25">
      <c r="A1892" s="20">
        <f>+VLOOKUP(D1892,Back!Q:R,2,0)</f>
        <v>1</v>
      </c>
      <c r="B1892" s="20" t="str">
        <f t="shared" si="59"/>
        <v>2019 ENE</v>
      </c>
      <c r="C1892" s="30">
        <v>2019</v>
      </c>
      <c r="D1892" s="30" t="s">
        <v>122</v>
      </c>
      <c r="E1892" s="30" t="s">
        <v>249</v>
      </c>
      <c r="F1892" s="30">
        <v>1144061613</v>
      </c>
      <c r="G1892" s="30" t="s">
        <v>256</v>
      </c>
      <c r="H1892" s="32">
        <v>39684716</v>
      </c>
      <c r="I1892" s="32">
        <v>221100</v>
      </c>
      <c r="J1892" s="32">
        <v>8615631</v>
      </c>
      <c r="K1892" s="33">
        <v>30847985</v>
      </c>
      <c r="L1892" s="33">
        <v>28500000</v>
      </c>
      <c r="M1892" s="34">
        <v>1.0823854385964913</v>
      </c>
      <c r="N1892" s="209" t="str">
        <f>IFERROR(VLOOKUP(F1892,Back!C:F,4,0),"NO")</f>
        <v>Si</v>
      </c>
      <c r="O1892" s="26">
        <v>25</v>
      </c>
      <c r="P1892" s="28" t="str">
        <f>IFERROR(VLOOKUP(F1892,Back!C:E,3,0),"")</f>
        <v>Punto de Vista Tequendama</v>
      </c>
      <c r="Q1892" s="28" t="str">
        <f>IFERROR(VLOOKUP(P1892,Back!M:N,2,0),"")</f>
        <v>Occidente</v>
      </c>
      <c r="R1892" s="27" t="str">
        <f>IF(N1892="Si",IFERROR(VLOOKUP(F1892,'TD Cumpl'!B:AB,27,0),"No Aplica"),"No Aplica")</f>
        <v>Fluctúa</v>
      </c>
      <c r="S1892" s="38">
        <v>56</v>
      </c>
      <c r="T1892" s="46">
        <v>6312309</v>
      </c>
      <c r="U1892" s="38">
        <v>172</v>
      </c>
      <c r="V1892" s="46">
        <v>21517797</v>
      </c>
      <c r="W1892" s="38">
        <v>99</v>
      </c>
      <c r="X1892" s="46">
        <v>8615631</v>
      </c>
      <c r="Y1892" s="46">
        <f t="shared" si="60"/>
        <v>3238979</v>
      </c>
    </row>
    <row r="1893" spans="1:25" x14ac:dyDescent="0.25">
      <c r="A1893" s="20">
        <f>+VLOOKUP(D1893,Back!Q:R,2,0)</f>
        <v>1</v>
      </c>
      <c r="B1893" s="20" t="str">
        <f t="shared" si="59"/>
        <v>2019 ENE</v>
      </c>
      <c r="C1893" s="30">
        <v>2019</v>
      </c>
      <c r="D1893" s="30" t="s">
        <v>122</v>
      </c>
      <c r="E1893" s="30" t="s">
        <v>297</v>
      </c>
      <c r="F1893" s="30">
        <v>66910365</v>
      </c>
      <c r="G1893" s="30" t="s">
        <v>303</v>
      </c>
      <c r="H1893" s="32">
        <v>39105151</v>
      </c>
      <c r="I1893" s="32">
        <v>1340970</v>
      </c>
      <c r="J1893" s="32">
        <v>7778134</v>
      </c>
      <c r="K1893" s="33">
        <v>29986047</v>
      </c>
      <c r="L1893" s="33">
        <v>28500000</v>
      </c>
      <c r="M1893" s="34">
        <v>1.0521419999999999</v>
      </c>
      <c r="N1893" s="209" t="str">
        <f>IFERROR(VLOOKUP(F1893,Back!C:F,4,0),"NO")</f>
        <v>Si</v>
      </c>
      <c r="O1893" s="26">
        <v>25</v>
      </c>
      <c r="P1893" s="28" t="str">
        <f>IFERROR(VLOOKUP(F1893,Back!C:E,3,0),"")</f>
        <v>Punto de Vista Tequendama</v>
      </c>
      <c r="Q1893" s="28" t="str">
        <f>IFERROR(VLOOKUP(P1893,Back!M:N,2,0),"")</f>
        <v>Occidente</v>
      </c>
      <c r="R1893" s="27" t="str">
        <f>IF(N1893="Si",IFERROR(VLOOKUP(F1893,'TD Cumpl'!B:AB,27,0),"No Aplica"),"No Aplica")</f>
        <v>Fluctúa</v>
      </c>
      <c r="S1893" s="38">
        <v>72</v>
      </c>
      <c r="T1893" s="46">
        <v>7048787</v>
      </c>
      <c r="U1893" s="38">
        <v>186</v>
      </c>
      <c r="V1893" s="46">
        <v>17607660</v>
      </c>
      <c r="W1893" s="38">
        <v>78</v>
      </c>
      <c r="X1893" s="46">
        <v>7778134</v>
      </c>
      <c r="Y1893" s="46">
        <f t="shared" si="60"/>
        <v>6670570</v>
      </c>
    </row>
    <row r="1894" spans="1:25" x14ac:dyDescent="0.25">
      <c r="A1894" s="20">
        <f>+VLOOKUP(D1894,Back!Q:R,2,0)</f>
        <v>1</v>
      </c>
      <c r="B1894" s="20" t="str">
        <f t="shared" si="59"/>
        <v>2019 ENE</v>
      </c>
      <c r="C1894" s="30">
        <v>2019</v>
      </c>
      <c r="D1894" s="30" t="s">
        <v>122</v>
      </c>
      <c r="E1894" s="30" t="s">
        <v>88</v>
      </c>
      <c r="F1894" s="30">
        <v>31445278</v>
      </c>
      <c r="G1894" s="30" t="s">
        <v>93</v>
      </c>
      <c r="H1894" s="32">
        <v>39441854</v>
      </c>
      <c r="I1894" s="32">
        <v>0</v>
      </c>
      <c r="J1894" s="32">
        <v>6141071</v>
      </c>
      <c r="K1894" s="33">
        <v>33300783</v>
      </c>
      <c r="L1894" s="33">
        <v>28500000</v>
      </c>
      <c r="M1894" s="34">
        <v>1.1684485263157895</v>
      </c>
      <c r="N1894" s="209" t="str">
        <f>IFERROR(VLOOKUP(F1894,Back!C:F,4,0),"NO")</f>
        <v>Si</v>
      </c>
      <c r="O1894" s="26">
        <v>25</v>
      </c>
      <c r="P1894" s="28" t="str">
        <f>IFERROR(VLOOKUP(F1894,Back!C:E,3,0),"")</f>
        <v>Punto de Vista Tequendama</v>
      </c>
      <c r="Q1894" s="28" t="str">
        <f>IFERROR(VLOOKUP(P1894,Back!M:N,2,0),"")</f>
        <v>Occidente</v>
      </c>
      <c r="R1894" s="27" t="str">
        <f>IF(N1894="Si",IFERROR(VLOOKUP(F1894,'TD Cumpl'!B:AB,27,0),"No Aplica"),"No Aplica")</f>
        <v>Cumple</v>
      </c>
      <c r="S1894" s="38">
        <v>70</v>
      </c>
      <c r="T1894" s="46">
        <v>7616817</v>
      </c>
      <c r="U1894" s="38">
        <v>162</v>
      </c>
      <c r="V1894" s="46">
        <v>24447707</v>
      </c>
      <c r="W1894" s="38">
        <v>65</v>
      </c>
      <c r="X1894" s="46">
        <v>6141071</v>
      </c>
      <c r="Y1894" s="46">
        <f t="shared" si="60"/>
        <v>1236259</v>
      </c>
    </row>
    <row r="1895" spans="1:25" x14ac:dyDescent="0.25">
      <c r="A1895" s="20">
        <f>+VLOOKUP(D1895,Back!Q:R,2,0)</f>
        <v>1</v>
      </c>
      <c r="B1895" s="20" t="str">
        <f t="shared" si="59"/>
        <v>2019 ENE</v>
      </c>
      <c r="C1895" s="30">
        <v>2019</v>
      </c>
      <c r="D1895" s="30" t="s">
        <v>122</v>
      </c>
      <c r="E1895" s="30" t="s">
        <v>151</v>
      </c>
      <c r="F1895" s="30"/>
      <c r="G1895" s="30"/>
      <c r="H1895" s="32">
        <v>92600</v>
      </c>
      <c r="I1895" s="32">
        <v>0</v>
      </c>
      <c r="J1895" s="32">
        <v>92600</v>
      </c>
      <c r="K1895" s="33">
        <v>0</v>
      </c>
      <c r="L1895" s="33"/>
      <c r="M1895" s="34"/>
      <c r="N1895" s="209" t="str">
        <f>IFERROR(VLOOKUP(F1895,Back!C:F,4,0),"NO")</f>
        <v>NO</v>
      </c>
      <c r="O1895" s="26">
        <v>25</v>
      </c>
      <c r="P1895" s="28" t="str">
        <f>IFERROR(VLOOKUP(F1895,Back!C:E,3,0),"")</f>
        <v/>
      </c>
      <c r="Q1895" s="28" t="str">
        <f>IFERROR(VLOOKUP(P1895,Back!M:N,2,0),"")</f>
        <v/>
      </c>
      <c r="R1895" s="27" t="str">
        <f>IF(N1895="Si",IFERROR(VLOOKUP(F1895,'TD Cumpl'!B:AB,27,0),"No Aplica"),"No Aplica")</f>
        <v>No Aplica</v>
      </c>
      <c r="S1895" s="38">
        <v>0</v>
      </c>
      <c r="T1895" s="46">
        <v>0</v>
      </c>
      <c r="U1895" s="38">
        <v>0</v>
      </c>
      <c r="V1895" s="46">
        <v>0</v>
      </c>
      <c r="W1895" s="38">
        <v>0</v>
      </c>
      <c r="X1895" s="46">
        <v>0</v>
      </c>
      <c r="Y1895" s="46">
        <f t="shared" si="60"/>
        <v>92600</v>
      </c>
    </row>
    <row r="1896" spans="1:25" x14ac:dyDescent="0.25">
      <c r="A1896" s="20">
        <f>+VLOOKUP(D1896,Back!Q:R,2,0)</f>
        <v>1</v>
      </c>
      <c r="B1896" s="20" t="str">
        <f t="shared" si="59"/>
        <v>2019 ENE</v>
      </c>
      <c r="C1896" s="30">
        <v>2019</v>
      </c>
      <c r="D1896" s="30" t="s">
        <v>122</v>
      </c>
      <c r="E1896" s="30" t="s">
        <v>320</v>
      </c>
      <c r="F1896" s="30"/>
      <c r="G1896" s="30"/>
      <c r="H1896" s="32">
        <v>151380</v>
      </c>
      <c r="I1896" s="32">
        <v>0</v>
      </c>
      <c r="J1896" s="32">
        <v>0</v>
      </c>
      <c r="K1896" s="33">
        <v>151380</v>
      </c>
      <c r="L1896" s="33"/>
      <c r="M1896" s="34"/>
      <c r="N1896" s="209" t="str">
        <f>IFERROR(VLOOKUP(F1896,Back!C:F,4,0),"NO")</f>
        <v>NO</v>
      </c>
      <c r="O1896" s="26">
        <v>25</v>
      </c>
      <c r="P1896" s="28" t="str">
        <f>IFERROR(VLOOKUP(F1896,Back!C:E,3,0),"")</f>
        <v/>
      </c>
      <c r="Q1896" s="28" t="str">
        <f>IFERROR(VLOOKUP(P1896,Back!M:N,2,0),"")</f>
        <v/>
      </c>
      <c r="R1896" s="27" t="str">
        <f>IF(N1896="Si",IFERROR(VLOOKUP(F1896,'TD Cumpl'!B:AB,27,0),"No Aplica"),"No Aplica")</f>
        <v>No Aplica</v>
      </c>
      <c r="S1896" s="38">
        <v>0</v>
      </c>
      <c r="T1896" s="46">
        <v>0</v>
      </c>
      <c r="U1896" s="38">
        <v>2</v>
      </c>
      <c r="V1896" s="46">
        <v>151380</v>
      </c>
      <c r="W1896" s="38">
        <v>0</v>
      </c>
      <c r="X1896" s="46">
        <v>0</v>
      </c>
      <c r="Y1896" s="46">
        <f t="shared" si="60"/>
        <v>0</v>
      </c>
    </row>
    <row r="1897" spans="1:25" x14ac:dyDescent="0.25">
      <c r="A1897" s="20">
        <f>+VLOOKUP(D1897,Back!Q:R,2,0)</f>
        <v>1</v>
      </c>
      <c r="B1897" s="20" t="str">
        <f t="shared" si="59"/>
        <v>2019 ENE</v>
      </c>
      <c r="C1897" s="30">
        <v>2019</v>
      </c>
      <c r="D1897" s="30" t="s">
        <v>122</v>
      </c>
      <c r="E1897" s="30" t="s">
        <v>119</v>
      </c>
      <c r="F1897" s="30"/>
      <c r="G1897" s="30"/>
      <c r="H1897" s="32">
        <v>861383</v>
      </c>
      <c r="I1897" s="32">
        <v>0</v>
      </c>
      <c r="J1897" s="32">
        <v>588358</v>
      </c>
      <c r="K1897" s="33">
        <v>273025</v>
      </c>
      <c r="L1897" s="33"/>
      <c r="M1897" s="34"/>
      <c r="N1897" s="209" t="str">
        <f>IFERROR(VLOOKUP(F1897,Back!C:F,4,0),"NO")</f>
        <v>NO</v>
      </c>
      <c r="O1897" s="26">
        <v>25</v>
      </c>
      <c r="P1897" s="28" t="str">
        <f>IFERROR(VLOOKUP(F1897,Back!C:E,3,0),"")</f>
        <v/>
      </c>
      <c r="Q1897" s="28" t="str">
        <f>IFERROR(VLOOKUP(P1897,Back!M:N,2,0),"")</f>
        <v/>
      </c>
      <c r="R1897" s="27" t="str">
        <f>IF(N1897="Si",IFERROR(VLOOKUP(F1897,'TD Cumpl'!B:AB,27,0),"No Aplica"),"No Aplica")</f>
        <v>No Aplica</v>
      </c>
      <c r="S1897" s="38">
        <v>1</v>
      </c>
      <c r="T1897" s="46">
        <v>273025</v>
      </c>
      <c r="U1897" s="38">
        <v>0</v>
      </c>
      <c r="V1897" s="46">
        <v>0</v>
      </c>
      <c r="W1897" s="38">
        <v>8</v>
      </c>
      <c r="X1897" s="46">
        <v>588358</v>
      </c>
      <c r="Y1897" s="46">
        <f t="shared" si="60"/>
        <v>0</v>
      </c>
    </row>
    <row r="1898" spans="1:25" x14ac:dyDescent="0.25">
      <c r="A1898" s="20">
        <f>+VLOOKUP(D1898,Back!Q:R,2,0)</f>
        <v>1</v>
      </c>
      <c r="B1898" s="20" t="str">
        <f t="shared" si="59"/>
        <v>2019 ENE</v>
      </c>
      <c r="C1898" s="30">
        <v>2019</v>
      </c>
      <c r="D1898" s="30" t="s">
        <v>122</v>
      </c>
      <c r="E1898" s="30" t="s">
        <v>171</v>
      </c>
      <c r="F1898" s="30"/>
      <c r="G1898" s="30"/>
      <c r="H1898" s="32">
        <v>375908</v>
      </c>
      <c r="I1898" s="32">
        <v>0</v>
      </c>
      <c r="J1898" s="32">
        <v>375908</v>
      </c>
      <c r="K1898" s="33">
        <v>0</v>
      </c>
      <c r="L1898" s="33"/>
      <c r="M1898" s="34"/>
      <c r="N1898" s="209" t="str">
        <f>IFERROR(VLOOKUP(F1898,Back!C:F,4,0),"NO")</f>
        <v>NO</v>
      </c>
      <c r="O1898" s="26">
        <v>25</v>
      </c>
      <c r="P1898" s="28" t="str">
        <f>IFERROR(VLOOKUP(F1898,Back!C:E,3,0),"")</f>
        <v/>
      </c>
      <c r="Q1898" s="28" t="str">
        <f>IFERROR(VLOOKUP(P1898,Back!M:N,2,0),"")</f>
        <v/>
      </c>
      <c r="R1898" s="27" t="str">
        <f>IF(N1898="Si",IFERROR(VLOOKUP(F1898,'TD Cumpl'!B:AB,27,0),"No Aplica"),"No Aplica")</f>
        <v>No Aplica</v>
      </c>
      <c r="S1898" s="38">
        <v>0</v>
      </c>
      <c r="T1898" s="46">
        <v>0</v>
      </c>
      <c r="U1898" s="38">
        <v>0</v>
      </c>
      <c r="V1898" s="46">
        <v>0</v>
      </c>
      <c r="W1898" s="38">
        <v>4</v>
      </c>
      <c r="X1898" s="46">
        <v>375908</v>
      </c>
      <c r="Y1898" s="46">
        <f t="shared" si="60"/>
        <v>0</v>
      </c>
    </row>
    <row r="1899" spans="1:25" x14ac:dyDescent="0.25">
      <c r="A1899" s="20">
        <f>+VLOOKUP(D1899,Back!Q:R,2,0)</f>
        <v>1</v>
      </c>
      <c r="B1899" s="20" t="str">
        <f t="shared" si="59"/>
        <v>2019 ENE</v>
      </c>
      <c r="C1899" s="30">
        <v>2019</v>
      </c>
      <c r="D1899" s="30" t="s">
        <v>122</v>
      </c>
      <c r="E1899" s="30" t="s">
        <v>120</v>
      </c>
      <c r="F1899" s="30"/>
      <c r="G1899" s="30"/>
      <c r="H1899" s="32">
        <v>1766315</v>
      </c>
      <c r="I1899" s="32">
        <v>0</v>
      </c>
      <c r="J1899" s="32">
        <v>1766315</v>
      </c>
      <c r="K1899" s="33">
        <v>0</v>
      </c>
      <c r="L1899" s="33"/>
      <c r="M1899" s="34"/>
      <c r="N1899" s="209" t="str">
        <f>IFERROR(VLOOKUP(F1899,Back!C:F,4,0),"NO")</f>
        <v>NO</v>
      </c>
      <c r="O1899" s="26">
        <v>25</v>
      </c>
      <c r="P1899" s="28" t="str">
        <f>IFERROR(VLOOKUP(F1899,Back!C:E,3,0),"")</f>
        <v/>
      </c>
      <c r="Q1899" s="28" t="str">
        <f>IFERROR(VLOOKUP(P1899,Back!M:N,2,0),"")</f>
        <v/>
      </c>
      <c r="R1899" s="27" t="str">
        <f>IF(N1899="Si",IFERROR(VLOOKUP(F1899,'TD Cumpl'!B:AB,27,0),"No Aplica"),"No Aplica")</f>
        <v>No Aplica</v>
      </c>
      <c r="S1899" s="38">
        <v>0</v>
      </c>
      <c r="T1899" s="46">
        <v>0</v>
      </c>
      <c r="U1899" s="38">
        <v>0</v>
      </c>
      <c r="V1899" s="46">
        <v>0</v>
      </c>
      <c r="W1899" s="38">
        <v>17</v>
      </c>
      <c r="X1899" s="46">
        <v>1766315</v>
      </c>
      <c r="Y1899" s="46">
        <f t="shared" si="60"/>
        <v>0</v>
      </c>
    </row>
    <row r="1900" spans="1:25" x14ac:dyDescent="0.25">
      <c r="A1900" s="20">
        <f>+VLOOKUP(D1900,Back!Q:R,2,0)</f>
        <v>1</v>
      </c>
      <c r="B1900" s="20" t="str">
        <f t="shared" si="59"/>
        <v>2019 ENE</v>
      </c>
      <c r="C1900" s="30">
        <v>2019</v>
      </c>
      <c r="D1900" s="30" t="s">
        <v>122</v>
      </c>
      <c r="E1900" s="30" t="s">
        <v>313</v>
      </c>
      <c r="F1900" s="30"/>
      <c r="G1900" s="30"/>
      <c r="H1900" s="32">
        <v>620889</v>
      </c>
      <c r="I1900" s="32">
        <v>0</v>
      </c>
      <c r="J1900" s="32">
        <v>0</v>
      </c>
      <c r="K1900" s="33">
        <v>620889</v>
      </c>
      <c r="L1900" s="33"/>
      <c r="M1900" s="34"/>
      <c r="N1900" s="209" t="str">
        <f>IFERROR(VLOOKUP(F1900,Back!C:F,4,0),"NO")</f>
        <v>NO</v>
      </c>
      <c r="O1900" s="26">
        <v>25</v>
      </c>
      <c r="P1900" s="28" t="str">
        <f>IFERROR(VLOOKUP(F1900,Back!C:E,3,0),"")</f>
        <v/>
      </c>
      <c r="Q1900" s="28" t="str">
        <f>IFERROR(VLOOKUP(P1900,Back!M:N,2,0),"")</f>
        <v/>
      </c>
      <c r="R1900" s="27" t="str">
        <f>IF(N1900="Si",IFERROR(VLOOKUP(F1900,'TD Cumpl'!B:AB,27,0),"No Aplica"),"No Aplica")</f>
        <v>No Aplica</v>
      </c>
      <c r="S1900" s="38">
        <v>1</v>
      </c>
      <c r="T1900" s="46">
        <v>212143</v>
      </c>
      <c r="U1900" s="38">
        <v>4</v>
      </c>
      <c r="V1900" s="46">
        <v>408746</v>
      </c>
      <c r="W1900" s="38">
        <v>0</v>
      </c>
      <c r="X1900" s="46">
        <v>0</v>
      </c>
      <c r="Y1900" s="46">
        <f t="shared" si="60"/>
        <v>0</v>
      </c>
    </row>
    <row r="1901" spans="1:25" x14ac:dyDescent="0.25">
      <c r="A1901" s="20">
        <f>+VLOOKUP(D1901,Back!Q:R,2,0)</f>
        <v>1</v>
      </c>
      <c r="B1901" s="20" t="str">
        <f t="shared" si="59"/>
        <v>2019 ENE</v>
      </c>
      <c r="C1901" s="30">
        <v>2019</v>
      </c>
      <c r="D1901" s="30" t="s">
        <v>122</v>
      </c>
      <c r="E1901" s="30" t="s">
        <v>37</v>
      </c>
      <c r="F1901" s="30"/>
      <c r="G1901" s="30"/>
      <c r="H1901" s="32">
        <v>450000</v>
      </c>
      <c r="I1901" s="32">
        <v>450000</v>
      </c>
      <c r="J1901" s="32">
        <v>0</v>
      </c>
      <c r="K1901" s="33">
        <v>0</v>
      </c>
      <c r="L1901" s="33"/>
      <c r="M1901" s="34"/>
      <c r="N1901" s="209" t="str">
        <f>IFERROR(VLOOKUP(F1901,Back!C:F,4,0),"NO")</f>
        <v>NO</v>
      </c>
      <c r="O1901" s="26">
        <v>25</v>
      </c>
      <c r="P1901" s="28" t="str">
        <f>IFERROR(VLOOKUP(F1901,Back!C:E,3,0),"")</f>
        <v/>
      </c>
      <c r="Q1901" s="28" t="str">
        <f>IFERROR(VLOOKUP(P1901,Back!M:N,2,0),"")</f>
        <v/>
      </c>
      <c r="R1901" s="27" t="str">
        <f>IF(N1901="Si",IFERROR(VLOOKUP(F1901,'TD Cumpl'!B:AB,27,0),"No Aplica"),"No Aplica")</f>
        <v>No Aplica</v>
      </c>
      <c r="S1901" s="38">
        <v>0</v>
      </c>
      <c r="T1901" s="46">
        <v>0</v>
      </c>
      <c r="U1901" s="38">
        <v>0</v>
      </c>
      <c r="V1901" s="46">
        <v>0</v>
      </c>
      <c r="W1901" s="38">
        <v>0</v>
      </c>
      <c r="X1901" s="46">
        <v>0</v>
      </c>
      <c r="Y1901" s="46">
        <f t="shared" si="60"/>
        <v>450000</v>
      </c>
    </row>
    <row r="1902" spans="1:25" x14ac:dyDescent="0.25">
      <c r="A1902" s="20">
        <f>+VLOOKUP(D1902,Back!Q:R,2,0)</f>
        <v>1</v>
      </c>
      <c r="B1902" s="20" t="str">
        <f t="shared" si="59"/>
        <v>2019 ENE</v>
      </c>
      <c r="C1902" s="30">
        <v>2019</v>
      </c>
      <c r="D1902" s="30" t="s">
        <v>122</v>
      </c>
      <c r="E1902" s="30" t="s">
        <v>237</v>
      </c>
      <c r="F1902" s="30"/>
      <c r="G1902" s="30"/>
      <c r="H1902" s="32">
        <v>481323</v>
      </c>
      <c r="I1902" s="32">
        <v>0</v>
      </c>
      <c r="J1902" s="32">
        <v>141671</v>
      </c>
      <c r="K1902" s="33">
        <v>339652</v>
      </c>
      <c r="L1902" s="33"/>
      <c r="M1902" s="34"/>
      <c r="N1902" s="209" t="str">
        <f>IFERROR(VLOOKUP(F1902,Back!C:F,4,0),"NO")</f>
        <v>NO</v>
      </c>
      <c r="O1902" s="26">
        <v>25</v>
      </c>
      <c r="P1902" s="28" t="str">
        <f>IFERROR(VLOOKUP(F1902,Back!C:E,3,0),"")</f>
        <v/>
      </c>
      <c r="Q1902" s="28" t="str">
        <f>IFERROR(VLOOKUP(P1902,Back!M:N,2,0),"")</f>
        <v/>
      </c>
      <c r="R1902" s="27" t="str">
        <f>IF(N1902="Si",IFERROR(VLOOKUP(F1902,'TD Cumpl'!B:AB,27,0),"No Aplica"),"No Aplica")</f>
        <v>No Aplica</v>
      </c>
      <c r="S1902" s="38">
        <v>1</v>
      </c>
      <c r="T1902" s="46">
        <v>128403</v>
      </c>
      <c r="U1902" s="38">
        <v>2</v>
      </c>
      <c r="V1902" s="46">
        <v>66649</v>
      </c>
      <c r="W1902" s="38">
        <v>1</v>
      </c>
      <c r="X1902" s="46">
        <v>141671</v>
      </c>
      <c r="Y1902" s="46">
        <f t="shared" si="60"/>
        <v>144600</v>
      </c>
    </row>
    <row r="1903" spans="1:25" x14ac:dyDescent="0.25">
      <c r="A1903" s="20">
        <f>+VLOOKUP(D1903,Back!Q:R,2,0)</f>
        <v>1</v>
      </c>
      <c r="B1903" s="20" t="str">
        <f t="shared" si="59"/>
        <v>2019 ENE</v>
      </c>
      <c r="C1903" s="30">
        <v>2019</v>
      </c>
      <c r="D1903" s="30" t="s">
        <v>122</v>
      </c>
      <c r="E1903" s="30" t="s">
        <v>168</v>
      </c>
      <c r="F1903" s="30"/>
      <c r="G1903" s="30"/>
      <c r="H1903" s="32">
        <v>46283</v>
      </c>
      <c r="I1903" s="32">
        <v>0</v>
      </c>
      <c r="J1903" s="32">
        <v>46283</v>
      </c>
      <c r="K1903" s="33">
        <v>0</v>
      </c>
      <c r="L1903" s="33"/>
      <c r="M1903" s="34"/>
      <c r="N1903" s="209" t="str">
        <f>IFERROR(VLOOKUP(F1903,Back!C:F,4,0),"NO")</f>
        <v>NO</v>
      </c>
      <c r="O1903" s="26">
        <v>25</v>
      </c>
      <c r="P1903" s="28" t="str">
        <f>IFERROR(VLOOKUP(F1903,Back!C:E,3,0),"")</f>
        <v/>
      </c>
      <c r="Q1903" s="28" t="str">
        <f>IFERROR(VLOOKUP(P1903,Back!M:N,2,0),"")</f>
        <v/>
      </c>
      <c r="R1903" s="27" t="str">
        <f>IF(N1903="Si",IFERROR(VLOOKUP(F1903,'TD Cumpl'!B:AB,27,0),"No Aplica"),"No Aplica")</f>
        <v>No Aplica</v>
      </c>
      <c r="S1903" s="38">
        <v>0</v>
      </c>
      <c r="T1903" s="46">
        <v>0</v>
      </c>
      <c r="U1903" s="38">
        <v>0</v>
      </c>
      <c r="V1903" s="46">
        <v>0</v>
      </c>
      <c r="W1903" s="38">
        <v>1</v>
      </c>
      <c r="X1903" s="46">
        <v>46283</v>
      </c>
      <c r="Y1903" s="46">
        <f t="shared" si="60"/>
        <v>0</v>
      </c>
    </row>
    <row r="1904" spans="1:25" x14ac:dyDescent="0.25">
      <c r="A1904" s="20">
        <f>+VLOOKUP(D1904,Back!Q:R,2,0)</f>
        <v>1</v>
      </c>
      <c r="B1904" s="20" t="str">
        <f t="shared" si="59"/>
        <v>2019 ENE</v>
      </c>
      <c r="C1904" s="30">
        <v>2019</v>
      </c>
      <c r="D1904" s="30" t="s">
        <v>122</v>
      </c>
      <c r="E1904" s="30" t="s">
        <v>321</v>
      </c>
      <c r="F1904" s="30"/>
      <c r="G1904" s="30"/>
      <c r="H1904" s="32">
        <v>46283</v>
      </c>
      <c r="I1904" s="32">
        <v>0</v>
      </c>
      <c r="J1904" s="32">
        <v>46283</v>
      </c>
      <c r="K1904" s="33">
        <v>0</v>
      </c>
      <c r="L1904" s="33"/>
      <c r="M1904" s="34"/>
      <c r="N1904" s="209" t="str">
        <f>IFERROR(VLOOKUP(F1904,Back!C:F,4,0),"NO")</f>
        <v>NO</v>
      </c>
      <c r="O1904" s="26">
        <v>25</v>
      </c>
      <c r="P1904" s="28" t="str">
        <f>IFERROR(VLOOKUP(F1904,Back!C:E,3,0),"")</f>
        <v/>
      </c>
      <c r="Q1904" s="28" t="str">
        <f>IFERROR(VLOOKUP(P1904,Back!M:N,2,0),"")</f>
        <v/>
      </c>
      <c r="R1904" s="27" t="str">
        <f>IF(N1904="Si",IFERROR(VLOOKUP(F1904,'TD Cumpl'!B:AB,27,0),"No Aplica"),"No Aplica")</f>
        <v>No Aplica</v>
      </c>
      <c r="S1904" s="38">
        <v>0</v>
      </c>
      <c r="T1904" s="46">
        <v>0</v>
      </c>
      <c r="U1904" s="38">
        <v>0</v>
      </c>
      <c r="V1904" s="46">
        <v>0</v>
      </c>
      <c r="W1904" s="38">
        <v>1</v>
      </c>
      <c r="X1904" s="46">
        <v>46283</v>
      </c>
      <c r="Y1904" s="46">
        <f t="shared" si="60"/>
        <v>0</v>
      </c>
    </row>
    <row r="1905" spans="1:25" x14ac:dyDescent="0.25">
      <c r="A1905" s="20">
        <f>+VLOOKUP(D1905,Back!Q:R,2,0)</f>
        <v>1</v>
      </c>
      <c r="B1905" s="20" t="str">
        <f t="shared" si="59"/>
        <v>2019 ENE</v>
      </c>
      <c r="C1905" s="30">
        <v>2019</v>
      </c>
      <c r="D1905" s="30" t="s">
        <v>122</v>
      </c>
      <c r="E1905" s="30" t="s">
        <v>87</v>
      </c>
      <c r="F1905" s="30"/>
      <c r="G1905" s="30"/>
      <c r="H1905" s="32">
        <v>29434380</v>
      </c>
      <c r="I1905" s="32">
        <v>0</v>
      </c>
      <c r="J1905" s="32">
        <v>0</v>
      </c>
      <c r="K1905" s="33">
        <v>29434380</v>
      </c>
      <c r="L1905" s="33"/>
      <c r="M1905" s="34"/>
      <c r="N1905" s="209" t="str">
        <f>IFERROR(VLOOKUP(F1905,Back!C:F,4,0),"NO")</f>
        <v>NO</v>
      </c>
      <c r="O1905" s="26">
        <v>25</v>
      </c>
      <c r="P1905" s="28" t="str">
        <f>IFERROR(VLOOKUP(F1905,Back!C:E,3,0),"")</f>
        <v/>
      </c>
      <c r="Q1905" s="28" t="str">
        <f>IFERROR(VLOOKUP(P1905,Back!M:N,2,0),"")</f>
        <v/>
      </c>
      <c r="R1905" s="27" t="str">
        <f>IF(N1905="Si",IFERROR(VLOOKUP(F1905,'TD Cumpl'!B:AB,27,0),"No Aplica"),"No Aplica")</f>
        <v>No Aplica</v>
      </c>
      <c r="S1905" s="38">
        <v>105</v>
      </c>
      <c r="T1905" s="46">
        <v>7109280</v>
      </c>
      <c r="U1905" s="38">
        <v>205</v>
      </c>
      <c r="V1905" s="46">
        <v>20411520</v>
      </c>
      <c r="W1905" s="38">
        <v>4783</v>
      </c>
      <c r="X1905" s="46">
        <v>0</v>
      </c>
      <c r="Y1905" s="46">
        <f t="shared" si="60"/>
        <v>1913580</v>
      </c>
    </row>
    <row r="1906" spans="1:25" x14ac:dyDescent="0.25">
      <c r="A1906" s="20">
        <f>+VLOOKUP(D1906,Back!Q:R,2,0)</f>
        <v>2</v>
      </c>
      <c r="B1906" s="20" t="str">
        <f t="shared" si="59"/>
        <v>2019 FEB</v>
      </c>
      <c r="C1906" s="30">
        <v>2019</v>
      </c>
      <c r="D1906" s="30" t="s">
        <v>138</v>
      </c>
      <c r="E1906" s="30" t="s">
        <v>3</v>
      </c>
      <c r="F1906" s="30">
        <v>52725011</v>
      </c>
      <c r="G1906" s="30" t="s">
        <v>42</v>
      </c>
      <c r="H1906" s="32">
        <v>38854247</v>
      </c>
      <c r="I1906" s="32">
        <v>972000</v>
      </c>
      <c r="J1906" s="32">
        <v>9688151</v>
      </c>
      <c r="K1906" s="33">
        <v>28194096</v>
      </c>
      <c r="L1906" s="33">
        <v>26833333.333333336</v>
      </c>
      <c r="M1906" s="34">
        <v>1.050711652173913</v>
      </c>
      <c r="N1906" s="209" t="str">
        <f>IFERROR(VLOOKUP(F1906,Back!C:F,4,0),"NO")</f>
        <v>Si</v>
      </c>
      <c r="O1906" s="26">
        <v>24</v>
      </c>
      <c r="P1906" s="28" t="str">
        <f>IFERROR(VLOOKUP(F1906,Back!C:E,3,0),"")</f>
        <v>IPS Pto De Vista Olaya</v>
      </c>
      <c r="Q1906" s="28" t="str">
        <f>IFERROR(VLOOKUP(P1906,Back!M:N,2,0),"")</f>
        <v>Centro</v>
      </c>
      <c r="R1906" s="27" t="str">
        <f>IF(N1906="Si",IFERROR(VLOOKUP(F1906,'TD Cumpl'!B:AB,27,0),"No Aplica"),"No Aplica")</f>
        <v>Fluctúa</v>
      </c>
      <c r="S1906" s="38">
        <v>73</v>
      </c>
      <c r="T1906" s="46">
        <v>5628143</v>
      </c>
      <c r="U1906" s="38">
        <v>234</v>
      </c>
      <c r="V1906" s="46">
        <v>21120620</v>
      </c>
      <c r="W1906" s="38">
        <v>129</v>
      </c>
      <c r="X1906" s="46">
        <v>9688151</v>
      </c>
      <c r="Y1906" s="46">
        <f t="shared" si="60"/>
        <v>2417333</v>
      </c>
    </row>
    <row r="1907" spans="1:25" x14ac:dyDescent="0.25">
      <c r="A1907" s="20">
        <f>+VLOOKUP(D1907,Back!Q:R,2,0)</f>
        <v>2</v>
      </c>
      <c r="B1907" s="20" t="str">
        <f t="shared" si="59"/>
        <v>2019 FEB</v>
      </c>
      <c r="C1907" s="30">
        <v>2019</v>
      </c>
      <c r="D1907" s="30" t="s">
        <v>138</v>
      </c>
      <c r="E1907" s="30" t="s">
        <v>191</v>
      </c>
      <c r="F1907" s="30">
        <v>1010207310</v>
      </c>
      <c r="G1907" s="30" t="s">
        <v>253</v>
      </c>
      <c r="H1907" s="32">
        <v>37844360</v>
      </c>
      <c r="I1907" s="32">
        <v>0</v>
      </c>
      <c r="J1907" s="32">
        <v>8192759</v>
      </c>
      <c r="K1907" s="33">
        <v>29651601</v>
      </c>
      <c r="L1907" s="33">
        <v>26833333.333333336</v>
      </c>
      <c r="M1907" s="34">
        <v>1.105028608695652</v>
      </c>
      <c r="N1907" s="209" t="str">
        <f>IFERROR(VLOOKUP(F1907,Back!C:F,4,0),"NO")</f>
        <v>Si</v>
      </c>
      <c r="O1907" s="26">
        <v>24</v>
      </c>
      <c r="P1907" s="28" t="str">
        <f>IFERROR(VLOOKUP(F1907,Back!C:E,3,0),"")</f>
        <v>IPS Pto De Vista Olaya</v>
      </c>
      <c r="Q1907" s="28" t="str">
        <f>IFERROR(VLOOKUP(P1907,Back!M:N,2,0),"")</f>
        <v>Centro</v>
      </c>
      <c r="R1907" s="27" t="str">
        <f>IF(N1907="Si",IFERROR(VLOOKUP(F1907,'TD Cumpl'!B:AB,27,0),"No Aplica"),"No Aplica")</f>
        <v>Cumple</v>
      </c>
      <c r="S1907" s="38">
        <v>85</v>
      </c>
      <c r="T1907" s="46">
        <v>7165296</v>
      </c>
      <c r="U1907" s="38">
        <v>231</v>
      </c>
      <c r="V1907" s="46">
        <v>19883511</v>
      </c>
      <c r="W1907" s="38">
        <v>117</v>
      </c>
      <c r="X1907" s="46">
        <v>8192759</v>
      </c>
      <c r="Y1907" s="46">
        <f t="shared" si="60"/>
        <v>2602794</v>
      </c>
    </row>
    <row r="1908" spans="1:25" x14ac:dyDescent="0.25">
      <c r="A1908" s="20">
        <f>+VLOOKUP(D1908,Back!Q:R,2,0)</f>
        <v>2</v>
      </c>
      <c r="B1908" s="20" t="str">
        <f t="shared" si="59"/>
        <v>2019 FEB</v>
      </c>
      <c r="C1908" s="30">
        <v>2019</v>
      </c>
      <c r="D1908" s="30" t="s">
        <v>138</v>
      </c>
      <c r="E1908" s="30" t="s">
        <v>62</v>
      </c>
      <c r="F1908" s="30">
        <v>32256379</v>
      </c>
      <c r="G1908" s="30" t="s">
        <v>61</v>
      </c>
      <c r="H1908" s="32">
        <v>13774223</v>
      </c>
      <c r="I1908" s="32">
        <v>504000</v>
      </c>
      <c r="J1908" s="32">
        <v>4272143</v>
      </c>
      <c r="K1908" s="33">
        <v>8998080</v>
      </c>
      <c r="L1908" s="33">
        <v>40333333.333333328</v>
      </c>
      <c r="M1908" s="34">
        <v>0.2230928925619835</v>
      </c>
      <c r="N1908" s="209" t="str">
        <f>IFERROR(VLOOKUP(F1908,Back!C:F,4,0),"NO")</f>
        <v>Si</v>
      </c>
      <c r="O1908" s="26">
        <v>24</v>
      </c>
      <c r="P1908" s="28" t="str">
        <f>IFERROR(VLOOKUP(F1908,Back!C:E,3,0),"")</f>
        <v>Ferias Empresariales Antioquia</v>
      </c>
      <c r="Q1908" s="28" t="str">
        <f>IFERROR(VLOOKUP(P1908,Back!M:N,2,0),"")</f>
        <v>Antioquia</v>
      </c>
      <c r="R1908" s="27" t="str">
        <f>IF(N1908="Si",IFERROR(VLOOKUP(F1908,'TD Cumpl'!B:AB,27,0),"No Aplica"),"No Aplica")</f>
        <v>Fluctúa</v>
      </c>
      <c r="S1908" s="38">
        <v>10</v>
      </c>
      <c r="T1908" s="46">
        <v>1356221</v>
      </c>
      <c r="U1908" s="38">
        <v>28</v>
      </c>
      <c r="V1908" s="46">
        <v>2006489</v>
      </c>
      <c r="W1908" s="38">
        <v>47</v>
      </c>
      <c r="X1908" s="46">
        <v>4272143</v>
      </c>
      <c r="Y1908" s="46">
        <f t="shared" si="60"/>
        <v>6139370</v>
      </c>
    </row>
    <row r="1909" spans="1:25" x14ac:dyDescent="0.25">
      <c r="A1909" s="20">
        <f>+VLOOKUP(D1909,Back!Q:R,2,0)</f>
        <v>2</v>
      </c>
      <c r="B1909" s="20" t="str">
        <f t="shared" si="59"/>
        <v>2019 FEB</v>
      </c>
      <c r="C1909" s="30">
        <v>2019</v>
      </c>
      <c r="D1909" s="30" t="s">
        <v>138</v>
      </c>
      <c r="E1909" s="30" t="s">
        <v>266</v>
      </c>
      <c r="F1909" s="30">
        <v>1128476466</v>
      </c>
      <c r="G1909" s="30" t="s">
        <v>267</v>
      </c>
      <c r="H1909" s="32">
        <v>21808825</v>
      </c>
      <c r="I1909" s="32">
        <v>442200</v>
      </c>
      <c r="J1909" s="32">
        <v>4824265</v>
      </c>
      <c r="K1909" s="33">
        <v>16542360</v>
      </c>
      <c r="L1909" s="33">
        <v>20000000</v>
      </c>
      <c r="M1909" s="34">
        <v>0.82711800000000002</v>
      </c>
      <c r="N1909" s="209" t="str">
        <f>IFERROR(VLOOKUP(F1909,Back!C:F,4,0),"NO")</f>
        <v>Si</v>
      </c>
      <c r="O1909" s="26">
        <v>24</v>
      </c>
      <c r="P1909" s="28" t="str">
        <f>IFERROR(VLOOKUP(F1909,Back!C:E,3,0),"")</f>
        <v>IPS Pto De Vista San Diego</v>
      </c>
      <c r="Q1909" s="28" t="str">
        <f>IFERROR(VLOOKUP(P1909,Back!M:N,2,0),"")</f>
        <v>Antioquia</v>
      </c>
      <c r="R1909" s="27" t="str">
        <f>IF(N1909="Si",IFERROR(VLOOKUP(F1909,'TD Cumpl'!B:AB,27,0),"No Aplica"),"No Aplica")</f>
        <v>Fluctúa</v>
      </c>
      <c r="S1909" s="38">
        <v>41</v>
      </c>
      <c r="T1909" s="46">
        <v>3875208</v>
      </c>
      <c r="U1909" s="38">
        <v>98</v>
      </c>
      <c r="V1909" s="46">
        <v>10350414</v>
      </c>
      <c r="W1909" s="38">
        <v>53</v>
      </c>
      <c r="X1909" s="46">
        <v>4824265</v>
      </c>
      <c r="Y1909" s="46">
        <f t="shared" si="60"/>
        <v>2758938</v>
      </c>
    </row>
    <row r="1910" spans="1:25" x14ac:dyDescent="0.25">
      <c r="A1910" s="20">
        <f>+VLOOKUP(D1910,Back!Q:R,2,0)</f>
        <v>2</v>
      </c>
      <c r="B1910" s="20" t="str">
        <f t="shared" si="59"/>
        <v>2019 FEB</v>
      </c>
      <c r="C1910" s="30">
        <v>2019</v>
      </c>
      <c r="D1910" s="30" t="s">
        <v>138</v>
      </c>
      <c r="E1910" s="30" t="s">
        <v>25</v>
      </c>
      <c r="F1910" s="30">
        <v>1040030764</v>
      </c>
      <c r="G1910" s="30" t="s">
        <v>43</v>
      </c>
      <c r="H1910" s="32">
        <v>16878856</v>
      </c>
      <c r="I1910" s="32">
        <v>1396200</v>
      </c>
      <c r="J1910" s="32">
        <v>5432716</v>
      </c>
      <c r="K1910" s="33">
        <v>10049940</v>
      </c>
      <c r="L1910" s="33">
        <v>29166666.666666668</v>
      </c>
      <c r="M1910" s="34">
        <v>0.34456937142857141</v>
      </c>
      <c r="N1910" s="209" t="str">
        <f>IFERROR(VLOOKUP(F1910,Back!C:F,4,0),"NO")</f>
        <v>Si</v>
      </c>
      <c r="O1910" s="26">
        <v>24</v>
      </c>
      <c r="P1910" s="28" t="str">
        <f>IFERROR(VLOOKUP(F1910,Back!C:E,3,0),"")</f>
        <v>IPS Pto De Vista Rionegro</v>
      </c>
      <c r="Q1910" s="28" t="str">
        <f>IFERROR(VLOOKUP(P1910,Back!M:N,2,0),"")</f>
        <v>Antioquia</v>
      </c>
      <c r="R1910" s="27" t="str">
        <f>IF(N1910="Si",IFERROR(VLOOKUP(F1910,'TD Cumpl'!B:AB,27,0),"No Aplica"),"No Aplica")</f>
        <v>Cumple</v>
      </c>
      <c r="S1910" s="38">
        <v>18</v>
      </c>
      <c r="T1910" s="46">
        <v>1845492</v>
      </c>
      <c r="U1910" s="38">
        <v>56</v>
      </c>
      <c r="V1910" s="46">
        <v>7255628</v>
      </c>
      <c r="W1910" s="38">
        <v>60</v>
      </c>
      <c r="X1910" s="46">
        <v>5432716</v>
      </c>
      <c r="Y1910" s="46">
        <f t="shared" si="60"/>
        <v>2345020</v>
      </c>
    </row>
    <row r="1911" spans="1:25" x14ac:dyDescent="0.25">
      <c r="A1911" s="20">
        <f>+VLOOKUP(D1911,Back!Q:R,2,0)</f>
        <v>2</v>
      </c>
      <c r="B1911" s="20" t="str">
        <f t="shared" si="59"/>
        <v>2019 FEB</v>
      </c>
      <c r="C1911" s="30">
        <v>2019</v>
      </c>
      <c r="D1911" s="30" t="s">
        <v>138</v>
      </c>
      <c r="E1911" s="30" t="s">
        <v>284</v>
      </c>
      <c r="F1911" s="30">
        <v>1128267208</v>
      </c>
      <c r="G1911" s="30" t="s">
        <v>285</v>
      </c>
      <c r="H1911" s="32">
        <v>51955674</v>
      </c>
      <c r="I1911" s="32">
        <v>4788600</v>
      </c>
      <c r="J1911" s="32">
        <v>8538190</v>
      </c>
      <c r="K1911" s="33">
        <v>38628884</v>
      </c>
      <c r="L1911" s="33">
        <v>39166666.666666672</v>
      </c>
      <c r="M1911" s="34">
        <v>0.98626937872340414</v>
      </c>
      <c r="N1911" s="209" t="str">
        <f>IFERROR(VLOOKUP(F1911,Back!C:F,4,0),"NO")</f>
        <v>Si</v>
      </c>
      <c r="O1911" s="26">
        <v>24</v>
      </c>
      <c r="P1911" s="28" t="str">
        <f>IFERROR(VLOOKUP(F1911,Back!C:E,3,0),"")</f>
        <v>IPS Pto De Vista Rionegro</v>
      </c>
      <c r="Q1911" s="28" t="str">
        <f>IFERROR(VLOOKUP(P1911,Back!M:N,2,0),"")</f>
        <v>Antioquia</v>
      </c>
      <c r="R1911" s="27" t="str">
        <f>IF(N1911="Si",IFERROR(VLOOKUP(F1911,'TD Cumpl'!B:AB,27,0),"No Aplica"),"No Aplica")</f>
        <v>Fluctúa</v>
      </c>
      <c r="S1911" s="38">
        <v>68</v>
      </c>
      <c r="T1911" s="46">
        <v>8971416</v>
      </c>
      <c r="U1911" s="38">
        <v>156</v>
      </c>
      <c r="V1911" s="46">
        <v>23203473</v>
      </c>
      <c r="W1911" s="38">
        <v>90</v>
      </c>
      <c r="X1911" s="46">
        <v>8538190</v>
      </c>
      <c r="Y1911" s="46">
        <f t="shared" si="60"/>
        <v>11242595</v>
      </c>
    </row>
    <row r="1912" spans="1:25" x14ac:dyDescent="0.25">
      <c r="A1912" s="20">
        <f>+VLOOKUP(D1912,Back!Q:R,2,0)</f>
        <v>2</v>
      </c>
      <c r="B1912" s="20" t="str">
        <f t="shared" si="59"/>
        <v>2019 FEB</v>
      </c>
      <c r="C1912" s="30">
        <v>2019</v>
      </c>
      <c r="D1912" s="30" t="s">
        <v>138</v>
      </c>
      <c r="E1912" s="30" t="s">
        <v>24</v>
      </c>
      <c r="F1912" s="30">
        <v>39448823</v>
      </c>
      <c r="G1912" s="30" t="s">
        <v>48</v>
      </c>
      <c r="H1912" s="31">
        <v>55238406</v>
      </c>
      <c r="I1912" s="32">
        <v>2185200</v>
      </c>
      <c r="J1912" s="32">
        <v>11461804</v>
      </c>
      <c r="K1912" s="33">
        <v>41591402</v>
      </c>
      <c r="L1912" s="33">
        <v>39166666.666666672</v>
      </c>
      <c r="M1912" s="34">
        <v>1.0619081361702127</v>
      </c>
      <c r="N1912" s="209" t="str">
        <f>IFERROR(VLOOKUP(F1912,Back!C:F,4,0),"NO")</f>
        <v>Si</v>
      </c>
      <c r="O1912" s="26">
        <v>24</v>
      </c>
      <c r="P1912" s="28" t="str">
        <f>IFERROR(VLOOKUP(F1912,Back!C:E,3,0),"")</f>
        <v>IPS Pto De Vista Rionegro</v>
      </c>
      <c r="Q1912" s="28" t="str">
        <f>IFERROR(VLOOKUP(P1912,Back!M:N,2,0),"")</f>
        <v>Antioquia</v>
      </c>
      <c r="R1912" s="27" t="str">
        <f>IF(N1912="Si",IFERROR(VLOOKUP(F1912,'TD Cumpl'!B:AB,27,0),"No Aplica"),"No Aplica")</f>
        <v>Siempre Cumple</v>
      </c>
      <c r="S1912" s="38">
        <v>75</v>
      </c>
      <c r="T1912" s="46">
        <v>9474404</v>
      </c>
      <c r="U1912" s="38">
        <v>190</v>
      </c>
      <c r="V1912" s="46">
        <v>26946899</v>
      </c>
      <c r="W1912" s="38">
        <v>114</v>
      </c>
      <c r="X1912" s="46">
        <v>11461804</v>
      </c>
      <c r="Y1912" s="46">
        <f t="shared" si="60"/>
        <v>7355299</v>
      </c>
    </row>
    <row r="1913" spans="1:25" x14ac:dyDescent="0.25">
      <c r="A1913" s="20">
        <f>+VLOOKUP(D1913,Back!Q:R,2,0)</f>
        <v>2</v>
      </c>
      <c r="B1913" s="20" t="str">
        <f t="shared" si="59"/>
        <v>2019 FEB</v>
      </c>
      <c r="C1913" s="30">
        <v>2019</v>
      </c>
      <c r="D1913" s="30" t="s">
        <v>138</v>
      </c>
      <c r="E1913" s="30" t="s">
        <v>11</v>
      </c>
      <c r="F1913" s="30">
        <v>43253531</v>
      </c>
      <c r="G1913" s="30" t="s">
        <v>39</v>
      </c>
      <c r="H1913" s="32">
        <v>52146063</v>
      </c>
      <c r="I1913" s="32">
        <v>2089200</v>
      </c>
      <c r="J1913" s="32">
        <v>11746839</v>
      </c>
      <c r="K1913" s="33">
        <v>38310024</v>
      </c>
      <c r="L1913" s="33">
        <v>37000000</v>
      </c>
      <c r="M1913" s="34">
        <v>1.0354060540540539</v>
      </c>
      <c r="N1913" s="209" t="str">
        <f>IFERROR(VLOOKUP(F1913,Back!C:F,4,0),"NO")</f>
        <v>Si</v>
      </c>
      <c r="O1913" s="26">
        <v>24</v>
      </c>
      <c r="P1913" s="28" t="str">
        <f>IFERROR(VLOOKUP(F1913,Back!C:E,3,0),"")</f>
        <v>IPS Punto de Vista Bello</v>
      </c>
      <c r="Q1913" s="28" t="str">
        <f>IFERROR(VLOOKUP(P1913,Back!M:N,2,0),"")</f>
        <v>Antioquia</v>
      </c>
      <c r="R1913" s="27" t="str">
        <f>IF(N1913="Si",IFERROR(VLOOKUP(F1913,'TD Cumpl'!B:AB,27,0),"No Aplica"),"No Aplica")</f>
        <v>Cumple</v>
      </c>
      <c r="S1913" s="38">
        <v>91</v>
      </c>
      <c r="T1913" s="46">
        <v>8957339</v>
      </c>
      <c r="U1913" s="38">
        <v>216</v>
      </c>
      <c r="V1913" s="46">
        <v>24968163</v>
      </c>
      <c r="W1913" s="38">
        <v>117</v>
      </c>
      <c r="X1913" s="46">
        <v>11746839</v>
      </c>
      <c r="Y1913" s="46">
        <f t="shared" si="60"/>
        <v>6473722</v>
      </c>
    </row>
    <row r="1914" spans="1:25" x14ac:dyDescent="0.25">
      <c r="A1914" s="20">
        <f>+VLOOKUP(D1914,Back!Q:R,2,0)</f>
        <v>2</v>
      </c>
      <c r="B1914" s="20" t="str">
        <f t="shared" si="59"/>
        <v>2019 FEB</v>
      </c>
      <c r="C1914" s="30">
        <v>2019</v>
      </c>
      <c r="D1914" s="30" t="s">
        <v>138</v>
      </c>
      <c r="E1914" s="30" t="s">
        <v>121</v>
      </c>
      <c r="F1914" s="30">
        <v>21982241</v>
      </c>
      <c r="G1914" s="30" t="s">
        <v>143</v>
      </c>
      <c r="H1914" s="32">
        <v>47514062</v>
      </c>
      <c r="I1914" s="32">
        <v>0</v>
      </c>
      <c r="J1914" s="32">
        <v>8959140</v>
      </c>
      <c r="K1914" s="33">
        <v>38554922</v>
      </c>
      <c r="L1914" s="33">
        <v>36229166.666666672</v>
      </c>
      <c r="M1914" s="34">
        <v>1.0641956618746404</v>
      </c>
      <c r="N1914" s="209" t="str">
        <f>IFERROR(VLOOKUP(F1914,Back!C:F,4,0),"NO")</f>
        <v>Si</v>
      </c>
      <c r="O1914" s="26">
        <v>24</v>
      </c>
      <c r="P1914" s="28" t="str">
        <f>IFERROR(VLOOKUP(F1914,Back!C:E,3,0),"")</f>
        <v>IPS Punto de Vista Bello</v>
      </c>
      <c r="Q1914" s="28" t="str">
        <f>IFERROR(VLOOKUP(P1914,Back!M:N,2,0),"")</f>
        <v>Antioquia</v>
      </c>
      <c r="R1914" s="27" t="str">
        <f>IF(N1914="Si",IFERROR(VLOOKUP(F1914,'TD Cumpl'!B:AB,27,0),"No Aplica"),"No Aplica")</f>
        <v>Fluctúa</v>
      </c>
      <c r="S1914" s="38">
        <v>87</v>
      </c>
      <c r="T1914" s="46">
        <v>8142277</v>
      </c>
      <c r="U1914" s="38">
        <v>236</v>
      </c>
      <c r="V1914" s="46">
        <v>25317388</v>
      </c>
      <c r="W1914" s="38">
        <v>102</v>
      </c>
      <c r="X1914" s="46">
        <v>8959140</v>
      </c>
      <c r="Y1914" s="46">
        <f t="shared" si="60"/>
        <v>5095257</v>
      </c>
    </row>
    <row r="1915" spans="1:25" x14ac:dyDescent="0.25">
      <c r="A1915" s="20">
        <f>+VLOOKUP(D1915,Back!Q:R,2,0)</f>
        <v>2</v>
      </c>
      <c r="B1915" s="20" t="str">
        <f t="shared" si="59"/>
        <v>2019 FEB</v>
      </c>
      <c r="C1915" s="30">
        <v>2019</v>
      </c>
      <c r="D1915" s="30" t="s">
        <v>138</v>
      </c>
      <c r="E1915" s="30" t="s">
        <v>9</v>
      </c>
      <c r="F1915" s="30">
        <v>43169964</v>
      </c>
      <c r="G1915" s="30" t="s">
        <v>155</v>
      </c>
      <c r="H1915" s="32">
        <v>36477526</v>
      </c>
      <c r="I1915" s="32">
        <v>1098000</v>
      </c>
      <c r="J1915" s="32">
        <v>11732952</v>
      </c>
      <c r="K1915" s="33">
        <v>23646574</v>
      </c>
      <c r="L1915" s="33">
        <v>43125000</v>
      </c>
      <c r="M1915" s="34">
        <v>0.54832635362318838</v>
      </c>
      <c r="N1915" s="209" t="str">
        <f>IFERROR(VLOOKUP(F1915,Back!C:F,4,0),"NO")</f>
        <v>Si</v>
      </c>
      <c r="O1915" s="26">
        <v>24</v>
      </c>
      <c r="P1915" s="28" t="str">
        <f>IFERROR(VLOOKUP(F1915,Back!C:E,3,0),"")</f>
        <v>IPS Pto De Vista Molinos</v>
      </c>
      <c r="Q1915" s="28" t="str">
        <f>IFERROR(VLOOKUP(P1915,Back!M:N,2,0),"")</f>
        <v>Antioquia</v>
      </c>
      <c r="R1915" s="27" t="str">
        <f>IF(N1915="Si",IFERROR(VLOOKUP(F1915,'TD Cumpl'!B:AB,27,0),"No Aplica"),"No Aplica")</f>
        <v>Cumple</v>
      </c>
      <c r="S1915" s="38">
        <v>50</v>
      </c>
      <c r="T1915" s="46">
        <v>5872656</v>
      </c>
      <c r="U1915" s="38">
        <v>124</v>
      </c>
      <c r="V1915" s="46">
        <v>13788180</v>
      </c>
      <c r="W1915" s="38">
        <v>110</v>
      </c>
      <c r="X1915" s="46">
        <v>11732952</v>
      </c>
      <c r="Y1915" s="46">
        <f t="shared" si="60"/>
        <v>5083738</v>
      </c>
    </row>
    <row r="1916" spans="1:25" x14ac:dyDescent="0.25">
      <c r="A1916" s="20">
        <f>+VLOOKUP(D1916,Back!Q:R,2,0)</f>
        <v>2</v>
      </c>
      <c r="B1916" s="20" t="str">
        <f t="shared" si="59"/>
        <v>2019 FEB</v>
      </c>
      <c r="C1916" s="30">
        <v>2019</v>
      </c>
      <c r="D1916" s="30" t="s">
        <v>138</v>
      </c>
      <c r="E1916" s="30" t="s">
        <v>288</v>
      </c>
      <c r="F1916" s="30">
        <v>1017191161</v>
      </c>
      <c r="G1916" s="30" t="s">
        <v>289</v>
      </c>
      <c r="H1916" s="32">
        <v>41056711</v>
      </c>
      <c r="I1916" s="32">
        <v>552000</v>
      </c>
      <c r="J1916" s="32">
        <v>10448998</v>
      </c>
      <c r="K1916" s="33">
        <v>30055713</v>
      </c>
      <c r="L1916" s="33">
        <v>43125000</v>
      </c>
      <c r="M1916" s="34">
        <v>0.69694406956521737</v>
      </c>
      <c r="N1916" s="209" t="str">
        <f>IFERROR(VLOOKUP(F1916,Back!C:F,4,0),"NO")</f>
        <v>Si</v>
      </c>
      <c r="O1916" s="26">
        <v>24</v>
      </c>
      <c r="P1916" s="28" t="str">
        <f>IFERROR(VLOOKUP(F1916,Back!C:E,3,0),"")</f>
        <v>IPS Pto De Vista Molinos</v>
      </c>
      <c r="Q1916" s="28" t="str">
        <f>IFERROR(VLOOKUP(P1916,Back!M:N,2,0),"")</f>
        <v>Antioquia</v>
      </c>
      <c r="R1916" s="27" t="str">
        <f>IF(N1916="Si",IFERROR(VLOOKUP(F1916,'TD Cumpl'!B:AB,27,0),"No Aplica"),"No Aplica")</f>
        <v>No Cumple</v>
      </c>
      <c r="S1916" s="38">
        <v>63</v>
      </c>
      <c r="T1916" s="46">
        <v>6974119</v>
      </c>
      <c r="U1916" s="38">
        <v>158</v>
      </c>
      <c r="V1916" s="46">
        <v>17943119</v>
      </c>
      <c r="W1916" s="38">
        <v>106</v>
      </c>
      <c r="X1916" s="46">
        <v>10448998</v>
      </c>
      <c r="Y1916" s="46">
        <f t="shared" si="60"/>
        <v>5690475</v>
      </c>
    </row>
    <row r="1917" spans="1:25" x14ac:dyDescent="0.25">
      <c r="A1917" s="20">
        <f>+VLOOKUP(D1917,Back!Q:R,2,0)</f>
        <v>2</v>
      </c>
      <c r="B1917" s="20" t="str">
        <f t="shared" si="59"/>
        <v>2019 FEB</v>
      </c>
      <c r="C1917" s="30">
        <v>2019</v>
      </c>
      <c r="D1917" s="30" t="s">
        <v>138</v>
      </c>
      <c r="E1917" s="30" t="s">
        <v>308</v>
      </c>
      <c r="F1917" s="30">
        <v>1128402269</v>
      </c>
      <c r="G1917" s="30" t="s">
        <v>309</v>
      </c>
      <c r="H1917" s="32">
        <v>27783812</v>
      </c>
      <c r="I1917" s="32">
        <v>1090200</v>
      </c>
      <c r="J1917" s="32">
        <v>7374230</v>
      </c>
      <c r="K1917" s="33">
        <v>19319382</v>
      </c>
      <c r="L1917" s="33">
        <v>43125000</v>
      </c>
      <c r="M1917" s="34">
        <v>0.4479856695652174</v>
      </c>
      <c r="N1917" s="209" t="str">
        <f>IFERROR(VLOOKUP(F1917,Back!C:F,4,0),"NO")</f>
        <v>Si</v>
      </c>
      <c r="O1917" s="26">
        <v>24</v>
      </c>
      <c r="P1917" s="28" t="str">
        <f>IFERROR(VLOOKUP(F1917,Back!C:E,3,0),"")</f>
        <v>IPS Pto De Vista Molinos</v>
      </c>
      <c r="Q1917" s="28" t="str">
        <f>IFERROR(VLOOKUP(P1917,Back!M:N,2,0),"")</f>
        <v>Antioquia</v>
      </c>
      <c r="R1917" s="27" t="str">
        <f>IF(N1917="Si",IFERROR(VLOOKUP(F1917,'TD Cumpl'!B:AB,27,0),"No Aplica"),"No Aplica")</f>
        <v>No Cumple</v>
      </c>
      <c r="S1917" s="38">
        <v>40</v>
      </c>
      <c r="T1917" s="46">
        <v>4771131</v>
      </c>
      <c r="U1917" s="38">
        <v>94</v>
      </c>
      <c r="V1917" s="46">
        <v>10959997</v>
      </c>
      <c r="W1917" s="38">
        <v>76</v>
      </c>
      <c r="X1917" s="46">
        <v>7374230</v>
      </c>
      <c r="Y1917" s="46">
        <f t="shared" si="60"/>
        <v>4678454</v>
      </c>
    </row>
    <row r="1918" spans="1:25" x14ac:dyDescent="0.25">
      <c r="A1918" s="20">
        <f>+VLOOKUP(D1918,Back!Q:R,2,0)</f>
        <v>2</v>
      </c>
      <c r="B1918" s="20" t="str">
        <f t="shared" ref="B1918:B1981" si="61">MID(UPPER(C1918&amp;" "&amp;D1918),1,8)</f>
        <v>2019 FEB</v>
      </c>
      <c r="C1918" s="30">
        <v>2019</v>
      </c>
      <c r="D1918" s="30" t="s">
        <v>138</v>
      </c>
      <c r="E1918" s="30" t="s">
        <v>20</v>
      </c>
      <c r="F1918" s="30">
        <v>1017141451</v>
      </c>
      <c r="G1918" s="30" t="s">
        <v>44</v>
      </c>
      <c r="H1918" s="32">
        <v>58019330</v>
      </c>
      <c r="I1918" s="32">
        <v>1396200</v>
      </c>
      <c r="J1918" s="32">
        <v>11952065</v>
      </c>
      <c r="K1918" s="33">
        <v>44671065</v>
      </c>
      <c r="L1918" s="33">
        <v>43125000</v>
      </c>
      <c r="M1918" s="34">
        <v>1.0358507826086956</v>
      </c>
      <c r="N1918" s="209" t="str">
        <f>IFERROR(VLOOKUP(F1918,Back!C:F,4,0),"NO")</f>
        <v>Si</v>
      </c>
      <c r="O1918" s="26">
        <v>24</v>
      </c>
      <c r="P1918" s="28" t="str">
        <f>IFERROR(VLOOKUP(F1918,Back!C:E,3,0),"")</f>
        <v>IPS Pto De Vista Molinos</v>
      </c>
      <c r="Q1918" s="28" t="str">
        <f>IFERROR(VLOOKUP(P1918,Back!M:N,2,0),"")</f>
        <v>Antioquia</v>
      </c>
      <c r="R1918" s="27" t="str">
        <f>IF(N1918="Si",IFERROR(VLOOKUP(F1918,'TD Cumpl'!B:AB,27,0),"No Aplica"),"No Aplica")</f>
        <v>Siempre Cumple</v>
      </c>
      <c r="S1918" s="38">
        <v>86</v>
      </c>
      <c r="T1918" s="46">
        <v>10764810</v>
      </c>
      <c r="U1918" s="38">
        <v>218</v>
      </c>
      <c r="V1918" s="46">
        <v>28403162</v>
      </c>
      <c r="W1918" s="38">
        <v>119</v>
      </c>
      <c r="X1918" s="46">
        <v>11952065</v>
      </c>
      <c r="Y1918" s="46">
        <f t="shared" si="60"/>
        <v>6899293</v>
      </c>
    </row>
    <row r="1919" spans="1:25" x14ac:dyDescent="0.25">
      <c r="A1919" s="20">
        <f>+VLOOKUP(D1919,Back!Q:R,2,0)</f>
        <v>2</v>
      </c>
      <c r="B1919" s="20" t="str">
        <f t="shared" si="61"/>
        <v>2019 FEB</v>
      </c>
      <c r="C1919" s="30">
        <v>2019</v>
      </c>
      <c r="D1919" s="30" t="s">
        <v>138</v>
      </c>
      <c r="E1919" s="30" t="s">
        <v>290</v>
      </c>
      <c r="F1919" s="30">
        <v>1128442101</v>
      </c>
      <c r="G1919" s="30" t="s">
        <v>291</v>
      </c>
      <c r="H1919" s="32">
        <v>35361404</v>
      </c>
      <c r="I1919" s="32">
        <v>0</v>
      </c>
      <c r="J1919" s="32">
        <v>6104835</v>
      </c>
      <c r="K1919" s="33">
        <v>29256569</v>
      </c>
      <c r="L1919" s="33">
        <v>28500000</v>
      </c>
      <c r="M1919" s="34">
        <v>1.0265462807017545</v>
      </c>
      <c r="N1919" s="209" t="str">
        <f>IFERROR(VLOOKUP(F1919,Back!C:F,4,0),"NO")</f>
        <v>Si</v>
      </c>
      <c r="O1919" s="26">
        <v>24</v>
      </c>
      <c r="P1919" s="28" t="str">
        <f>IFERROR(VLOOKUP(F1919,Back!C:E,3,0),"")</f>
        <v>IPS Punto de Vista Mayorca</v>
      </c>
      <c r="Q1919" s="28" t="str">
        <f>IFERROR(VLOOKUP(P1919,Back!M:N,2,0),"")</f>
        <v>Antioquia</v>
      </c>
      <c r="R1919" s="27" t="str">
        <f>IF(N1919="Si",IFERROR(VLOOKUP(F1919,'TD Cumpl'!B:AB,27,0),"No Aplica"),"No Aplica")</f>
        <v>Fluctúa</v>
      </c>
      <c r="S1919" s="38">
        <v>58</v>
      </c>
      <c r="T1919" s="46">
        <v>7965972</v>
      </c>
      <c r="U1919" s="38">
        <v>140</v>
      </c>
      <c r="V1919" s="46">
        <v>17297446</v>
      </c>
      <c r="W1919" s="38">
        <v>63</v>
      </c>
      <c r="X1919" s="46">
        <v>6104835</v>
      </c>
      <c r="Y1919" s="46">
        <f t="shared" si="60"/>
        <v>3993151</v>
      </c>
    </row>
    <row r="1920" spans="1:25" x14ac:dyDescent="0.25">
      <c r="A1920" s="20">
        <f>+VLOOKUP(D1920,Back!Q:R,2,0)</f>
        <v>2</v>
      </c>
      <c r="B1920" s="20" t="str">
        <f t="shared" si="61"/>
        <v>2019 FEB</v>
      </c>
      <c r="C1920" s="30">
        <v>2019</v>
      </c>
      <c r="D1920" s="30" t="s">
        <v>138</v>
      </c>
      <c r="E1920" s="30" t="s">
        <v>103</v>
      </c>
      <c r="F1920" s="30">
        <v>1020409789</v>
      </c>
      <c r="G1920" s="30" t="s">
        <v>145</v>
      </c>
      <c r="H1920" s="32">
        <v>60062942</v>
      </c>
      <c r="I1920" s="32">
        <v>1185200</v>
      </c>
      <c r="J1920" s="32">
        <v>10787429</v>
      </c>
      <c r="K1920" s="33">
        <v>48090313</v>
      </c>
      <c r="L1920" s="33">
        <v>43125000</v>
      </c>
      <c r="M1920" s="34">
        <v>1.1151376927536232</v>
      </c>
      <c r="N1920" s="209" t="str">
        <f>IFERROR(VLOOKUP(F1920,Back!C:F,4,0),"NO")</f>
        <v>Si</v>
      </c>
      <c r="O1920" s="26">
        <v>24</v>
      </c>
      <c r="P1920" s="28" t="str">
        <f>IFERROR(VLOOKUP(F1920,Back!C:E,3,0),"")</f>
        <v>IPS Pto De Vista Molinos</v>
      </c>
      <c r="Q1920" s="28" t="str">
        <f>IFERROR(VLOOKUP(P1920,Back!M:N,2,0),"")</f>
        <v>Antioquia</v>
      </c>
      <c r="R1920" s="27" t="str">
        <f>IF(N1920="Si",IFERROR(VLOOKUP(F1920,'TD Cumpl'!B:AB,27,0),"No Aplica"),"No Aplica")</f>
        <v>Cumple</v>
      </c>
      <c r="S1920" s="38">
        <v>86</v>
      </c>
      <c r="T1920" s="46">
        <v>9687055</v>
      </c>
      <c r="U1920" s="38">
        <v>211</v>
      </c>
      <c r="V1920" s="46">
        <v>32058295</v>
      </c>
      <c r="W1920" s="38">
        <v>115</v>
      </c>
      <c r="X1920" s="46">
        <v>10787429</v>
      </c>
      <c r="Y1920" s="46">
        <f t="shared" si="60"/>
        <v>7530163</v>
      </c>
    </row>
    <row r="1921" spans="1:25" x14ac:dyDescent="0.25">
      <c r="A1921" s="20">
        <f>+VLOOKUP(D1921,Back!Q:R,2,0)</f>
        <v>2</v>
      </c>
      <c r="B1921" s="20" t="str">
        <f t="shared" si="61"/>
        <v>2019 FEB</v>
      </c>
      <c r="C1921" s="30">
        <v>2019</v>
      </c>
      <c r="D1921" s="30" t="s">
        <v>138</v>
      </c>
      <c r="E1921" s="30" t="s">
        <v>8</v>
      </c>
      <c r="F1921" s="30">
        <v>43259130</v>
      </c>
      <c r="G1921" s="30" t="s">
        <v>51</v>
      </c>
      <c r="H1921" s="32">
        <v>33013530</v>
      </c>
      <c r="I1921" s="32">
        <v>910200</v>
      </c>
      <c r="J1921" s="32">
        <v>9068638</v>
      </c>
      <c r="K1921" s="33">
        <v>23034692</v>
      </c>
      <c r="L1921" s="33">
        <v>33750000</v>
      </c>
      <c r="M1921" s="34">
        <v>0.68250939259259258</v>
      </c>
      <c r="N1921" s="209" t="str">
        <f>IFERROR(VLOOKUP(F1921,Back!C:F,4,0),"NO")</f>
        <v>Si</v>
      </c>
      <c r="O1921" s="26">
        <v>24</v>
      </c>
      <c r="P1921" s="28" t="str">
        <f>IFERROR(VLOOKUP(F1921,Back!C:E,3,0),"")</f>
        <v>IPS Pto De Vista Molinos</v>
      </c>
      <c r="Q1921" s="28" t="str">
        <f>IFERROR(VLOOKUP(P1921,Back!M:N,2,0),"")</f>
        <v>Antioquia</v>
      </c>
      <c r="R1921" s="27" t="str">
        <f>IF(N1921="Si",IFERROR(VLOOKUP(F1921,'TD Cumpl'!B:AB,27,0),"No Aplica"),"No Aplica")</f>
        <v>Fluctúa</v>
      </c>
      <c r="S1921" s="38">
        <v>52</v>
      </c>
      <c r="T1921" s="46">
        <v>4639170</v>
      </c>
      <c r="U1921" s="38">
        <v>126</v>
      </c>
      <c r="V1921" s="46">
        <v>14982466</v>
      </c>
      <c r="W1921" s="38">
        <v>92</v>
      </c>
      <c r="X1921" s="46">
        <v>9068638</v>
      </c>
      <c r="Y1921" s="46">
        <f t="shared" ref="Y1921:Y1978" si="62">+H1921-X1921-V1921-T1921</f>
        <v>4323256</v>
      </c>
    </row>
    <row r="1922" spans="1:25" x14ac:dyDescent="0.25">
      <c r="A1922" s="20">
        <f>+VLOOKUP(D1922,Back!Q:R,2,0)</f>
        <v>2</v>
      </c>
      <c r="B1922" s="20" t="str">
        <f t="shared" si="61"/>
        <v>2019 FEB</v>
      </c>
      <c r="C1922" s="30">
        <v>2019</v>
      </c>
      <c r="D1922" s="30" t="s">
        <v>138</v>
      </c>
      <c r="E1922" s="30" t="s">
        <v>56</v>
      </c>
      <c r="F1922" s="30">
        <v>43971430</v>
      </c>
      <c r="G1922" s="30" t="s">
        <v>142</v>
      </c>
      <c r="H1922" s="32">
        <v>60517696</v>
      </c>
      <c r="I1922" s="32">
        <v>964980</v>
      </c>
      <c r="J1922" s="32">
        <v>13929136</v>
      </c>
      <c r="K1922" s="33">
        <v>45623580</v>
      </c>
      <c r="L1922" s="33">
        <v>44000000</v>
      </c>
      <c r="M1922" s="34">
        <v>1.0368995454545455</v>
      </c>
      <c r="N1922" s="209" t="str">
        <f>IFERROR(VLOOKUP(F1922,Back!C:F,4,0),"NO")</f>
        <v>Si</v>
      </c>
      <c r="O1922" s="26">
        <v>24</v>
      </c>
      <c r="P1922" s="28" t="str">
        <f>IFERROR(VLOOKUP(F1922,Back!C:E,3,0),"")</f>
        <v>IPS Pto De Vista Centro</v>
      </c>
      <c r="Q1922" s="28" t="str">
        <f>IFERROR(VLOOKUP(P1922,Back!M:N,2,0),"")</f>
        <v>Antioquia</v>
      </c>
      <c r="R1922" s="27" t="str">
        <f>IF(N1922="Si",IFERROR(VLOOKUP(F1922,'TD Cumpl'!B:AB,27,0),"No Aplica"),"No Aplica")</f>
        <v>Siempre Cumple</v>
      </c>
      <c r="S1922" s="38">
        <v>101</v>
      </c>
      <c r="T1922" s="46">
        <v>10690809</v>
      </c>
      <c r="U1922" s="38">
        <v>260</v>
      </c>
      <c r="V1922" s="46">
        <v>30857580</v>
      </c>
      <c r="W1922" s="38">
        <v>140</v>
      </c>
      <c r="X1922" s="46">
        <v>13929136</v>
      </c>
      <c r="Y1922" s="46">
        <f t="shared" si="62"/>
        <v>5040171</v>
      </c>
    </row>
    <row r="1923" spans="1:25" x14ac:dyDescent="0.25">
      <c r="A1923" s="20">
        <f>+VLOOKUP(D1923,Back!Q:R,2,0)</f>
        <v>2</v>
      </c>
      <c r="B1923" s="20" t="str">
        <f t="shared" si="61"/>
        <v>2019 FEB</v>
      </c>
      <c r="C1923" s="30">
        <v>2019</v>
      </c>
      <c r="D1923" s="30" t="s">
        <v>138</v>
      </c>
      <c r="E1923" s="30" t="s">
        <v>34</v>
      </c>
      <c r="F1923" s="30">
        <v>43554403</v>
      </c>
      <c r="G1923" s="30" t="s">
        <v>35</v>
      </c>
      <c r="H1923" s="32">
        <v>65187698</v>
      </c>
      <c r="I1923" s="32">
        <v>2256300</v>
      </c>
      <c r="J1923" s="32">
        <v>13513154</v>
      </c>
      <c r="K1923" s="33">
        <v>49418244</v>
      </c>
      <c r="L1923" s="33">
        <v>44000000</v>
      </c>
      <c r="M1923" s="34">
        <v>1.1231419090909092</v>
      </c>
      <c r="N1923" s="209" t="str">
        <f>IFERROR(VLOOKUP(F1923,Back!C:F,4,0),"NO")</f>
        <v>Si</v>
      </c>
      <c r="O1923" s="26">
        <v>24</v>
      </c>
      <c r="P1923" s="28" t="str">
        <f>IFERROR(VLOOKUP(F1923,Back!C:E,3,0),"")</f>
        <v>IPS Pto De Vista Centro</v>
      </c>
      <c r="Q1923" s="28" t="str">
        <f>IFERROR(VLOOKUP(P1923,Back!M:N,2,0),"")</f>
        <v>Antioquia</v>
      </c>
      <c r="R1923" s="27" t="str">
        <f>IF(N1923="Si",IFERROR(VLOOKUP(F1923,'TD Cumpl'!B:AB,27,0),"No Aplica"),"No Aplica")</f>
        <v>Siempre Cumple</v>
      </c>
      <c r="S1923" s="38">
        <v>82</v>
      </c>
      <c r="T1923" s="46">
        <v>9882835</v>
      </c>
      <c r="U1923" s="38">
        <v>212</v>
      </c>
      <c r="V1923" s="46">
        <v>32229920</v>
      </c>
      <c r="W1923" s="38">
        <v>134</v>
      </c>
      <c r="X1923" s="46">
        <v>13513154</v>
      </c>
      <c r="Y1923" s="46">
        <f t="shared" si="62"/>
        <v>9561789</v>
      </c>
    </row>
    <row r="1924" spans="1:25" x14ac:dyDescent="0.25">
      <c r="A1924" s="20">
        <f>+VLOOKUP(D1924,Back!Q:R,2,0)</f>
        <v>2</v>
      </c>
      <c r="B1924" s="20" t="str">
        <f t="shared" si="61"/>
        <v>2019 FEB</v>
      </c>
      <c r="C1924" s="30">
        <v>2019</v>
      </c>
      <c r="D1924" s="30" t="s">
        <v>138</v>
      </c>
      <c r="E1924" s="30" t="s">
        <v>101</v>
      </c>
      <c r="F1924" s="30">
        <v>21428423</v>
      </c>
      <c r="G1924" s="30" t="s">
        <v>154</v>
      </c>
      <c r="H1924" s="32">
        <v>34757141</v>
      </c>
      <c r="I1924" s="32">
        <v>1391100</v>
      </c>
      <c r="J1924" s="32">
        <v>10168478</v>
      </c>
      <c r="K1924" s="33">
        <v>23197563</v>
      </c>
      <c r="L1924" s="33">
        <v>44000000</v>
      </c>
      <c r="M1924" s="34">
        <v>0.52721734090909089</v>
      </c>
      <c r="N1924" s="209" t="str">
        <f>IFERROR(VLOOKUP(F1924,Back!C:F,4,0),"NO")</f>
        <v>Si</v>
      </c>
      <c r="O1924" s="26">
        <v>24</v>
      </c>
      <c r="P1924" s="28" t="str">
        <f>IFERROR(VLOOKUP(F1924,Back!C:E,3,0),"")</f>
        <v>IPS Pto De Vista Centro</v>
      </c>
      <c r="Q1924" s="28" t="str">
        <f>IFERROR(VLOOKUP(P1924,Back!M:N,2,0),"")</f>
        <v>Antioquia</v>
      </c>
      <c r="R1924" s="27" t="str">
        <f>IF(N1924="Si",IFERROR(VLOOKUP(F1924,'TD Cumpl'!B:AB,27,0),"No Aplica"),"No Aplica")</f>
        <v>Fluctúa</v>
      </c>
      <c r="S1924" s="38">
        <v>59</v>
      </c>
      <c r="T1924" s="46">
        <v>6127189</v>
      </c>
      <c r="U1924" s="38">
        <v>142</v>
      </c>
      <c r="V1924" s="46">
        <v>12943613</v>
      </c>
      <c r="W1924" s="38">
        <v>102</v>
      </c>
      <c r="X1924" s="46">
        <v>10168478</v>
      </c>
      <c r="Y1924" s="46">
        <f t="shared" si="62"/>
        <v>5517861</v>
      </c>
    </row>
    <row r="1925" spans="1:25" x14ac:dyDescent="0.25">
      <c r="A1925" s="20">
        <f>+VLOOKUP(D1925,Back!Q:R,2,0)</f>
        <v>2</v>
      </c>
      <c r="B1925" s="20" t="str">
        <f t="shared" si="61"/>
        <v>2019 FEB</v>
      </c>
      <c r="C1925" s="30">
        <v>2019</v>
      </c>
      <c r="D1925" s="30" t="s">
        <v>138</v>
      </c>
      <c r="E1925" s="30" t="s">
        <v>13</v>
      </c>
      <c r="F1925" s="30">
        <v>43866877</v>
      </c>
      <c r="G1925" s="30" t="s">
        <v>46</v>
      </c>
      <c r="H1925" s="32">
        <v>43445082</v>
      </c>
      <c r="I1925" s="32">
        <v>1352400</v>
      </c>
      <c r="J1925" s="32">
        <v>9003277</v>
      </c>
      <c r="K1925" s="33">
        <v>33089405</v>
      </c>
      <c r="L1925" s="33">
        <v>27500000</v>
      </c>
      <c r="M1925" s="34">
        <v>1.203251090909091</v>
      </c>
      <c r="N1925" s="209" t="str">
        <f>IFERROR(VLOOKUP(F1925,Back!C:F,4,0),"NO")</f>
        <v>Si</v>
      </c>
      <c r="O1925" s="26">
        <v>24</v>
      </c>
      <c r="P1925" s="28" t="str">
        <f>IFERROR(VLOOKUP(F1925,Back!C:E,3,0),"")</f>
        <v>IPS Pto De Vista Centro</v>
      </c>
      <c r="Q1925" s="28" t="str">
        <f>IFERROR(VLOOKUP(P1925,Back!M:N,2,0),"")</f>
        <v>Antioquia</v>
      </c>
      <c r="R1925" s="27" t="str">
        <f>IF(N1925="Si",IFERROR(VLOOKUP(F1925,'TD Cumpl'!B:AB,27,0),"No Aplica"),"No Aplica")</f>
        <v>Siempre Cumple</v>
      </c>
      <c r="S1925" s="38">
        <v>70</v>
      </c>
      <c r="T1925" s="46">
        <v>8274160</v>
      </c>
      <c r="U1925" s="38">
        <v>186</v>
      </c>
      <c r="V1925" s="46">
        <v>21080421</v>
      </c>
      <c r="W1925" s="38">
        <v>95</v>
      </c>
      <c r="X1925" s="46">
        <v>9003277</v>
      </c>
      <c r="Y1925" s="46">
        <f t="shared" si="62"/>
        <v>5087224</v>
      </c>
    </row>
    <row r="1926" spans="1:25" x14ac:dyDescent="0.25">
      <c r="A1926" s="20">
        <f>+VLOOKUP(D1926,Back!Q:R,2,0)</f>
        <v>2</v>
      </c>
      <c r="B1926" s="20" t="str">
        <f t="shared" si="61"/>
        <v>2019 FEB</v>
      </c>
      <c r="C1926" s="30">
        <v>2019</v>
      </c>
      <c r="D1926" s="30" t="s">
        <v>138</v>
      </c>
      <c r="E1926" s="30" t="s">
        <v>269</v>
      </c>
      <c r="F1926" s="30">
        <v>1001131473</v>
      </c>
      <c r="G1926" s="30" t="s">
        <v>331</v>
      </c>
      <c r="H1926" s="32">
        <v>35757602</v>
      </c>
      <c r="I1926" s="32">
        <v>1882200</v>
      </c>
      <c r="J1926" s="32">
        <v>12223553</v>
      </c>
      <c r="K1926" s="33">
        <v>21651849</v>
      </c>
      <c r="L1926" s="33">
        <v>44000000</v>
      </c>
      <c r="M1926" s="34">
        <v>0.49208747727272728</v>
      </c>
      <c r="N1926" s="209" t="str">
        <f>IFERROR(VLOOKUP(F1926,Back!C:F,4,0),"NO")</f>
        <v>Si</v>
      </c>
      <c r="O1926" s="26">
        <v>24</v>
      </c>
      <c r="P1926" s="28" t="str">
        <f>IFERROR(VLOOKUP(F1926,Back!C:E,3,0),"")</f>
        <v>IPS Pto De Vista Centro</v>
      </c>
      <c r="Q1926" s="28" t="str">
        <f>IFERROR(VLOOKUP(P1926,Back!M:N,2,0),"")</f>
        <v>Antioquia</v>
      </c>
      <c r="R1926" s="27" t="str">
        <f>IF(N1926="Si",IFERROR(VLOOKUP(F1926,'TD Cumpl'!B:AB,27,0),"No Aplica"),"No Aplica")</f>
        <v>No Cumple</v>
      </c>
      <c r="S1926" s="38">
        <v>51</v>
      </c>
      <c r="T1926" s="46">
        <v>4595348</v>
      </c>
      <c r="U1926" s="38">
        <v>130</v>
      </c>
      <c r="V1926" s="46">
        <v>13412780</v>
      </c>
      <c r="W1926" s="38">
        <v>127</v>
      </c>
      <c r="X1926" s="46">
        <v>12223553</v>
      </c>
      <c r="Y1926" s="46">
        <f t="shared" si="62"/>
        <v>5525921</v>
      </c>
    </row>
    <row r="1927" spans="1:25" x14ac:dyDescent="0.25">
      <c r="A1927" s="20">
        <f>+VLOOKUP(D1927,Back!Q:R,2,0)</f>
        <v>2</v>
      </c>
      <c r="B1927" s="20" t="str">
        <f t="shared" si="61"/>
        <v>2019 FEB</v>
      </c>
      <c r="C1927" s="30">
        <v>2019</v>
      </c>
      <c r="D1927" s="30" t="s">
        <v>138</v>
      </c>
      <c r="E1927" s="30" t="s">
        <v>265</v>
      </c>
      <c r="F1927" s="30">
        <v>39175639</v>
      </c>
      <c r="G1927" s="30" t="s">
        <v>268</v>
      </c>
      <c r="H1927" s="32">
        <v>55854703</v>
      </c>
      <c r="I1927" s="32">
        <v>1486200</v>
      </c>
      <c r="J1927" s="32">
        <v>8993342</v>
      </c>
      <c r="K1927" s="33">
        <v>45375161</v>
      </c>
      <c r="L1927" s="33">
        <v>44000000</v>
      </c>
      <c r="M1927" s="34">
        <v>1.0312536590909092</v>
      </c>
      <c r="N1927" s="209" t="str">
        <f>IFERROR(VLOOKUP(F1927,Back!C:F,4,0),"NO")</f>
        <v>Si</v>
      </c>
      <c r="O1927" s="26">
        <v>24</v>
      </c>
      <c r="P1927" s="28" t="str">
        <f>IFERROR(VLOOKUP(F1927,Back!C:E,3,0),"")</f>
        <v>IPS Pto De Vista Centro</v>
      </c>
      <c r="Q1927" s="28" t="str">
        <f>IFERROR(VLOOKUP(P1927,Back!M:N,2,0),"")</f>
        <v>Antioquia</v>
      </c>
      <c r="R1927" s="27" t="str">
        <f>IF(N1927="Si",IFERROR(VLOOKUP(F1927,'TD Cumpl'!B:AB,27,0),"No Aplica"),"No Aplica")</f>
        <v>Fluctúa</v>
      </c>
      <c r="S1927" s="38">
        <v>84</v>
      </c>
      <c r="T1927" s="46">
        <v>9260054</v>
      </c>
      <c r="U1927" s="38">
        <v>198</v>
      </c>
      <c r="V1927" s="46">
        <v>29816543</v>
      </c>
      <c r="W1927" s="38">
        <v>92</v>
      </c>
      <c r="X1927" s="46">
        <v>8993342</v>
      </c>
      <c r="Y1927" s="46">
        <f t="shared" si="62"/>
        <v>7784764</v>
      </c>
    </row>
    <row r="1928" spans="1:25" x14ac:dyDescent="0.25">
      <c r="A1928" s="20">
        <f>+VLOOKUP(D1928,Back!Q:R,2,0)</f>
        <v>2</v>
      </c>
      <c r="B1928" s="20" t="str">
        <f t="shared" si="61"/>
        <v>2019 FEB</v>
      </c>
      <c r="C1928" s="30">
        <v>2019</v>
      </c>
      <c r="D1928" s="30" t="s">
        <v>138</v>
      </c>
      <c r="E1928" s="30" t="s">
        <v>177</v>
      </c>
      <c r="F1928" s="30">
        <v>1035913369</v>
      </c>
      <c r="G1928" s="30" t="s">
        <v>183</v>
      </c>
      <c r="H1928" s="32">
        <v>28251306</v>
      </c>
      <c r="I1928" s="32">
        <v>1365300</v>
      </c>
      <c r="J1928" s="32">
        <v>5247018</v>
      </c>
      <c r="K1928" s="33">
        <v>21638988</v>
      </c>
      <c r="L1928" s="33">
        <v>20166666.666666664</v>
      </c>
      <c r="M1928" s="34">
        <v>1.0730076694214878</v>
      </c>
      <c r="N1928" s="209" t="str">
        <f>IFERROR(VLOOKUP(F1928,Back!C:F,4,0),"NO")</f>
        <v>Si</v>
      </c>
      <c r="O1928" s="26">
        <v>24</v>
      </c>
      <c r="P1928" s="28" t="str">
        <f>IFERROR(VLOOKUP(F1928,Back!C:E,3,0),"")</f>
        <v>IPS Pto De Vista Centro</v>
      </c>
      <c r="Q1928" s="28" t="str">
        <f>IFERROR(VLOOKUP(P1928,Back!M:N,2,0),"")</f>
        <v>Antioquia</v>
      </c>
      <c r="R1928" s="27" t="str">
        <f>IF(N1928="Si",IFERROR(VLOOKUP(F1928,'TD Cumpl'!B:AB,27,0),"No Aplica"),"No Aplica")</f>
        <v>Fluctúa</v>
      </c>
      <c r="S1928" s="38">
        <v>38</v>
      </c>
      <c r="T1928" s="46">
        <v>3585585</v>
      </c>
      <c r="U1928" s="38">
        <v>113</v>
      </c>
      <c r="V1928" s="46">
        <v>15193743</v>
      </c>
      <c r="W1928" s="38">
        <v>54</v>
      </c>
      <c r="X1928" s="46">
        <v>5247018</v>
      </c>
      <c r="Y1928" s="46">
        <f t="shared" si="62"/>
        <v>4224960</v>
      </c>
    </row>
    <row r="1929" spans="1:25" x14ac:dyDescent="0.25">
      <c r="A1929" s="20">
        <f>+VLOOKUP(D1929,Back!Q:R,2,0)</f>
        <v>2</v>
      </c>
      <c r="B1929" s="20" t="str">
        <f t="shared" si="61"/>
        <v>2019 FEB</v>
      </c>
      <c r="C1929" s="30">
        <v>2019</v>
      </c>
      <c r="D1929" s="30" t="s">
        <v>138</v>
      </c>
      <c r="E1929" s="30" t="s">
        <v>23</v>
      </c>
      <c r="F1929" s="30">
        <v>43907427</v>
      </c>
      <c r="G1929" s="30" t="s">
        <v>144</v>
      </c>
      <c r="H1929" s="32">
        <v>61563450</v>
      </c>
      <c r="I1929" s="32">
        <v>432810</v>
      </c>
      <c r="J1929" s="32">
        <v>8133270</v>
      </c>
      <c r="K1929" s="33">
        <v>52997370</v>
      </c>
      <c r="L1929" s="33">
        <v>40000000</v>
      </c>
      <c r="M1929" s="34">
        <v>1.3249342500000001</v>
      </c>
      <c r="N1929" s="209" t="str">
        <f>IFERROR(VLOOKUP(F1929,Back!C:F,4,0),"NO")</f>
        <v>Si</v>
      </c>
      <c r="O1929" s="26">
        <v>24</v>
      </c>
      <c r="P1929" s="28" t="str">
        <f>IFERROR(VLOOKUP(F1929,Back!C:E,3,0),"")</f>
        <v>IPS Pto De Vista Industriales</v>
      </c>
      <c r="Q1929" s="28" t="str">
        <f>IFERROR(VLOOKUP(P1929,Back!M:N,2,0),"")</f>
        <v>Antioquia</v>
      </c>
      <c r="R1929" s="27" t="str">
        <f>IF(N1929="Si",IFERROR(VLOOKUP(F1929,'TD Cumpl'!B:AB,27,0),"No Aplica"),"No Aplica")</f>
        <v>Siempre Cumple</v>
      </c>
      <c r="S1929" s="38">
        <v>52</v>
      </c>
      <c r="T1929" s="46">
        <v>10403634</v>
      </c>
      <c r="U1929" s="38">
        <v>158</v>
      </c>
      <c r="V1929" s="46">
        <v>37899300</v>
      </c>
      <c r="W1929" s="38">
        <v>86</v>
      </c>
      <c r="X1929" s="46">
        <v>8133270</v>
      </c>
      <c r="Y1929" s="46">
        <f t="shared" si="62"/>
        <v>5127246</v>
      </c>
    </row>
    <row r="1930" spans="1:25" x14ac:dyDescent="0.25">
      <c r="A1930" s="20">
        <f>+VLOOKUP(D1930,Back!Q:R,2,0)</f>
        <v>2</v>
      </c>
      <c r="B1930" s="20" t="str">
        <f t="shared" si="61"/>
        <v>2019 FEB</v>
      </c>
      <c r="C1930" s="30">
        <v>2019</v>
      </c>
      <c r="D1930" s="30" t="s">
        <v>138</v>
      </c>
      <c r="E1930" s="30" t="s">
        <v>66</v>
      </c>
      <c r="F1930" s="30">
        <v>3438422</v>
      </c>
      <c r="G1930" s="30" t="s">
        <v>71</v>
      </c>
      <c r="H1930" s="32">
        <v>62730752</v>
      </c>
      <c r="I1930" s="32">
        <v>442200</v>
      </c>
      <c r="J1930" s="32">
        <v>9744031</v>
      </c>
      <c r="K1930" s="33">
        <v>52544521</v>
      </c>
      <c r="L1930" s="33">
        <v>46000000</v>
      </c>
      <c r="M1930" s="34">
        <v>1.142272195652174</v>
      </c>
      <c r="N1930" s="209" t="str">
        <f>IFERROR(VLOOKUP(F1930,Back!C:F,4,0),"NO")</f>
        <v>Si</v>
      </c>
      <c r="O1930" s="26">
        <v>24</v>
      </c>
      <c r="P1930" s="28" t="str">
        <f>IFERROR(VLOOKUP(F1930,Back!C:E,3,0),"")</f>
        <v>IPS Pto De Vista Punto Clave</v>
      </c>
      <c r="Q1930" s="28" t="str">
        <f>IFERROR(VLOOKUP(P1930,Back!M:N,2,0),"")</f>
        <v>Antioquia</v>
      </c>
      <c r="R1930" s="27" t="str">
        <f>IF(N1930="Si",IFERROR(VLOOKUP(F1930,'TD Cumpl'!B:AB,27,0),"No Aplica"),"No Aplica")</f>
        <v>Fluctúa</v>
      </c>
      <c r="S1930" s="38">
        <v>93</v>
      </c>
      <c r="T1930" s="46">
        <v>9398579</v>
      </c>
      <c r="U1930" s="38">
        <v>210</v>
      </c>
      <c r="V1930" s="46">
        <v>33440225</v>
      </c>
      <c r="W1930" s="38">
        <v>101</v>
      </c>
      <c r="X1930" s="46">
        <v>9744031</v>
      </c>
      <c r="Y1930" s="46">
        <f t="shared" si="62"/>
        <v>10147917</v>
      </c>
    </row>
    <row r="1931" spans="1:25" x14ac:dyDescent="0.25">
      <c r="A1931" s="20">
        <f>+VLOOKUP(D1931,Back!Q:R,2,0)</f>
        <v>2</v>
      </c>
      <c r="B1931" s="20" t="str">
        <f t="shared" si="61"/>
        <v>2019 FEB</v>
      </c>
      <c r="C1931" s="30">
        <v>2019</v>
      </c>
      <c r="D1931" s="30" t="s">
        <v>138</v>
      </c>
      <c r="E1931" s="30" t="s">
        <v>166</v>
      </c>
      <c r="F1931" s="30">
        <v>1020451288</v>
      </c>
      <c r="G1931" s="30" t="s">
        <v>167</v>
      </c>
      <c r="H1931" s="32">
        <v>58042412</v>
      </c>
      <c r="I1931" s="32">
        <v>641000</v>
      </c>
      <c r="J1931" s="32">
        <v>10788556</v>
      </c>
      <c r="K1931" s="33">
        <v>46612856</v>
      </c>
      <c r="L1931" s="33">
        <v>46000000</v>
      </c>
      <c r="M1931" s="34">
        <v>1.0133229565217392</v>
      </c>
      <c r="N1931" s="209" t="str">
        <f>IFERROR(VLOOKUP(F1931,Back!C:F,4,0),"NO")</f>
        <v>Si</v>
      </c>
      <c r="O1931" s="26">
        <v>24</v>
      </c>
      <c r="P1931" s="28" t="str">
        <f>IFERROR(VLOOKUP(F1931,Back!C:E,3,0),"")</f>
        <v>IPS Pto De Vista Punto Clave</v>
      </c>
      <c r="Q1931" s="28" t="str">
        <f>IFERROR(VLOOKUP(P1931,Back!M:N,2,0),"")</f>
        <v>Antioquia</v>
      </c>
      <c r="R1931" s="27" t="str">
        <f>IF(N1931="Si",IFERROR(VLOOKUP(F1931,'TD Cumpl'!B:AB,27,0),"No Aplica"),"No Aplica")</f>
        <v>Cumple</v>
      </c>
      <c r="S1931" s="38">
        <v>91</v>
      </c>
      <c r="T1931" s="46">
        <v>8818028</v>
      </c>
      <c r="U1931" s="38">
        <v>243</v>
      </c>
      <c r="V1931" s="46">
        <v>29642123</v>
      </c>
      <c r="W1931" s="38">
        <v>114</v>
      </c>
      <c r="X1931" s="46">
        <v>10788556</v>
      </c>
      <c r="Y1931" s="46">
        <f t="shared" si="62"/>
        <v>8793705</v>
      </c>
    </row>
    <row r="1932" spans="1:25" x14ac:dyDescent="0.25">
      <c r="A1932" s="20">
        <f>+VLOOKUP(D1932,Back!Q:R,2,0)</f>
        <v>2</v>
      </c>
      <c r="B1932" s="20" t="str">
        <f t="shared" si="61"/>
        <v>2019 FEB</v>
      </c>
      <c r="C1932" s="30">
        <v>2019</v>
      </c>
      <c r="D1932" s="30" t="s">
        <v>138</v>
      </c>
      <c r="E1932" s="30" t="s">
        <v>108</v>
      </c>
      <c r="F1932" s="30">
        <v>1020443426</v>
      </c>
      <c r="G1932" s="30" t="s">
        <v>109</v>
      </c>
      <c r="H1932" s="31">
        <v>27420891</v>
      </c>
      <c r="I1932" s="32">
        <v>1188000</v>
      </c>
      <c r="J1932" s="32">
        <v>5056468</v>
      </c>
      <c r="K1932" s="33">
        <v>21176423</v>
      </c>
      <c r="L1932" s="33">
        <v>20000000</v>
      </c>
      <c r="M1932" s="34">
        <v>1.05882115</v>
      </c>
      <c r="N1932" s="209" t="str">
        <f>IFERROR(VLOOKUP(F1932,Back!C:F,4,0),"NO")</f>
        <v>Si</v>
      </c>
      <c r="O1932" s="26">
        <v>24</v>
      </c>
      <c r="P1932" s="28" t="str">
        <f>IFERROR(VLOOKUP(F1932,Back!C:E,3,0),"")</f>
        <v>IPS Pto De Vista San Diego</v>
      </c>
      <c r="Q1932" s="28" t="str">
        <f>IFERROR(VLOOKUP(P1932,Back!M:N,2,0),"")</f>
        <v>Antioquia</v>
      </c>
      <c r="R1932" s="27" t="str">
        <f>IF(N1932="Si",IFERROR(VLOOKUP(F1932,'TD Cumpl'!B:AB,27,0),"No Aplica"),"No Aplica")</f>
        <v>Fluctúa</v>
      </c>
      <c r="S1932" s="38">
        <v>44</v>
      </c>
      <c r="T1932" s="46">
        <v>3946126</v>
      </c>
      <c r="U1932" s="38">
        <v>136</v>
      </c>
      <c r="V1932" s="46">
        <v>15462227</v>
      </c>
      <c r="W1932" s="38">
        <v>44</v>
      </c>
      <c r="X1932" s="46">
        <v>5056468</v>
      </c>
      <c r="Y1932" s="46">
        <f t="shared" si="62"/>
        <v>2956070</v>
      </c>
    </row>
    <row r="1933" spans="1:25" x14ac:dyDescent="0.25">
      <c r="A1933" s="20">
        <f>+VLOOKUP(D1933,Back!Q:R,2,0)</f>
        <v>2</v>
      </c>
      <c r="B1933" s="20" t="str">
        <f t="shared" si="61"/>
        <v>2019 FEB</v>
      </c>
      <c r="C1933" s="30">
        <v>2019</v>
      </c>
      <c r="D1933" s="30" t="s">
        <v>138</v>
      </c>
      <c r="E1933" s="30" t="s">
        <v>57</v>
      </c>
      <c r="F1933" s="30">
        <v>43874518</v>
      </c>
      <c r="G1933" s="30" t="s">
        <v>60</v>
      </c>
      <c r="H1933" s="32">
        <v>24110598</v>
      </c>
      <c r="I1933" s="32">
        <v>954000</v>
      </c>
      <c r="J1933" s="32">
        <v>5016169</v>
      </c>
      <c r="K1933" s="33">
        <v>18140429</v>
      </c>
      <c r="L1933" s="33">
        <v>11500000</v>
      </c>
      <c r="M1933" s="34">
        <v>1.5774286086956522</v>
      </c>
      <c r="N1933" s="209" t="str">
        <f>IFERROR(VLOOKUP(F1933,Back!C:F,4,0),"NO")</f>
        <v>Si</v>
      </c>
      <c r="O1933" s="26">
        <v>24</v>
      </c>
      <c r="P1933" s="28" t="str">
        <f>IFERROR(VLOOKUP(F1933,Back!C:E,3,0),"")</f>
        <v>IPS Pto De Vista Punto Clave</v>
      </c>
      <c r="Q1933" s="28" t="str">
        <f>IFERROR(VLOOKUP(P1933,Back!M:N,2,0),"")</f>
        <v>Antioquia</v>
      </c>
      <c r="R1933" s="27" t="str">
        <f>IF(N1933="Si",IFERROR(VLOOKUP(F1933,'TD Cumpl'!B:AB,27,0),"No Aplica"),"No Aplica")</f>
        <v>Fluctúa</v>
      </c>
      <c r="S1933" s="38">
        <v>37</v>
      </c>
      <c r="T1933" s="46">
        <v>3295727</v>
      </c>
      <c r="U1933" s="38">
        <v>108</v>
      </c>
      <c r="V1933" s="46">
        <v>12690739</v>
      </c>
      <c r="W1933" s="38">
        <v>51</v>
      </c>
      <c r="X1933" s="46">
        <v>5016169</v>
      </c>
      <c r="Y1933" s="46">
        <f t="shared" si="62"/>
        <v>3107963</v>
      </c>
    </row>
    <row r="1934" spans="1:25" x14ac:dyDescent="0.25">
      <c r="A1934" s="20">
        <f>+VLOOKUP(D1934,Back!Q:R,2,0)</f>
        <v>2</v>
      </c>
      <c r="B1934" s="20" t="str">
        <f t="shared" si="61"/>
        <v>2019 FEB</v>
      </c>
      <c r="C1934" s="30">
        <v>2019</v>
      </c>
      <c r="D1934" s="30" t="s">
        <v>138</v>
      </c>
      <c r="E1934" s="30" t="s">
        <v>64</v>
      </c>
      <c r="F1934" s="30">
        <v>1036598360</v>
      </c>
      <c r="G1934" s="30" t="s">
        <v>146</v>
      </c>
      <c r="H1934" s="32">
        <v>61670734</v>
      </c>
      <c r="I1934" s="32">
        <v>906000</v>
      </c>
      <c r="J1934" s="32">
        <v>9702716</v>
      </c>
      <c r="K1934" s="33">
        <v>51062018</v>
      </c>
      <c r="L1934" s="33">
        <v>46000000</v>
      </c>
      <c r="M1934" s="34">
        <v>1.1100438695652175</v>
      </c>
      <c r="N1934" s="209" t="str">
        <f>IFERROR(VLOOKUP(F1934,Back!C:F,4,0),"NO")</f>
        <v>Si</v>
      </c>
      <c r="O1934" s="26">
        <v>24</v>
      </c>
      <c r="P1934" s="28" t="str">
        <f>IFERROR(VLOOKUP(F1934,Back!C:E,3,0),"")</f>
        <v>IPS Pto De Vista Punto Clave</v>
      </c>
      <c r="Q1934" s="28" t="str">
        <f>IFERROR(VLOOKUP(P1934,Back!M:N,2,0),"")</f>
        <v>Antioquia</v>
      </c>
      <c r="R1934" s="27" t="str">
        <f>IF(N1934="Si",IFERROR(VLOOKUP(F1934,'TD Cumpl'!B:AB,27,0),"No Aplica"),"No Aplica")</f>
        <v>Fluctúa</v>
      </c>
      <c r="S1934" s="38">
        <v>89</v>
      </c>
      <c r="T1934" s="46">
        <v>9734799</v>
      </c>
      <c r="U1934" s="38">
        <v>232</v>
      </c>
      <c r="V1934" s="46">
        <v>33735672</v>
      </c>
      <c r="W1934" s="38">
        <v>106</v>
      </c>
      <c r="X1934" s="46">
        <v>9702716</v>
      </c>
      <c r="Y1934" s="46">
        <f t="shared" si="62"/>
        <v>8497547</v>
      </c>
    </row>
    <row r="1935" spans="1:25" x14ac:dyDescent="0.25">
      <c r="A1935" s="20">
        <f>+VLOOKUP(D1935,Back!Q:R,2,0)</f>
        <v>2</v>
      </c>
      <c r="B1935" s="20" t="str">
        <f t="shared" si="61"/>
        <v>2019 FEB</v>
      </c>
      <c r="C1935" s="30">
        <v>2019</v>
      </c>
      <c r="D1935" s="30" t="s">
        <v>138</v>
      </c>
      <c r="E1935" s="30" t="s">
        <v>261</v>
      </c>
      <c r="F1935" s="30">
        <v>1020425089</v>
      </c>
      <c r="G1935" s="30" t="s">
        <v>271</v>
      </c>
      <c r="H1935" s="32">
        <v>59232491</v>
      </c>
      <c r="I1935" s="32">
        <v>966900</v>
      </c>
      <c r="J1935" s="32">
        <v>10730531</v>
      </c>
      <c r="K1935" s="33">
        <v>47535060</v>
      </c>
      <c r="L1935" s="33">
        <v>43000000</v>
      </c>
      <c r="M1935" s="34">
        <v>1.105466511627907</v>
      </c>
      <c r="N1935" s="209" t="str">
        <f>IFERROR(VLOOKUP(F1935,Back!C:F,4,0),"NO")</f>
        <v>Si</v>
      </c>
      <c r="O1935" s="26">
        <v>24</v>
      </c>
      <c r="P1935" s="28" t="str">
        <f>IFERROR(VLOOKUP(F1935,Back!C:E,3,0),"")</f>
        <v>IPS Pto De Vista Punto Clave</v>
      </c>
      <c r="Q1935" s="28" t="str">
        <f>IFERROR(VLOOKUP(P1935,Back!M:N,2,0),"")</f>
        <v>Antioquia</v>
      </c>
      <c r="R1935" s="27" t="str">
        <f>IF(N1935="Si",IFERROR(VLOOKUP(F1935,'TD Cumpl'!B:AB,27,0),"No Aplica"),"No Aplica")</f>
        <v>Cumple</v>
      </c>
      <c r="S1935" s="38">
        <v>85</v>
      </c>
      <c r="T1935" s="46">
        <v>10522101</v>
      </c>
      <c r="U1935" s="38">
        <v>208</v>
      </c>
      <c r="V1935" s="46">
        <v>30962067</v>
      </c>
      <c r="W1935" s="38">
        <v>115</v>
      </c>
      <c r="X1935" s="46">
        <v>10730531</v>
      </c>
      <c r="Y1935" s="46">
        <f t="shared" si="62"/>
        <v>7017792</v>
      </c>
    </row>
    <row r="1936" spans="1:25" x14ac:dyDescent="0.25">
      <c r="A1936" s="20">
        <f>+VLOOKUP(D1936,Back!Q:R,2,0)</f>
        <v>2</v>
      </c>
      <c r="B1936" s="20" t="str">
        <f t="shared" si="61"/>
        <v>2019 FEB</v>
      </c>
      <c r="C1936" s="30">
        <v>2019</v>
      </c>
      <c r="D1936" s="30" t="s">
        <v>138</v>
      </c>
      <c r="E1936" s="30" t="s">
        <v>90</v>
      </c>
      <c r="F1936" s="30">
        <v>1020419011</v>
      </c>
      <c r="G1936" s="30" t="s">
        <v>97</v>
      </c>
      <c r="H1936" s="32">
        <v>59643113</v>
      </c>
      <c r="I1936" s="32">
        <v>455100</v>
      </c>
      <c r="J1936" s="32">
        <v>12771838</v>
      </c>
      <c r="K1936" s="33">
        <v>46416175</v>
      </c>
      <c r="L1936" s="33">
        <v>46000000</v>
      </c>
      <c r="M1936" s="34">
        <v>1.0090472826086956</v>
      </c>
      <c r="N1936" s="209" t="str">
        <f>IFERROR(VLOOKUP(F1936,Back!C:F,4,0),"NO")</f>
        <v>Si</v>
      </c>
      <c r="O1936" s="26">
        <v>24</v>
      </c>
      <c r="P1936" s="28" t="str">
        <f>IFERROR(VLOOKUP(F1936,Back!C:E,3,0),"")</f>
        <v>IPS Pto De Vista Punto Clave</v>
      </c>
      <c r="Q1936" s="28" t="str">
        <f>IFERROR(VLOOKUP(P1936,Back!M:N,2,0),"")</f>
        <v>Antioquia</v>
      </c>
      <c r="R1936" s="27" t="str">
        <f>IF(N1936="Si",IFERROR(VLOOKUP(F1936,'TD Cumpl'!B:AB,27,0),"No Aplica"),"No Aplica")</f>
        <v>Cumple</v>
      </c>
      <c r="S1936" s="38">
        <v>96</v>
      </c>
      <c r="T1936" s="46">
        <v>9043540</v>
      </c>
      <c r="U1936" s="38">
        <v>254</v>
      </c>
      <c r="V1936" s="46">
        <v>27872276</v>
      </c>
      <c r="W1936" s="38">
        <v>132</v>
      </c>
      <c r="X1936" s="46">
        <v>12771838</v>
      </c>
      <c r="Y1936" s="46">
        <f t="shared" si="62"/>
        <v>9955459</v>
      </c>
    </row>
    <row r="1937" spans="1:25" x14ac:dyDescent="0.25">
      <c r="A1937" s="20">
        <f>+VLOOKUP(D1937,Back!Q:R,2,0)</f>
        <v>2</v>
      </c>
      <c r="B1937" s="20" t="str">
        <f t="shared" si="61"/>
        <v>2019 FEB</v>
      </c>
      <c r="C1937" s="30">
        <v>2019</v>
      </c>
      <c r="D1937" s="30" t="s">
        <v>138</v>
      </c>
      <c r="E1937" s="30" t="s">
        <v>117</v>
      </c>
      <c r="F1937" s="30">
        <v>1020419615</v>
      </c>
      <c r="G1937" s="30" t="s">
        <v>118</v>
      </c>
      <c r="H1937" s="32">
        <v>60415521</v>
      </c>
      <c r="I1937" s="32">
        <v>0</v>
      </c>
      <c r="J1937" s="32">
        <v>12423811</v>
      </c>
      <c r="K1937" s="33">
        <v>47991710</v>
      </c>
      <c r="L1937" s="33">
        <v>46000000</v>
      </c>
      <c r="M1937" s="34">
        <v>1.0432980434782608</v>
      </c>
      <c r="N1937" s="209" t="str">
        <f>IFERROR(VLOOKUP(F1937,Back!C:F,4,0),"NO")</f>
        <v>Si</v>
      </c>
      <c r="O1937" s="26">
        <v>24</v>
      </c>
      <c r="P1937" s="28" t="str">
        <f>IFERROR(VLOOKUP(F1937,Back!C:E,3,0),"")</f>
        <v>IPS Pto De Vista Punto Clave</v>
      </c>
      <c r="Q1937" s="28" t="str">
        <f>IFERROR(VLOOKUP(P1937,Back!M:N,2,0),"")</f>
        <v>Antioquia</v>
      </c>
      <c r="R1937" s="27" t="str">
        <f>IF(N1937="Si",IFERROR(VLOOKUP(F1937,'TD Cumpl'!B:AB,27,0),"No Aplica"),"No Aplica")</f>
        <v>Cumple</v>
      </c>
      <c r="S1937" s="38">
        <v>104</v>
      </c>
      <c r="T1937" s="46">
        <v>11366365</v>
      </c>
      <c r="U1937" s="38">
        <v>256</v>
      </c>
      <c r="V1937" s="46">
        <v>29526993</v>
      </c>
      <c r="W1937" s="38">
        <v>133</v>
      </c>
      <c r="X1937" s="46">
        <v>12423811</v>
      </c>
      <c r="Y1937" s="46">
        <f t="shared" si="62"/>
        <v>7098352</v>
      </c>
    </row>
    <row r="1938" spans="1:25" x14ac:dyDescent="0.25">
      <c r="A1938" s="20">
        <f>+VLOOKUP(D1938,Back!Q:R,2,0)</f>
        <v>2</v>
      </c>
      <c r="B1938" s="20" t="str">
        <f t="shared" si="61"/>
        <v>2019 FEB</v>
      </c>
      <c r="C1938" s="30">
        <v>2019</v>
      </c>
      <c r="D1938" s="30" t="s">
        <v>138</v>
      </c>
      <c r="E1938" s="30" t="s">
        <v>6</v>
      </c>
      <c r="F1938" s="30">
        <v>43821410</v>
      </c>
      <c r="G1938" s="30" t="s">
        <v>40</v>
      </c>
      <c r="H1938" s="32">
        <v>70074625</v>
      </c>
      <c r="I1938" s="32">
        <v>486000</v>
      </c>
      <c r="J1938" s="32">
        <v>10989157</v>
      </c>
      <c r="K1938" s="33">
        <v>58599468</v>
      </c>
      <c r="L1938" s="33">
        <v>45000000</v>
      </c>
      <c r="M1938" s="34">
        <v>1.3022104000000001</v>
      </c>
      <c r="N1938" s="209" t="str">
        <f>IFERROR(VLOOKUP(F1938,Back!C:F,4,0),"NO")</f>
        <v>Si</v>
      </c>
      <c r="O1938" s="26">
        <v>24</v>
      </c>
      <c r="P1938" s="28" t="str">
        <f>IFERROR(VLOOKUP(F1938,Back!C:E,3,0),"")</f>
        <v>IPS Pto De Vista Unicentro</v>
      </c>
      <c r="Q1938" s="28" t="str">
        <f>IFERROR(VLOOKUP(P1938,Back!M:N,2,0),"")</f>
        <v>Antioquia</v>
      </c>
      <c r="R1938" s="27" t="str">
        <f>IF(N1938="Si",IFERROR(VLOOKUP(F1938,'TD Cumpl'!B:AB,27,0),"No Aplica"),"No Aplica")</f>
        <v>Siempre Cumple</v>
      </c>
      <c r="S1938" s="38">
        <v>96</v>
      </c>
      <c r="T1938" s="46">
        <v>10445569</v>
      </c>
      <c r="U1938" s="38">
        <v>233</v>
      </c>
      <c r="V1938" s="46">
        <v>41697176</v>
      </c>
      <c r="W1938" s="38">
        <v>110</v>
      </c>
      <c r="X1938" s="46">
        <v>10892976</v>
      </c>
      <c r="Y1938" s="46">
        <f t="shared" si="62"/>
        <v>7038904</v>
      </c>
    </row>
    <row r="1939" spans="1:25" x14ac:dyDescent="0.25">
      <c r="A1939" s="20">
        <f>+VLOOKUP(D1939,Back!Q:R,2,0)</f>
        <v>2</v>
      </c>
      <c r="B1939" s="20" t="str">
        <f t="shared" si="61"/>
        <v>2019 FEB</v>
      </c>
      <c r="C1939" s="30">
        <v>2019</v>
      </c>
      <c r="D1939" s="30" t="s">
        <v>138</v>
      </c>
      <c r="E1939" s="30" t="s">
        <v>21</v>
      </c>
      <c r="F1939" s="30">
        <v>1035417626</v>
      </c>
      <c r="G1939" s="30" t="s">
        <v>80</v>
      </c>
      <c r="H1939" s="32">
        <v>52889436</v>
      </c>
      <c r="I1939" s="32">
        <v>1149300</v>
      </c>
      <c r="J1939" s="32">
        <v>11568143</v>
      </c>
      <c r="K1939" s="33">
        <v>40171993</v>
      </c>
      <c r="L1939" s="33">
        <v>33750000</v>
      </c>
      <c r="M1939" s="34">
        <v>1.190281274074074</v>
      </c>
      <c r="N1939" s="209" t="str">
        <f>IFERROR(VLOOKUP(F1939,Back!C:F,4,0),"NO")</f>
        <v>Si</v>
      </c>
      <c r="O1939" s="26">
        <v>24</v>
      </c>
      <c r="P1939" s="28" t="str">
        <f>IFERROR(VLOOKUP(F1939,Back!C:E,3,0),"")</f>
        <v>IPS Pto De Vista Unicentro</v>
      </c>
      <c r="Q1939" s="28" t="str">
        <f>IFERROR(VLOOKUP(P1939,Back!M:N,2,0),"")</f>
        <v>Antioquia</v>
      </c>
      <c r="R1939" s="27" t="str">
        <f>IF(N1939="Si",IFERROR(VLOOKUP(F1939,'TD Cumpl'!B:AB,27,0),"No Aplica"),"No Aplica")</f>
        <v>Cumple</v>
      </c>
      <c r="S1939" s="38">
        <v>83</v>
      </c>
      <c r="T1939" s="46">
        <v>8210719</v>
      </c>
      <c r="U1939" s="38">
        <v>192</v>
      </c>
      <c r="V1939" s="46">
        <v>27446346</v>
      </c>
      <c r="W1939" s="38">
        <v>129</v>
      </c>
      <c r="X1939" s="46">
        <v>11568143</v>
      </c>
      <c r="Y1939" s="46">
        <f t="shared" si="62"/>
        <v>5664228</v>
      </c>
    </row>
    <row r="1940" spans="1:25" x14ac:dyDescent="0.25">
      <c r="A1940" s="20">
        <f>+VLOOKUP(D1940,Back!Q:R,2,0)</f>
        <v>2</v>
      </c>
      <c r="B1940" s="20" t="str">
        <f t="shared" si="61"/>
        <v>2019 FEB</v>
      </c>
      <c r="C1940" s="30">
        <v>2019</v>
      </c>
      <c r="D1940" s="30" t="s">
        <v>138</v>
      </c>
      <c r="E1940" s="30" t="s">
        <v>7</v>
      </c>
      <c r="F1940" s="30">
        <v>43745952</v>
      </c>
      <c r="G1940" s="30" t="s">
        <v>50</v>
      </c>
      <c r="H1940" s="32">
        <v>73968589</v>
      </c>
      <c r="I1940" s="32">
        <v>1036980</v>
      </c>
      <c r="J1940" s="32">
        <v>13106318</v>
      </c>
      <c r="K1940" s="33">
        <v>59825291</v>
      </c>
      <c r="L1940" s="33">
        <v>45000000</v>
      </c>
      <c r="M1940" s="34">
        <v>1.329450911111111</v>
      </c>
      <c r="N1940" s="209" t="str">
        <f>IFERROR(VLOOKUP(F1940,Back!C:F,4,0),"NO")</f>
        <v>Si</v>
      </c>
      <c r="O1940" s="26">
        <v>24</v>
      </c>
      <c r="P1940" s="28" t="str">
        <f>IFERROR(VLOOKUP(F1940,Back!C:E,3,0),"")</f>
        <v>IPS Pto De Vista Unicentro</v>
      </c>
      <c r="Q1940" s="28" t="str">
        <f>IFERROR(VLOOKUP(P1940,Back!M:N,2,0),"")</f>
        <v>Antioquia</v>
      </c>
      <c r="R1940" s="27" t="str">
        <f>IF(N1940="Si",IFERROR(VLOOKUP(F1940,'TD Cumpl'!B:AB,27,0),"No Aplica"),"No Aplica")</f>
        <v>Siempre Cumple</v>
      </c>
      <c r="S1940" s="38">
        <v>96</v>
      </c>
      <c r="T1940" s="46">
        <v>10298669</v>
      </c>
      <c r="U1940" s="38">
        <v>266</v>
      </c>
      <c r="V1940" s="46">
        <v>42902447</v>
      </c>
      <c r="W1940" s="38">
        <v>146</v>
      </c>
      <c r="X1940" s="46">
        <v>13106318</v>
      </c>
      <c r="Y1940" s="46">
        <f t="shared" si="62"/>
        <v>7661155</v>
      </c>
    </row>
    <row r="1941" spans="1:25" x14ac:dyDescent="0.25">
      <c r="A1941" s="20">
        <f>+VLOOKUP(D1941,Back!Q:R,2,0)</f>
        <v>2</v>
      </c>
      <c r="B1941" s="20" t="str">
        <f t="shared" si="61"/>
        <v>2019 FEB</v>
      </c>
      <c r="C1941" s="30">
        <v>2019</v>
      </c>
      <c r="D1941" s="30" t="s">
        <v>138</v>
      </c>
      <c r="E1941" s="30" t="s">
        <v>18</v>
      </c>
      <c r="F1941" s="30">
        <v>39442617</v>
      </c>
      <c r="G1941" s="30" t="s">
        <v>41</v>
      </c>
      <c r="H1941" s="32">
        <v>19823194</v>
      </c>
      <c r="I1941" s="32">
        <v>0</v>
      </c>
      <c r="J1941" s="32">
        <v>4069740</v>
      </c>
      <c r="K1941" s="33">
        <v>15753454</v>
      </c>
      <c r="L1941" s="33">
        <v>14366666.666666666</v>
      </c>
      <c r="M1941" s="34">
        <v>1.096528120649652</v>
      </c>
      <c r="N1941" s="209" t="str">
        <f>IFERROR(VLOOKUP(F1941,Back!C:F,4,0),"NO")</f>
        <v>Si</v>
      </c>
      <c r="O1941" s="26">
        <v>24</v>
      </c>
      <c r="P1941" s="28" t="str">
        <f>IFERROR(VLOOKUP(F1941,Back!C:E,3,0),"")</f>
        <v>IPS Pto De Vista San Diego</v>
      </c>
      <c r="Q1941" s="28" t="str">
        <f>IFERROR(VLOOKUP(P1941,Back!M:N,2,0),"")</f>
        <v>Antioquia</v>
      </c>
      <c r="R1941" s="27" t="str">
        <f>IF(N1941="Si",IFERROR(VLOOKUP(F1941,'TD Cumpl'!B:AB,27,0),"No Aplica"),"No Aplica")</f>
        <v>Cumple</v>
      </c>
      <c r="S1941" s="38">
        <v>30</v>
      </c>
      <c r="T1941" s="46">
        <v>3606656</v>
      </c>
      <c r="U1941" s="38">
        <v>71</v>
      </c>
      <c r="V1941" s="46">
        <v>9497056</v>
      </c>
      <c r="W1941" s="38">
        <v>42</v>
      </c>
      <c r="X1941" s="46">
        <v>4069740</v>
      </c>
      <c r="Y1941" s="46">
        <f t="shared" si="62"/>
        <v>2649742</v>
      </c>
    </row>
    <row r="1942" spans="1:25" x14ac:dyDescent="0.25">
      <c r="A1942" s="20">
        <f>+VLOOKUP(D1942,Back!Q:R,2,0)</f>
        <v>2</v>
      </c>
      <c r="B1942" s="20" t="str">
        <f t="shared" si="61"/>
        <v>2019 FEB</v>
      </c>
      <c r="C1942" s="30">
        <v>2019</v>
      </c>
      <c r="D1942" s="30" t="s">
        <v>138</v>
      </c>
      <c r="E1942" s="30" t="s">
        <v>81</v>
      </c>
      <c r="F1942" s="30">
        <v>1017200970</v>
      </c>
      <c r="G1942" s="30" t="s">
        <v>82</v>
      </c>
      <c r="H1942" s="32">
        <v>8161990</v>
      </c>
      <c r="I1942" s="32">
        <v>0</v>
      </c>
      <c r="J1942" s="32">
        <v>2929034</v>
      </c>
      <c r="K1942" s="33">
        <v>5232956</v>
      </c>
      <c r="L1942" s="33">
        <v>31666666.666666668</v>
      </c>
      <c r="M1942" s="34">
        <v>0.16525124210526315</v>
      </c>
      <c r="N1942" s="209" t="str">
        <f>IFERROR(VLOOKUP(F1942,Back!C:F,4,0),"NO")</f>
        <v>Si</v>
      </c>
      <c r="O1942" s="26">
        <v>24</v>
      </c>
      <c r="P1942" s="28" t="str">
        <f>IFERROR(VLOOKUP(F1942,Back!C:E,3,0),"")</f>
        <v>IPS Pto De Vista San Diego</v>
      </c>
      <c r="Q1942" s="28" t="str">
        <f>IFERROR(VLOOKUP(P1942,Back!M:N,2,0),"")</f>
        <v>Antioquia</v>
      </c>
      <c r="R1942" s="27" t="str">
        <f>IF(N1942="Si",IFERROR(VLOOKUP(F1942,'TD Cumpl'!B:AB,27,0),"No Aplica"),"No Aplica")</f>
        <v>Cumple</v>
      </c>
      <c r="S1942" s="38">
        <v>8</v>
      </c>
      <c r="T1942" s="46">
        <v>814872</v>
      </c>
      <c r="U1942" s="38">
        <v>28</v>
      </c>
      <c r="V1942" s="46">
        <v>3795684</v>
      </c>
      <c r="W1942" s="38">
        <v>38</v>
      </c>
      <c r="X1942" s="46">
        <v>2929034</v>
      </c>
      <c r="Y1942" s="46">
        <f t="shared" si="62"/>
        <v>622400</v>
      </c>
    </row>
    <row r="1943" spans="1:25" x14ac:dyDescent="0.25">
      <c r="A1943" s="20">
        <f>+VLOOKUP(D1943,Back!Q:R,2,0)</f>
        <v>2</v>
      </c>
      <c r="B1943" s="20" t="str">
        <f t="shared" si="61"/>
        <v>2019 FEB</v>
      </c>
      <c r="C1943" s="30">
        <v>2019</v>
      </c>
      <c r="D1943" s="30" t="s">
        <v>138</v>
      </c>
      <c r="E1943" s="30" t="s">
        <v>17</v>
      </c>
      <c r="F1943" s="30">
        <v>43113640</v>
      </c>
      <c r="G1943" s="30" t="s">
        <v>47</v>
      </c>
      <c r="H1943" s="32">
        <v>19976650</v>
      </c>
      <c r="I1943" s="32">
        <v>468000</v>
      </c>
      <c r="J1943" s="32">
        <v>2628534</v>
      </c>
      <c r="K1943" s="33">
        <v>16880116</v>
      </c>
      <c r="L1943" s="33">
        <v>10000000</v>
      </c>
      <c r="M1943" s="34">
        <v>1.6880116000000001</v>
      </c>
      <c r="N1943" s="209" t="str">
        <f>IFERROR(VLOOKUP(F1943,Back!C:F,4,0),"NO")</f>
        <v>Si</v>
      </c>
      <c r="O1943" s="26">
        <v>24</v>
      </c>
      <c r="P1943" s="28" t="str">
        <f>IFERROR(VLOOKUP(F1943,Back!C:E,3,0),"")</f>
        <v>IPS Pto De Vista San Diego</v>
      </c>
      <c r="Q1943" s="28" t="str">
        <f>IFERROR(VLOOKUP(P1943,Back!M:N,2,0),"")</f>
        <v>Antioquia</v>
      </c>
      <c r="R1943" s="27" t="str">
        <f>IF(N1943="Si",IFERROR(VLOOKUP(F1943,'TD Cumpl'!B:AB,27,0),"No Aplica"),"No Aplica")</f>
        <v>Cumple</v>
      </c>
      <c r="S1943" s="38">
        <v>32</v>
      </c>
      <c r="T1943" s="46">
        <v>3286679</v>
      </c>
      <c r="U1943" s="38">
        <v>82</v>
      </c>
      <c r="V1943" s="46">
        <v>12243778</v>
      </c>
      <c r="W1943" s="38">
        <v>30</v>
      </c>
      <c r="X1943" s="46">
        <v>2628534</v>
      </c>
      <c r="Y1943" s="46">
        <f t="shared" si="62"/>
        <v>1817659</v>
      </c>
    </row>
    <row r="1944" spans="1:25" x14ac:dyDescent="0.25">
      <c r="A1944" s="20">
        <f>+VLOOKUP(D1944,Back!Q:R,2,0)</f>
        <v>2</v>
      </c>
      <c r="B1944" s="20" t="str">
        <f t="shared" si="61"/>
        <v>2019 FEB</v>
      </c>
      <c r="C1944" s="30">
        <v>2019</v>
      </c>
      <c r="D1944" s="30" t="s">
        <v>138</v>
      </c>
      <c r="E1944" s="30" t="s">
        <v>181</v>
      </c>
      <c r="F1944" s="30">
        <v>32183069</v>
      </c>
      <c r="G1944" s="30" t="s">
        <v>182</v>
      </c>
      <c r="H1944" s="32">
        <v>39847082</v>
      </c>
      <c r="I1944" s="32">
        <v>1396200</v>
      </c>
      <c r="J1944" s="32">
        <v>10590075</v>
      </c>
      <c r="K1944" s="33">
        <v>27860807</v>
      </c>
      <c r="L1944" s="33">
        <v>44708333.333333336</v>
      </c>
      <c r="M1944" s="34">
        <v>0.62316809692451069</v>
      </c>
      <c r="N1944" s="209" t="str">
        <f>IFERROR(VLOOKUP(F1944,Back!C:F,4,0),"NO")</f>
        <v>Si</v>
      </c>
      <c r="O1944" s="26">
        <v>24</v>
      </c>
      <c r="P1944" s="28" t="str">
        <f>IFERROR(VLOOKUP(F1944,Back!C:E,3,0),"")</f>
        <v>IPS Pto De Vista Molinos</v>
      </c>
      <c r="Q1944" s="28" t="str">
        <f>IFERROR(VLOOKUP(P1944,Back!M:N,2,0),"")</f>
        <v>Antioquia</v>
      </c>
      <c r="R1944" s="27" t="str">
        <f>IF(N1944="Si",IFERROR(VLOOKUP(F1944,'TD Cumpl'!B:AB,27,0),"No Aplica"),"No Aplica")</f>
        <v>No Cumple</v>
      </c>
      <c r="S1944" s="38">
        <v>72</v>
      </c>
      <c r="T1944" s="46">
        <v>6792775</v>
      </c>
      <c r="U1944" s="38">
        <v>184</v>
      </c>
      <c r="V1944" s="46">
        <v>16863333</v>
      </c>
      <c r="W1944" s="38">
        <v>111</v>
      </c>
      <c r="X1944" s="46">
        <v>10309357</v>
      </c>
      <c r="Y1944" s="46">
        <f t="shared" si="62"/>
        <v>5881617</v>
      </c>
    </row>
    <row r="1945" spans="1:25" x14ac:dyDescent="0.25">
      <c r="A1945" s="20">
        <f>+VLOOKUP(D1945,Back!Q:R,2,0)</f>
        <v>2</v>
      </c>
      <c r="B1945" s="20" t="str">
        <f t="shared" si="61"/>
        <v>2019 FEB</v>
      </c>
      <c r="C1945" s="30">
        <v>2019</v>
      </c>
      <c r="D1945" s="30" t="s">
        <v>138</v>
      </c>
      <c r="E1945" s="30" t="s">
        <v>235</v>
      </c>
      <c r="F1945" s="30">
        <v>39275090</v>
      </c>
      <c r="G1945" s="30" t="s">
        <v>236</v>
      </c>
      <c r="H1945" s="32">
        <v>50912593</v>
      </c>
      <c r="I1945" s="32">
        <v>648000</v>
      </c>
      <c r="J1945" s="32">
        <v>8400921</v>
      </c>
      <c r="K1945" s="33">
        <v>41863672</v>
      </c>
      <c r="L1945" s="33">
        <v>40000000</v>
      </c>
      <c r="M1945" s="34">
        <v>1.0465918000000001</v>
      </c>
      <c r="N1945" s="209" t="str">
        <f>IFERROR(VLOOKUP(F1945,Back!C:F,4,0),"NO")</f>
        <v>Si</v>
      </c>
      <c r="O1945" s="26">
        <v>24</v>
      </c>
      <c r="P1945" s="28" t="str">
        <f>IFERROR(VLOOKUP(F1945,Back!C:E,3,0),"")</f>
        <v>IPS Pto De Vista San Diego</v>
      </c>
      <c r="Q1945" s="28" t="str">
        <f>IFERROR(VLOOKUP(P1945,Back!M:N,2,0),"")</f>
        <v>Antioquia</v>
      </c>
      <c r="R1945" s="27" t="str">
        <f>IF(N1945="Si",IFERROR(VLOOKUP(F1945,'TD Cumpl'!B:AB,27,0),"No Aplica"),"No Aplica")</f>
        <v>Siempre Cumple</v>
      </c>
      <c r="S1945" s="38">
        <v>73</v>
      </c>
      <c r="T1945" s="46">
        <v>9519416</v>
      </c>
      <c r="U1945" s="38">
        <v>191</v>
      </c>
      <c r="V1945" s="46">
        <v>27530183</v>
      </c>
      <c r="W1945" s="38">
        <v>93</v>
      </c>
      <c r="X1945" s="46">
        <v>8400921</v>
      </c>
      <c r="Y1945" s="46">
        <f t="shared" si="62"/>
        <v>5462073</v>
      </c>
    </row>
    <row r="1946" spans="1:25" x14ac:dyDescent="0.25">
      <c r="A1946" s="20">
        <f>+VLOOKUP(D1946,Back!Q:R,2,0)</f>
        <v>2</v>
      </c>
      <c r="B1946" s="20" t="str">
        <f t="shared" si="61"/>
        <v>2019 FEB</v>
      </c>
      <c r="C1946" s="30">
        <v>2019</v>
      </c>
      <c r="D1946" s="30" t="s">
        <v>138</v>
      </c>
      <c r="E1946" s="30" t="s">
        <v>292</v>
      </c>
      <c r="F1946" s="30">
        <v>32352312</v>
      </c>
      <c r="G1946" s="30" t="s">
        <v>293</v>
      </c>
      <c r="H1946" s="32">
        <v>23891603</v>
      </c>
      <c r="I1946" s="32">
        <v>1728000</v>
      </c>
      <c r="J1946" s="32">
        <v>6398789</v>
      </c>
      <c r="K1946" s="33">
        <v>15764814</v>
      </c>
      <c r="L1946" s="33">
        <v>40000000</v>
      </c>
      <c r="M1946" s="34">
        <v>0.39412035000000001</v>
      </c>
      <c r="N1946" s="209" t="str">
        <f>IFERROR(VLOOKUP(F1946,Back!C:F,4,0),"NO")</f>
        <v>Si</v>
      </c>
      <c r="O1946" s="26">
        <v>24</v>
      </c>
      <c r="P1946" s="28" t="str">
        <f>IFERROR(VLOOKUP(F1946,Back!C:E,3,0),"")</f>
        <v>IPS Pto De Vista San Diego</v>
      </c>
      <c r="Q1946" s="28" t="str">
        <f>IFERROR(VLOOKUP(P1946,Back!M:N,2,0),"")</f>
        <v>Antioquia</v>
      </c>
      <c r="R1946" s="27" t="str">
        <f>IF(N1946="Si",IFERROR(VLOOKUP(F1946,'TD Cumpl'!B:AB,27,0),"No Aplica"),"No Aplica")</f>
        <v>No Cumple</v>
      </c>
      <c r="S1946" s="38">
        <v>36</v>
      </c>
      <c r="T1946" s="46">
        <v>4265847</v>
      </c>
      <c r="U1946" s="38">
        <v>78</v>
      </c>
      <c r="V1946" s="46">
        <v>8245375</v>
      </c>
      <c r="W1946" s="38">
        <v>67</v>
      </c>
      <c r="X1946" s="46">
        <v>6398789</v>
      </c>
      <c r="Y1946" s="46">
        <f t="shared" si="62"/>
        <v>4981592</v>
      </c>
    </row>
    <row r="1947" spans="1:25" x14ac:dyDescent="0.25">
      <c r="A1947" s="20">
        <f>+VLOOKUP(D1947,Back!Q:R,2,0)</f>
        <v>2</v>
      </c>
      <c r="B1947" s="20" t="str">
        <f t="shared" si="61"/>
        <v>2019 FEB</v>
      </c>
      <c r="C1947" s="30">
        <v>2019</v>
      </c>
      <c r="D1947" s="30" t="s">
        <v>138</v>
      </c>
      <c r="E1947" s="30" t="s">
        <v>84</v>
      </c>
      <c r="F1947" s="30">
        <v>1020736461</v>
      </c>
      <c r="G1947" s="30" t="s">
        <v>156</v>
      </c>
      <c r="H1947" s="32">
        <v>27074183</v>
      </c>
      <c r="I1947" s="32">
        <v>889200</v>
      </c>
      <c r="J1947" s="32">
        <v>4326553</v>
      </c>
      <c r="K1947" s="33">
        <v>21858430</v>
      </c>
      <c r="L1947" s="33">
        <v>18145833.333333332</v>
      </c>
      <c r="M1947" s="34">
        <v>1.2045977497129736</v>
      </c>
      <c r="N1947" s="209" t="str">
        <f>IFERROR(VLOOKUP(F1947,Back!C:F,4,0),"NO")</f>
        <v>Si</v>
      </c>
      <c r="O1947" s="26">
        <v>24</v>
      </c>
      <c r="P1947" s="28" t="str">
        <f>IFERROR(VLOOKUP(F1947,Back!C:E,3,0),"")</f>
        <v>IPS Pto De Vista Santa Bárbara</v>
      </c>
      <c r="Q1947" s="28" t="str">
        <f>IFERROR(VLOOKUP(P1947,Back!M:N,2,0),"")</f>
        <v>Centro</v>
      </c>
      <c r="R1947" s="27" t="str">
        <f>IF(N1947="Si",IFERROR(VLOOKUP(F1947,'TD Cumpl'!B:AB,27,0),"No Aplica"),"No Aplica")</f>
        <v>Siempre Cumple</v>
      </c>
      <c r="S1947" s="38">
        <v>47</v>
      </c>
      <c r="T1947" s="46">
        <v>4989931</v>
      </c>
      <c r="U1947" s="38">
        <v>136</v>
      </c>
      <c r="V1947" s="46">
        <v>15464814</v>
      </c>
      <c r="W1947" s="38">
        <v>57</v>
      </c>
      <c r="X1947" s="46">
        <v>4326553</v>
      </c>
      <c r="Y1947" s="46">
        <f t="shared" si="62"/>
        <v>2292885</v>
      </c>
    </row>
    <row r="1948" spans="1:25" x14ac:dyDescent="0.25">
      <c r="A1948" s="20">
        <f>+VLOOKUP(D1948,Back!Q:R,2,0)</f>
        <v>2</v>
      </c>
      <c r="B1948" s="20" t="str">
        <f t="shared" si="61"/>
        <v>2019 FEB</v>
      </c>
      <c r="C1948" s="30">
        <v>2019</v>
      </c>
      <c r="D1948" s="30" t="s">
        <v>138</v>
      </c>
      <c r="E1948" s="30" t="s">
        <v>295</v>
      </c>
      <c r="F1948" s="30">
        <v>1020769180</v>
      </c>
      <c r="G1948" s="30" t="s">
        <v>302</v>
      </c>
      <c r="H1948" s="32">
        <v>44988959</v>
      </c>
      <c r="I1948" s="32">
        <v>1857900</v>
      </c>
      <c r="J1948" s="32">
        <v>8134399</v>
      </c>
      <c r="K1948" s="33">
        <v>34996660</v>
      </c>
      <c r="L1948" s="33">
        <v>32104166.666666664</v>
      </c>
      <c r="M1948" s="34">
        <v>1.0900971317326413</v>
      </c>
      <c r="N1948" s="209" t="str">
        <f>IFERROR(VLOOKUP(F1948,Back!C:F,4,0),"NO")</f>
        <v>Si</v>
      </c>
      <c r="O1948" s="26">
        <v>24</v>
      </c>
      <c r="P1948" s="28" t="str">
        <f>IFERROR(VLOOKUP(F1948,Back!C:E,3,0),"")</f>
        <v>IPS Pto De Vista Santa Bárbara</v>
      </c>
      <c r="Q1948" s="28" t="str">
        <f>IFERROR(VLOOKUP(P1948,Back!M:N,2,0),"")</f>
        <v>Centro</v>
      </c>
      <c r="R1948" s="27" t="str">
        <f>IF(N1948="Si",IFERROR(VLOOKUP(F1948,'TD Cumpl'!B:AB,27,0),"No Aplica"),"No Aplica")</f>
        <v>No Cumple</v>
      </c>
      <c r="S1948" s="38">
        <v>63</v>
      </c>
      <c r="T1948" s="46">
        <v>6583183</v>
      </c>
      <c r="U1948" s="38">
        <v>204</v>
      </c>
      <c r="V1948" s="46">
        <v>26799854</v>
      </c>
      <c r="W1948" s="38">
        <v>111</v>
      </c>
      <c r="X1948" s="46">
        <v>8134399</v>
      </c>
      <c r="Y1948" s="46">
        <f t="shared" si="62"/>
        <v>3471523</v>
      </c>
    </row>
    <row r="1949" spans="1:25" x14ac:dyDescent="0.25">
      <c r="A1949" s="20">
        <f>+VLOOKUP(D1949,Back!Q:R,2,0)</f>
        <v>2</v>
      </c>
      <c r="B1949" s="20" t="str">
        <f t="shared" si="61"/>
        <v>2019 FEB</v>
      </c>
      <c r="C1949" s="30">
        <v>2019</v>
      </c>
      <c r="D1949" s="30" t="s">
        <v>138</v>
      </c>
      <c r="E1949" s="30" t="s">
        <v>2</v>
      </c>
      <c r="F1949" s="30">
        <v>52260671</v>
      </c>
      <c r="G1949" s="30" t="s">
        <v>26</v>
      </c>
      <c r="H1949" s="32">
        <v>43414995</v>
      </c>
      <c r="I1949" s="32">
        <v>1036800</v>
      </c>
      <c r="J1949" s="32">
        <v>6350812</v>
      </c>
      <c r="K1949" s="33">
        <v>36027383</v>
      </c>
      <c r="L1949" s="33">
        <v>30354166.666666664</v>
      </c>
      <c r="M1949" s="34">
        <v>1.1869007439945094</v>
      </c>
      <c r="N1949" s="209" t="str">
        <f>IFERROR(VLOOKUP(F1949,Back!C:F,4,0),"NO")</f>
        <v>Si</v>
      </c>
      <c r="O1949" s="26">
        <v>24</v>
      </c>
      <c r="P1949" s="28" t="str">
        <f>IFERROR(VLOOKUP(F1949,Back!C:E,3,0),"")</f>
        <v>IPS Pto De Vista Santa Bárbara</v>
      </c>
      <c r="Q1949" s="28" t="str">
        <f>IFERROR(VLOOKUP(P1949,Back!M:N,2,0),"")</f>
        <v>Centro</v>
      </c>
      <c r="R1949" s="27" t="str">
        <f>IF(N1949="Si",IFERROR(VLOOKUP(F1949,'TD Cumpl'!B:AB,27,0),"No Aplica"),"No Aplica")</f>
        <v>Siempre Cumple</v>
      </c>
      <c r="S1949" s="38">
        <v>80</v>
      </c>
      <c r="T1949" s="46">
        <v>9492488</v>
      </c>
      <c r="U1949" s="38">
        <v>208</v>
      </c>
      <c r="V1949" s="46">
        <v>23501115</v>
      </c>
      <c r="W1949" s="38">
        <v>94</v>
      </c>
      <c r="X1949" s="46">
        <v>6350812</v>
      </c>
      <c r="Y1949" s="46">
        <f t="shared" si="62"/>
        <v>4070580</v>
      </c>
    </row>
    <row r="1950" spans="1:25" x14ac:dyDescent="0.25">
      <c r="A1950" s="20">
        <f>+VLOOKUP(D1950,Back!Q:R,2,0)</f>
        <v>2</v>
      </c>
      <c r="B1950" s="20" t="str">
        <f t="shared" si="61"/>
        <v>2019 FEB</v>
      </c>
      <c r="C1950" s="30">
        <v>2019</v>
      </c>
      <c r="D1950" s="30" t="s">
        <v>138</v>
      </c>
      <c r="E1950" s="30" t="s">
        <v>102</v>
      </c>
      <c r="F1950" s="30">
        <v>79850984</v>
      </c>
      <c r="G1950" s="30" t="s">
        <v>106</v>
      </c>
      <c r="H1950" s="32">
        <v>38285703</v>
      </c>
      <c r="I1950" s="32">
        <v>421200</v>
      </c>
      <c r="J1950" s="32">
        <v>3223550</v>
      </c>
      <c r="K1950" s="33">
        <v>34640953</v>
      </c>
      <c r="L1950" s="33">
        <v>13750000</v>
      </c>
      <c r="M1950" s="34">
        <v>2.5193420363636365</v>
      </c>
      <c r="N1950" s="209" t="str">
        <f>IFERROR(VLOOKUP(F1950,Back!C:F,4,0),"NO")</f>
        <v>Si</v>
      </c>
      <c r="O1950" s="26">
        <v>24</v>
      </c>
      <c r="P1950" s="28" t="str">
        <f>IFERROR(VLOOKUP(F1950,Back!C:E,3,0),"")</f>
        <v>IPS Pto De Vista SSura Clle100</v>
      </c>
      <c r="Q1950" s="28" t="str">
        <f>IFERROR(VLOOKUP(P1950,Back!M:N,2,0),"")</f>
        <v>Centro</v>
      </c>
      <c r="R1950" s="27" t="str">
        <f>IF(N1950="Si",IFERROR(VLOOKUP(F1950,'TD Cumpl'!B:AB,27,0),"No Aplica"),"No Aplica")</f>
        <v>Fluctúa</v>
      </c>
      <c r="S1950" s="38">
        <v>42</v>
      </c>
      <c r="T1950" s="46">
        <v>5838152</v>
      </c>
      <c r="U1950" s="38">
        <v>138</v>
      </c>
      <c r="V1950" s="46">
        <v>25645566</v>
      </c>
      <c r="W1950" s="38">
        <v>38</v>
      </c>
      <c r="X1950" s="46">
        <v>3223550</v>
      </c>
      <c r="Y1950" s="46">
        <f t="shared" si="62"/>
        <v>3578435</v>
      </c>
    </row>
    <row r="1951" spans="1:25" x14ac:dyDescent="0.25">
      <c r="A1951" s="20">
        <f>+VLOOKUP(D1951,Back!Q:R,2,0)</f>
        <v>2</v>
      </c>
      <c r="B1951" s="20" t="str">
        <f t="shared" si="61"/>
        <v>2019 FEB</v>
      </c>
      <c r="C1951" s="30">
        <v>2019</v>
      </c>
      <c r="D1951" s="30" t="s">
        <v>138</v>
      </c>
      <c r="E1951" s="30" t="s">
        <v>5</v>
      </c>
      <c r="F1951" s="30">
        <v>34542470</v>
      </c>
      <c r="G1951" s="30" t="s">
        <v>28</v>
      </c>
      <c r="H1951" s="32">
        <v>44234029</v>
      </c>
      <c r="I1951" s="32">
        <v>3402180</v>
      </c>
      <c r="J1951" s="32">
        <v>3929649</v>
      </c>
      <c r="K1951" s="33">
        <v>36902200</v>
      </c>
      <c r="L1951" s="33">
        <v>33916666.666666672</v>
      </c>
      <c r="M1951" s="34">
        <v>1.0880255528255527</v>
      </c>
      <c r="N1951" s="209" t="str">
        <f>IFERROR(VLOOKUP(F1951,Back!C:F,4,0),"NO")</f>
        <v>Si</v>
      </c>
      <c r="O1951" s="26">
        <v>24</v>
      </c>
      <c r="P1951" s="28" t="str">
        <f>IFERROR(VLOOKUP(F1951,Back!C:E,3,0),"")</f>
        <v>Optica Salud Sura Chipichape</v>
      </c>
      <c r="Q1951" s="28" t="str">
        <f>IFERROR(VLOOKUP(P1951,Back!M:N,2,0),"")</f>
        <v>Occidente</v>
      </c>
      <c r="R1951" s="27" t="str">
        <f>IF(N1951="Si",IFERROR(VLOOKUP(F1951,'TD Cumpl'!B:AB,27,0),"No Aplica"),"No Aplica")</f>
        <v>Siempre Cumple</v>
      </c>
      <c r="S1951" s="38">
        <v>56</v>
      </c>
      <c r="T1951" s="46">
        <v>8682429</v>
      </c>
      <c r="U1951" s="38">
        <v>170</v>
      </c>
      <c r="V1951" s="46">
        <v>24384045</v>
      </c>
      <c r="W1951" s="38">
        <v>47</v>
      </c>
      <c r="X1951" s="46">
        <v>3929649</v>
      </c>
      <c r="Y1951" s="46">
        <f t="shared" si="62"/>
        <v>7237906</v>
      </c>
    </row>
    <row r="1952" spans="1:25" x14ac:dyDescent="0.25">
      <c r="A1952" s="20">
        <f>+VLOOKUP(D1952,Back!Q:R,2,0)</f>
        <v>2</v>
      </c>
      <c r="B1952" s="20" t="str">
        <f t="shared" si="61"/>
        <v>2019 FEB</v>
      </c>
      <c r="C1952" s="30">
        <v>2019</v>
      </c>
      <c r="D1952" s="30" t="s">
        <v>138</v>
      </c>
      <c r="E1952" s="30" t="s">
        <v>149</v>
      </c>
      <c r="F1952" s="30">
        <v>1130597373</v>
      </c>
      <c r="G1952" s="30" t="s">
        <v>150</v>
      </c>
      <c r="H1952" s="32">
        <v>24414499</v>
      </c>
      <c r="I1952" s="32">
        <v>403200</v>
      </c>
      <c r="J1952" s="32">
        <v>2810391</v>
      </c>
      <c r="K1952" s="33">
        <v>21200908</v>
      </c>
      <c r="L1952" s="33">
        <v>7750000</v>
      </c>
      <c r="M1952" s="34">
        <v>2.7356010322580646</v>
      </c>
      <c r="N1952" s="209" t="str">
        <f>IFERROR(VLOOKUP(F1952,Back!C:F,4,0),"NO")</f>
        <v>Si</v>
      </c>
      <c r="O1952" s="26">
        <v>24</v>
      </c>
      <c r="P1952" s="28" t="str">
        <f>IFERROR(VLOOKUP(F1952,Back!C:E,3,0),"")</f>
        <v>Punto de Vista Cali Norte</v>
      </c>
      <c r="Q1952" s="28" t="str">
        <f>IFERROR(VLOOKUP(P1952,Back!M:N,2,0),"")</f>
        <v>Occidente</v>
      </c>
      <c r="R1952" s="27" t="str">
        <f>IF(N1952="Si",IFERROR(VLOOKUP(F1952,'TD Cumpl'!B:AB,27,0),"No Aplica"),"No Aplica")</f>
        <v>Fluctúa</v>
      </c>
      <c r="S1952" s="38">
        <v>35</v>
      </c>
      <c r="T1952" s="46">
        <v>4536059</v>
      </c>
      <c r="U1952" s="38">
        <v>108</v>
      </c>
      <c r="V1952" s="46">
        <v>14595441</v>
      </c>
      <c r="W1952" s="38">
        <v>29</v>
      </c>
      <c r="X1952" s="46">
        <v>2810391</v>
      </c>
      <c r="Y1952" s="46">
        <f t="shared" si="62"/>
        <v>2472608</v>
      </c>
    </row>
    <row r="1953" spans="1:25" x14ac:dyDescent="0.25">
      <c r="A1953" s="20">
        <f>+VLOOKUP(D1953,Back!Q:R,2,0)</f>
        <v>2</v>
      </c>
      <c r="B1953" s="20" t="str">
        <f t="shared" si="61"/>
        <v>2019 FEB</v>
      </c>
      <c r="C1953" s="30">
        <v>2019</v>
      </c>
      <c r="D1953" s="30" t="s">
        <v>138</v>
      </c>
      <c r="E1953" s="30" t="s">
        <v>258</v>
      </c>
      <c r="F1953" s="30">
        <v>1130676531</v>
      </c>
      <c r="G1953" s="30" t="s">
        <v>262</v>
      </c>
      <c r="H1953" s="32">
        <v>38547837</v>
      </c>
      <c r="I1953" s="32">
        <v>0</v>
      </c>
      <c r="J1953" s="32">
        <v>7685499</v>
      </c>
      <c r="K1953" s="33">
        <v>30862338</v>
      </c>
      <c r="L1953" s="33">
        <v>26333333.333333332</v>
      </c>
      <c r="M1953" s="34">
        <v>1.1719875189873419</v>
      </c>
      <c r="N1953" s="209" t="str">
        <f>IFERROR(VLOOKUP(F1953,Back!C:F,4,0),"NO")</f>
        <v>Si</v>
      </c>
      <c r="O1953" s="26">
        <v>24</v>
      </c>
      <c r="P1953" s="28" t="str">
        <f>IFERROR(VLOOKUP(F1953,Back!C:E,3,0),"")</f>
        <v>Punto de Vista Cali Norte</v>
      </c>
      <c r="Q1953" s="28" t="str">
        <f>IFERROR(VLOOKUP(P1953,Back!M:N,2,0),"")</f>
        <v>Occidente</v>
      </c>
      <c r="R1953" s="27" t="str">
        <f>IF(N1953="Si",IFERROR(VLOOKUP(F1953,'TD Cumpl'!B:AB,27,0),"No Aplica"),"No Aplica")</f>
        <v>No Cumple</v>
      </c>
      <c r="S1953" s="38">
        <v>58</v>
      </c>
      <c r="T1953" s="46">
        <v>7680761</v>
      </c>
      <c r="U1953" s="38">
        <v>185</v>
      </c>
      <c r="V1953" s="46">
        <v>21441960</v>
      </c>
      <c r="W1953" s="38">
        <v>91</v>
      </c>
      <c r="X1953" s="46">
        <v>7685499</v>
      </c>
      <c r="Y1953" s="46">
        <f t="shared" si="62"/>
        <v>1739617</v>
      </c>
    </row>
    <row r="1954" spans="1:25" x14ac:dyDescent="0.25">
      <c r="A1954" s="20">
        <f>+VLOOKUP(D1954,Back!Q:R,2,0)</f>
        <v>2</v>
      </c>
      <c r="B1954" s="20" t="str">
        <f t="shared" si="61"/>
        <v>2019 FEB</v>
      </c>
      <c r="C1954" s="30">
        <v>2019</v>
      </c>
      <c r="D1954" s="30" t="s">
        <v>138</v>
      </c>
      <c r="E1954" s="30" t="s">
        <v>275</v>
      </c>
      <c r="F1954" s="30">
        <v>16379021</v>
      </c>
      <c r="G1954" s="30" t="s">
        <v>287</v>
      </c>
      <c r="H1954" s="32">
        <v>45635968</v>
      </c>
      <c r="I1954" s="32">
        <v>0</v>
      </c>
      <c r="J1954" s="32">
        <v>10677478</v>
      </c>
      <c r="K1954" s="33">
        <v>34958490</v>
      </c>
      <c r="L1954" s="33">
        <v>31000000</v>
      </c>
      <c r="M1954" s="34">
        <v>1.1276932258064516</v>
      </c>
      <c r="N1954" s="209" t="str">
        <f>IFERROR(VLOOKUP(F1954,Back!C:F,4,0),"NO")</f>
        <v>Si</v>
      </c>
      <c r="O1954" s="26">
        <v>24</v>
      </c>
      <c r="P1954" s="28" t="str">
        <f>IFERROR(VLOOKUP(F1954,Back!C:E,3,0),"")</f>
        <v>Punto de Vista Cali Norte</v>
      </c>
      <c r="Q1954" s="28" t="str">
        <f>IFERROR(VLOOKUP(P1954,Back!M:N,2,0),"")</f>
        <v>Occidente</v>
      </c>
      <c r="R1954" s="27" t="str">
        <f>IF(N1954="Si",IFERROR(VLOOKUP(F1954,'TD Cumpl'!B:AB,27,0),"No Aplica"),"No Aplica")</f>
        <v>Fluctúa</v>
      </c>
      <c r="S1954" s="38">
        <v>74</v>
      </c>
      <c r="T1954" s="46">
        <v>7626092</v>
      </c>
      <c r="U1954" s="38">
        <v>206</v>
      </c>
      <c r="V1954" s="46">
        <v>23509892</v>
      </c>
      <c r="W1954" s="38">
        <v>118</v>
      </c>
      <c r="X1954" s="46">
        <v>10677478</v>
      </c>
      <c r="Y1954" s="46">
        <f t="shared" si="62"/>
        <v>3822506</v>
      </c>
    </row>
    <row r="1955" spans="1:25" x14ac:dyDescent="0.25">
      <c r="A1955" s="20">
        <f>+VLOOKUP(D1955,Back!Q:R,2,0)</f>
        <v>2</v>
      </c>
      <c r="B1955" s="20" t="str">
        <f t="shared" si="61"/>
        <v>2019 FEB</v>
      </c>
      <c r="C1955" s="30">
        <v>2019</v>
      </c>
      <c r="D1955" s="30" t="s">
        <v>138</v>
      </c>
      <c r="E1955" s="30" t="s">
        <v>298</v>
      </c>
      <c r="F1955" s="30">
        <v>6228363</v>
      </c>
      <c r="G1955" s="30" t="s">
        <v>310</v>
      </c>
      <c r="H1955" s="32">
        <v>74108760</v>
      </c>
      <c r="I1955" s="32">
        <v>0</v>
      </c>
      <c r="J1955" s="32">
        <v>17746844</v>
      </c>
      <c r="K1955" s="33">
        <v>56361916</v>
      </c>
      <c r="L1955" s="33">
        <v>31000000</v>
      </c>
      <c r="M1955" s="34">
        <v>1.8181263225806452</v>
      </c>
      <c r="N1955" s="209" t="str">
        <f>IFERROR(VLOOKUP(F1955,Back!C:F,4,0),"NO")</f>
        <v>Si</v>
      </c>
      <c r="O1955" s="26">
        <v>24</v>
      </c>
      <c r="P1955" s="28" t="str">
        <f>IFERROR(VLOOKUP(F1955,Back!C:E,3,0),"")</f>
        <v>Punto de Vista Cali Norte</v>
      </c>
      <c r="Q1955" s="28" t="str">
        <f>IFERROR(VLOOKUP(P1955,Back!M:N,2,0),"")</f>
        <v>Occidente</v>
      </c>
      <c r="R1955" s="27" t="str">
        <f>IF(N1955="Si",IFERROR(VLOOKUP(F1955,'TD Cumpl'!B:AB,27,0),"No Aplica"),"No Aplica")</f>
        <v>Siempre Cumple</v>
      </c>
      <c r="S1955" s="38">
        <v>95</v>
      </c>
      <c r="T1955" s="46">
        <v>10969096</v>
      </c>
      <c r="U1955" s="38">
        <v>286</v>
      </c>
      <c r="V1955" s="46">
        <v>41475122</v>
      </c>
      <c r="W1955" s="38">
        <v>190</v>
      </c>
      <c r="X1955" s="46">
        <v>17520244</v>
      </c>
      <c r="Y1955" s="46">
        <f t="shared" si="62"/>
        <v>4144298</v>
      </c>
    </row>
    <row r="1956" spans="1:25" x14ac:dyDescent="0.25">
      <c r="A1956" s="20">
        <f>+VLOOKUP(D1956,Back!Q:R,2,0)</f>
        <v>2</v>
      </c>
      <c r="B1956" s="20" t="str">
        <f t="shared" si="61"/>
        <v>2019 FEB</v>
      </c>
      <c r="C1956" s="30">
        <v>2019</v>
      </c>
      <c r="D1956" s="30" t="s">
        <v>138</v>
      </c>
      <c r="E1956" s="30" t="s">
        <v>259</v>
      </c>
      <c r="F1956" s="30">
        <v>1020399898</v>
      </c>
      <c r="G1956" s="30" t="s">
        <v>260</v>
      </c>
      <c r="H1956" s="32">
        <v>21664030</v>
      </c>
      <c r="I1956" s="32">
        <v>468000</v>
      </c>
      <c r="J1956" s="32">
        <v>6990871</v>
      </c>
      <c r="K1956" s="33">
        <v>14205159</v>
      </c>
      <c r="L1956" s="33">
        <v>28500000</v>
      </c>
      <c r="M1956" s="34">
        <v>0.49842663157894734</v>
      </c>
      <c r="N1956" s="209" t="str">
        <f>IFERROR(VLOOKUP(F1956,Back!C:F,4,0),"NO")</f>
        <v>Si</v>
      </c>
      <c r="O1956" s="26">
        <v>24</v>
      </c>
      <c r="P1956" s="28" t="str">
        <f>IFERROR(VLOOKUP(F1956,Back!C:E,3,0),"")</f>
        <v>IPS Punto de Vista Mayorca</v>
      </c>
      <c r="Q1956" s="28" t="str">
        <f>IFERROR(VLOOKUP(P1956,Back!M:N,2,0),"")</f>
        <v>Antioquia</v>
      </c>
      <c r="R1956" s="27" t="str">
        <f>IF(N1956="Si",IFERROR(VLOOKUP(F1956,'TD Cumpl'!B:AB,27,0),"No Aplica"),"No Aplica")</f>
        <v>Fluctúa</v>
      </c>
      <c r="S1956" s="38">
        <v>42</v>
      </c>
      <c r="T1956" s="46">
        <v>4114626</v>
      </c>
      <c r="U1956" s="38">
        <v>90</v>
      </c>
      <c r="V1956" s="46">
        <v>8791525</v>
      </c>
      <c r="W1956" s="38">
        <v>81</v>
      </c>
      <c r="X1956" s="46">
        <v>6990871</v>
      </c>
      <c r="Y1956" s="46">
        <f t="shared" si="62"/>
        <v>1767008</v>
      </c>
    </row>
    <row r="1957" spans="1:25" x14ac:dyDescent="0.25">
      <c r="A1957" s="20">
        <f>+VLOOKUP(D1957,Back!Q:R,2,0)</f>
        <v>2</v>
      </c>
      <c r="B1957" s="20" t="str">
        <f t="shared" si="61"/>
        <v>2019 FEB</v>
      </c>
      <c r="C1957" s="30">
        <v>2019</v>
      </c>
      <c r="D1957" s="30" t="s">
        <v>138</v>
      </c>
      <c r="E1957" s="30" t="s">
        <v>38</v>
      </c>
      <c r="F1957" s="30">
        <v>43745192</v>
      </c>
      <c r="G1957" s="30" t="s">
        <v>45</v>
      </c>
      <c r="H1957" s="32">
        <v>36828556</v>
      </c>
      <c r="I1957" s="32">
        <v>1044000</v>
      </c>
      <c r="J1957" s="32">
        <v>7162569</v>
      </c>
      <c r="K1957" s="33">
        <v>28621987</v>
      </c>
      <c r="L1957" s="33">
        <v>28500000</v>
      </c>
      <c r="M1957" s="34">
        <v>1.0042802456140352</v>
      </c>
      <c r="N1957" s="209" t="str">
        <f>IFERROR(VLOOKUP(F1957,Back!C:F,4,0),"NO")</f>
        <v>Si</v>
      </c>
      <c r="O1957" s="26">
        <v>24</v>
      </c>
      <c r="P1957" s="28" t="str">
        <f>IFERROR(VLOOKUP(F1957,Back!C:E,3,0),"")</f>
        <v>IPS Punto de Vista Mayorca</v>
      </c>
      <c r="Q1957" s="28" t="str">
        <f>IFERROR(VLOOKUP(P1957,Back!M:N,2,0),"")</f>
        <v>Antioquia</v>
      </c>
      <c r="R1957" s="27" t="str">
        <f>IF(N1957="Si",IFERROR(VLOOKUP(F1957,'TD Cumpl'!B:AB,27,0),"No Aplica"),"No Aplica")</f>
        <v>Cumple</v>
      </c>
      <c r="S1957" s="38">
        <v>65</v>
      </c>
      <c r="T1957" s="46">
        <v>7042985</v>
      </c>
      <c r="U1957" s="38">
        <v>154</v>
      </c>
      <c r="V1957" s="46">
        <v>17850967</v>
      </c>
      <c r="W1957" s="38">
        <v>85</v>
      </c>
      <c r="X1957" s="46">
        <v>7162569</v>
      </c>
      <c r="Y1957" s="46">
        <f t="shared" si="62"/>
        <v>4772035</v>
      </c>
    </row>
    <row r="1958" spans="1:25" x14ac:dyDescent="0.25">
      <c r="A1958" s="20">
        <f>+VLOOKUP(D1958,Back!Q:R,2,0)</f>
        <v>2</v>
      </c>
      <c r="B1958" s="20" t="str">
        <f t="shared" si="61"/>
        <v>2019 FEB</v>
      </c>
      <c r="C1958" s="30">
        <v>2019</v>
      </c>
      <c r="D1958" s="30" t="s">
        <v>138</v>
      </c>
      <c r="E1958" s="30" t="s">
        <v>299</v>
      </c>
      <c r="F1958" s="30">
        <v>1232400088</v>
      </c>
      <c r="G1958" s="30" t="s">
        <v>304</v>
      </c>
      <c r="H1958" s="32">
        <v>36738041</v>
      </c>
      <c r="I1958" s="32">
        <v>468000</v>
      </c>
      <c r="J1958" s="32">
        <v>6737219</v>
      </c>
      <c r="K1958" s="33">
        <v>29532822</v>
      </c>
      <c r="L1958" s="33">
        <v>28500000</v>
      </c>
      <c r="M1958" s="34">
        <v>1.0362393684210527</v>
      </c>
      <c r="N1958" s="209" t="str">
        <f>IFERROR(VLOOKUP(F1958,Back!C:F,4,0),"NO")</f>
        <v>Si</v>
      </c>
      <c r="O1958" s="26">
        <v>24</v>
      </c>
      <c r="P1958" s="28" t="str">
        <f>IFERROR(VLOOKUP(F1958,Back!C:E,3,0),"")</f>
        <v>IPS Punto de Vista Mayorca</v>
      </c>
      <c r="Q1958" s="28" t="str">
        <f>IFERROR(VLOOKUP(P1958,Back!M:N,2,0),"")</f>
        <v>Antioquia</v>
      </c>
      <c r="R1958" s="27" t="str">
        <f>IF(N1958="Si",IFERROR(VLOOKUP(F1958,'TD Cumpl'!B:AB,27,0),"No Aplica"),"No Aplica")</f>
        <v>Fluctúa</v>
      </c>
      <c r="S1958" s="38">
        <v>71</v>
      </c>
      <c r="T1958" s="46">
        <v>7338478</v>
      </c>
      <c r="U1958" s="38">
        <v>158</v>
      </c>
      <c r="V1958" s="46">
        <v>18719629</v>
      </c>
      <c r="W1958" s="38">
        <v>77</v>
      </c>
      <c r="X1958" s="46">
        <v>6737219</v>
      </c>
      <c r="Y1958" s="46">
        <f t="shared" si="62"/>
        <v>3942715</v>
      </c>
    </row>
    <row r="1959" spans="1:25" x14ac:dyDescent="0.25">
      <c r="A1959" s="20">
        <f>+VLOOKUP(D1959,Back!Q:R,2,0)</f>
        <v>2</v>
      </c>
      <c r="B1959" s="20" t="str">
        <f t="shared" si="61"/>
        <v>2019 FEB</v>
      </c>
      <c r="C1959" s="30">
        <v>2019</v>
      </c>
      <c r="D1959" s="30" t="s">
        <v>138</v>
      </c>
      <c r="E1959" s="30" t="s">
        <v>276</v>
      </c>
      <c r="F1959" s="30">
        <v>1035224144</v>
      </c>
      <c r="G1959" s="30" t="s">
        <v>286</v>
      </c>
      <c r="H1959" s="32">
        <v>36557317</v>
      </c>
      <c r="I1959" s="32">
        <v>0</v>
      </c>
      <c r="J1959" s="32">
        <v>7455621</v>
      </c>
      <c r="K1959" s="33">
        <v>29101696</v>
      </c>
      <c r="L1959" s="33">
        <v>28500000</v>
      </c>
      <c r="M1959" s="34">
        <v>1.0211121403508772</v>
      </c>
      <c r="N1959" s="209" t="str">
        <f>IFERROR(VLOOKUP(F1959,Back!C:F,4,0),"NO")</f>
        <v>Si</v>
      </c>
      <c r="O1959" s="26">
        <v>24</v>
      </c>
      <c r="P1959" s="28" t="str">
        <f>IFERROR(VLOOKUP(F1959,Back!C:E,3,0),"")</f>
        <v>IPS Punto de Vista Mayorca</v>
      </c>
      <c r="Q1959" s="28" t="str">
        <f>IFERROR(VLOOKUP(P1959,Back!M:N,2,0),"")</f>
        <v>Antioquia</v>
      </c>
      <c r="R1959" s="27" t="str">
        <f>IF(N1959="Si",IFERROR(VLOOKUP(F1959,'TD Cumpl'!B:AB,27,0),"No Aplica"),"No Aplica")</f>
        <v>Cumple</v>
      </c>
      <c r="S1959" s="38">
        <v>63</v>
      </c>
      <c r="T1959" s="46">
        <v>6695260</v>
      </c>
      <c r="U1959" s="38">
        <v>141</v>
      </c>
      <c r="V1959" s="46">
        <v>18647818</v>
      </c>
      <c r="W1959" s="38">
        <v>81</v>
      </c>
      <c r="X1959" s="46">
        <v>7455621</v>
      </c>
      <c r="Y1959" s="46">
        <f t="shared" si="62"/>
        <v>3758618</v>
      </c>
    </row>
    <row r="1960" spans="1:25" x14ac:dyDescent="0.25">
      <c r="A1960" s="20">
        <f>+VLOOKUP(D1960,Back!Q:R,2,0)</f>
        <v>2</v>
      </c>
      <c r="B1960" s="20" t="str">
        <f t="shared" si="61"/>
        <v>2019 FEB</v>
      </c>
      <c r="C1960" s="30">
        <v>2019</v>
      </c>
      <c r="D1960" s="30" t="s">
        <v>138</v>
      </c>
      <c r="E1960" s="30" t="s">
        <v>249</v>
      </c>
      <c r="F1960" s="30">
        <v>1144061613</v>
      </c>
      <c r="G1960" s="30" t="s">
        <v>256</v>
      </c>
      <c r="H1960" s="32">
        <v>39437596</v>
      </c>
      <c r="I1960" s="32">
        <v>604200</v>
      </c>
      <c r="J1960" s="32">
        <v>8668119</v>
      </c>
      <c r="K1960" s="33">
        <v>30165277</v>
      </c>
      <c r="L1960" s="33">
        <v>28500000</v>
      </c>
      <c r="M1960" s="34">
        <v>1.0584307719298245</v>
      </c>
      <c r="N1960" s="209" t="str">
        <f>IFERROR(VLOOKUP(F1960,Back!C:F,4,0),"NO")</f>
        <v>Si</v>
      </c>
      <c r="O1960" s="26">
        <v>24</v>
      </c>
      <c r="P1960" s="28" t="str">
        <f>IFERROR(VLOOKUP(F1960,Back!C:E,3,0),"")</f>
        <v>Punto de Vista Tequendama</v>
      </c>
      <c r="Q1960" s="28" t="str">
        <f>IFERROR(VLOOKUP(P1960,Back!M:N,2,0),"")</f>
        <v>Occidente</v>
      </c>
      <c r="R1960" s="27" t="str">
        <f>IF(N1960="Si",IFERROR(VLOOKUP(F1960,'TD Cumpl'!B:AB,27,0),"No Aplica"),"No Aplica")</f>
        <v>Fluctúa</v>
      </c>
      <c r="S1960" s="38">
        <v>62</v>
      </c>
      <c r="T1960" s="46">
        <v>6741944</v>
      </c>
      <c r="U1960" s="38">
        <v>173</v>
      </c>
      <c r="V1960" s="46">
        <v>19861317</v>
      </c>
      <c r="W1960" s="38">
        <v>93</v>
      </c>
      <c r="X1960" s="46">
        <v>8668119</v>
      </c>
      <c r="Y1960" s="46">
        <f t="shared" si="62"/>
        <v>4166216</v>
      </c>
    </row>
    <row r="1961" spans="1:25" x14ac:dyDescent="0.25">
      <c r="A1961" s="20">
        <f>+VLOOKUP(D1961,Back!Q:R,2,0)</f>
        <v>2</v>
      </c>
      <c r="B1961" s="20" t="str">
        <f t="shared" si="61"/>
        <v>2019 FEB</v>
      </c>
      <c r="C1961" s="30">
        <v>2019</v>
      </c>
      <c r="D1961" s="30" t="s">
        <v>138</v>
      </c>
      <c r="E1961" s="30" t="s">
        <v>297</v>
      </c>
      <c r="F1961" s="30">
        <v>66910365</v>
      </c>
      <c r="G1961" s="30" t="s">
        <v>303</v>
      </c>
      <c r="H1961" s="32">
        <v>36203627</v>
      </c>
      <c r="I1961" s="32">
        <v>442200</v>
      </c>
      <c r="J1961" s="32">
        <v>7764024</v>
      </c>
      <c r="K1961" s="33">
        <v>27997403</v>
      </c>
      <c r="L1961" s="33">
        <v>28500000</v>
      </c>
      <c r="M1961" s="34">
        <v>0.98236501754385963</v>
      </c>
      <c r="N1961" s="209" t="str">
        <f>IFERROR(VLOOKUP(F1961,Back!C:F,4,0),"NO")</f>
        <v>Si</v>
      </c>
      <c r="O1961" s="26">
        <v>24</v>
      </c>
      <c r="P1961" s="28" t="str">
        <f>IFERROR(VLOOKUP(F1961,Back!C:E,3,0),"")</f>
        <v>Punto de Vista Tequendama</v>
      </c>
      <c r="Q1961" s="28" t="str">
        <f>IFERROR(VLOOKUP(P1961,Back!M:N,2,0),"")</f>
        <v>Occidente</v>
      </c>
      <c r="R1961" s="27" t="str">
        <f>IF(N1961="Si",IFERROR(VLOOKUP(F1961,'TD Cumpl'!B:AB,27,0),"No Aplica"),"No Aplica")</f>
        <v>Fluctúa</v>
      </c>
      <c r="S1961" s="38">
        <v>49</v>
      </c>
      <c r="T1961" s="46">
        <v>5644335</v>
      </c>
      <c r="U1961" s="38">
        <v>160</v>
      </c>
      <c r="V1961" s="46">
        <v>19171877</v>
      </c>
      <c r="W1961" s="38">
        <v>88</v>
      </c>
      <c r="X1961" s="46">
        <v>7764024</v>
      </c>
      <c r="Y1961" s="46">
        <f t="shared" si="62"/>
        <v>3623391</v>
      </c>
    </row>
    <row r="1962" spans="1:25" x14ac:dyDescent="0.25">
      <c r="A1962" s="20">
        <f>+VLOOKUP(D1962,Back!Q:R,2,0)</f>
        <v>2</v>
      </c>
      <c r="B1962" s="20" t="str">
        <f t="shared" si="61"/>
        <v>2019 FEB</v>
      </c>
      <c r="C1962" s="30">
        <v>2019</v>
      </c>
      <c r="D1962" s="30" t="s">
        <v>138</v>
      </c>
      <c r="E1962" s="30" t="s">
        <v>88</v>
      </c>
      <c r="F1962" s="30">
        <v>31445278</v>
      </c>
      <c r="G1962" s="30" t="s">
        <v>93</v>
      </c>
      <c r="H1962" s="32">
        <v>42040372</v>
      </c>
      <c r="I1962" s="32">
        <v>0</v>
      </c>
      <c r="J1962" s="32">
        <v>8881135</v>
      </c>
      <c r="K1962" s="33">
        <v>33159237</v>
      </c>
      <c r="L1962" s="33">
        <v>28500000</v>
      </c>
      <c r="M1962" s="34">
        <v>1.1634819999999999</v>
      </c>
      <c r="N1962" s="209" t="str">
        <f>IFERROR(VLOOKUP(F1962,Back!C:F,4,0),"NO")</f>
        <v>Si</v>
      </c>
      <c r="O1962" s="26">
        <v>24</v>
      </c>
      <c r="P1962" s="28" t="str">
        <f>IFERROR(VLOOKUP(F1962,Back!C:E,3,0),"")</f>
        <v>Punto de Vista Tequendama</v>
      </c>
      <c r="Q1962" s="28" t="str">
        <f>IFERROR(VLOOKUP(P1962,Back!M:N,2,0),"")</f>
        <v>Occidente</v>
      </c>
      <c r="R1962" s="27" t="str">
        <f>IF(N1962="Si",IFERROR(VLOOKUP(F1962,'TD Cumpl'!B:AB,27,0),"No Aplica"),"No Aplica")</f>
        <v>Cumple</v>
      </c>
      <c r="S1962" s="38">
        <v>76</v>
      </c>
      <c r="T1962" s="46">
        <v>8052327</v>
      </c>
      <c r="U1962" s="38">
        <v>204</v>
      </c>
      <c r="V1962" s="46">
        <v>23164895</v>
      </c>
      <c r="W1962" s="38">
        <v>99</v>
      </c>
      <c r="X1962" s="46">
        <v>8881135</v>
      </c>
      <c r="Y1962" s="46">
        <f t="shared" si="62"/>
        <v>1942015</v>
      </c>
    </row>
    <row r="1963" spans="1:25" x14ac:dyDescent="0.25">
      <c r="A1963" s="20">
        <f>+VLOOKUP(D1963,Back!Q:R,2,0)</f>
        <v>2</v>
      </c>
      <c r="B1963" s="20" t="str">
        <f t="shared" si="61"/>
        <v>2019 FEB</v>
      </c>
      <c r="C1963" s="30">
        <v>2019</v>
      </c>
      <c r="D1963" s="30" t="s">
        <v>138</v>
      </c>
      <c r="E1963" s="30" t="s">
        <v>326</v>
      </c>
      <c r="F1963" s="30">
        <v>1126257967</v>
      </c>
      <c r="G1963" s="30" t="s">
        <v>327</v>
      </c>
      <c r="H1963" s="32">
        <v>16926301</v>
      </c>
      <c r="I1963" s="32">
        <v>0</v>
      </c>
      <c r="J1963" s="32">
        <v>4382204</v>
      </c>
      <c r="K1963" s="33">
        <v>12544097</v>
      </c>
      <c r="L1963" s="33">
        <v>26520833.333333332</v>
      </c>
      <c r="M1963" s="34">
        <v>0.47299030322073843</v>
      </c>
      <c r="N1963" s="209" t="str">
        <f>IFERROR(VLOOKUP(F1963,Back!C:F,4,0),"NO")</f>
        <v>Si</v>
      </c>
      <c r="O1963" s="26">
        <v>24</v>
      </c>
      <c r="P1963" s="28" t="str">
        <f>IFERROR(VLOOKUP(F1963,Back!C:E,3,0),"")</f>
        <v>IPS Pto De Vista Santa Bárbara</v>
      </c>
      <c r="Q1963" s="28" t="str">
        <f>IFERROR(VLOOKUP(P1963,Back!M:N,2,0),"")</f>
        <v>Centro</v>
      </c>
      <c r="R1963" s="27" t="str">
        <f>IF(N1963="Si",IFERROR(VLOOKUP(F1963,'TD Cumpl'!B:AB,27,0),"No Aplica"),"No Aplica")</f>
        <v>No Cumple</v>
      </c>
      <c r="S1963" s="38">
        <v>26</v>
      </c>
      <c r="T1963" s="46">
        <v>2828054</v>
      </c>
      <c r="U1963" s="38">
        <v>78</v>
      </c>
      <c r="V1963" s="46">
        <v>9481435</v>
      </c>
      <c r="W1963" s="38">
        <v>60</v>
      </c>
      <c r="X1963" s="46">
        <v>4382204</v>
      </c>
      <c r="Y1963" s="46">
        <f t="shared" si="62"/>
        <v>234608</v>
      </c>
    </row>
    <row r="1964" spans="1:25" x14ac:dyDescent="0.25">
      <c r="A1964" s="20">
        <f>+VLOOKUP(D1964,Back!Q:R,2,0)</f>
        <v>2</v>
      </c>
      <c r="B1964" s="20" t="str">
        <f t="shared" si="61"/>
        <v>2019 FEB</v>
      </c>
      <c r="C1964" s="30">
        <v>2019</v>
      </c>
      <c r="D1964" s="30" t="s">
        <v>138</v>
      </c>
      <c r="E1964" s="30" t="s">
        <v>328</v>
      </c>
      <c r="F1964" s="30"/>
      <c r="G1964" s="30"/>
      <c r="H1964" s="32">
        <v>4332410</v>
      </c>
      <c r="I1964" s="32">
        <v>0</v>
      </c>
      <c r="J1964" s="32">
        <v>1961381</v>
      </c>
      <c r="K1964" s="33">
        <v>2371029</v>
      </c>
      <c r="L1964" s="33"/>
      <c r="M1964" s="34"/>
      <c r="N1964" s="209" t="str">
        <f>IFERROR(VLOOKUP(F1964,Back!C:F,4,0),"NO")</f>
        <v>NO</v>
      </c>
      <c r="O1964" s="26">
        <v>24</v>
      </c>
      <c r="P1964" s="28" t="str">
        <f>IFERROR(VLOOKUP(F1964,Back!C:E,3,0),"")</f>
        <v/>
      </c>
      <c r="Q1964" s="28" t="str">
        <f>IFERROR(VLOOKUP(P1964,Back!M:N,2,0),"")</f>
        <v/>
      </c>
      <c r="R1964" s="27" t="str">
        <f>IF(N1964="Si",IFERROR(VLOOKUP(F1964,'TD Cumpl'!B:AB,27,0),"No Aplica"),"No Aplica")</f>
        <v>No Aplica</v>
      </c>
      <c r="S1964" s="38">
        <v>6</v>
      </c>
      <c r="T1964" s="46">
        <v>452610</v>
      </c>
      <c r="U1964" s="38">
        <v>20</v>
      </c>
      <c r="V1964" s="46">
        <v>1811816</v>
      </c>
      <c r="W1964" s="38">
        <v>25</v>
      </c>
      <c r="X1964" s="46">
        <v>1961381</v>
      </c>
      <c r="Y1964" s="46">
        <f t="shared" si="62"/>
        <v>106603</v>
      </c>
    </row>
    <row r="1965" spans="1:25" x14ac:dyDescent="0.25">
      <c r="A1965" s="20">
        <f>+VLOOKUP(D1965,Back!Q:R,2,0)</f>
        <v>2</v>
      </c>
      <c r="B1965" s="20" t="str">
        <f t="shared" si="61"/>
        <v>2019 FEB</v>
      </c>
      <c r="C1965" s="30">
        <v>2019</v>
      </c>
      <c r="D1965" s="30" t="s">
        <v>138</v>
      </c>
      <c r="E1965" s="30" t="s">
        <v>184</v>
      </c>
      <c r="F1965" s="30"/>
      <c r="G1965" s="30"/>
      <c r="H1965" s="32">
        <v>694594</v>
      </c>
      <c r="I1965" s="32">
        <v>0</v>
      </c>
      <c r="J1965" s="32">
        <v>0</v>
      </c>
      <c r="K1965" s="33">
        <v>694594</v>
      </c>
      <c r="L1965" s="33"/>
      <c r="M1965" s="34"/>
      <c r="N1965" s="209" t="str">
        <f>IFERROR(VLOOKUP(F1965,Back!C:F,4,0),"NO")</f>
        <v>NO</v>
      </c>
      <c r="O1965" s="26">
        <v>24</v>
      </c>
      <c r="P1965" s="28" t="str">
        <f>IFERROR(VLOOKUP(F1965,Back!C:E,3,0),"")</f>
        <v/>
      </c>
      <c r="Q1965" s="28" t="str">
        <f>IFERROR(VLOOKUP(P1965,Back!M:N,2,0),"")</f>
        <v/>
      </c>
      <c r="R1965" s="27" t="str">
        <f>IF(N1965="Si",IFERROR(VLOOKUP(F1965,'TD Cumpl'!B:AB,27,0),"No Aplica"),"No Aplica")</f>
        <v>No Aplica</v>
      </c>
      <c r="S1965" s="38">
        <v>1</v>
      </c>
      <c r="T1965" s="46">
        <v>153879</v>
      </c>
      <c r="U1965" s="38">
        <v>2</v>
      </c>
      <c r="V1965" s="46">
        <v>540715</v>
      </c>
      <c r="W1965" s="38">
        <v>0</v>
      </c>
      <c r="X1965" s="46">
        <v>0</v>
      </c>
      <c r="Y1965" s="46">
        <f t="shared" si="62"/>
        <v>0</v>
      </c>
    </row>
    <row r="1966" spans="1:25" x14ac:dyDescent="0.25">
      <c r="A1966" s="20">
        <f>+VLOOKUP(D1966,Back!Q:R,2,0)</f>
        <v>2</v>
      </c>
      <c r="B1966" s="20" t="str">
        <f t="shared" si="61"/>
        <v>2019 FEB</v>
      </c>
      <c r="C1966" s="30">
        <v>2019</v>
      </c>
      <c r="D1966" s="30" t="s">
        <v>138</v>
      </c>
      <c r="E1966" s="30" t="s">
        <v>151</v>
      </c>
      <c r="F1966" s="30"/>
      <c r="G1966" s="30"/>
      <c r="H1966" s="32">
        <v>98000</v>
      </c>
      <c r="I1966" s="32">
        <v>0</v>
      </c>
      <c r="J1966" s="32">
        <v>98000</v>
      </c>
      <c r="K1966" s="33">
        <v>0</v>
      </c>
      <c r="L1966" s="33"/>
      <c r="M1966" s="34"/>
      <c r="N1966" s="209" t="str">
        <f>IFERROR(VLOOKUP(F1966,Back!C:F,4,0),"NO")</f>
        <v>NO</v>
      </c>
      <c r="O1966" s="26">
        <v>24</v>
      </c>
      <c r="P1966" s="28" t="str">
        <f>IFERROR(VLOOKUP(F1966,Back!C:E,3,0),"")</f>
        <v/>
      </c>
      <c r="Q1966" s="28" t="str">
        <f>IFERROR(VLOOKUP(P1966,Back!M:N,2,0),"")</f>
        <v/>
      </c>
      <c r="R1966" s="27" t="str">
        <f>IF(N1966="Si",IFERROR(VLOOKUP(F1966,'TD Cumpl'!B:AB,27,0),"No Aplica"),"No Aplica")</f>
        <v>No Aplica</v>
      </c>
      <c r="S1966" s="38">
        <v>0</v>
      </c>
      <c r="T1966" s="46">
        <v>0</v>
      </c>
      <c r="U1966" s="38">
        <v>0</v>
      </c>
      <c r="V1966" s="46">
        <v>0</v>
      </c>
      <c r="W1966" s="38">
        <v>0</v>
      </c>
      <c r="X1966" s="46">
        <v>0</v>
      </c>
      <c r="Y1966" s="46">
        <f t="shared" si="62"/>
        <v>98000</v>
      </c>
    </row>
    <row r="1967" spans="1:25" x14ac:dyDescent="0.25">
      <c r="A1967" s="20">
        <f>+VLOOKUP(D1967,Back!Q:R,2,0)</f>
        <v>2</v>
      </c>
      <c r="B1967" s="20" t="str">
        <f t="shared" si="61"/>
        <v>2019 FEB</v>
      </c>
      <c r="C1967" s="30">
        <v>2019</v>
      </c>
      <c r="D1967" s="30" t="s">
        <v>138</v>
      </c>
      <c r="E1967" s="30" t="s">
        <v>119</v>
      </c>
      <c r="F1967" s="30"/>
      <c r="G1967" s="30"/>
      <c r="H1967" s="32">
        <v>73601</v>
      </c>
      <c r="I1967" s="32">
        <v>0</v>
      </c>
      <c r="J1967" s="32">
        <v>73601</v>
      </c>
      <c r="K1967" s="33">
        <v>0</v>
      </c>
      <c r="L1967" s="33"/>
      <c r="M1967" s="34"/>
      <c r="N1967" s="209" t="str">
        <f>IFERROR(VLOOKUP(F1967,Back!C:F,4,0),"NO")</f>
        <v>NO</v>
      </c>
      <c r="O1967" s="26">
        <v>24</v>
      </c>
      <c r="P1967" s="28" t="str">
        <f>IFERROR(VLOOKUP(F1967,Back!C:E,3,0),"")</f>
        <v/>
      </c>
      <c r="Q1967" s="28" t="str">
        <f>IFERROR(VLOOKUP(P1967,Back!M:N,2,0),"")</f>
        <v/>
      </c>
      <c r="R1967" s="27" t="str">
        <f>IF(N1967="Si",IFERROR(VLOOKUP(F1967,'TD Cumpl'!B:AB,27,0),"No Aplica"),"No Aplica")</f>
        <v>No Aplica</v>
      </c>
      <c r="S1967" s="38">
        <v>0</v>
      </c>
      <c r="T1967" s="46">
        <v>0</v>
      </c>
      <c r="U1967" s="38">
        <v>0</v>
      </c>
      <c r="V1967" s="46">
        <v>0</v>
      </c>
      <c r="W1967" s="38">
        <v>1</v>
      </c>
      <c r="X1967" s="46">
        <v>73601</v>
      </c>
      <c r="Y1967" s="46">
        <f t="shared" si="62"/>
        <v>0</v>
      </c>
    </row>
    <row r="1968" spans="1:25" x14ac:dyDescent="0.25">
      <c r="A1968" s="20">
        <f>+VLOOKUP(D1968,Back!Q:R,2,0)</f>
        <v>2</v>
      </c>
      <c r="B1968" s="20" t="str">
        <f t="shared" si="61"/>
        <v>2019 FEB</v>
      </c>
      <c r="C1968" s="30">
        <v>2019</v>
      </c>
      <c r="D1968" s="30" t="s">
        <v>138</v>
      </c>
      <c r="E1968" s="30" t="s">
        <v>92</v>
      </c>
      <c r="F1968" s="30"/>
      <c r="G1968" s="30"/>
      <c r="H1968" s="32">
        <v>17203709</v>
      </c>
      <c r="I1968" s="32">
        <v>1134000</v>
      </c>
      <c r="J1968" s="32">
        <v>5136618</v>
      </c>
      <c r="K1968" s="33">
        <v>10933091</v>
      </c>
      <c r="L1968" s="33"/>
      <c r="M1968" s="34"/>
      <c r="N1968" s="209" t="str">
        <f>IFERROR(VLOOKUP(F1968,Back!C:F,4,0),"NO")</f>
        <v>NO</v>
      </c>
      <c r="O1968" s="26">
        <v>24</v>
      </c>
      <c r="P1968" s="28" t="str">
        <f>IFERROR(VLOOKUP(F1968,Back!C:E,3,0),"")</f>
        <v/>
      </c>
      <c r="Q1968" s="28" t="str">
        <f>IFERROR(VLOOKUP(P1968,Back!M:N,2,0),"")</f>
        <v/>
      </c>
      <c r="R1968" s="27" t="str">
        <f>IF(N1968="Si",IFERROR(VLOOKUP(F1968,'TD Cumpl'!B:AB,27,0),"No Aplica"),"No Aplica")</f>
        <v>No Aplica</v>
      </c>
      <c r="S1968" s="38">
        <v>23</v>
      </c>
      <c r="T1968" s="46">
        <v>2676570</v>
      </c>
      <c r="U1968" s="38">
        <v>48</v>
      </c>
      <c r="V1968" s="46">
        <v>6148212</v>
      </c>
      <c r="W1968" s="38">
        <v>56</v>
      </c>
      <c r="X1968" s="46">
        <v>5136618</v>
      </c>
      <c r="Y1968" s="46">
        <f t="shared" si="62"/>
        <v>3242309</v>
      </c>
    </row>
    <row r="1969" spans="1:25" x14ac:dyDescent="0.25">
      <c r="A1969" s="20">
        <f>+VLOOKUP(D1969,Back!Q:R,2,0)</f>
        <v>2</v>
      </c>
      <c r="B1969" s="20" t="str">
        <f t="shared" si="61"/>
        <v>2019 FEB</v>
      </c>
      <c r="C1969" s="30">
        <v>2019</v>
      </c>
      <c r="D1969" s="30" t="s">
        <v>138</v>
      </c>
      <c r="E1969" s="30" t="s">
        <v>91</v>
      </c>
      <c r="F1969" s="30"/>
      <c r="G1969" s="30"/>
      <c r="H1969" s="32">
        <v>221744</v>
      </c>
      <c r="I1969" s="32">
        <v>0</v>
      </c>
      <c r="J1969" s="32">
        <v>0</v>
      </c>
      <c r="K1969" s="33">
        <v>221744</v>
      </c>
      <c r="L1969" s="33"/>
      <c r="M1969" s="34"/>
      <c r="N1969" s="209" t="str">
        <f>IFERROR(VLOOKUP(F1969,Back!C:F,4,0),"NO")</f>
        <v>NO</v>
      </c>
      <c r="O1969" s="26">
        <v>24</v>
      </c>
      <c r="P1969" s="28" t="str">
        <f>IFERROR(VLOOKUP(F1969,Back!C:E,3,0),"")</f>
        <v/>
      </c>
      <c r="Q1969" s="28" t="str">
        <f>IFERROR(VLOOKUP(P1969,Back!M:N,2,0),"")</f>
        <v/>
      </c>
      <c r="R1969" s="27" t="str">
        <f>IF(N1969="Si",IFERROR(VLOOKUP(F1969,'TD Cumpl'!B:AB,27,0),"No Aplica"),"No Aplica")</f>
        <v>No Aplica</v>
      </c>
      <c r="S1969" s="38">
        <v>1</v>
      </c>
      <c r="T1969" s="46">
        <v>77143</v>
      </c>
      <c r="U1969" s="38">
        <v>0</v>
      </c>
      <c r="V1969" s="46">
        <v>0</v>
      </c>
      <c r="W1969" s="38">
        <v>0</v>
      </c>
      <c r="X1969" s="46">
        <v>0</v>
      </c>
      <c r="Y1969" s="46">
        <f t="shared" si="62"/>
        <v>144601</v>
      </c>
    </row>
    <row r="1970" spans="1:25" x14ac:dyDescent="0.25">
      <c r="A1970" s="20">
        <f>+VLOOKUP(D1970,Back!Q:R,2,0)</f>
        <v>2</v>
      </c>
      <c r="B1970" s="20" t="str">
        <f t="shared" si="61"/>
        <v>2019 FEB</v>
      </c>
      <c r="C1970" s="30">
        <v>2019</v>
      </c>
      <c r="D1970" s="30" t="s">
        <v>138</v>
      </c>
      <c r="E1970" s="30" t="s">
        <v>237</v>
      </c>
      <c r="F1970" s="30"/>
      <c r="G1970" s="30"/>
      <c r="H1970" s="32">
        <v>886020</v>
      </c>
      <c r="I1970" s="32">
        <v>0</v>
      </c>
      <c r="J1970" s="32">
        <v>0</v>
      </c>
      <c r="K1970" s="33">
        <v>886020</v>
      </c>
      <c r="L1970" s="33"/>
      <c r="M1970" s="34"/>
      <c r="N1970" s="209" t="str">
        <f>IFERROR(VLOOKUP(F1970,Back!C:F,4,0),"NO")</f>
        <v>NO</v>
      </c>
      <c r="O1970" s="26">
        <v>24</v>
      </c>
      <c r="P1970" s="28" t="str">
        <f>IFERROR(VLOOKUP(F1970,Back!C:E,3,0),"")</f>
        <v/>
      </c>
      <c r="Q1970" s="28" t="str">
        <f>IFERROR(VLOOKUP(P1970,Back!M:N,2,0),"")</f>
        <v/>
      </c>
      <c r="R1970" s="27" t="str">
        <f>IF(N1970="Si",IFERROR(VLOOKUP(F1970,'TD Cumpl'!B:AB,27,0),"No Aplica"),"No Aplica")</f>
        <v>No Aplica</v>
      </c>
      <c r="S1970" s="38">
        <v>2</v>
      </c>
      <c r="T1970" s="46">
        <v>235001</v>
      </c>
      <c r="U1970" s="38">
        <v>4</v>
      </c>
      <c r="V1970" s="46">
        <v>202899</v>
      </c>
      <c r="W1970" s="38">
        <v>0</v>
      </c>
      <c r="X1970" s="46">
        <v>0</v>
      </c>
      <c r="Y1970" s="46">
        <f t="shared" si="62"/>
        <v>448120</v>
      </c>
    </row>
    <row r="1971" spans="1:25" x14ac:dyDescent="0.25">
      <c r="A1971" s="20">
        <f>+VLOOKUP(D1971,Back!Q:R,2,0)</f>
        <v>2</v>
      </c>
      <c r="B1971" s="20" t="str">
        <f t="shared" si="61"/>
        <v>2019 FEB</v>
      </c>
      <c r="C1971" s="30">
        <v>2019</v>
      </c>
      <c r="D1971" s="30" t="s">
        <v>138</v>
      </c>
      <c r="E1971" s="30" t="s">
        <v>12</v>
      </c>
      <c r="F1971" s="30"/>
      <c r="G1971" s="30"/>
      <c r="H1971" s="32">
        <v>468000</v>
      </c>
      <c r="I1971" s="32">
        <v>468000</v>
      </c>
      <c r="J1971" s="32">
        <v>0</v>
      </c>
      <c r="K1971" s="33">
        <v>0</v>
      </c>
      <c r="L1971" s="33"/>
      <c r="M1971" s="34"/>
      <c r="N1971" s="209" t="str">
        <f>IFERROR(VLOOKUP(F1971,Back!C:F,4,0),"NO")</f>
        <v>NO</v>
      </c>
      <c r="O1971" s="26">
        <v>24</v>
      </c>
      <c r="P1971" s="28" t="str">
        <f>IFERROR(VLOOKUP(F1971,Back!C:E,3,0),"")</f>
        <v/>
      </c>
      <c r="Q1971" s="28" t="str">
        <f>IFERROR(VLOOKUP(P1971,Back!M:N,2,0),"")</f>
        <v/>
      </c>
      <c r="R1971" s="27" t="str">
        <f>IF(N1971="Si",IFERROR(VLOOKUP(F1971,'TD Cumpl'!B:AB,27,0),"No Aplica"),"No Aplica")</f>
        <v>No Aplica</v>
      </c>
      <c r="S1971" s="38">
        <v>0</v>
      </c>
      <c r="T1971" s="46">
        <v>0</v>
      </c>
      <c r="U1971" s="38">
        <v>0</v>
      </c>
      <c r="V1971" s="46">
        <v>0</v>
      </c>
      <c r="W1971" s="38">
        <v>0</v>
      </c>
      <c r="X1971" s="46">
        <v>0</v>
      </c>
      <c r="Y1971" s="46">
        <f t="shared" si="62"/>
        <v>468000</v>
      </c>
    </row>
    <row r="1972" spans="1:25" x14ac:dyDescent="0.25">
      <c r="A1972" s="20">
        <f>+VLOOKUP(D1972,Back!Q:R,2,0)</f>
        <v>2</v>
      </c>
      <c r="B1972" s="20" t="str">
        <f t="shared" si="61"/>
        <v>2019 FEB</v>
      </c>
      <c r="C1972" s="30">
        <v>2019</v>
      </c>
      <c r="D1972" s="30" t="s">
        <v>138</v>
      </c>
      <c r="E1972" s="30" t="s">
        <v>4</v>
      </c>
      <c r="F1972" s="30"/>
      <c r="G1972" s="30"/>
      <c r="H1972" s="32">
        <v>111979</v>
      </c>
      <c r="I1972" s="32">
        <v>0</v>
      </c>
      <c r="J1972" s="32">
        <v>0</v>
      </c>
      <c r="K1972" s="33">
        <v>111979</v>
      </c>
      <c r="L1972" s="33"/>
      <c r="M1972" s="34"/>
      <c r="N1972" s="209" t="str">
        <f>IFERROR(VLOOKUP(F1972,Back!C:F,4,0),"NO")</f>
        <v>NO</v>
      </c>
      <c r="O1972" s="26">
        <v>24</v>
      </c>
      <c r="P1972" s="28" t="str">
        <f>IFERROR(VLOOKUP(F1972,Back!C:E,3,0),"")</f>
        <v/>
      </c>
      <c r="Q1972" s="28" t="str">
        <f>IFERROR(VLOOKUP(P1972,Back!M:N,2,0),"")</f>
        <v/>
      </c>
      <c r="R1972" s="27" t="str">
        <f>IF(N1972="Si",IFERROR(VLOOKUP(F1972,'TD Cumpl'!B:AB,27,0),"No Aplica"),"No Aplica")</f>
        <v>No Aplica</v>
      </c>
      <c r="S1972" s="38">
        <v>0</v>
      </c>
      <c r="T1972" s="46">
        <v>0</v>
      </c>
      <c r="U1972" s="38">
        <v>2</v>
      </c>
      <c r="V1972" s="46">
        <v>111979</v>
      </c>
      <c r="W1972" s="38">
        <v>0</v>
      </c>
      <c r="X1972" s="46">
        <v>0</v>
      </c>
      <c r="Y1972" s="46">
        <f t="shared" si="62"/>
        <v>0</v>
      </c>
    </row>
    <row r="1973" spans="1:25" x14ac:dyDescent="0.25">
      <c r="A1973" s="20">
        <f>+VLOOKUP(D1973,Back!Q:R,2,0)</f>
        <v>2</v>
      </c>
      <c r="B1973" s="20" t="str">
        <f t="shared" si="61"/>
        <v>2019 FEB</v>
      </c>
      <c r="C1973" s="30">
        <v>2019</v>
      </c>
      <c r="D1973" s="30" t="s">
        <v>138</v>
      </c>
      <c r="E1973" s="30" t="s">
        <v>87</v>
      </c>
      <c r="F1973" s="30"/>
      <c r="G1973" s="30"/>
      <c r="H1973" s="32">
        <v>2721988</v>
      </c>
      <c r="I1973" s="32">
        <v>0</v>
      </c>
      <c r="J1973" s="32">
        <v>0</v>
      </c>
      <c r="K1973" s="33">
        <v>2721988</v>
      </c>
      <c r="L1973" s="33"/>
      <c r="M1973" s="34"/>
      <c r="N1973" s="209" t="str">
        <f>IFERROR(VLOOKUP(F1973,Back!C:F,4,0),"NO")</f>
        <v>NO</v>
      </c>
      <c r="O1973" s="26">
        <v>24</v>
      </c>
      <c r="P1973" s="28" t="str">
        <f>IFERROR(VLOOKUP(F1973,Back!C:E,3,0),"")</f>
        <v/>
      </c>
      <c r="Q1973" s="28" t="str">
        <f>IFERROR(VLOOKUP(P1973,Back!M:N,2,0),"")</f>
        <v/>
      </c>
      <c r="R1973" s="27" t="str">
        <f>IF(N1973="Si",IFERROR(VLOOKUP(F1973,'TD Cumpl'!B:AB,27,0),"No Aplica"),"No Aplica")</f>
        <v>No Aplica</v>
      </c>
      <c r="S1973" s="38">
        <v>5</v>
      </c>
      <c r="T1973" s="46">
        <v>589120</v>
      </c>
      <c r="U1973" s="38">
        <v>19</v>
      </c>
      <c r="V1973" s="46">
        <v>924569</v>
      </c>
      <c r="W1973" s="38">
        <v>0</v>
      </c>
      <c r="X1973" s="46">
        <v>0</v>
      </c>
      <c r="Y1973" s="46">
        <f t="shared" si="62"/>
        <v>1208299</v>
      </c>
    </row>
    <row r="1974" spans="1:25" x14ac:dyDescent="0.25">
      <c r="A1974" s="20">
        <f>+VLOOKUP(D1974,Back!Q:R,2,0)</f>
        <v>3</v>
      </c>
      <c r="B1974" s="20" t="str">
        <f t="shared" si="61"/>
        <v>2019 MAR</v>
      </c>
      <c r="C1974" s="30">
        <v>2019</v>
      </c>
      <c r="D1974" s="30" t="s">
        <v>139</v>
      </c>
      <c r="E1974" s="30" t="s">
        <v>258</v>
      </c>
      <c r="F1974" s="30">
        <v>1130676531</v>
      </c>
      <c r="G1974" s="30" t="s">
        <v>262</v>
      </c>
      <c r="H1974" s="32">
        <v>18657107</v>
      </c>
      <c r="I1974" s="32">
        <v>0</v>
      </c>
      <c r="J1974" s="32">
        <v>2958648</v>
      </c>
      <c r="K1974" s="33">
        <v>15698459</v>
      </c>
      <c r="L1974" s="33">
        <v>27640000</v>
      </c>
      <c r="M1974" s="34">
        <v>0.56796161360347319</v>
      </c>
      <c r="N1974" s="209" t="str">
        <f>IFERROR(VLOOKUP(F1974,Back!C:F,4,0),"NO")</f>
        <v>Si</v>
      </c>
      <c r="O1974" s="26">
        <v>25</v>
      </c>
      <c r="P1974" s="28" t="str">
        <f>IFERROR(VLOOKUP(F1974,Back!C:E,3,0),"")</f>
        <v>Punto de Vista Cali Norte</v>
      </c>
      <c r="Q1974" s="28" t="str">
        <f>IFERROR(VLOOKUP(P1974,Back!M:N,2,0),"")</f>
        <v>Occidente</v>
      </c>
      <c r="R1974" s="27" t="str">
        <f>IF(N1974="Si",IFERROR(VLOOKUP(F1974,'TD Cumpl'!B:AB,27,0),"No Aplica"),"No Aplica")</f>
        <v>No Cumple</v>
      </c>
      <c r="S1974" s="38">
        <v>30</v>
      </c>
      <c r="T1974" s="46">
        <v>3892994</v>
      </c>
      <c r="U1974" s="38">
        <v>80</v>
      </c>
      <c r="V1974" s="46">
        <v>10016914</v>
      </c>
      <c r="W1974" s="38">
        <v>31</v>
      </c>
      <c r="X1974" s="46">
        <v>2958648</v>
      </c>
      <c r="Y1974" s="46">
        <f t="shared" si="62"/>
        <v>1788551</v>
      </c>
    </row>
    <row r="1975" spans="1:25" x14ac:dyDescent="0.25">
      <c r="A1975" s="20">
        <f>+VLOOKUP(D1975,Back!Q:R,2,0)</f>
        <v>3</v>
      </c>
      <c r="B1975" s="20" t="str">
        <f t="shared" si="61"/>
        <v>2019 MAR</v>
      </c>
      <c r="C1975" s="30">
        <v>2019</v>
      </c>
      <c r="D1975" s="30" t="s">
        <v>139</v>
      </c>
      <c r="E1975" s="30" t="s">
        <v>62</v>
      </c>
      <c r="F1975" s="30">
        <v>32256379</v>
      </c>
      <c r="G1975" s="30" t="s">
        <v>61</v>
      </c>
      <c r="H1975" s="32">
        <v>53603204</v>
      </c>
      <c r="I1975" s="32">
        <v>468000</v>
      </c>
      <c r="J1975" s="32">
        <v>5356821</v>
      </c>
      <c r="K1975" s="33">
        <v>47778383</v>
      </c>
      <c r="L1975" s="33">
        <v>33920000</v>
      </c>
      <c r="M1975" s="34">
        <v>1.4085608195754717</v>
      </c>
      <c r="N1975" s="209" t="str">
        <f>IFERROR(VLOOKUP(F1975,Back!C:F,4,0),"NO")</f>
        <v>Si</v>
      </c>
      <c r="O1975" s="26">
        <v>25</v>
      </c>
      <c r="P1975" s="28" t="str">
        <f>IFERROR(VLOOKUP(F1975,Back!C:E,3,0),"")</f>
        <v>Ferias Empresariales Antioquia</v>
      </c>
      <c r="Q1975" s="28" t="str">
        <f>IFERROR(VLOOKUP(P1975,Back!M:N,2,0),"")</f>
        <v>Antioquia</v>
      </c>
      <c r="R1975" s="27" t="str">
        <f>IF(N1975="Si",IFERROR(VLOOKUP(F1975,'TD Cumpl'!B:AB,27,0),"No Aplica"),"No Aplica")</f>
        <v>Fluctúa</v>
      </c>
      <c r="S1975" s="38">
        <v>77</v>
      </c>
      <c r="T1975" s="46">
        <v>8850699</v>
      </c>
      <c r="U1975" s="38">
        <v>144</v>
      </c>
      <c r="V1975" s="46">
        <v>20704313</v>
      </c>
      <c r="W1975" s="38">
        <v>61</v>
      </c>
      <c r="X1975" s="46">
        <v>5356821</v>
      </c>
      <c r="Y1975" s="46">
        <f t="shared" si="62"/>
        <v>18691371</v>
      </c>
    </row>
    <row r="1976" spans="1:25" x14ac:dyDescent="0.25">
      <c r="A1976" s="20">
        <f>+VLOOKUP(D1976,Back!Q:R,2,0)</f>
        <v>3</v>
      </c>
      <c r="B1976" s="20" t="str">
        <f t="shared" si="61"/>
        <v>2019 MAR</v>
      </c>
      <c r="C1976" s="30">
        <v>2019</v>
      </c>
      <c r="D1976" s="30" t="s">
        <v>139</v>
      </c>
      <c r="E1976" s="30" t="s">
        <v>56</v>
      </c>
      <c r="F1976" s="30">
        <v>43971430</v>
      </c>
      <c r="G1976" s="30" t="s">
        <v>142</v>
      </c>
      <c r="H1976" s="32">
        <v>58898179</v>
      </c>
      <c r="I1976" s="32">
        <v>1157100</v>
      </c>
      <c r="J1976" s="32">
        <v>11886128</v>
      </c>
      <c r="K1976" s="33">
        <v>45854951</v>
      </c>
      <c r="L1976" s="33">
        <v>44000000</v>
      </c>
      <c r="M1976" s="34">
        <v>1.0421579772727272</v>
      </c>
      <c r="N1976" s="209" t="str">
        <f>IFERROR(VLOOKUP(F1976,Back!C:F,4,0),"NO")</f>
        <v>Si</v>
      </c>
      <c r="O1976" s="26">
        <v>25</v>
      </c>
      <c r="P1976" s="28" t="str">
        <f>IFERROR(VLOOKUP(F1976,Back!C:E,3,0),"")</f>
        <v>IPS Pto De Vista Centro</v>
      </c>
      <c r="Q1976" s="28" t="str">
        <f>IFERROR(VLOOKUP(P1976,Back!M:N,2,0),"")</f>
        <v>Antioquia</v>
      </c>
      <c r="R1976" s="27" t="str">
        <f>IF(N1976="Si",IFERROR(VLOOKUP(F1976,'TD Cumpl'!B:AB,27,0),"No Aplica"),"No Aplica")</f>
        <v>Siempre Cumple</v>
      </c>
      <c r="S1976" s="38">
        <v>107</v>
      </c>
      <c r="T1976" s="46">
        <v>11296835</v>
      </c>
      <c r="U1976" s="38">
        <v>263</v>
      </c>
      <c r="V1976" s="46">
        <v>30962767</v>
      </c>
      <c r="W1976" s="38">
        <v>124</v>
      </c>
      <c r="X1976" s="46">
        <v>11886128</v>
      </c>
      <c r="Y1976" s="46">
        <f t="shared" si="62"/>
        <v>4752449</v>
      </c>
    </row>
    <row r="1977" spans="1:25" x14ac:dyDescent="0.25">
      <c r="A1977" s="20">
        <f>+VLOOKUP(D1977,Back!Q:R,2,0)</f>
        <v>3</v>
      </c>
      <c r="B1977" s="20" t="str">
        <f t="shared" si="61"/>
        <v>2019 MAR</v>
      </c>
      <c r="C1977" s="30">
        <v>2019</v>
      </c>
      <c r="D1977" s="30" t="s">
        <v>139</v>
      </c>
      <c r="E1977" s="30" t="s">
        <v>108</v>
      </c>
      <c r="F1977" s="30">
        <v>1020443426</v>
      </c>
      <c r="G1977" s="30" t="s">
        <v>109</v>
      </c>
      <c r="H1977" s="32">
        <v>42398526</v>
      </c>
      <c r="I1977" s="32">
        <v>1829100</v>
      </c>
      <c r="J1977" s="32">
        <v>9549339</v>
      </c>
      <c r="K1977" s="33">
        <v>31020087</v>
      </c>
      <c r="L1977" s="33">
        <v>45680000</v>
      </c>
      <c r="M1977" s="34">
        <v>0.67907370840630477</v>
      </c>
      <c r="N1977" s="209" t="str">
        <f>IFERROR(VLOOKUP(F1977,Back!C:F,4,0),"NO")</f>
        <v>Si</v>
      </c>
      <c r="O1977" s="26">
        <v>25</v>
      </c>
      <c r="P1977" s="28" t="str">
        <f>IFERROR(VLOOKUP(F1977,Back!C:E,3,0),"")</f>
        <v>IPS Pto De Vista San Diego</v>
      </c>
      <c r="Q1977" s="28" t="str">
        <f>IFERROR(VLOOKUP(P1977,Back!M:N,2,0),"")</f>
        <v>Antioquia</v>
      </c>
      <c r="R1977" s="27" t="str">
        <f>IF(N1977="Si",IFERROR(VLOOKUP(F1977,'TD Cumpl'!B:AB,27,0),"No Aplica"),"No Aplica")</f>
        <v>Fluctúa</v>
      </c>
      <c r="S1977" s="38">
        <v>60</v>
      </c>
      <c r="T1977" s="46">
        <v>6544311</v>
      </c>
      <c r="U1977" s="38">
        <v>170</v>
      </c>
      <c r="V1977" s="46">
        <v>20781968</v>
      </c>
      <c r="W1977" s="38">
        <v>83</v>
      </c>
      <c r="X1977" s="46">
        <v>9549339</v>
      </c>
      <c r="Y1977" s="46">
        <f t="shared" si="62"/>
        <v>5522908</v>
      </c>
    </row>
    <row r="1978" spans="1:25" x14ac:dyDescent="0.25">
      <c r="A1978" s="20">
        <f>+VLOOKUP(D1978,Back!Q:R,2,0)</f>
        <v>3</v>
      </c>
      <c r="B1978" s="20" t="str">
        <f t="shared" si="61"/>
        <v>2019 MAR</v>
      </c>
      <c r="C1978" s="30">
        <v>2019</v>
      </c>
      <c r="D1978" s="30" t="s">
        <v>139</v>
      </c>
      <c r="E1978" s="30" t="s">
        <v>34</v>
      </c>
      <c r="F1978" s="30">
        <v>43554403</v>
      </c>
      <c r="G1978" s="30" t="s">
        <v>35</v>
      </c>
      <c r="H1978" s="32">
        <v>63319217</v>
      </c>
      <c r="I1978" s="32">
        <v>483100</v>
      </c>
      <c r="J1978" s="32">
        <v>11370753</v>
      </c>
      <c r="K1978" s="33">
        <v>51465364</v>
      </c>
      <c r="L1978" s="33">
        <v>36960000</v>
      </c>
      <c r="M1978" s="34">
        <v>1.3924611471861472</v>
      </c>
      <c r="N1978" s="209" t="str">
        <f>IFERROR(VLOOKUP(F1978,Back!C:F,4,0),"NO")</f>
        <v>Si</v>
      </c>
      <c r="O1978" s="26">
        <v>25</v>
      </c>
      <c r="P1978" s="28" t="str">
        <f>IFERROR(VLOOKUP(F1978,Back!C:E,3,0),"")</f>
        <v>IPS Pto De Vista Centro</v>
      </c>
      <c r="Q1978" s="28" t="str">
        <f>IFERROR(VLOOKUP(P1978,Back!M:N,2,0),"")</f>
        <v>Antioquia</v>
      </c>
      <c r="R1978" s="27" t="str">
        <f>IF(N1978="Si",IFERROR(VLOOKUP(F1978,'TD Cumpl'!B:AB,27,0),"No Aplica"),"No Aplica")</f>
        <v>Siempre Cumple</v>
      </c>
      <c r="S1978" s="38">
        <v>103</v>
      </c>
      <c r="T1978" s="46">
        <v>12176052</v>
      </c>
      <c r="U1978" s="38">
        <v>234</v>
      </c>
      <c r="V1978" s="46">
        <v>31483031</v>
      </c>
      <c r="W1978" s="38">
        <v>115</v>
      </c>
      <c r="X1978" s="46">
        <v>11370753</v>
      </c>
      <c r="Y1978" s="46">
        <f t="shared" si="62"/>
        <v>8289381</v>
      </c>
    </row>
    <row r="1979" spans="1:25" x14ac:dyDescent="0.25">
      <c r="A1979" s="20">
        <f>+VLOOKUP(D1979,Back!Q:R,2,0)</f>
        <v>3</v>
      </c>
      <c r="B1979" s="20" t="str">
        <f t="shared" si="61"/>
        <v>2019 MAR</v>
      </c>
      <c r="C1979" s="30">
        <v>2019</v>
      </c>
      <c r="D1979" s="30" t="s">
        <v>139</v>
      </c>
      <c r="E1979" s="30" t="s">
        <v>101</v>
      </c>
      <c r="F1979" s="30">
        <v>21428423</v>
      </c>
      <c r="G1979" s="30" t="s">
        <v>154</v>
      </c>
      <c r="H1979" s="32">
        <v>57845150</v>
      </c>
      <c r="I1979" s="32">
        <v>1577200</v>
      </c>
      <c r="J1979" s="32">
        <v>10476500</v>
      </c>
      <c r="K1979" s="33">
        <v>45791450</v>
      </c>
      <c r="L1979" s="33">
        <v>44000000</v>
      </c>
      <c r="M1979" s="34">
        <v>1.0407147727272728</v>
      </c>
      <c r="N1979" s="209" t="str">
        <f>IFERROR(VLOOKUP(F1979,Back!C:F,4,0),"NO")</f>
        <v>Si</v>
      </c>
      <c r="O1979" s="26">
        <v>25</v>
      </c>
      <c r="P1979" s="28" t="str">
        <f>IFERROR(VLOOKUP(F1979,Back!C:E,3,0),"")</f>
        <v>IPS Pto De Vista Centro</v>
      </c>
      <c r="Q1979" s="28" t="str">
        <f>IFERROR(VLOOKUP(P1979,Back!M:N,2,0),"")</f>
        <v>Antioquia</v>
      </c>
      <c r="R1979" s="27" t="str">
        <f>IF(N1979="Si",IFERROR(VLOOKUP(F1979,'TD Cumpl'!B:AB,27,0),"No Aplica"),"No Aplica")</f>
        <v>Fluctúa</v>
      </c>
      <c r="S1979" s="38">
        <v>110</v>
      </c>
      <c r="T1979" s="46">
        <v>10782351</v>
      </c>
      <c r="U1979" s="38">
        <v>253</v>
      </c>
      <c r="V1979" s="46">
        <v>29846803</v>
      </c>
      <c r="W1979" s="38">
        <v>104</v>
      </c>
      <c r="X1979" s="46">
        <v>10476500</v>
      </c>
      <c r="Y1979" s="46">
        <f t="shared" ref="Y1979:Y2042" si="63">+H1979-X1979-V1979-T1979</f>
        <v>6739496</v>
      </c>
    </row>
    <row r="1980" spans="1:25" x14ac:dyDescent="0.25">
      <c r="A1980" s="20">
        <f>+VLOOKUP(D1980,Back!Q:R,2,0)</f>
        <v>3</v>
      </c>
      <c r="B1980" s="20" t="str">
        <f t="shared" si="61"/>
        <v>2019 MAR</v>
      </c>
      <c r="C1980" s="30">
        <v>2019</v>
      </c>
      <c r="D1980" s="30" t="s">
        <v>139</v>
      </c>
      <c r="E1980" s="30" t="s">
        <v>13</v>
      </c>
      <c r="F1980" s="30">
        <v>43866877</v>
      </c>
      <c r="G1980" s="30" t="s">
        <v>46</v>
      </c>
      <c r="H1980" s="32">
        <v>59479471</v>
      </c>
      <c r="I1980" s="32">
        <v>936000</v>
      </c>
      <c r="J1980" s="32">
        <v>12892757</v>
      </c>
      <c r="K1980" s="33">
        <v>45650714</v>
      </c>
      <c r="L1980" s="33">
        <v>44000000</v>
      </c>
      <c r="M1980" s="34">
        <v>1.0375162272727272</v>
      </c>
      <c r="N1980" s="209" t="str">
        <f>IFERROR(VLOOKUP(F1980,Back!C:F,4,0),"NO")</f>
        <v>Si</v>
      </c>
      <c r="O1980" s="26">
        <v>25</v>
      </c>
      <c r="P1980" s="28" t="str">
        <f>IFERROR(VLOOKUP(F1980,Back!C:E,3,0),"")</f>
        <v>IPS Pto De Vista Centro</v>
      </c>
      <c r="Q1980" s="28" t="str">
        <f>IFERROR(VLOOKUP(P1980,Back!M:N,2,0),"")</f>
        <v>Antioquia</v>
      </c>
      <c r="R1980" s="27" t="str">
        <f>IF(N1980="Si",IFERROR(VLOOKUP(F1980,'TD Cumpl'!B:AB,27,0),"No Aplica"),"No Aplica")</f>
        <v>Siempre Cumple</v>
      </c>
      <c r="S1980" s="38">
        <v>98</v>
      </c>
      <c r="T1980" s="46">
        <v>11387703</v>
      </c>
      <c r="U1980" s="38">
        <v>250</v>
      </c>
      <c r="V1980" s="46">
        <v>27686532</v>
      </c>
      <c r="W1980" s="38">
        <v>130</v>
      </c>
      <c r="X1980" s="46">
        <v>12892757</v>
      </c>
      <c r="Y1980" s="46">
        <f t="shared" si="63"/>
        <v>7512479</v>
      </c>
    </row>
    <row r="1981" spans="1:25" x14ac:dyDescent="0.25">
      <c r="A1981" s="20">
        <f>+VLOOKUP(D1981,Back!Q:R,2,0)</f>
        <v>3</v>
      </c>
      <c r="B1981" s="20" t="str">
        <f t="shared" si="61"/>
        <v>2019 MAR</v>
      </c>
      <c r="C1981" s="30">
        <v>2019</v>
      </c>
      <c r="D1981" s="30" t="s">
        <v>139</v>
      </c>
      <c r="E1981" s="30" t="s">
        <v>269</v>
      </c>
      <c r="F1981" s="30">
        <v>1001131473</v>
      </c>
      <c r="G1981" s="30" t="s">
        <v>331</v>
      </c>
      <c r="H1981" s="32">
        <v>56458431</v>
      </c>
      <c r="I1981" s="32">
        <v>1644900</v>
      </c>
      <c r="J1981" s="32">
        <v>8914007</v>
      </c>
      <c r="K1981" s="33">
        <v>45899524</v>
      </c>
      <c r="L1981" s="33">
        <v>44000000</v>
      </c>
      <c r="M1981" s="34">
        <v>1.0431710000000001</v>
      </c>
      <c r="N1981" s="209" t="str">
        <f>IFERROR(VLOOKUP(F1981,Back!C:F,4,0),"NO")</f>
        <v>Si</v>
      </c>
      <c r="O1981" s="26">
        <v>25</v>
      </c>
      <c r="P1981" s="28" t="str">
        <f>IFERROR(VLOOKUP(F1981,Back!C:E,3,0),"")</f>
        <v>IPS Pto De Vista Centro</v>
      </c>
      <c r="Q1981" s="28" t="str">
        <f>IFERROR(VLOOKUP(P1981,Back!M:N,2,0),"")</f>
        <v>Antioquia</v>
      </c>
      <c r="R1981" s="27" t="str">
        <f>IF(N1981="Si",IFERROR(VLOOKUP(F1981,'TD Cumpl'!B:AB,27,0),"No Aplica"),"No Aplica")</f>
        <v>No Cumple</v>
      </c>
      <c r="S1981" s="38">
        <v>97</v>
      </c>
      <c r="T1981" s="46">
        <v>10703961</v>
      </c>
      <c r="U1981" s="38">
        <v>231</v>
      </c>
      <c r="V1981" s="46">
        <v>27295134</v>
      </c>
      <c r="W1981" s="38">
        <v>95</v>
      </c>
      <c r="X1981" s="46">
        <v>8914007</v>
      </c>
      <c r="Y1981" s="46">
        <f t="shared" si="63"/>
        <v>9545329</v>
      </c>
    </row>
    <row r="1982" spans="1:25" x14ac:dyDescent="0.25">
      <c r="A1982" s="20">
        <f>+VLOOKUP(D1982,Back!Q:R,2,0)</f>
        <v>3</v>
      </c>
      <c r="B1982" s="20" t="str">
        <f t="shared" ref="B1982:B2043" si="64">MID(UPPER(C1982&amp;" "&amp;D1982),1,8)</f>
        <v>2019 MAR</v>
      </c>
      <c r="C1982" s="30">
        <v>2019</v>
      </c>
      <c r="D1982" s="30" t="s">
        <v>139</v>
      </c>
      <c r="E1982" s="30" t="s">
        <v>265</v>
      </c>
      <c r="F1982" s="30">
        <v>39175639</v>
      </c>
      <c r="G1982" s="30" t="s">
        <v>268</v>
      </c>
      <c r="H1982" s="32">
        <v>55016930</v>
      </c>
      <c r="I1982" s="32">
        <v>0</v>
      </c>
      <c r="J1982" s="32">
        <v>9866472</v>
      </c>
      <c r="K1982" s="33">
        <v>45150458</v>
      </c>
      <c r="L1982" s="33">
        <v>44000000</v>
      </c>
      <c r="M1982" s="34">
        <v>1.0261467727272728</v>
      </c>
      <c r="N1982" s="209" t="str">
        <f>IFERROR(VLOOKUP(F1982,Back!C:F,4,0),"NO")</f>
        <v>Si</v>
      </c>
      <c r="O1982" s="26">
        <v>25</v>
      </c>
      <c r="P1982" s="28" t="str">
        <f>IFERROR(VLOOKUP(F1982,Back!C:E,3,0),"")</f>
        <v>IPS Pto De Vista Centro</v>
      </c>
      <c r="Q1982" s="28" t="str">
        <f>IFERROR(VLOOKUP(P1982,Back!M:N,2,0),"")</f>
        <v>Antioquia</v>
      </c>
      <c r="R1982" s="27" t="str">
        <f>IF(N1982="Si",IFERROR(VLOOKUP(F1982,'TD Cumpl'!B:AB,27,0),"No Aplica"),"No Aplica")</f>
        <v>Fluctúa</v>
      </c>
      <c r="S1982" s="38">
        <v>91</v>
      </c>
      <c r="T1982" s="46">
        <v>10188347</v>
      </c>
      <c r="U1982" s="38">
        <v>206</v>
      </c>
      <c r="V1982" s="46">
        <v>29858927</v>
      </c>
      <c r="W1982" s="38">
        <v>87</v>
      </c>
      <c r="X1982" s="46">
        <v>9866472</v>
      </c>
      <c r="Y1982" s="46">
        <f t="shared" si="63"/>
        <v>5103184</v>
      </c>
    </row>
    <row r="1983" spans="1:25" x14ac:dyDescent="0.25">
      <c r="A1983" s="20">
        <f>+VLOOKUP(D1983,Back!Q:R,2,0)</f>
        <v>3</v>
      </c>
      <c r="B1983" s="20" t="str">
        <f t="shared" si="64"/>
        <v>2019 MAR</v>
      </c>
      <c r="C1983" s="30">
        <v>2019</v>
      </c>
      <c r="D1983" s="30" t="s">
        <v>139</v>
      </c>
      <c r="E1983" s="30" t="s">
        <v>266</v>
      </c>
      <c r="F1983" s="21">
        <v>1128476466</v>
      </c>
      <c r="G1983" s="21" t="s">
        <v>267</v>
      </c>
      <c r="H1983" s="199">
        <v>22898819</v>
      </c>
      <c r="I1983" s="22">
        <v>0</v>
      </c>
      <c r="J1983" s="22">
        <v>5078792</v>
      </c>
      <c r="K1983" s="23">
        <v>17820027</v>
      </c>
      <c r="L1983" s="23">
        <v>17120000</v>
      </c>
      <c r="M1983" s="24">
        <v>1.0408894275700935</v>
      </c>
      <c r="N1983" s="209" t="str">
        <f>IFERROR(VLOOKUP(F1983,Back!C:F,4,0),"NO")</f>
        <v>Si</v>
      </c>
      <c r="O1983" s="26">
        <v>25</v>
      </c>
      <c r="P1983" s="28" t="str">
        <f>IFERROR(VLOOKUP(F1983,Back!C:E,3,0),"")</f>
        <v>IPS Pto De Vista San Diego</v>
      </c>
      <c r="Q1983" s="28" t="str">
        <f>IFERROR(VLOOKUP(P1983,Back!M:N,2,0),"")</f>
        <v>Antioquia</v>
      </c>
      <c r="R1983" s="27" t="str">
        <f>IF(N1983="Si",IFERROR(VLOOKUP(F1983,'TD Cumpl'!B:AB,27,0),"No Aplica"),"No Aplica")</f>
        <v>Fluctúa</v>
      </c>
      <c r="S1983" s="26">
        <v>41</v>
      </c>
      <c r="T1983" s="37">
        <v>3849865</v>
      </c>
      <c r="U1983" s="26">
        <v>102</v>
      </c>
      <c r="V1983" s="37">
        <v>11351568</v>
      </c>
      <c r="W1983" s="38">
        <v>48</v>
      </c>
      <c r="X1983" s="46">
        <v>5078792</v>
      </c>
      <c r="Y1983" s="46">
        <f t="shared" si="63"/>
        <v>2618594</v>
      </c>
    </row>
    <row r="1984" spans="1:25" x14ac:dyDescent="0.25">
      <c r="A1984" s="20">
        <f>+VLOOKUP(D1984,Back!Q:R,2,0)</f>
        <v>3</v>
      </c>
      <c r="B1984" s="20" t="str">
        <f t="shared" si="64"/>
        <v>2019 MAR</v>
      </c>
      <c r="C1984" s="30">
        <v>2019</v>
      </c>
      <c r="D1984" s="30" t="s">
        <v>139</v>
      </c>
      <c r="E1984" s="30" t="s">
        <v>177</v>
      </c>
      <c r="F1984" s="21">
        <v>1035913369</v>
      </c>
      <c r="G1984" s="21" t="s">
        <v>183</v>
      </c>
      <c r="H1984" s="22">
        <v>22207862</v>
      </c>
      <c r="I1984" s="22">
        <v>0</v>
      </c>
      <c r="J1984" s="22">
        <v>4994891</v>
      </c>
      <c r="K1984" s="23">
        <v>17212971</v>
      </c>
      <c r="L1984" s="23">
        <v>35200000</v>
      </c>
      <c r="M1984" s="24">
        <v>0.48900485795454546</v>
      </c>
      <c r="N1984" s="209" t="str">
        <f>IFERROR(VLOOKUP(F1984,Back!C:F,4,0),"NO")</f>
        <v>Si</v>
      </c>
      <c r="O1984" s="26">
        <v>25</v>
      </c>
      <c r="P1984" s="28" t="str">
        <f>IFERROR(VLOOKUP(F1984,Back!C:E,3,0),"")</f>
        <v>IPS Pto De Vista Centro</v>
      </c>
      <c r="Q1984" s="28" t="str">
        <f>IFERROR(VLOOKUP(P1984,Back!M:N,2,0),"")</f>
        <v>Antioquia</v>
      </c>
      <c r="R1984" s="27" t="str">
        <f>IF(N1984="Si",IFERROR(VLOOKUP(F1984,'TD Cumpl'!B:AB,27,0),"No Aplica"),"No Aplica")</f>
        <v>Fluctúa</v>
      </c>
      <c r="S1984" s="26">
        <v>42</v>
      </c>
      <c r="T1984" s="37">
        <v>4168169</v>
      </c>
      <c r="U1984" s="26">
        <v>78</v>
      </c>
      <c r="V1984" s="37">
        <v>10176060</v>
      </c>
      <c r="W1984" s="38">
        <v>50</v>
      </c>
      <c r="X1984" s="46">
        <v>4994891</v>
      </c>
      <c r="Y1984" s="46">
        <f t="shared" si="63"/>
        <v>2868742</v>
      </c>
    </row>
    <row r="1985" spans="1:25" x14ac:dyDescent="0.25">
      <c r="A1985" s="20">
        <f>+VLOOKUP(D1985,Back!Q:R,2,0)</f>
        <v>3</v>
      </c>
      <c r="B1985" s="20" t="str">
        <f t="shared" si="64"/>
        <v>2019 MAR</v>
      </c>
      <c r="C1985" s="30">
        <v>2019</v>
      </c>
      <c r="D1985" s="30" t="s">
        <v>139</v>
      </c>
      <c r="E1985" s="30" t="s">
        <v>261</v>
      </c>
      <c r="F1985" s="21">
        <v>1020425089</v>
      </c>
      <c r="G1985" s="21" t="s">
        <v>271</v>
      </c>
      <c r="H1985" s="22">
        <v>53889051</v>
      </c>
      <c r="I1985" s="22">
        <v>862200</v>
      </c>
      <c r="J1985" s="22">
        <v>8758948</v>
      </c>
      <c r="K1985" s="23">
        <v>44267903</v>
      </c>
      <c r="L1985" s="23">
        <v>43000000</v>
      </c>
      <c r="M1985" s="24">
        <v>1.0294861162790698</v>
      </c>
      <c r="N1985" s="209" t="str">
        <f>IFERROR(VLOOKUP(F1985,Back!C:F,4,0),"NO")</f>
        <v>Si</v>
      </c>
      <c r="O1985" s="26">
        <v>25</v>
      </c>
      <c r="P1985" s="28" t="str">
        <f>IFERROR(VLOOKUP(F1985,Back!C:E,3,0),"")</f>
        <v>IPS Pto De Vista Punto Clave</v>
      </c>
      <c r="Q1985" s="28" t="str">
        <f>IFERROR(VLOOKUP(P1985,Back!M:N,2,0),"")</f>
        <v>Antioquia</v>
      </c>
      <c r="R1985" s="27" t="str">
        <f>IF(N1985="Si",IFERROR(VLOOKUP(F1985,'TD Cumpl'!B:AB,27,0),"No Aplica"),"No Aplica")</f>
        <v>Cumple</v>
      </c>
      <c r="S1985" s="26">
        <v>79</v>
      </c>
      <c r="T1985" s="37">
        <v>10102407</v>
      </c>
      <c r="U1985" s="26">
        <v>192</v>
      </c>
      <c r="V1985" s="37">
        <v>29420512</v>
      </c>
      <c r="W1985" s="38">
        <v>90</v>
      </c>
      <c r="X1985" s="46">
        <v>8758948</v>
      </c>
      <c r="Y1985" s="46">
        <f t="shared" si="63"/>
        <v>5607184</v>
      </c>
    </row>
    <row r="1986" spans="1:25" x14ac:dyDescent="0.25">
      <c r="A1986" s="20">
        <f>+VLOOKUP(D1986,Back!Q:R,2,0)</f>
        <v>3</v>
      </c>
      <c r="B1986" s="20" t="str">
        <f t="shared" si="64"/>
        <v>2019 MAR</v>
      </c>
      <c r="C1986" s="30">
        <v>2019</v>
      </c>
      <c r="D1986" s="30" t="s">
        <v>139</v>
      </c>
      <c r="E1986" s="30" t="s">
        <v>23</v>
      </c>
      <c r="F1986" s="21">
        <v>43907427</v>
      </c>
      <c r="G1986" s="21" t="s">
        <v>144</v>
      </c>
      <c r="H1986" s="199">
        <v>55249669</v>
      </c>
      <c r="I1986" s="22">
        <v>0</v>
      </c>
      <c r="J1986" s="22">
        <v>4901542</v>
      </c>
      <c r="K1986" s="23">
        <v>50348127</v>
      </c>
      <c r="L1986" s="23">
        <v>40000000</v>
      </c>
      <c r="M1986" s="24">
        <v>1.258703175</v>
      </c>
      <c r="N1986" s="209" t="str">
        <f>IFERROR(VLOOKUP(F1986,Back!C:F,4,0),"NO")</f>
        <v>Si</v>
      </c>
      <c r="O1986" s="26">
        <v>25</v>
      </c>
      <c r="P1986" s="28" t="str">
        <f>IFERROR(VLOOKUP(F1986,Back!C:E,3,0),"")</f>
        <v>IPS Pto De Vista Industriales</v>
      </c>
      <c r="Q1986" s="28" t="str">
        <f>IFERROR(VLOOKUP(P1986,Back!M:N,2,0),"")</f>
        <v>Antioquia</v>
      </c>
      <c r="R1986" s="27" t="str">
        <f>IF(N1986="Si",IFERROR(VLOOKUP(F1986,'TD Cumpl'!B:AB,27,0),"No Aplica"),"No Aplica")</f>
        <v>Siempre Cumple</v>
      </c>
      <c r="S1986" s="26">
        <v>60</v>
      </c>
      <c r="T1986" s="37">
        <v>11331382</v>
      </c>
      <c r="U1986" s="26">
        <v>142</v>
      </c>
      <c r="V1986" s="37">
        <v>31491590</v>
      </c>
      <c r="W1986" s="38">
        <v>52</v>
      </c>
      <c r="X1986" s="46">
        <v>5050013</v>
      </c>
      <c r="Y1986" s="46">
        <f t="shared" si="63"/>
        <v>7376684</v>
      </c>
    </row>
    <row r="1987" spans="1:25" x14ac:dyDescent="0.25">
      <c r="A1987" s="20">
        <f>+VLOOKUP(D1987,Back!Q:R,2,0)</f>
        <v>3</v>
      </c>
      <c r="B1987" s="20" t="str">
        <f t="shared" si="64"/>
        <v>2019 MAR</v>
      </c>
      <c r="C1987" s="30">
        <v>2019</v>
      </c>
      <c r="D1987" s="30" t="s">
        <v>139</v>
      </c>
      <c r="E1987" s="30" t="s">
        <v>9</v>
      </c>
      <c r="F1987" s="21">
        <v>43169964</v>
      </c>
      <c r="G1987" s="21" t="s">
        <v>155</v>
      </c>
      <c r="H1987" s="22">
        <v>54510169</v>
      </c>
      <c r="I1987" s="22">
        <v>421200</v>
      </c>
      <c r="J1987" s="22">
        <v>7654469</v>
      </c>
      <c r="K1987" s="23">
        <v>46434500</v>
      </c>
      <c r="L1987" s="23">
        <v>45000000</v>
      </c>
      <c r="M1987" s="24">
        <v>1.0318777777777777</v>
      </c>
      <c r="N1987" s="209" t="str">
        <f>IFERROR(VLOOKUP(F1987,Back!C:F,4,0),"NO")</f>
        <v>Si</v>
      </c>
      <c r="O1987" s="26">
        <v>25</v>
      </c>
      <c r="P1987" s="28" t="str">
        <f>IFERROR(VLOOKUP(F1987,Back!C:E,3,0),"")</f>
        <v>IPS Pto De Vista Molinos</v>
      </c>
      <c r="Q1987" s="28" t="str">
        <f>IFERROR(VLOOKUP(P1987,Back!M:N,2,0),"")</f>
        <v>Antioquia</v>
      </c>
      <c r="R1987" s="27" t="str">
        <f>IF(N1987="Si",IFERROR(VLOOKUP(F1987,'TD Cumpl'!B:AB,27,0),"No Aplica"),"No Aplica")</f>
        <v>Cumple</v>
      </c>
      <c r="S1987" s="26">
        <v>89</v>
      </c>
      <c r="T1987" s="37">
        <v>10616602</v>
      </c>
      <c r="U1987" s="26">
        <v>222</v>
      </c>
      <c r="V1987" s="37">
        <v>29703004</v>
      </c>
      <c r="W1987" s="38">
        <v>73</v>
      </c>
      <c r="X1987" s="46">
        <v>7654469</v>
      </c>
      <c r="Y1987" s="46">
        <f t="shared" si="63"/>
        <v>6536094</v>
      </c>
    </row>
    <row r="1988" spans="1:25" x14ac:dyDescent="0.25">
      <c r="A1988" s="20">
        <f>+VLOOKUP(D1988,Back!Q:R,2,0)</f>
        <v>3</v>
      </c>
      <c r="B1988" s="20" t="str">
        <f t="shared" si="64"/>
        <v>2019 MAR</v>
      </c>
      <c r="C1988" s="30">
        <v>2019</v>
      </c>
      <c r="D1988" s="30" t="s">
        <v>139</v>
      </c>
      <c r="E1988" s="30" t="s">
        <v>288</v>
      </c>
      <c r="F1988" s="21">
        <v>1017191161</v>
      </c>
      <c r="G1988" s="21" t="s">
        <v>289</v>
      </c>
      <c r="H1988" s="22">
        <v>37080813</v>
      </c>
      <c r="I1988" s="22">
        <v>468000</v>
      </c>
      <c r="J1988" s="22">
        <v>4288979</v>
      </c>
      <c r="K1988" s="23">
        <v>32323834</v>
      </c>
      <c r="L1988" s="23">
        <v>32400000</v>
      </c>
      <c r="M1988" s="24">
        <v>0.99764919753086423</v>
      </c>
      <c r="N1988" s="209" t="str">
        <f>IFERROR(VLOOKUP(F1988,Back!C:F,4,0),"NO")</f>
        <v>Si</v>
      </c>
      <c r="O1988" s="26">
        <v>25</v>
      </c>
      <c r="P1988" s="28" t="str">
        <f>IFERROR(VLOOKUP(F1988,Back!C:E,3,0),"")</f>
        <v>IPS Pto De Vista Molinos</v>
      </c>
      <c r="Q1988" s="28" t="str">
        <f>IFERROR(VLOOKUP(P1988,Back!M:N,2,0),"")</f>
        <v>Antioquia</v>
      </c>
      <c r="R1988" s="27" t="str">
        <f>IF(N1988="Si",IFERROR(VLOOKUP(F1988,'TD Cumpl'!B:AB,27,0),"No Aplica"),"No Aplica")</f>
        <v>No Cumple</v>
      </c>
      <c r="S1988" s="26">
        <v>68</v>
      </c>
      <c r="T1988" s="37">
        <v>7302482</v>
      </c>
      <c r="U1988" s="26">
        <v>146</v>
      </c>
      <c r="V1988" s="37">
        <v>20495836</v>
      </c>
      <c r="W1988" s="38">
        <v>36</v>
      </c>
      <c r="X1988" s="46">
        <v>4288979</v>
      </c>
      <c r="Y1988" s="46">
        <f t="shared" si="63"/>
        <v>4993516</v>
      </c>
    </row>
    <row r="1989" spans="1:25" x14ac:dyDescent="0.25">
      <c r="A1989" s="20">
        <f>+VLOOKUP(D1989,Back!Q:R,2,0)</f>
        <v>3</v>
      </c>
      <c r="B1989" s="20" t="str">
        <f t="shared" si="64"/>
        <v>2019 MAR</v>
      </c>
      <c r="C1989" s="30">
        <v>2019</v>
      </c>
      <c r="D1989" s="30" t="s">
        <v>139</v>
      </c>
      <c r="E1989" s="30" t="s">
        <v>308</v>
      </c>
      <c r="F1989" s="21">
        <v>1128402269</v>
      </c>
      <c r="G1989" s="21" t="s">
        <v>309</v>
      </c>
      <c r="H1989" s="22">
        <v>54530043</v>
      </c>
      <c r="I1989" s="22">
        <v>663300</v>
      </c>
      <c r="J1989" s="22">
        <v>7362549</v>
      </c>
      <c r="K1989" s="23">
        <v>46504194</v>
      </c>
      <c r="L1989" s="23">
        <v>45000000</v>
      </c>
      <c r="M1989" s="24">
        <v>1.0334265333333332</v>
      </c>
      <c r="N1989" s="209" t="str">
        <f>IFERROR(VLOOKUP(F1989,Back!C:F,4,0),"NO")</f>
        <v>Si</v>
      </c>
      <c r="O1989" s="26">
        <v>25</v>
      </c>
      <c r="P1989" s="28" t="str">
        <f>IFERROR(VLOOKUP(F1989,Back!C:E,3,0),"")</f>
        <v>IPS Pto De Vista Molinos</v>
      </c>
      <c r="Q1989" s="28" t="str">
        <f>IFERROR(VLOOKUP(P1989,Back!M:N,2,0),"")</f>
        <v>Antioquia</v>
      </c>
      <c r="R1989" s="27" t="str">
        <f>IF(N1989="Si",IFERROR(VLOOKUP(F1989,'TD Cumpl'!B:AB,27,0),"No Aplica"),"No Aplica")</f>
        <v>No Cumple</v>
      </c>
      <c r="S1989" s="26">
        <v>81</v>
      </c>
      <c r="T1989" s="37">
        <v>8984519</v>
      </c>
      <c r="U1989" s="26">
        <v>184</v>
      </c>
      <c r="V1989" s="37">
        <v>29596808</v>
      </c>
      <c r="W1989" s="38">
        <v>68</v>
      </c>
      <c r="X1989" s="46">
        <v>7362549</v>
      </c>
      <c r="Y1989" s="46">
        <f t="shared" si="63"/>
        <v>8586167</v>
      </c>
    </row>
    <row r="1990" spans="1:25" x14ac:dyDescent="0.25">
      <c r="A1990" s="20">
        <f>+VLOOKUP(D1990,Back!Q:R,2,0)</f>
        <v>3</v>
      </c>
      <c r="B1990" s="20" t="str">
        <f t="shared" si="64"/>
        <v>2019 MAR</v>
      </c>
      <c r="C1990" s="30">
        <v>2019</v>
      </c>
      <c r="D1990" s="30" t="s">
        <v>139</v>
      </c>
      <c r="E1990" s="30" t="s">
        <v>20</v>
      </c>
      <c r="F1990" s="21">
        <v>1017141451</v>
      </c>
      <c r="G1990" s="21" t="s">
        <v>44</v>
      </c>
      <c r="H1990" s="22">
        <v>57597281</v>
      </c>
      <c r="I1990" s="22">
        <v>960000</v>
      </c>
      <c r="J1990" s="22">
        <v>9495970</v>
      </c>
      <c r="K1990" s="23">
        <v>47141311</v>
      </c>
      <c r="L1990" s="23">
        <v>45000000</v>
      </c>
      <c r="M1990" s="24">
        <v>1.0475846888888889</v>
      </c>
      <c r="N1990" s="209" t="str">
        <f>IFERROR(VLOOKUP(F1990,Back!C:F,4,0),"NO")</f>
        <v>Si</v>
      </c>
      <c r="O1990" s="26">
        <v>25</v>
      </c>
      <c r="P1990" s="28" t="str">
        <f>IFERROR(VLOOKUP(F1990,Back!C:E,3,0),"")</f>
        <v>IPS Pto De Vista Molinos</v>
      </c>
      <c r="Q1990" s="28" t="str">
        <f>IFERROR(VLOOKUP(P1990,Back!M:N,2,0),"")</f>
        <v>Antioquia</v>
      </c>
      <c r="R1990" s="27" t="str">
        <f>IF(N1990="Si",IFERROR(VLOOKUP(F1990,'TD Cumpl'!B:AB,27,0),"No Aplica"),"No Aplica")</f>
        <v>Siempre Cumple</v>
      </c>
      <c r="S1990" s="26">
        <v>93</v>
      </c>
      <c r="T1990" s="37">
        <v>11042040</v>
      </c>
      <c r="U1990" s="26">
        <v>233</v>
      </c>
      <c r="V1990" s="37">
        <v>31364094</v>
      </c>
      <c r="W1990" s="38">
        <v>92</v>
      </c>
      <c r="X1990" s="46">
        <v>9495970</v>
      </c>
      <c r="Y1990" s="46">
        <f t="shared" si="63"/>
        <v>5695177</v>
      </c>
    </row>
    <row r="1991" spans="1:25" x14ac:dyDescent="0.25">
      <c r="A1991" s="20">
        <f>+VLOOKUP(D1991,Back!Q:R,2,0)</f>
        <v>3</v>
      </c>
      <c r="B1991" s="20" t="str">
        <f t="shared" si="64"/>
        <v>2019 MAR</v>
      </c>
      <c r="C1991" s="30">
        <v>2019</v>
      </c>
      <c r="D1991" s="30" t="s">
        <v>139</v>
      </c>
      <c r="E1991" s="30" t="s">
        <v>181</v>
      </c>
      <c r="F1991" s="21">
        <v>32183069</v>
      </c>
      <c r="G1991" s="21" t="s">
        <v>182</v>
      </c>
      <c r="H1991" s="22">
        <v>37850931</v>
      </c>
      <c r="I1991" s="22">
        <v>1612200</v>
      </c>
      <c r="J1991" s="22">
        <v>6614227</v>
      </c>
      <c r="K1991" s="23">
        <v>29624504</v>
      </c>
      <c r="L1991" s="23">
        <v>25200000</v>
      </c>
      <c r="M1991" s="24">
        <v>1.1755755555555556</v>
      </c>
      <c r="N1991" s="209" t="str">
        <f>IFERROR(VLOOKUP(F1991,Back!C:F,4,0),"NO")</f>
        <v>Si</v>
      </c>
      <c r="O1991" s="26">
        <v>25</v>
      </c>
      <c r="P1991" s="28" t="str">
        <f>IFERROR(VLOOKUP(F1991,Back!C:E,3,0),"")</f>
        <v>IPS Pto De Vista Molinos</v>
      </c>
      <c r="Q1991" s="28" t="str">
        <f>IFERROR(VLOOKUP(P1991,Back!M:N,2,0),"")</f>
        <v>Antioquia</v>
      </c>
      <c r="R1991" s="27" t="str">
        <f>IF(N1991="Si",IFERROR(VLOOKUP(F1991,'TD Cumpl'!B:AB,27,0),"No Aplica"),"No Aplica")</f>
        <v>No Cumple</v>
      </c>
      <c r="S1991" s="26">
        <v>63</v>
      </c>
      <c r="T1991" s="37">
        <v>6923552</v>
      </c>
      <c r="U1991" s="26">
        <v>152</v>
      </c>
      <c r="V1991" s="37">
        <v>18248440</v>
      </c>
      <c r="W1991" s="38">
        <v>59</v>
      </c>
      <c r="X1991" s="46">
        <v>6614227</v>
      </c>
      <c r="Y1991" s="46">
        <f t="shared" si="63"/>
        <v>6064712</v>
      </c>
    </row>
    <row r="1992" spans="1:25" x14ac:dyDescent="0.25">
      <c r="A1992" s="20">
        <f>+VLOOKUP(D1992,Back!Q:R,2,0)</f>
        <v>3</v>
      </c>
      <c r="B1992" s="20" t="str">
        <f t="shared" si="64"/>
        <v>2019 MAR</v>
      </c>
      <c r="C1992" s="30">
        <v>2019</v>
      </c>
      <c r="D1992" s="30" t="s">
        <v>139</v>
      </c>
      <c r="E1992" s="30" t="s">
        <v>103</v>
      </c>
      <c r="F1992" s="21">
        <v>1020409789</v>
      </c>
      <c r="G1992" s="21" t="s">
        <v>145</v>
      </c>
      <c r="H1992" s="22">
        <v>57933048</v>
      </c>
      <c r="I1992" s="22">
        <v>1104000</v>
      </c>
      <c r="J1992" s="22">
        <v>10531064</v>
      </c>
      <c r="K1992" s="23">
        <v>46297984</v>
      </c>
      <c r="L1992" s="23">
        <v>45000000</v>
      </c>
      <c r="M1992" s="24">
        <v>1.0288440888888888</v>
      </c>
      <c r="N1992" s="209" t="str">
        <f>IFERROR(VLOOKUP(F1992,Back!C:F,4,0),"NO")</f>
        <v>Si</v>
      </c>
      <c r="O1992" s="26">
        <v>25</v>
      </c>
      <c r="P1992" s="28" t="str">
        <f>IFERROR(VLOOKUP(F1992,Back!C:E,3,0),"")</f>
        <v>IPS Pto De Vista Molinos</v>
      </c>
      <c r="Q1992" s="28" t="str">
        <f>IFERROR(VLOOKUP(P1992,Back!M:N,2,0),"")</f>
        <v>Antioquia</v>
      </c>
      <c r="R1992" s="27" t="str">
        <f>IF(N1992="Si",IFERROR(VLOOKUP(F1992,'TD Cumpl'!B:AB,27,0),"No Aplica"),"No Aplica")</f>
        <v>Cumple</v>
      </c>
      <c r="S1992" s="26">
        <v>98</v>
      </c>
      <c r="T1992" s="37">
        <v>11151183</v>
      </c>
      <c r="U1992" s="26">
        <v>254</v>
      </c>
      <c r="V1992" s="37">
        <v>29063180</v>
      </c>
      <c r="W1992" s="38">
        <v>112</v>
      </c>
      <c r="X1992" s="46">
        <v>10531064</v>
      </c>
      <c r="Y1992" s="46">
        <f t="shared" si="63"/>
        <v>7187621</v>
      </c>
    </row>
    <row r="1993" spans="1:25" x14ac:dyDescent="0.25">
      <c r="A1993" s="20">
        <f>+VLOOKUP(D1993,Back!Q:R,2,0)</f>
        <v>3</v>
      </c>
      <c r="B1993" s="20" t="str">
        <f t="shared" si="64"/>
        <v>2019 MAR</v>
      </c>
      <c r="C1993" s="30">
        <v>2019</v>
      </c>
      <c r="D1993" s="30" t="s">
        <v>139</v>
      </c>
      <c r="E1993" s="30" t="s">
        <v>8</v>
      </c>
      <c r="F1993" s="21">
        <v>43259130</v>
      </c>
      <c r="G1993" s="21" t="s">
        <v>51</v>
      </c>
      <c r="H1993" s="22">
        <v>58137197</v>
      </c>
      <c r="I1993" s="22">
        <v>442200</v>
      </c>
      <c r="J1993" s="22">
        <v>10360058</v>
      </c>
      <c r="K1993" s="23">
        <v>47334939</v>
      </c>
      <c r="L1993" s="23">
        <v>45000000</v>
      </c>
      <c r="M1993" s="24">
        <v>1.0518875333333333</v>
      </c>
      <c r="N1993" s="209" t="str">
        <f>IFERROR(VLOOKUP(F1993,Back!C:F,4,0),"NO")</f>
        <v>Si</v>
      </c>
      <c r="O1993" s="26">
        <v>25</v>
      </c>
      <c r="P1993" s="28" t="str">
        <f>IFERROR(VLOOKUP(F1993,Back!C:E,3,0),"")</f>
        <v>IPS Pto De Vista Molinos</v>
      </c>
      <c r="Q1993" s="28" t="str">
        <f>IFERROR(VLOOKUP(P1993,Back!M:N,2,0),"")</f>
        <v>Antioquia</v>
      </c>
      <c r="R1993" s="27" t="str">
        <f>IF(N1993="Si",IFERROR(VLOOKUP(F1993,'TD Cumpl'!B:AB,27,0),"No Aplica"),"No Aplica")</f>
        <v>Fluctúa</v>
      </c>
      <c r="S1993" s="26">
        <v>116</v>
      </c>
      <c r="T1993" s="37">
        <v>11080172</v>
      </c>
      <c r="U1993" s="26">
        <v>278</v>
      </c>
      <c r="V1993" s="37">
        <v>31024240</v>
      </c>
      <c r="W1993" s="38">
        <v>107</v>
      </c>
      <c r="X1993" s="46">
        <v>10360058</v>
      </c>
      <c r="Y1993" s="46">
        <f t="shared" si="63"/>
        <v>5672727</v>
      </c>
    </row>
    <row r="1994" spans="1:25" x14ac:dyDescent="0.25">
      <c r="A1994" s="20">
        <f>+VLOOKUP(D1994,Back!Q:R,2,0)</f>
        <v>3</v>
      </c>
      <c r="B1994" s="20" t="str">
        <f t="shared" si="64"/>
        <v>2019 MAR</v>
      </c>
      <c r="C1994" s="30">
        <v>2019</v>
      </c>
      <c r="D1994" s="30" t="s">
        <v>139</v>
      </c>
      <c r="E1994" s="30" t="s">
        <v>328</v>
      </c>
      <c r="F1994" s="21">
        <v>79805095</v>
      </c>
      <c r="G1994" s="21" t="s">
        <v>443</v>
      </c>
      <c r="H1994" s="22">
        <v>25095403</v>
      </c>
      <c r="I1994" s="22">
        <v>0</v>
      </c>
      <c r="J1994" s="22">
        <v>5037943</v>
      </c>
      <c r="K1994" s="23">
        <v>20057460</v>
      </c>
      <c r="L1994" s="23">
        <v>28000000</v>
      </c>
      <c r="M1994" s="24">
        <v>0.71633785714285714</v>
      </c>
      <c r="N1994" s="209" t="str">
        <f>IFERROR(VLOOKUP(F1994,Back!C:F,4,0),"NO")</f>
        <v>Si</v>
      </c>
      <c r="O1994" s="26">
        <v>25</v>
      </c>
      <c r="P1994" s="28" t="str">
        <f>IFERROR(VLOOKUP(F1994,Back!C:E,3,0),"")</f>
        <v>IPS Pto De Vista Olaya</v>
      </c>
      <c r="Q1994" s="28" t="str">
        <f>IFERROR(VLOOKUP(P1994,Back!M:N,2,0),"")</f>
        <v>Centro</v>
      </c>
      <c r="R1994" s="27" t="str">
        <f>IF(N1994="Si",IFERROR(VLOOKUP(F1994,'TD Cumpl'!B:AB,27,0),"No Aplica"),"No Aplica")</f>
        <v>No Cumple</v>
      </c>
      <c r="S1994" s="26">
        <v>49</v>
      </c>
      <c r="T1994" s="37">
        <v>4059682</v>
      </c>
      <c r="U1994" s="26">
        <v>118</v>
      </c>
      <c r="V1994" s="37">
        <v>14689850</v>
      </c>
      <c r="W1994" s="38">
        <v>63</v>
      </c>
      <c r="X1994" s="46">
        <v>5037943</v>
      </c>
      <c r="Y1994" s="46">
        <f t="shared" si="63"/>
        <v>1307928</v>
      </c>
    </row>
    <row r="1995" spans="1:25" x14ac:dyDescent="0.25">
      <c r="A1995" s="20">
        <f>+VLOOKUP(D1995,Back!Q:R,2,0)</f>
        <v>3</v>
      </c>
      <c r="B1995" s="20" t="str">
        <f t="shared" si="64"/>
        <v>2019 MAR</v>
      </c>
      <c r="C1995" s="30">
        <v>2019</v>
      </c>
      <c r="D1995" s="30" t="s">
        <v>139</v>
      </c>
      <c r="E1995" s="30" t="s">
        <v>3</v>
      </c>
      <c r="F1995" s="21">
        <v>52725011</v>
      </c>
      <c r="G1995" s="21" t="s">
        <v>42</v>
      </c>
      <c r="H1995" s="22">
        <v>30941647</v>
      </c>
      <c r="I1995" s="22">
        <v>0</v>
      </c>
      <c r="J1995" s="22">
        <v>4870818</v>
      </c>
      <c r="K1995" s="23">
        <v>26070829</v>
      </c>
      <c r="L1995" s="23">
        <v>25760000</v>
      </c>
      <c r="M1995" s="24">
        <v>1.0120663431677019</v>
      </c>
      <c r="N1995" s="209" t="str">
        <f>IFERROR(VLOOKUP(F1995,Back!C:F,4,0),"NO")</f>
        <v>Si</v>
      </c>
      <c r="O1995" s="26">
        <v>25</v>
      </c>
      <c r="P1995" s="28" t="str">
        <f>IFERROR(VLOOKUP(F1995,Back!C:E,3,0),"")</f>
        <v>IPS Pto De Vista Olaya</v>
      </c>
      <c r="Q1995" s="28" t="str">
        <f>IFERROR(VLOOKUP(P1995,Back!M:N,2,0),"")</f>
        <v>Centro</v>
      </c>
      <c r="R1995" s="27" t="str">
        <f>IF(N1995="Si",IFERROR(VLOOKUP(F1995,'TD Cumpl'!B:AB,27,0),"No Aplica"),"No Aplica")</f>
        <v>Fluctúa</v>
      </c>
      <c r="S1995" s="26">
        <v>74</v>
      </c>
      <c r="T1995" s="37">
        <v>5442186</v>
      </c>
      <c r="U1995" s="26">
        <v>198</v>
      </c>
      <c r="V1995" s="37">
        <v>19698112</v>
      </c>
      <c r="W1995" s="38">
        <v>67</v>
      </c>
      <c r="X1995" s="46">
        <v>4870818</v>
      </c>
      <c r="Y1995" s="46">
        <f t="shared" si="63"/>
        <v>930531</v>
      </c>
    </row>
    <row r="1996" spans="1:25" x14ac:dyDescent="0.25">
      <c r="A1996" s="20">
        <f>+VLOOKUP(D1996,Back!Q:R,2,0)</f>
        <v>3</v>
      </c>
      <c r="B1996" s="20" t="str">
        <f t="shared" si="64"/>
        <v>2019 MAR</v>
      </c>
      <c r="C1996" s="30">
        <v>2019</v>
      </c>
      <c r="D1996" s="30" t="s">
        <v>139</v>
      </c>
      <c r="E1996" s="30" t="s">
        <v>191</v>
      </c>
      <c r="F1996" s="21">
        <v>1010207310</v>
      </c>
      <c r="G1996" s="21" t="s">
        <v>253</v>
      </c>
      <c r="H1996" s="22">
        <v>33362822</v>
      </c>
      <c r="I1996" s="22">
        <v>342000</v>
      </c>
      <c r="J1996" s="22">
        <v>5248874</v>
      </c>
      <c r="K1996" s="23">
        <v>27771948</v>
      </c>
      <c r="L1996" s="23">
        <v>20160000</v>
      </c>
      <c r="M1996" s="24">
        <v>1.3775767857142858</v>
      </c>
      <c r="N1996" s="209" t="str">
        <f>IFERROR(VLOOKUP(F1996,Back!C:F,4,0),"NO")</f>
        <v>Si</v>
      </c>
      <c r="O1996" s="26">
        <v>25</v>
      </c>
      <c r="P1996" s="28" t="str">
        <f>IFERROR(VLOOKUP(F1996,Back!C:E,3,0),"")</f>
        <v>IPS Pto De Vista Olaya</v>
      </c>
      <c r="Q1996" s="28" t="str">
        <f>IFERROR(VLOOKUP(P1996,Back!M:N,2,0),"")</f>
        <v>Centro</v>
      </c>
      <c r="R1996" s="27" t="str">
        <f>IF(N1996="Si",IFERROR(VLOOKUP(F1996,'TD Cumpl'!B:AB,27,0),"No Aplica"),"No Aplica")</f>
        <v>Cumple</v>
      </c>
      <c r="S1996" s="26">
        <v>80</v>
      </c>
      <c r="T1996" s="37">
        <v>6323517</v>
      </c>
      <c r="U1996" s="26">
        <v>202</v>
      </c>
      <c r="V1996" s="37">
        <v>20252204</v>
      </c>
      <c r="W1996" s="38">
        <v>70</v>
      </c>
      <c r="X1996" s="46">
        <v>5248874</v>
      </c>
      <c r="Y1996" s="46">
        <f t="shared" si="63"/>
        <v>1538227</v>
      </c>
    </row>
    <row r="1997" spans="1:25" x14ac:dyDescent="0.25">
      <c r="A1997" s="20">
        <f>+VLOOKUP(D1997,Back!Q:R,2,0)</f>
        <v>3</v>
      </c>
      <c r="B1997" s="20" t="str">
        <f t="shared" si="64"/>
        <v>2019 MAR</v>
      </c>
      <c r="C1997" s="30">
        <v>2019</v>
      </c>
      <c r="D1997" s="30" t="s">
        <v>139</v>
      </c>
      <c r="E1997" s="30" t="s">
        <v>66</v>
      </c>
      <c r="F1997" s="21">
        <v>3438422</v>
      </c>
      <c r="G1997" s="21" t="s">
        <v>71</v>
      </c>
      <c r="H1997" s="22">
        <v>27330758</v>
      </c>
      <c r="I1997" s="22">
        <v>243000</v>
      </c>
      <c r="J1997" s="22">
        <v>7855728</v>
      </c>
      <c r="K1997" s="23">
        <v>19232030</v>
      </c>
      <c r="L1997" s="23">
        <v>46000000</v>
      </c>
      <c r="M1997" s="24">
        <v>0.41808760869565215</v>
      </c>
      <c r="N1997" s="209" t="str">
        <f>IFERROR(VLOOKUP(F1997,Back!C:F,4,0),"NO")</f>
        <v>Si</v>
      </c>
      <c r="O1997" s="26">
        <v>25</v>
      </c>
      <c r="P1997" s="28" t="str">
        <f>IFERROR(VLOOKUP(F1997,Back!C:E,3,0),"")</f>
        <v>IPS Pto De Vista Punto Clave</v>
      </c>
      <c r="Q1997" s="28" t="str">
        <f>IFERROR(VLOOKUP(P1997,Back!M:N,2,0),"")</f>
        <v>Antioquia</v>
      </c>
      <c r="R1997" s="27" t="str">
        <f>IF(N1997="Si",IFERROR(VLOOKUP(F1997,'TD Cumpl'!B:AB,27,0),"No Aplica"),"No Aplica")</f>
        <v>Fluctúa</v>
      </c>
      <c r="S1997" s="26">
        <v>37</v>
      </c>
      <c r="T1997" s="37">
        <v>4006013</v>
      </c>
      <c r="U1997" s="26">
        <v>86</v>
      </c>
      <c r="V1997" s="37">
        <v>10962733</v>
      </c>
      <c r="W1997" s="38">
        <v>74</v>
      </c>
      <c r="X1997" s="46">
        <v>7855728</v>
      </c>
      <c r="Y1997" s="46">
        <f t="shared" si="63"/>
        <v>4506284</v>
      </c>
    </row>
    <row r="1998" spans="1:25" x14ac:dyDescent="0.25">
      <c r="A1998" s="20">
        <f>+VLOOKUP(D1998,Back!Q:R,2,0)</f>
        <v>3</v>
      </c>
      <c r="B1998" s="20" t="str">
        <f t="shared" si="64"/>
        <v>2019 MAR</v>
      </c>
      <c r="C1998" s="30">
        <v>2019</v>
      </c>
      <c r="D1998" s="30" t="s">
        <v>139</v>
      </c>
      <c r="E1998" s="30" t="s">
        <v>166</v>
      </c>
      <c r="F1998" s="21">
        <v>1020451288</v>
      </c>
      <c r="G1998" s="21" t="s">
        <v>167</v>
      </c>
      <c r="H1998" s="22">
        <v>58165569</v>
      </c>
      <c r="I1998" s="22">
        <v>936000</v>
      </c>
      <c r="J1998" s="22">
        <v>10047060</v>
      </c>
      <c r="K1998" s="23">
        <v>47182509</v>
      </c>
      <c r="L1998" s="23">
        <v>46000000</v>
      </c>
      <c r="M1998" s="24">
        <v>1.0257067173913044</v>
      </c>
      <c r="N1998" s="209" t="str">
        <f>IFERROR(VLOOKUP(F1998,Back!C:F,4,0),"NO")</f>
        <v>Si</v>
      </c>
      <c r="O1998" s="26">
        <v>25</v>
      </c>
      <c r="P1998" s="28" t="str">
        <f>IFERROR(VLOOKUP(F1998,Back!C:E,3,0),"")</f>
        <v>IPS Pto De Vista Punto Clave</v>
      </c>
      <c r="Q1998" s="28" t="str">
        <f>IFERROR(VLOOKUP(P1998,Back!M:N,2,0),"")</f>
        <v>Antioquia</v>
      </c>
      <c r="R1998" s="27" t="str">
        <f>IF(N1998="Si",IFERROR(VLOOKUP(F1998,'TD Cumpl'!B:AB,27,0),"No Aplica"),"No Aplica")</f>
        <v>Cumple</v>
      </c>
      <c r="S1998" s="26">
        <v>100</v>
      </c>
      <c r="T1998" s="37">
        <v>9811114</v>
      </c>
      <c r="U1998" s="26">
        <v>255</v>
      </c>
      <c r="V1998" s="37">
        <v>29887025</v>
      </c>
      <c r="W1998" s="38">
        <v>95</v>
      </c>
      <c r="X1998" s="46">
        <v>10047060</v>
      </c>
      <c r="Y1998" s="46">
        <f t="shared" si="63"/>
        <v>8420370</v>
      </c>
    </row>
    <row r="1999" spans="1:25" x14ac:dyDescent="0.25">
      <c r="A1999" s="20">
        <f>+VLOOKUP(D1999,Back!Q:R,2,0)</f>
        <v>3</v>
      </c>
      <c r="B1999" s="20" t="str">
        <f t="shared" si="64"/>
        <v>2019 MAR</v>
      </c>
      <c r="C1999" s="30">
        <v>2019</v>
      </c>
      <c r="D1999" s="30" t="s">
        <v>139</v>
      </c>
      <c r="E1999" s="30" t="s">
        <v>92</v>
      </c>
      <c r="F1999" s="21">
        <v>1017167720</v>
      </c>
      <c r="G1999" s="21" t="s">
        <v>96</v>
      </c>
      <c r="H1999" s="22">
        <v>65667513</v>
      </c>
      <c r="I1999" s="22">
        <v>889200</v>
      </c>
      <c r="J1999" s="22">
        <v>7016773</v>
      </c>
      <c r="K1999" s="23">
        <v>57761540</v>
      </c>
      <c r="L1999" s="23">
        <v>46000000</v>
      </c>
      <c r="M1999" s="24">
        <v>1.255685652173913</v>
      </c>
      <c r="N1999" s="209" t="str">
        <f>IFERROR(VLOOKUP(F1999,Back!C:F,4,0),"NO")</f>
        <v>Si</v>
      </c>
      <c r="O1999" s="26">
        <v>25</v>
      </c>
      <c r="P1999" s="28" t="str">
        <f>IFERROR(VLOOKUP(F1999,Back!C:E,3,0),"")</f>
        <v>IPS Pto De Vista Punto Clave</v>
      </c>
      <c r="Q1999" s="28" t="str">
        <f>IFERROR(VLOOKUP(P1999,Back!M:N,2,0),"")</f>
        <v>Antioquia</v>
      </c>
      <c r="R1999" s="27" t="str">
        <f>IF(N1999="Si",IFERROR(VLOOKUP(F1999,'TD Cumpl'!B:AB,27,0),"No Aplica"),"No Aplica")</f>
        <v>Cumple</v>
      </c>
      <c r="S1999" s="26">
        <v>106</v>
      </c>
      <c r="T1999" s="37">
        <v>12385801</v>
      </c>
      <c r="U1999" s="26">
        <v>271</v>
      </c>
      <c r="V1999" s="37">
        <v>37794455</v>
      </c>
      <c r="W1999" s="38">
        <v>77</v>
      </c>
      <c r="X1999" s="46">
        <v>7016773</v>
      </c>
      <c r="Y1999" s="46">
        <f t="shared" si="63"/>
        <v>8470484</v>
      </c>
    </row>
    <row r="2000" spans="1:25" x14ac:dyDescent="0.25">
      <c r="A2000" s="20">
        <f>+VLOOKUP(D2000,Back!Q:R,2,0)</f>
        <v>3</v>
      </c>
      <c r="B2000" s="20" t="str">
        <f t="shared" si="64"/>
        <v>2019 MAR</v>
      </c>
      <c r="C2000" s="30">
        <v>2019</v>
      </c>
      <c r="D2000" s="30" t="s">
        <v>139</v>
      </c>
      <c r="E2000" s="30" t="s">
        <v>57</v>
      </c>
      <c r="F2000" s="21">
        <v>43874518</v>
      </c>
      <c r="G2000" s="21" t="s">
        <v>60</v>
      </c>
      <c r="H2000" s="22">
        <v>23635216</v>
      </c>
      <c r="I2000" s="22">
        <v>1334200</v>
      </c>
      <c r="J2000" s="22">
        <v>9560564</v>
      </c>
      <c r="K2000" s="23">
        <v>12740452</v>
      </c>
      <c r="L2000" s="23">
        <v>46000000</v>
      </c>
      <c r="M2000" s="24">
        <v>0.27696634782608698</v>
      </c>
      <c r="N2000" s="209" t="str">
        <f>IFERROR(VLOOKUP(F2000,Back!C:F,4,0),"NO")</f>
        <v>Si</v>
      </c>
      <c r="O2000" s="26">
        <v>25</v>
      </c>
      <c r="P2000" s="28" t="str">
        <f>IFERROR(VLOOKUP(F2000,Back!C:E,3,0),"")</f>
        <v>IPS Pto De Vista Punto Clave</v>
      </c>
      <c r="Q2000" s="28" t="str">
        <f>IFERROR(VLOOKUP(P2000,Back!M:N,2,0),"")</f>
        <v>Antioquia</v>
      </c>
      <c r="R2000" s="27" t="str">
        <f>IF(N2000="Si",IFERROR(VLOOKUP(F2000,'TD Cumpl'!B:AB,27,0),"No Aplica"),"No Aplica")</f>
        <v>Fluctúa</v>
      </c>
      <c r="S2000" s="26">
        <v>32</v>
      </c>
      <c r="T2000" s="37">
        <v>2858189</v>
      </c>
      <c r="U2000" s="26">
        <v>90</v>
      </c>
      <c r="V2000" s="37">
        <v>7752762</v>
      </c>
      <c r="W2000" s="38">
        <v>97</v>
      </c>
      <c r="X2000" s="46">
        <v>9560564</v>
      </c>
      <c r="Y2000" s="46">
        <f t="shared" si="63"/>
        <v>3463701</v>
      </c>
    </row>
    <row r="2001" spans="1:25" x14ac:dyDescent="0.25">
      <c r="A2001" s="20">
        <f>+VLOOKUP(D2001,Back!Q:R,2,0)</f>
        <v>3</v>
      </c>
      <c r="B2001" s="20" t="str">
        <f t="shared" si="64"/>
        <v>2019 MAR</v>
      </c>
      <c r="C2001" s="30">
        <v>2019</v>
      </c>
      <c r="D2001" s="30" t="s">
        <v>139</v>
      </c>
      <c r="E2001" s="30" t="s">
        <v>64</v>
      </c>
      <c r="F2001" s="21">
        <v>1036598360</v>
      </c>
      <c r="G2001" s="21" t="s">
        <v>146</v>
      </c>
      <c r="H2001" s="22">
        <v>59849985</v>
      </c>
      <c r="I2001" s="22">
        <v>1813200</v>
      </c>
      <c r="J2001" s="22">
        <v>7738572</v>
      </c>
      <c r="K2001" s="23">
        <v>50298213</v>
      </c>
      <c r="L2001" s="23">
        <v>46000000</v>
      </c>
      <c r="M2001" s="24">
        <v>1.0934394130434784</v>
      </c>
      <c r="N2001" s="209" t="str">
        <f>IFERROR(VLOOKUP(F2001,Back!C:F,4,0),"NO")</f>
        <v>Si</v>
      </c>
      <c r="O2001" s="26">
        <v>25</v>
      </c>
      <c r="P2001" s="28" t="str">
        <f>IFERROR(VLOOKUP(F2001,Back!C:E,3,0),"")</f>
        <v>IPS Pto De Vista Punto Clave</v>
      </c>
      <c r="Q2001" s="28" t="str">
        <f>IFERROR(VLOOKUP(P2001,Back!M:N,2,0),"")</f>
        <v>Antioquia</v>
      </c>
      <c r="R2001" s="27" t="str">
        <f>IF(N2001="Si",IFERROR(VLOOKUP(F2001,'TD Cumpl'!B:AB,27,0),"No Aplica"),"No Aplica")</f>
        <v>Fluctúa</v>
      </c>
      <c r="S2001" s="26">
        <v>96</v>
      </c>
      <c r="T2001" s="37">
        <v>11511687</v>
      </c>
      <c r="U2001" s="26">
        <v>256</v>
      </c>
      <c r="V2001" s="37">
        <v>33264505</v>
      </c>
      <c r="W2001" s="38">
        <v>78</v>
      </c>
      <c r="X2001" s="46">
        <v>7738572</v>
      </c>
      <c r="Y2001" s="46">
        <f t="shared" si="63"/>
        <v>7335221</v>
      </c>
    </row>
    <row r="2002" spans="1:25" x14ac:dyDescent="0.25">
      <c r="A2002" s="20">
        <f>+VLOOKUP(D2002,Back!Q:R,2,0)</f>
        <v>3</v>
      </c>
      <c r="B2002" s="20" t="str">
        <f t="shared" si="64"/>
        <v>2019 MAR</v>
      </c>
      <c r="C2002" s="30">
        <v>2019</v>
      </c>
      <c r="D2002" s="30" t="s">
        <v>139</v>
      </c>
      <c r="E2002" s="30" t="s">
        <v>90</v>
      </c>
      <c r="F2002" s="21">
        <v>1020419011</v>
      </c>
      <c r="G2002" s="21" t="s">
        <v>97</v>
      </c>
      <c r="H2002" s="22">
        <v>9799150</v>
      </c>
      <c r="I2002" s="22">
        <v>468000</v>
      </c>
      <c r="J2002" s="22">
        <v>1221009</v>
      </c>
      <c r="K2002" s="23">
        <v>8110141</v>
      </c>
      <c r="L2002" s="23">
        <v>7360000</v>
      </c>
      <c r="M2002" s="24">
        <v>1.1019213315217391</v>
      </c>
      <c r="N2002" s="209" t="str">
        <f>IFERROR(VLOOKUP(F2002,Back!C:F,4,0),"NO")</f>
        <v>Si</v>
      </c>
      <c r="O2002" s="26">
        <v>25</v>
      </c>
      <c r="P2002" s="28" t="str">
        <f>IFERROR(VLOOKUP(F2002,Back!C:E,3,0),"")</f>
        <v>IPS Pto De Vista Punto Clave</v>
      </c>
      <c r="Q2002" s="28" t="str">
        <f>IFERROR(VLOOKUP(P2002,Back!M:N,2,0),"")</f>
        <v>Antioquia</v>
      </c>
      <c r="R2002" s="27" t="str">
        <f>IF(N2002="Si",IFERROR(VLOOKUP(F2002,'TD Cumpl'!B:AB,27,0),"No Aplica"),"No Aplica")</f>
        <v>Cumple</v>
      </c>
      <c r="S2002" s="26">
        <v>20</v>
      </c>
      <c r="T2002" s="37">
        <v>1934653</v>
      </c>
      <c r="U2002" s="26">
        <v>54</v>
      </c>
      <c r="V2002" s="37">
        <v>4728381</v>
      </c>
      <c r="W2002" s="38">
        <v>12</v>
      </c>
      <c r="X2002" s="46">
        <v>1221009</v>
      </c>
      <c r="Y2002" s="46">
        <f t="shared" si="63"/>
        <v>1915107</v>
      </c>
    </row>
    <row r="2003" spans="1:25" x14ac:dyDescent="0.25">
      <c r="A2003" s="20">
        <f>+VLOOKUP(D2003,Back!Q:R,2,0)</f>
        <v>3</v>
      </c>
      <c r="B2003" s="20" t="str">
        <f t="shared" si="64"/>
        <v>2019 MAR</v>
      </c>
      <c r="C2003" s="30">
        <v>2019</v>
      </c>
      <c r="D2003" s="30" t="s">
        <v>139</v>
      </c>
      <c r="E2003" s="30" t="s">
        <v>117</v>
      </c>
      <c r="F2003" s="21">
        <v>1020419615</v>
      </c>
      <c r="G2003" s="21" t="s">
        <v>118</v>
      </c>
      <c r="H2003" s="22">
        <v>57799902</v>
      </c>
      <c r="I2003" s="22">
        <v>972000</v>
      </c>
      <c r="J2003" s="22">
        <v>10545277</v>
      </c>
      <c r="K2003" s="23">
        <v>46282625</v>
      </c>
      <c r="L2003" s="23">
        <v>46000000</v>
      </c>
      <c r="M2003" s="24">
        <v>1.0061440217391304</v>
      </c>
      <c r="N2003" s="209" t="str">
        <f>IFERROR(VLOOKUP(F2003,Back!C:F,4,0),"NO")</f>
        <v>Si</v>
      </c>
      <c r="O2003" s="26">
        <v>25</v>
      </c>
      <c r="P2003" s="28" t="str">
        <f>IFERROR(VLOOKUP(F2003,Back!C:E,3,0),"")</f>
        <v>IPS Pto De Vista Punto Clave</v>
      </c>
      <c r="Q2003" s="28" t="str">
        <f>IFERROR(VLOOKUP(P2003,Back!M:N,2,0),"")</f>
        <v>Antioquia</v>
      </c>
      <c r="R2003" s="27" t="str">
        <f>IF(N2003="Si",IFERROR(VLOOKUP(F2003,'TD Cumpl'!B:AB,27,0),"No Aplica"),"No Aplica")</f>
        <v>Cumple</v>
      </c>
      <c r="S2003" s="26">
        <v>104</v>
      </c>
      <c r="T2003" s="37">
        <v>11063465</v>
      </c>
      <c r="U2003" s="26">
        <v>259</v>
      </c>
      <c r="V2003" s="37">
        <v>28045675</v>
      </c>
      <c r="W2003" s="38">
        <v>106</v>
      </c>
      <c r="X2003" s="46">
        <v>10545277</v>
      </c>
      <c r="Y2003" s="46">
        <f t="shared" si="63"/>
        <v>8145485</v>
      </c>
    </row>
    <row r="2004" spans="1:25" x14ac:dyDescent="0.25">
      <c r="A2004" s="20">
        <f>+VLOOKUP(D2004,Back!Q:R,2,0)</f>
        <v>3</v>
      </c>
      <c r="B2004" s="20" t="str">
        <f t="shared" si="64"/>
        <v>2019 MAR</v>
      </c>
      <c r="C2004" s="30">
        <v>2019</v>
      </c>
      <c r="D2004" s="30" t="s">
        <v>139</v>
      </c>
      <c r="E2004" s="30" t="s">
        <v>25</v>
      </c>
      <c r="F2004" s="21">
        <v>1040030764</v>
      </c>
      <c r="G2004" s="21" t="s">
        <v>43</v>
      </c>
      <c r="H2004" s="22">
        <v>49722427</v>
      </c>
      <c r="I2004" s="22">
        <v>694800</v>
      </c>
      <c r="J2004" s="22">
        <v>7981895</v>
      </c>
      <c r="K2004" s="23">
        <v>41045732</v>
      </c>
      <c r="L2004" s="23">
        <v>40000000</v>
      </c>
      <c r="M2004" s="24">
        <v>1.0261433</v>
      </c>
      <c r="N2004" s="209" t="str">
        <f>IFERROR(VLOOKUP(F2004,Back!C:F,4,0),"NO")</f>
        <v>Si</v>
      </c>
      <c r="O2004" s="26">
        <v>25</v>
      </c>
      <c r="P2004" s="28" t="str">
        <f>IFERROR(VLOOKUP(F2004,Back!C:E,3,0),"")</f>
        <v>IPS Pto De Vista Rionegro</v>
      </c>
      <c r="Q2004" s="28" t="str">
        <f>IFERROR(VLOOKUP(P2004,Back!M:N,2,0),"")</f>
        <v>Antioquia</v>
      </c>
      <c r="R2004" s="27" t="str">
        <f>IF(N2004="Si",IFERROR(VLOOKUP(F2004,'TD Cumpl'!B:AB,27,0),"No Aplica"),"No Aplica")</f>
        <v>Cumple</v>
      </c>
      <c r="S2004" s="26">
        <v>86</v>
      </c>
      <c r="T2004" s="37">
        <v>9666375</v>
      </c>
      <c r="U2004" s="26">
        <v>212</v>
      </c>
      <c r="V2004" s="37">
        <v>28920469</v>
      </c>
      <c r="W2004" s="38">
        <v>87</v>
      </c>
      <c r="X2004" s="46">
        <v>7981895</v>
      </c>
      <c r="Y2004" s="46">
        <f t="shared" si="63"/>
        <v>3153688</v>
      </c>
    </row>
    <row r="2005" spans="1:25" x14ac:dyDescent="0.25">
      <c r="A2005" s="20">
        <f>+VLOOKUP(D2005,Back!Q:R,2,0)</f>
        <v>3</v>
      </c>
      <c r="B2005" s="20" t="str">
        <f t="shared" si="64"/>
        <v>2019 MAR</v>
      </c>
      <c r="C2005" s="30">
        <v>2019</v>
      </c>
      <c r="D2005" s="30" t="s">
        <v>139</v>
      </c>
      <c r="E2005" s="30" t="s">
        <v>284</v>
      </c>
      <c r="F2005" s="21">
        <v>1128267208</v>
      </c>
      <c r="G2005" s="21" t="s">
        <v>285</v>
      </c>
      <c r="H2005" s="22">
        <v>51808570</v>
      </c>
      <c r="I2005" s="22">
        <v>3209300</v>
      </c>
      <c r="J2005" s="22">
        <v>7441340</v>
      </c>
      <c r="K2005" s="23">
        <v>41157930</v>
      </c>
      <c r="L2005" s="23">
        <v>40000000</v>
      </c>
      <c r="M2005" s="24">
        <v>1.02894825</v>
      </c>
      <c r="N2005" s="209" t="str">
        <f>IFERROR(VLOOKUP(F2005,Back!C:F,4,0),"NO")</f>
        <v>Si</v>
      </c>
      <c r="O2005" s="26">
        <v>25</v>
      </c>
      <c r="P2005" s="28" t="str">
        <f>IFERROR(VLOOKUP(F2005,Back!C:E,3,0),"")</f>
        <v>IPS Pto De Vista Rionegro</v>
      </c>
      <c r="Q2005" s="28" t="str">
        <f>IFERROR(VLOOKUP(P2005,Back!M:N,2,0),"")</f>
        <v>Antioquia</v>
      </c>
      <c r="R2005" s="27" t="str">
        <f>IF(N2005="Si",IFERROR(VLOOKUP(F2005,'TD Cumpl'!B:AB,27,0),"No Aplica"),"No Aplica")</f>
        <v>Fluctúa</v>
      </c>
      <c r="S2005" s="26">
        <v>70</v>
      </c>
      <c r="T2005" s="37">
        <v>9155687</v>
      </c>
      <c r="U2005" s="26">
        <v>181</v>
      </c>
      <c r="V2005" s="37">
        <v>25214791</v>
      </c>
      <c r="W2005" s="38">
        <v>77</v>
      </c>
      <c r="X2005" s="46">
        <v>7441340</v>
      </c>
      <c r="Y2005" s="46">
        <f t="shared" si="63"/>
        <v>9996752</v>
      </c>
    </row>
    <row r="2006" spans="1:25" x14ac:dyDescent="0.25">
      <c r="A2006" s="20">
        <f>+VLOOKUP(D2006,Back!Q:R,2,0)</f>
        <v>3</v>
      </c>
      <c r="B2006" s="20" t="str">
        <f t="shared" si="64"/>
        <v>2019 MAR</v>
      </c>
      <c r="C2006" s="30">
        <v>2019</v>
      </c>
      <c r="D2006" s="30" t="s">
        <v>139</v>
      </c>
      <c r="E2006" s="30" t="s">
        <v>24</v>
      </c>
      <c r="F2006" s="21">
        <v>39448823</v>
      </c>
      <c r="G2006" s="21" t="s">
        <v>48</v>
      </c>
      <c r="H2006" s="22">
        <v>51694961</v>
      </c>
      <c r="I2006" s="199">
        <v>1594200</v>
      </c>
      <c r="J2006" s="22">
        <v>8644477</v>
      </c>
      <c r="K2006" s="23">
        <v>41456284</v>
      </c>
      <c r="L2006" s="23">
        <v>40000000</v>
      </c>
      <c r="M2006" s="24">
        <v>1.0364070999999999</v>
      </c>
      <c r="N2006" s="209" t="str">
        <f>IFERROR(VLOOKUP(F2006,Back!C:F,4,0),"NO")</f>
        <v>Si</v>
      </c>
      <c r="O2006" s="26">
        <v>25</v>
      </c>
      <c r="P2006" s="28" t="str">
        <f>IFERROR(VLOOKUP(F2006,Back!C:E,3,0),"")</f>
        <v>IPS Pto De Vista Rionegro</v>
      </c>
      <c r="Q2006" s="28" t="str">
        <f>IFERROR(VLOOKUP(P2006,Back!M:N,2,0),"")</f>
        <v>Antioquia</v>
      </c>
      <c r="R2006" s="27" t="str">
        <f>IF(N2006="Si",IFERROR(VLOOKUP(F2006,'TD Cumpl'!B:AB,27,0),"No Aplica"),"No Aplica")</f>
        <v>Siempre Cumple</v>
      </c>
      <c r="S2006" s="26">
        <v>83</v>
      </c>
      <c r="T2006" s="37">
        <v>9358081</v>
      </c>
      <c r="U2006" s="26">
        <v>215</v>
      </c>
      <c r="V2006" s="37">
        <v>26977392</v>
      </c>
      <c r="W2006" s="38">
        <v>86</v>
      </c>
      <c r="X2006" s="46">
        <v>8644477</v>
      </c>
      <c r="Y2006" s="46">
        <f t="shared" si="63"/>
        <v>6715011</v>
      </c>
    </row>
    <row r="2007" spans="1:25" x14ac:dyDescent="0.25">
      <c r="A2007" s="20">
        <f>+VLOOKUP(D2007,Back!Q:R,2,0)</f>
        <v>3</v>
      </c>
      <c r="B2007" s="20" t="str">
        <f t="shared" si="64"/>
        <v>2019 MAR</v>
      </c>
      <c r="C2007" s="30">
        <v>2019</v>
      </c>
      <c r="D2007" s="30" t="s">
        <v>139</v>
      </c>
      <c r="E2007" s="30" t="s">
        <v>11</v>
      </c>
      <c r="F2007" s="21">
        <v>43253531</v>
      </c>
      <c r="G2007" s="21" t="s">
        <v>39</v>
      </c>
      <c r="H2007" s="22">
        <v>49259549</v>
      </c>
      <c r="I2007" s="22">
        <v>689100</v>
      </c>
      <c r="J2007" s="22">
        <v>7586433</v>
      </c>
      <c r="K2007" s="23">
        <v>40984016</v>
      </c>
      <c r="L2007" s="23">
        <v>39040000</v>
      </c>
      <c r="M2007" s="24">
        <v>1.0497954918032786</v>
      </c>
      <c r="N2007" s="209" t="str">
        <f>IFERROR(VLOOKUP(F2007,Back!C:F,4,0),"NO")</f>
        <v>Si</v>
      </c>
      <c r="O2007" s="26">
        <v>25</v>
      </c>
      <c r="P2007" s="28" t="str">
        <f>IFERROR(VLOOKUP(F2007,Back!C:E,3,0),"")</f>
        <v>IPS Punto de Vista Bello</v>
      </c>
      <c r="Q2007" s="28" t="str">
        <f>IFERROR(VLOOKUP(P2007,Back!M:N,2,0),"")</f>
        <v>Antioquia</v>
      </c>
      <c r="R2007" s="27" t="str">
        <f>IF(N2007="Si",IFERROR(VLOOKUP(F2007,'TD Cumpl'!B:AB,27,0),"No Aplica"),"No Aplica")</f>
        <v>Cumple</v>
      </c>
      <c r="S2007" s="26">
        <v>92</v>
      </c>
      <c r="T2007" s="37">
        <v>10700671</v>
      </c>
      <c r="U2007" s="26">
        <v>210</v>
      </c>
      <c r="V2007" s="37">
        <v>23976658</v>
      </c>
      <c r="W2007" s="38">
        <v>81</v>
      </c>
      <c r="X2007" s="46">
        <v>7586433</v>
      </c>
      <c r="Y2007" s="46">
        <f t="shared" si="63"/>
        <v>6995787</v>
      </c>
    </row>
    <row r="2008" spans="1:25" x14ac:dyDescent="0.25">
      <c r="A2008" s="20">
        <f>+VLOOKUP(D2008,Back!Q:R,2,0)</f>
        <v>3</v>
      </c>
      <c r="B2008" s="20" t="str">
        <f t="shared" si="64"/>
        <v>2019 MAR</v>
      </c>
      <c r="C2008" s="30">
        <v>2019</v>
      </c>
      <c r="D2008" s="30" t="s">
        <v>139</v>
      </c>
      <c r="E2008" s="30" t="s">
        <v>18</v>
      </c>
      <c r="F2008" s="21">
        <v>39442617</v>
      </c>
      <c r="G2008" s="21" t="s">
        <v>41</v>
      </c>
      <c r="H2008" s="22">
        <v>19254094</v>
      </c>
      <c r="I2008" s="22">
        <v>0</v>
      </c>
      <c r="J2008" s="22">
        <v>3132911</v>
      </c>
      <c r="K2008" s="23">
        <v>16121183</v>
      </c>
      <c r="L2008" s="23">
        <v>15600000</v>
      </c>
      <c r="M2008" s="24">
        <v>1.0334091666666667</v>
      </c>
      <c r="N2008" s="209" t="str">
        <f>IFERROR(VLOOKUP(F2008,Back!C:F,4,0),"NO")</f>
        <v>Si</v>
      </c>
      <c r="O2008" s="26">
        <v>25</v>
      </c>
      <c r="P2008" s="28" t="str">
        <f>IFERROR(VLOOKUP(F2008,Back!C:E,3,0),"")</f>
        <v>IPS Pto De Vista San Diego</v>
      </c>
      <c r="Q2008" s="28" t="str">
        <f>IFERROR(VLOOKUP(P2008,Back!M:N,2,0),"")</f>
        <v>Antioquia</v>
      </c>
      <c r="R2008" s="27" t="str">
        <f>IF(N2008="Si",IFERROR(VLOOKUP(F2008,'TD Cumpl'!B:AB,27,0),"No Aplica"),"No Aplica")</f>
        <v>Cumple</v>
      </c>
      <c r="S2008" s="26">
        <v>28</v>
      </c>
      <c r="T2008" s="37">
        <v>3899379</v>
      </c>
      <c r="U2008" s="26">
        <v>77</v>
      </c>
      <c r="V2008" s="37">
        <v>9849913</v>
      </c>
      <c r="W2008" s="38">
        <v>29</v>
      </c>
      <c r="X2008" s="46">
        <v>3132911</v>
      </c>
      <c r="Y2008" s="46">
        <f t="shared" si="63"/>
        <v>2371891</v>
      </c>
    </row>
    <row r="2009" spans="1:25" x14ac:dyDescent="0.25">
      <c r="A2009" s="20">
        <f>+VLOOKUP(D2009,Back!Q:R,2,0)</f>
        <v>3</v>
      </c>
      <c r="B2009" s="20" t="str">
        <f t="shared" si="64"/>
        <v>2019 MAR</v>
      </c>
      <c r="C2009" s="30">
        <v>2019</v>
      </c>
      <c r="D2009" s="30" t="s">
        <v>139</v>
      </c>
      <c r="E2009" s="30" t="s">
        <v>81</v>
      </c>
      <c r="F2009" s="21">
        <v>1017200970</v>
      </c>
      <c r="G2009" s="21" t="s">
        <v>82</v>
      </c>
      <c r="H2009" s="22">
        <v>49866141</v>
      </c>
      <c r="I2009" s="22">
        <v>1519200</v>
      </c>
      <c r="J2009" s="22">
        <v>7618734</v>
      </c>
      <c r="K2009" s="23">
        <v>40728207</v>
      </c>
      <c r="L2009" s="23">
        <v>40000000</v>
      </c>
      <c r="M2009" s="24">
        <v>1.0182051750000001</v>
      </c>
      <c r="N2009" s="209" t="str">
        <f>IFERROR(VLOOKUP(F2009,Back!C:F,4,0),"NO")</f>
        <v>Si</v>
      </c>
      <c r="O2009" s="26">
        <v>25</v>
      </c>
      <c r="P2009" s="28" t="str">
        <f>IFERROR(VLOOKUP(F2009,Back!C:E,3,0),"")</f>
        <v>IPS Pto De Vista San Diego</v>
      </c>
      <c r="Q2009" s="28" t="str">
        <f>IFERROR(VLOOKUP(P2009,Back!M:N,2,0),"")</f>
        <v>Antioquia</v>
      </c>
      <c r="R2009" s="27" t="str">
        <f>IF(N2009="Si",IFERROR(VLOOKUP(F2009,'TD Cumpl'!B:AB,27,0),"No Aplica"),"No Aplica")</f>
        <v>Cumple</v>
      </c>
      <c r="S2009" s="26">
        <v>80</v>
      </c>
      <c r="T2009" s="37">
        <v>9747699</v>
      </c>
      <c r="U2009" s="26">
        <v>180</v>
      </c>
      <c r="V2009" s="37">
        <v>24627838</v>
      </c>
      <c r="W2009" s="38">
        <v>80</v>
      </c>
      <c r="X2009" s="46">
        <v>7618734</v>
      </c>
      <c r="Y2009" s="46">
        <f t="shared" si="63"/>
        <v>7871870</v>
      </c>
    </row>
    <row r="2010" spans="1:25" x14ac:dyDescent="0.25">
      <c r="A2010" s="20">
        <f>+VLOOKUP(D2010,Back!Q:R,2,0)</f>
        <v>3</v>
      </c>
      <c r="B2010" s="20" t="str">
        <f t="shared" si="64"/>
        <v>2019 MAR</v>
      </c>
      <c r="C2010" s="30">
        <v>2019</v>
      </c>
      <c r="D2010" s="30" t="s">
        <v>139</v>
      </c>
      <c r="E2010" s="30" t="s">
        <v>17</v>
      </c>
      <c r="F2010" s="21">
        <v>43113640</v>
      </c>
      <c r="G2010" s="21" t="s">
        <v>47</v>
      </c>
      <c r="H2010" s="22">
        <v>16196739</v>
      </c>
      <c r="I2010" s="22">
        <v>0</v>
      </c>
      <c r="J2010" s="22">
        <v>4585496</v>
      </c>
      <c r="K2010" s="23">
        <v>11611243</v>
      </c>
      <c r="L2010" s="23">
        <v>40000000</v>
      </c>
      <c r="M2010" s="24">
        <v>0.290281075</v>
      </c>
      <c r="N2010" s="209" t="str">
        <f>IFERROR(VLOOKUP(F2010,Back!C:F,4,0),"NO")</f>
        <v>Si</v>
      </c>
      <c r="O2010" s="26">
        <v>25</v>
      </c>
      <c r="P2010" s="28" t="str">
        <f>IFERROR(VLOOKUP(F2010,Back!C:E,3,0),"")</f>
        <v>IPS Pto De Vista San Diego</v>
      </c>
      <c r="Q2010" s="28" t="str">
        <f>IFERROR(VLOOKUP(P2010,Back!M:N,2,0),"")</f>
        <v>Antioquia</v>
      </c>
      <c r="R2010" s="27" t="str">
        <f>IF(N2010="Si",IFERROR(VLOOKUP(F2010,'TD Cumpl'!B:AB,27,0),"No Aplica"),"No Aplica")</f>
        <v>Cumple</v>
      </c>
      <c r="S2010" s="26">
        <v>30</v>
      </c>
      <c r="T2010" s="37">
        <v>2700990</v>
      </c>
      <c r="U2010" s="26">
        <v>64</v>
      </c>
      <c r="V2010" s="37">
        <v>7233774</v>
      </c>
      <c r="W2010" s="38">
        <v>50</v>
      </c>
      <c r="X2010" s="46">
        <v>4585496</v>
      </c>
      <c r="Y2010" s="46">
        <f t="shared" si="63"/>
        <v>1676479</v>
      </c>
    </row>
    <row r="2011" spans="1:25" x14ac:dyDescent="0.25">
      <c r="A2011" s="20">
        <f>+VLOOKUP(D2011,Back!Q:R,2,0)</f>
        <v>3</v>
      </c>
      <c r="B2011" s="20" t="str">
        <f t="shared" si="64"/>
        <v>2019 MAR</v>
      </c>
      <c r="C2011" s="30">
        <v>2019</v>
      </c>
      <c r="D2011" s="30" t="s">
        <v>139</v>
      </c>
      <c r="E2011" s="30" t="s">
        <v>235</v>
      </c>
      <c r="F2011" s="21">
        <v>39275090</v>
      </c>
      <c r="G2011" s="21" t="s">
        <v>236</v>
      </c>
      <c r="H2011" s="22">
        <v>61166697</v>
      </c>
      <c r="I2011" s="22">
        <v>0</v>
      </c>
      <c r="J2011" s="22">
        <v>9222221</v>
      </c>
      <c r="K2011" s="23">
        <v>51944476</v>
      </c>
      <c r="L2011" s="23">
        <v>40000000</v>
      </c>
      <c r="M2011" s="24">
        <v>1.2986119</v>
      </c>
      <c r="N2011" s="209" t="str">
        <f>IFERROR(VLOOKUP(F2011,Back!C:F,4,0),"NO")</f>
        <v>Si</v>
      </c>
      <c r="O2011" s="26">
        <v>25</v>
      </c>
      <c r="P2011" s="28" t="str">
        <f>IFERROR(VLOOKUP(F2011,Back!C:E,3,0),"")</f>
        <v>IPS Pto De Vista San Diego</v>
      </c>
      <c r="Q2011" s="28" t="str">
        <f>IFERROR(VLOOKUP(P2011,Back!M:N,2,0),"")</f>
        <v>Antioquia</v>
      </c>
      <c r="R2011" s="27" t="str">
        <f>IF(N2011="Si",IFERROR(VLOOKUP(F2011,'TD Cumpl'!B:AB,27,0),"No Aplica"),"No Aplica")</f>
        <v>Siempre Cumple</v>
      </c>
      <c r="S2011" s="26">
        <v>91</v>
      </c>
      <c r="T2011" s="37">
        <v>12222641</v>
      </c>
      <c r="U2011" s="26">
        <v>218</v>
      </c>
      <c r="V2011" s="37">
        <v>36314919</v>
      </c>
      <c r="W2011" s="38">
        <v>88</v>
      </c>
      <c r="X2011" s="46">
        <v>9222221</v>
      </c>
      <c r="Y2011" s="46">
        <f t="shared" si="63"/>
        <v>3406916</v>
      </c>
    </row>
    <row r="2012" spans="1:25" x14ac:dyDescent="0.25">
      <c r="A2012" s="20">
        <f>+VLOOKUP(D2012,Back!Q:R,2,0)</f>
        <v>3</v>
      </c>
      <c r="B2012" s="20" t="str">
        <f t="shared" si="64"/>
        <v>2019 MAR</v>
      </c>
      <c r="C2012" s="30">
        <v>2019</v>
      </c>
      <c r="D2012" s="30" t="s">
        <v>139</v>
      </c>
      <c r="E2012" s="30" t="s">
        <v>326</v>
      </c>
      <c r="F2012" s="21">
        <v>1126257967</v>
      </c>
      <c r="G2012" s="21" t="s">
        <v>327</v>
      </c>
      <c r="H2012" s="22">
        <v>36115002</v>
      </c>
      <c r="I2012" s="22">
        <v>292500</v>
      </c>
      <c r="J2012" s="22">
        <v>5677250</v>
      </c>
      <c r="K2012" s="23">
        <v>30145252</v>
      </c>
      <c r="L2012" s="23">
        <v>33500000</v>
      </c>
      <c r="M2012" s="24">
        <v>0.89985826865671636</v>
      </c>
      <c r="N2012" s="209" t="str">
        <f>IFERROR(VLOOKUP(F2012,Back!C:F,4,0),"NO")</f>
        <v>Si</v>
      </c>
      <c r="O2012" s="26">
        <v>25</v>
      </c>
      <c r="P2012" s="28" t="str">
        <f>IFERROR(VLOOKUP(F2012,Back!C:E,3,0),"")</f>
        <v>IPS Pto De Vista Santa Bárbara</v>
      </c>
      <c r="Q2012" s="28" t="str">
        <f>IFERROR(VLOOKUP(P2012,Back!M:N,2,0),"")</f>
        <v>Centro</v>
      </c>
      <c r="R2012" s="27" t="str">
        <f>IF(N2012="Si",IFERROR(VLOOKUP(F2012,'TD Cumpl'!B:AB,27,0),"No Aplica"),"No Aplica")</f>
        <v>No Cumple</v>
      </c>
      <c r="S2012" s="26">
        <v>68</v>
      </c>
      <c r="T2012" s="37">
        <v>7033643</v>
      </c>
      <c r="U2012" s="26">
        <v>160</v>
      </c>
      <c r="V2012" s="37">
        <v>22136041</v>
      </c>
      <c r="W2012" s="38">
        <v>76</v>
      </c>
      <c r="X2012" s="46">
        <v>5677250</v>
      </c>
      <c r="Y2012" s="46">
        <f t="shared" si="63"/>
        <v>1268068</v>
      </c>
    </row>
    <row r="2013" spans="1:25" x14ac:dyDescent="0.25">
      <c r="A2013" s="20">
        <f>+VLOOKUP(D2013,Back!Q:R,2,0)</f>
        <v>3</v>
      </c>
      <c r="B2013" s="20" t="str">
        <f t="shared" si="64"/>
        <v>2019 MAR</v>
      </c>
      <c r="C2013" s="30">
        <v>2019</v>
      </c>
      <c r="D2013" s="30" t="s">
        <v>139</v>
      </c>
      <c r="E2013" s="30" t="s">
        <v>84</v>
      </c>
      <c r="F2013" s="21">
        <v>1020736461</v>
      </c>
      <c r="G2013" s="21" t="s">
        <v>156</v>
      </c>
      <c r="H2013" s="22">
        <v>54885725</v>
      </c>
      <c r="I2013" s="22">
        <v>2204400</v>
      </c>
      <c r="J2013" s="22">
        <v>7039153</v>
      </c>
      <c r="K2013" s="23">
        <v>45642172</v>
      </c>
      <c r="L2013" s="23">
        <v>33500000</v>
      </c>
      <c r="M2013" s="24">
        <v>1.362452895522388</v>
      </c>
      <c r="N2013" s="209" t="str">
        <f>IFERROR(VLOOKUP(F2013,Back!C:F,4,0),"NO")</f>
        <v>Si</v>
      </c>
      <c r="O2013" s="26">
        <v>25</v>
      </c>
      <c r="P2013" s="28" t="str">
        <f>IFERROR(VLOOKUP(F2013,Back!C:E,3,0),"")</f>
        <v>IPS Pto De Vista Santa Bárbara</v>
      </c>
      <c r="Q2013" s="28" t="str">
        <f>IFERROR(VLOOKUP(P2013,Back!M:N,2,0),"")</f>
        <v>Centro</v>
      </c>
      <c r="R2013" s="27" t="str">
        <f>IF(N2013="Si",IFERROR(VLOOKUP(F2013,'TD Cumpl'!B:AB,27,0),"No Aplica"),"No Aplica")</f>
        <v>Siempre Cumple</v>
      </c>
      <c r="S2013" s="26">
        <v>77</v>
      </c>
      <c r="T2013" s="37">
        <v>9255937</v>
      </c>
      <c r="U2013" s="26">
        <v>223</v>
      </c>
      <c r="V2013" s="37">
        <v>31711316</v>
      </c>
      <c r="W2013" s="38">
        <v>93</v>
      </c>
      <c r="X2013" s="46">
        <v>7039153</v>
      </c>
      <c r="Y2013" s="46">
        <f t="shared" si="63"/>
        <v>6879319</v>
      </c>
    </row>
    <row r="2014" spans="1:25" x14ac:dyDescent="0.25">
      <c r="A2014" s="20">
        <f>+VLOOKUP(D2014,Back!Q:R,2,0)</f>
        <v>3</v>
      </c>
      <c r="B2014" s="20" t="str">
        <f t="shared" si="64"/>
        <v>2019 MAR</v>
      </c>
      <c r="C2014" s="30">
        <v>2019</v>
      </c>
      <c r="D2014" s="30" t="s">
        <v>139</v>
      </c>
      <c r="E2014" s="30" t="s">
        <v>295</v>
      </c>
      <c r="F2014" s="21">
        <v>1020769180</v>
      </c>
      <c r="G2014" s="21" t="s">
        <v>302</v>
      </c>
      <c r="H2014" s="22">
        <v>34253232</v>
      </c>
      <c r="I2014" s="22">
        <v>2138700</v>
      </c>
      <c r="J2014" s="22">
        <v>5371106</v>
      </c>
      <c r="K2014" s="23">
        <v>26743426</v>
      </c>
      <c r="L2014" s="23">
        <v>33500000</v>
      </c>
      <c r="M2014" s="24">
        <v>0.79831122388059705</v>
      </c>
      <c r="N2014" s="209" t="str">
        <f>IFERROR(VLOOKUP(F2014,Back!C:F,4,0),"NO")</f>
        <v>Si</v>
      </c>
      <c r="O2014" s="26">
        <v>25</v>
      </c>
      <c r="P2014" s="28" t="str">
        <f>IFERROR(VLOOKUP(F2014,Back!C:E,3,0),"")</f>
        <v>IPS Pto De Vista Santa Bárbara</v>
      </c>
      <c r="Q2014" s="28" t="str">
        <f>IFERROR(VLOOKUP(P2014,Back!M:N,2,0),"")</f>
        <v>Centro</v>
      </c>
      <c r="R2014" s="27" t="str">
        <f>IF(N2014="Si",IFERROR(VLOOKUP(F2014,'TD Cumpl'!B:AB,27,0),"No Aplica"),"No Aplica")</f>
        <v>No Cumple</v>
      </c>
      <c r="S2014" s="26">
        <v>58</v>
      </c>
      <c r="T2014" s="37">
        <v>5415790</v>
      </c>
      <c r="U2014" s="26">
        <v>178</v>
      </c>
      <c r="V2014" s="37">
        <v>19792530</v>
      </c>
      <c r="W2014" s="38">
        <v>74</v>
      </c>
      <c r="X2014" s="46">
        <v>5371106</v>
      </c>
      <c r="Y2014" s="46">
        <f t="shared" si="63"/>
        <v>3673806</v>
      </c>
    </row>
    <row r="2015" spans="1:25" x14ac:dyDescent="0.25">
      <c r="A2015" s="20">
        <f>+VLOOKUP(D2015,Back!Q:R,2,0)</f>
        <v>3</v>
      </c>
      <c r="B2015" s="20" t="str">
        <f t="shared" si="64"/>
        <v>2019 MAR</v>
      </c>
      <c r="C2015" s="30">
        <v>2019</v>
      </c>
      <c r="D2015" s="30" t="s">
        <v>139</v>
      </c>
      <c r="E2015" s="30" t="s">
        <v>102</v>
      </c>
      <c r="F2015" s="21">
        <v>79850984</v>
      </c>
      <c r="G2015" s="21" t="s">
        <v>106</v>
      </c>
      <c r="H2015" s="22">
        <v>23133899</v>
      </c>
      <c r="I2015" s="22">
        <v>925980</v>
      </c>
      <c r="J2015" s="22">
        <v>2026611</v>
      </c>
      <c r="K2015" s="23">
        <v>20181308</v>
      </c>
      <c r="L2015" s="23">
        <v>19200000</v>
      </c>
      <c r="M2015" s="24">
        <v>1.0511097916666667</v>
      </c>
      <c r="N2015" s="209" t="str">
        <f>IFERROR(VLOOKUP(F2015,Back!C:F,4,0),"NO")</f>
        <v>Si</v>
      </c>
      <c r="O2015" s="26">
        <v>25</v>
      </c>
      <c r="P2015" s="28" t="str">
        <f>IFERROR(VLOOKUP(F2015,Back!C:E,3,0),"")</f>
        <v>IPS Pto De Vista SSura Clle100</v>
      </c>
      <c r="Q2015" s="28" t="str">
        <f>IFERROR(VLOOKUP(P2015,Back!M:N,2,0),"")</f>
        <v>Centro</v>
      </c>
      <c r="R2015" s="27" t="str">
        <f>IF(N2015="Si",IFERROR(VLOOKUP(F2015,'TD Cumpl'!B:AB,27,0),"No Aplica"),"No Aplica")</f>
        <v>Fluctúa</v>
      </c>
      <c r="S2015" s="26">
        <v>31</v>
      </c>
      <c r="T2015" s="37">
        <v>4598196</v>
      </c>
      <c r="U2015" s="26">
        <v>106</v>
      </c>
      <c r="V2015" s="37">
        <v>14386509</v>
      </c>
      <c r="W2015" s="38">
        <v>29</v>
      </c>
      <c r="X2015" s="46">
        <v>2026611</v>
      </c>
      <c r="Y2015" s="46">
        <f t="shared" si="63"/>
        <v>2122583</v>
      </c>
    </row>
    <row r="2016" spans="1:25" x14ac:dyDescent="0.25">
      <c r="A2016" s="20">
        <f>+VLOOKUP(D2016,Back!Q:R,2,0)</f>
        <v>3</v>
      </c>
      <c r="B2016" s="20" t="str">
        <f t="shared" si="64"/>
        <v>2019 MAR</v>
      </c>
      <c r="C2016" s="30">
        <v>2019</v>
      </c>
      <c r="D2016" s="30" t="s">
        <v>139</v>
      </c>
      <c r="E2016" s="30" t="s">
        <v>2</v>
      </c>
      <c r="F2016" s="21">
        <v>52260671</v>
      </c>
      <c r="G2016" s="21" t="s">
        <v>26</v>
      </c>
      <c r="H2016" s="22">
        <v>21535914</v>
      </c>
      <c r="I2016" s="22">
        <v>1044000</v>
      </c>
      <c r="J2016" s="22">
        <v>819900</v>
      </c>
      <c r="K2016" s="23">
        <v>19672014</v>
      </c>
      <c r="L2016" s="23">
        <v>10800000</v>
      </c>
      <c r="M2016" s="24">
        <v>1.8214827777777778</v>
      </c>
      <c r="N2016" s="209" t="str">
        <f>IFERROR(VLOOKUP(F2016,Back!C:F,4,0),"NO")</f>
        <v>Si</v>
      </c>
      <c r="O2016" s="26">
        <v>25</v>
      </c>
      <c r="P2016" s="28" t="str">
        <f>IFERROR(VLOOKUP(F2016,Back!C:E,3,0),"")</f>
        <v>IPS Pto De Vista Santa Bárbara</v>
      </c>
      <c r="Q2016" s="28" t="str">
        <f>IFERROR(VLOOKUP(P2016,Back!M:N,2,0),"")</f>
        <v>Centro</v>
      </c>
      <c r="R2016" s="27" t="str">
        <f>IF(N2016="Si",IFERROR(VLOOKUP(F2016,'TD Cumpl'!B:AB,27,0),"No Aplica"),"No Aplica")</f>
        <v>Siempre Cumple</v>
      </c>
      <c r="S2016" s="26">
        <v>28</v>
      </c>
      <c r="T2016" s="37">
        <v>3831356</v>
      </c>
      <c r="U2016" s="26">
        <v>108</v>
      </c>
      <c r="V2016" s="37">
        <v>14620532</v>
      </c>
      <c r="W2016" s="38">
        <v>10</v>
      </c>
      <c r="X2016" s="46">
        <v>819900</v>
      </c>
      <c r="Y2016" s="46">
        <f t="shared" si="63"/>
        <v>2264126</v>
      </c>
    </row>
    <row r="2017" spans="1:25" x14ac:dyDescent="0.25">
      <c r="A2017" s="20">
        <f>+VLOOKUP(D2017,Back!Q:R,2,0)</f>
        <v>3</v>
      </c>
      <c r="B2017" s="20" t="str">
        <f t="shared" si="64"/>
        <v>2019 MAR</v>
      </c>
      <c r="C2017" s="30">
        <v>2019</v>
      </c>
      <c r="D2017" s="30" t="s">
        <v>139</v>
      </c>
      <c r="E2017" s="30" t="s">
        <v>6</v>
      </c>
      <c r="F2017" s="21">
        <v>43821410</v>
      </c>
      <c r="G2017" s="21" t="s">
        <v>40</v>
      </c>
      <c r="H2017" s="22">
        <v>79040029</v>
      </c>
      <c r="I2017" s="22">
        <v>2082600</v>
      </c>
      <c r="J2017" s="22">
        <v>10869895</v>
      </c>
      <c r="K2017" s="23">
        <v>66087534</v>
      </c>
      <c r="L2017" s="23">
        <v>45000000</v>
      </c>
      <c r="M2017" s="24">
        <v>1.4686118666666668</v>
      </c>
      <c r="N2017" s="209" t="str">
        <f>IFERROR(VLOOKUP(F2017,Back!C:F,4,0),"NO")</f>
        <v>Si</v>
      </c>
      <c r="O2017" s="26">
        <v>25</v>
      </c>
      <c r="P2017" s="28" t="str">
        <f>IFERROR(VLOOKUP(F2017,Back!C:E,3,0),"")</f>
        <v>IPS Pto De Vista Unicentro</v>
      </c>
      <c r="Q2017" s="28" t="str">
        <f>IFERROR(VLOOKUP(P2017,Back!M:N,2,0),"")</f>
        <v>Antioquia</v>
      </c>
      <c r="R2017" s="27" t="str">
        <f>IF(N2017="Si",IFERROR(VLOOKUP(F2017,'TD Cumpl'!B:AB,27,0),"No Aplica"),"No Aplica")</f>
        <v>Siempre Cumple</v>
      </c>
      <c r="S2017" s="26">
        <v>109</v>
      </c>
      <c r="T2017" s="37">
        <v>14469695</v>
      </c>
      <c r="U2017" s="26">
        <v>253</v>
      </c>
      <c r="V2017" s="37">
        <v>43912025</v>
      </c>
      <c r="W2017" s="38">
        <v>105</v>
      </c>
      <c r="X2017" s="46">
        <v>10869895</v>
      </c>
      <c r="Y2017" s="46">
        <f t="shared" si="63"/>
        <v>9788414</v>
      </c>
    </row>
    <row r="2018" spans="1:25" x14ac:dyDescent="0.25">
      <c r="A2018" s="20">
        <f>+VLOOKUP(D2018,Back!Q:R,2,0)</f>
        <v>3</v>
      </c>
      <c r="B2018" s="20" t="str">
        <f t="shared" si="64"/>
        <v>2019 MAR</v>
      </c>
      <c r="C2018" s="30">
        <v>2019</v>
      </c>
      <c r="D2018" s="30" t="s">
        <v>139</v>
      </c>
      <c r="E2018" s="30" t="s">
        <v>21</v>
      </c>
      <c r="F2018" s="21">
        <v>1035417626</v>
      </c>
      <c r="G2018" s="21" t="s">
        <v>80</v>
      </c>
      <c r="H2018" s="22">
        <v>72010092</v>
      </c>
      <c r="I2018" s="22">
        <v>792000</v>
      </c>
      <c r="J2018" s="22">
        <v>12507203</v>
      </c>
      <c r="K2018" s="23">
        <v>58710889</v>
      </c>
      <c r="L2018" s="23">
        <v>45000000</v>
      </c>
      <c r="M2018" s="24">
        <v>1.3046864222222223</v>
      </c>
      <c r="N2018" s="209" t="str">
        <f>IFERROR(VLOOKUP(F2018,Back!C:F,4,0),"NO")</f>
        <v>Si</v>
      </c>
      <c r="O2018" s="26">
        <v>25</v>
      </c>
      <c r="P2018" s="28" t="str">
        <f>IFERROR(VLOOKUP(F2018,Back!C:E,3,0),"")</f>
        <v>IPS Pto De Vista Unicentro</v>
      </c>
      <c r="Q2018" s="28" t="str">
        <f>IFERROR(VLOOKUP(P2018,Back!M:N,2,0),"")</f>
        <v>Antioquia</v>
      </c>
      <c r="R2018" s="27" t="str">
        <f>IF(N2018="Si",IFERROR(VLOOKUP(F2018,'TD Cumpl'!B:AB,27,0),"No Aplica"),"No Aplica")</f>
        <v>Cumple</v>
      </c>
      <c r="S2018" s="26">
        <v>101</v>
      </c>
      <c r="T2018" s="37">
        <v>11464835</v>
      </c>
      <c r="U2018" s="26">
        <v>248</v>
      </c>
      <c r="V2018" s="37">
        <v>41080557</v>
      </c>
      <c r="W2018" s="38">
        <v>115</v>
      </c>
      <c r="X2018" s="46">
        <v>12507203</v>
      </c>
      <c r="Y2018" s="46">
        <f t="shared" si="63"/>
        <v>6957497</v>
      </c>
    </row>
    <row r="2019" spans="1:25" x14ac:dyDescent="0.25">
      <c r="A2019" s="20">
        <f>+VLOOKUP(D2019,Back!Q:R,2,0)</f>
        <v>3</v>
      </c>
      <c r="B2019" s="20" t="str">
        <f t="shared" si="64"/>
        <v>2019 MAR</v>
      </c>
      <c r="C2019" s="30">
        <v>2019</v>
      </c>
      <c r="D2019" s="30" t="s">
        <v>139</v>
      </c>
      <c r="E2019" s="30" t="s">
        <v>7</v>
      </c>
      <c r="F2019" s="21">
        <v>43745952</v>
      </c>
      <c r="G2019" s="21" t="s">
        <v>50</v>
      </c>
      <c r="H2019" s="22">
        <v>78368893</v>
      </c>
      <c r="I2019" s="22">
        <v>1179000</v>
      </c>
      <c r="J2019" s="22">
        <v>12635376</v>
      </c>
      <c r="K2019" s="23">
        <v>64554517</v>
      </c>
      <c r="L2019" s="23">
        <v>45000000</v>
      </c>
      <c r="M2019" s="24">
        <v>1.4345448222222221</v>
      </c>
      <c r="N2019" s="209" t="str">
        <f>IFERROR(VLOOKUP(F2019,Back!C:F,4,0),"NO")</f>
        <v>Si</v>
      </c>
      <c r="O2019" s="26">
        <v>25</v>
      </c>
      <c r="P2019" s="28" t="str">
        <f>IFERROR(VLOOKUP(F2019,Back!C:E,3,0),"")</f>
        <v>IPS Pto De Vista Unicentro</v>
      </c>
      <c r="Q2019" s="28" t="str">
        <f>IFERROR(VLOOKUP(P2019,Back!M:N,2,0),"")</f>
        <v>Antioquia</v>
      </c>
      <c r="R2019" s="27" t="str">
        <f>IF(N2019="Si",IFERROR(VLOOKUP(F2019,'TD Cumpl'!B:AB,27,0),"No Aplica"),"No Aplica")</f>
        <v>Siempre Cumple</v>
      </c>
      <c r="S2019" s="26">
        <v>126</v>
      </c>
      <c r="T2019" s="37">
        <v>14502898</v>
      </c>
      <c r="U2019" s="26">
        <v>275</v>
      </c>
      <c r="V2019" s="37">
        <v>39739569</v>
      </c>
      <c r="W2019" s="38">
        <v>132</v>
      </c>
      <c r="X2019" s="46">
        <v>12635376</v>
      </c>
      <c r="Y2019" s="46">
        <f t="shared" si="63"/>
        <v>11491050</v>
      </c>
    </row>
    <row r="2020" spans="1:25" x14ac:dyDescent="0.25">
      <c r="A2020" s="20">
        <f>+VLOOKUP(D2020,Back!Q:R,2,0)</f>
        <v>3</v>
      </c>
      <c r="B2020" s="20" t="str">
        <f t="shared" si="64"/>
        <v>2019 MAR</v>
      </c>
      <c r="C2020" s="30">
        <v>2019</v>
      </c>
      <c r="D2020" s="30" t="s">
        <v>139</v>
      </c>
      <c r="E2020" s="30" t="s">
        <v>292</v>
      </c>
      <c r="F2020" s="21">
        <v>32352312</v>
      </c>
      <c r="G2020" s="21" t="s">
        <v>293</v>
      </c>
      <c r="H2020" s="22">
        <v>22945904</v>
      </c>
      <c r="I2020" s="22">
        <v>489600</v>
      </c>
      <c r="J2020" s="22">
        <v>5264844</v>
      </c>
      <c r="K2020" s="23">
        <v>17191460</v>
      </c>
      <c r="L2020" s="23">
        <v>25160000</v>
      </c>
      <c r="M2020" s="24">
        <v>0.68328537360890307</v>
      </c>
      <c r="N2020" s="209" t="str">
        <f>IFERROR(VLOOKUP(F2020,Back!C:F,4,0),"NO")</f>
        <v>Si</v>
      </c>
      <c r="O2020" s="26">
        <v>25</v>
      </c>
      <c r="P2020" s="28" t="str">
        <f>IFERROR(VLOOKUP(F2020,Back!C:E,3,0),"")</f>
        <v>IPS Pto De Vista San Diego</v>
      </c>
      <c r="Q2020" s="28" t="str">
        <f>IFERROR(VLOOKUP(P2020,Back!M:N,2,0),"")</f>
        <v>Antioquia</v>
      </c>
      <c r="R2020" s="27" t="str">
        <f>IF(N2020="Si",IFERROR(VLOOKUP(F2020,'TD Cumpl'!B:AB,27,0),"No Aplica"),"No Aplica")</f>
        <v>No Cumple</v>
      </c>
      <c r="S2020" s="26">
        <v>39</v>
      </c>
      <c r="T2020" s="37">
        <v>4627498</v>
      </c>
      <c r="U2020" s="26">
        <v>80</v>
      </c>
      <c r="V2020" s="37">
        <v>9773034</v>
      </c>
      <c r="W2020" s="38">
        <v>48</v>
      </c>
      <c r="X2020" s="46">
        <v>5264844</v>
      </c>
      <c r="Y2020" s="46">
        <f t="shared" si="63"/>
        <v>3280528</v>
      </c>
    </row>
    <row r="2021" spans="1:25" x14ac:dyDescent="0.25">
      <c r="A2021" s="20">
        <f>+VLOOKUP(D2021,Back!Q:R,2,0)</f>
        <v>3</v>
      </c>
      <c r="B2021" s="20" t="str">
        <f t="shared" si="64"/>
        <v>2019 MAR</v>
      </c>
      <c r="C2021" s="30">
        <v>2019</v>
      </c>
      <c r="D2021" s="30" t="s">
        <v>139</v>
      </c>
      <c r="E2021" s="30" t="s">
        <v>121</v>
      </c>
      <c r="F2021" s="21">
        <v>21982241</v>
      </c>
      <c r="G2021" s="21" t="s">
        <v>143</v>
      </c>
      <c r="H2021" s="199">
        <v>26400842</v>
      </c>
      <c r="I2021" s="22">
        <v>324000</v>
      </c>
      <c r="J2021" s="22">
        <v>5298186</v>
      </c>
      <c r="K2021" s="23">
        <v>20778656</v>
      </c>
      <c r="L2021" s="23">
        <v>25160000</v>
      </c>
      <c r="M2021" s="24">
        <v>0.82586073131955484</v>
      </c>
      <c r="N2021" s="209" t="str">
        <f>IFERROR(VLOOKUP(F2021,Back!C:F,4,0),"NO")</f>
        <v>Si</v>
      </c>
      <c r="O2021" s="26">
        <v>25</v>
      </c>
      <c r="P2021" s="28" t="str">
        <f>IFERROR(VLOOKUP(F2021,Back!C:E,3,0),"")</f>
        <v>IPS Punto de Vista Bello</v>
      </c>
      <c r="Q2021" s="28" t="str">
        <f>IFERROR(VLOOKUP(P2021,Back!M:N,2,0),"")</f>
        <v>Antioquia</v>
      </c>
      <c r="R2021" s="27" t="str">
        <f>IF(N2021="Si",IFERROR(VLOOKUP(F2021,'TD Cumpl'!B:AB,27,0),"No Aplica"),"No Aplica")</f>
        <v>Fluctúa</v>
      </c>
      <c r="S2021" s="26">
        <v>44</v>
      </c>
      <c r="T2021" s="37">
        <v>4953433</v>
      </c>
      <c r="U2021" s="26">
        <v>122</v>
      </c>
      <c r="V2021" s="37">
        <v>13612235</v>
      </c>
      <c r="W2021" s="38">
        <v>52</v>
      </c>
      <c r="X2021" s="46">
        <v>5298186</v>
      </c>
      <c r="Y2021" s="46">
        <f t="shared" si="63"/>
        <v>2536988</v>
      </c>
    </row>
    <row r="2022" spans="1:25" x14ac:dyDescent="0.25">
      <c r="A2022" s="20">
        <f>+VLOOKUP(D2022,Back!Q:R,2,0)</f>
        <v>3</v>
      </c>
      <c r="B2022" s="20" t="str">
        <f t="shared" si="64"/>
        <v>2019 MAR</v>
      </c>
      <c r="C2022" s="30">
        <v>2019</v>
      </c>
      <c r="D2022" s="30" t="s">
        <v>139</v>
      </c>
      <c r="E2022" s="30" t="s">
        <v>259</v>
      </c>
      <c r="F2022" s="21">
        <v>1020399898</v>
      </c>
      <c r="G2022" s="21" t="s">
        <v>260</v>
      </c>
      <c r="H2022" s="22">
        <v>40513847</v>
      </c>
      <c r="I2022" s="22">
        <v>702000</v>
      </c>
      <c r="J2022" s="22">
        <v>6131509</v>
      </c>
      <c r="K2022" s="23">
        <v>33680338</v>
      </c>
      <c r="L2022" s="23">
        <v>28500000</v>
      </c>
      <c r="M2022" s="24">
        <v>1.181766245614035</v>
      </c>
      <c r="N2022" s="209" t="str">
        <f>IFERROR(VLOOKUP(F2022,Back!C:F,4,0),"NO")</f>
        <v>Si</v>
      </c>
      <c r="O2022" s="26">
        <v>25</v>
      </c>
      <c r="P2022" s="28" t="str">
        <f>IFERROR(VLOOKUP(F2022,Back!C:E,3,0),"")</f>
        <v>IPS Punto de Vista Mayorca</v>
      </c>
      <c r="Q2022" s="28" t="str">
        <f>IFERROR(VLOOKUP(P2022,Back!M:N,2,0),"")</f>
        <v>Antioquia</v>
      </c>
      <c r="R2022" s="27" t="str">
        <f>IF(N2022="Si",IFERROR(VLOOKUP(F2022,'TD Cumpl'!B:AB,27,0),"No Aplica"),"No Aplica")</f>
        <v>Fluctúa</v>
      </c>
      <c r="S2022" s="26">
        <v>70</v>
      </c>
      <c r="T2022" s="37">
        <v>8160973</v>
      </c>
      <c r="U2022" s="26">
        <v>168</v>
      </c>
      <c r="V2022" s="37">
        <v>21330659</v>
      </c>
      <c r="W2022" s="38">
        <v>69</v>
      </c>
      <c r="X2022" s="46">
        <v>6131509</v>
      </c>
      <c r="Y2022" s="46">
        <f t="shared" si="63"/>
        <v>4890706</v>
      </c>
    </row>
    <row r="2023" spans="1:25" x14ac:dyDescent="0.25">
      <c r="A2023" s="20">
        <f>+VLOOKUP(D2023,Back!Q:R,2,0)</f>
        <v>3</v>
      </c>
      <c r="B2023" s="20" t="str">
        <f t="shared" si="64"/>
        <v>2019 MAR</v>
      </c>
      <c r="C2023" s="30">
        <v>2019</v>
      </c>
      <c r="D2023" s="30" t="s">
        <v>139</v>
      </c>
      <c r="E2023" s="30" t="s">
        <v>290</v>
      </c>
      <c r="F2023" s="21">
        <v>1128442101</v>
      </c>
      <c r="G2023" s="21" t="s">
        <v>291</v>
      </c>
      <c r="H2023" s="22">
        <v>34488367</v>
      </c>
      <c r="I2023" s="22">
        <v>657800</v>
      </c>
      <c r="J2023" s="22">
        <v>4741973</v>
      </c>
      <c r="K2023" s="23">
        <v>29088594</v>
      </c>
      <c r="L2023" s="23">
        <v>28500000</v>
      </c>
      <c r="M2023" s="24">
        <v>1.0206524210526315</v>
      </c>
      <c r="N2023" s="209" t="str">
        <f>IFERROR(VLOOKUP(F2023,Back!C:F,4,0),"NO")</f>
        <v>Si</v>
      </c>
      <c r="O2023" s="26">
        <v>25</v>
      </c>
      <c r="P2023" s="28" t="str">
        <f>IFERROR(VLOOKUP(F2023,Back!C:E,3,0),"")</f>
        <v>IPS Punto de Vista Mayorca</v>
      </c>
      <c r="Q2023" s="28" t="str">
        <f>IFERROR(VLOOKUP(P2023,Back!M:N,2,0),"")</f>
        <v>Antioquia</v>
      </c>
      <c r="R2023" s="27" t="str">
        <f>IF(N2023="Si",IFERROR(VLOOKUP(F2023,'TD Cumpl'!B:AB,27,0),"No Aplica"),"No Aplica")</f>
        <v>Fluctúa</v>
      </c>
      <c r="S2023" s="26">
        <v>56</v>
      </c>
      <c r="T2023" s="37">
        <v>6474816</v>
      </c>
      <c r="U2023" s="26">
        <v>132</v>
      </c>
      <c r="V2023" s="37">
        <v>18322661</v>
      </c>
      <c r="W2023" s="38">
        <v>56</v>
      </c>
      <c r="X2023" s="46">
        <v>4741973</v>
      </c>
      <c r="Y2023" s="46">
        <f t="shared" si="63"/>
        <v>4948917</v>
      </c>
    </row>
    <row r="2024" spans="1:25" x14ac:dyDescent="0.25">
      <c r="A2024" s="20">
        <f>+VLOOKUP(D2024,Back!Q:R,2,0)</f>
        <v>3</v>
      </c>
      <c r="B2024" s="20" t="str">
        <f t="shared" si="64"/>
        <v>2019 MAR</v>
      </c>
      <c r="C2024" s="30">
        <v>2019</v>
      </c>
      <c r="D2024" s="30" t="s">
        <v>139</v>
      </c>
      <c r="E2024" s="30" t="s">
        <v>38</v>
      </c>
      <c r="F2024" s="21">
        <v>43745192</v>
      </c>
      <c r="G2024" s="21" t="s">
        <v>45</v>
      </c>
      <c r="H2024" s="22">
        <v>26036242</v>
      </c>
      <c r="I2024" s="22">
        <v>468000</v>
      </c>
      <c r="J2024" s="22">
        <v>4256074</v>
      </c>
      <c r="K2024" s="23">
        <v>21312168</v>
      </c>
      <c r="L2024" s="23">
        <v>28500000</v>
      </c>
      <c r="M2024" s="24">
        <v>0.74779536842105265</v>
      </c>
      <c r="N2024" s="209" t="str">
        <f>IFERROR(VLOOKUP(F2024,Back!C:F,4,0),"NO")</f>
        <v>Si</v>
      </c>
      <c r="O2024" s="26">
        <v>25</v>
      </c>
      <c r="P2024" s="28" t="str">
        <f>IFERROR(VLOOKUP(F2024,Back!C:E,3,0),"")</f>
        <v>IPS Punto de Vista Mayorca</v>
      </c>
      <c r="Q2024" s="28" t="str">
        <f>IFERROR(VLOOKUP(P2024,Back!M:N,2,0),"")</f>
        <v>Antioquia</v>
      </c>
      <c r="R2024" s="27" t="str">
        <f>IF(N2024="Si",IFERROR(VLOOKUP(F2024,'TD Cumpl'!B:AB,27,0),"No Aplica"),"No Aplica")</f>
        <v>Cumple</v>
      </c>
      <c r="S2024" s="26">
        <v>48</v>
      </c>
      <c r="T2024" s="37">
        <v>5088138</v>
      </c>
      <c r="U2024" s="26">
        <v>120</v>
      </c>
      <c r="V2024" s="37">
        <v>13702767</v>
      </c>
      <c r="W2024" s="38">
        <v>53</v>
      </c>
      <c r="X2024" s="46">
        <v>4256074</v>
      </c>
      <c r="Y2024" s="46">
        <f t="shared" si="63"/>
        <v>2989263</v>
      </c>
    </row>
    <row r="2025" spans="1:25" x14ac:dyDescent="0.25">
      <c r="A2025" s="20">
        <f>+VLOOKUP(D2025,Back!Q:R,2,0)</f>
        <v>3</v>
      </c>
      <c r="B2025" s="20" t="str">
        <f t="shared" si="64"/>
        <v>2019 MAR</v>
      </c>
      <c r="C2025" s="30">
        <v>2019</v>
      </c>
      <c r="D2025" s="30" t="s">
        <v>139</v>
      </c>
      <c r="E2025" s="30" t="s">
        <v>299</v>
      </c>
      <c r="F2025" s="21">
        <v>1232400088</v>
      </c>
      <c r="G2025" s="21" t="s">
        <v>304</v>
      </c>
      <c r="H2025" s="22">
        <v>25273077</v>
      </c>
      <c r="I2025" s="22">
        <v>636000</v>
      </c>
      <c r="J2025" s="22">
        <v>5849507</v>
      </c>
      <c r="K2025" s="23">
        <v>18787570</v>
      </c>
      <c r="L2025" s="23">
        <v>28500000</v>
      </c>
      <c r="M2025" s="24">
        <v>0.65921298245614035</v>
      </c>
      <c r="N2025" s="209" t="str">
        <f>IFERROR(VLOOKUP(F2025,Back!C:F,4,0),"NO")</f>
        <v>Si</v>
      </c>
      <c r="O2025" s="26">
        <v>25</v>
      </c>
      <c r="P2025" s="28" t="str">
        <f>IFERROR(VLOOKUP(F2025,Back!C:E,3,0),"")</f>
        <v>IPS Punto de Vista Mayorca</v>
      </c>
      <c r="Q2025" s="28" t="str">
        <f>IFERROR(VLOOKUP(P2025,Back!M:N,2,0),"")</f>
        <v>Antioquia</v>
      </c>
      <c r="R2025" s="27" t="str">
        <f>IF(N2025="Si",IFERROR(VLOOKUP(F2025,'TD Cumpl'!B:AB,27,0),"No Aplica"),"No Aplica")</f>
        <v>Fluctúa</v>
      </c>
      <c r="S2025" s="26">
        <v>45</v>
      </c>
      <c r="T2025" s="37">
        <v>4335940</v>
      </c>
      <c r="U2025" s="26">
        <v>92</v>
      </c>
      <c r="V2025" s="37">
        <v>12177544</v>
      </c>
      <c r="W2025" s="38">
        <v>62</v>
      </c>
      <c r="X2025" s="46">
        <v>5849507</v>
      </c>
      <c r="Y2025" s="46">
        <f t="shared" si="63"/>
        <v>2910086</v>
      </c>
    </row>
    <row r="2026" spans="1:25" x14ac:dyDescent="0.25">
      <c r="A2026" s="20">
        <f>+VLOOKUP(D2026,Back!Q:R,2,0)</f>
        <v>3</v>
      </c>
      <c r="B2026" s="20" t="str">
        <f t="shared" si="64"/>
        <v>2019 MAR</v>
      </c>
      <c r="C2026" s="30">
        <v>2019</v>
      </c>
      <c r="D2026" s="30" t="s">
        <v>139</v>
      </c>
      <c r="E2026" s="30" t="s">
        <v>276</v>
      </c>
      <c r="F2026" s="21">
        <v>1035224144</v>
      </c>
      <c r="G2026" s="21" t="s">
        <v>286</v>
      </c>
      <c r="H2026" s="22">
        <v>34417572</v>
      </c>
      <c r="I2026" s="22">
        <v>0</v>
      </c>
      <c r="J2026" s="22">
        <v>5822833</v>
      </c>
      <c r="K2026" s="23">
        <v>28594739</v>
      </c>
      <c r="L2026" s="23">
        <v>28500000</v>
      </c>
      <c r="M2026" s="24">
        <v>1.0033241754385964</v>
      </c>
      <c r="N2026" s="209" t="str">
        <f>IFERROR(VLOOKUP(F2026,Back!C:F,4,0),"NO")</f>
        <v>Si</v>
      </c>
      <c r="O2026" s="26">
        <v>25</v>
      </c>
      <c r="P2026" s="28" t="str">
        <f>IFERROR(VLOOKUP(F2026,Back!C:E,3,0),"")</f>
        <v>IPS Punto de Vista Mayorca</v>
      </c>
      <c r="Q2026" s="28" t="str">
        <f>IFERROR(VLOOKUP(P2026,Back!M:N,2,0),"")</f>
        <v>Antioquia</v>
      </c>
      <c r="R2026" s="27" t="str">
        <f>IF(N2026="Si",IFERROR(VLOOKUP(F2026,'TD Cumpl'!B:AB,27,0),"No Aplica"),"No Aplica")</f>
        <v>Cumple</v>
      </c>
      <c r="S2026" s="26">
        <v>74</v>
      </c>
      <c r="T2026" s="37">
        <v>7917885</v>
      </c>
      <c r="U2026" s="26">
        <v>151</v>
      </c>
      <c r="V2026" s="37">
        <v>17339625</v>
      </c>
      <c r="W2026" s="38">
        <v>61</v>
      </c>
      <c r="X2026" s="46">
        <v>5822833</v>
      </c>
      <c r="Y2026" s="46">
        <f t="shared" si="63"/>
        <v>3337229</v>
      </c>
    </row>
    <row r="2027" spans="1:25" x14ac:dyDescent="0.25">
      <c r="A2027" s="20">
        <f>+VLOOKUP(D2027,Back!Q:R,2,0)</f>
        <v>3</v>
      </c>
      <c r="B2027" s="20" t="str">
        <f t="shared" si="64"/>
        <v>2019 MAR</v>
      </c>
      <c r="C2027" s="30">
        <v>2019</v>
      </c>
      <c r="D2027" s="30" t="s">
        <v>139</v>
      </c>
      <c r="E2027" s="30" t="s">
        <v>5</v>
      </c>
      <c r="F2027" s="21">
        <v>34542470</v>
      </c>
      <c r="G2027" s="21" t="s">
        <v>28</v>
      </c>
      <c r="H2027" s="22">
        <v>57026205</v>
      </c>
      <c r="I2027" s="22">
        <v>2715480</v>
      </c>
      <c r="J2027" s="22">
        <v>6521431</v>
      </c>
      <c r="K2027" s="23">
        <v>47789294</v>
      </c>
      <c r="L2027" s="23">
        <v>37000000</v>
      </c>
      <c r="M2027" s="24">
        <v>1.2916025405405405</v>
      </c>
      <c r="N2027" s="209" t="str">
        <f>IFERROR(VLOOKUP(F2027,Back!C:F,4,0),"NO")</f>
        <v>Si</v>
      </c>
      <c r="O2027" s="26">
        <v>25</v>
      </c>
      <c r="P2027" s="28" t="str">
        <f>IFERROR(VLOOKUP(F2027,Back!C:E,3,0),"")</f>
        <v>Optica Salud Sura Chipichape</v>
      </c>
      <c r="Q2027" s="28" t="str">
        <f>IFERROR(VLOOKUP(P2027,Back!M:N,2,0),"")</f>
        <v>Occidente</v>
      </c>
      <c r="R2027" s="27" t="str">
        <f>IF(N2027="Si",IFERROR(VLOOKUP(F2027,'TD Cumpl'!B:AB,27,0),"No Aplica"),"No Aplica")</f>
        <v>Siempre Cumple</v>
      </c>
      <c r="S2027" s="26">
        <v>78</v>
      </c>
      <c r="T2027" s="37">
        <v>13898668</v>
      </c>
      <c r="U2027" s="26">
        <v>241</v>
      </c>
      <c r="V2027" s="37">
        <v>28076114</v>
      </c>
      <c r="W2027" s="38">
        <v>64</v>
      </c>
      <c r="X2027" s="46">
        <v>6521431</v>
      </c>
      <c r="Y2027" s="46">
        <f t="shared" si="63"/>
        <v>8529992</v>
      </c>
    </row>
    <row r="2028" spans="1:25" x14ac:dyDescent="0.25">
      <c r="A2028" s="20">
        <f>+VLOOKUP(D2028,Back!Q:R,2,0)</f>
        <v>3</v>
      </c>
      <c r="B2028" s="20" t="str">
        <f t="shared" si="64"/>
        <v>2019 MAR</v>
      </c>
      <c r="C2028" s="30">
        <v>2019</v>
      </c>
      <c r="D2028" s="30" t="s">
        <v>139</v>
      </c>
      <c r="E2028" s="30" t="s">
        <v>275</v>
      </c>
      <c r="F2028" s="21">
        <v>16379021</v>
      </c>
      <c r="G2028" s="21" t="s">
        <v>287</v>
      </c>
      <c r="H2028" s="22">
        <v>45048700</v>
      </c>
      <c r="I2028" s="22">
        <v>421200</v>
      </c>
      <c r="J2028" s="22">
        <v>9754876</v>
      </c>
      <c r="K2028" s="23">
        <v>34872624</v>
      </c>
      <c r="L2028" s="23">
        <v>31000000</v>
      </c>
      <c r="M2028" s="24">
        <v>1.1249233548387096</v>
      </c>
      <c r="N2028" s="209" t="str">
        <f>IFERROR(VLOOKUP(F2028,Back!C:F,4,0),"NO")</f>
        <v>Si</v>
      </c>
      <c r="O2028" s="26">
        <v>25</v>
      </c>
      <c r="P2028" s="28" t="str">
        <f>IFERROR(VLOOKUP(F2028,Back!C:E,3,0),"")</f>
        <v>Punto de Vista Cali Norte</v>
      </c>
      <c r="Q2028" s="28" t="str">
        <f>IFERROR(VLOOKUP(P2028,Back!M:N,2,0),"")</f>
        <v>Occidente</v>
      </c>
      <c r="R2028" s="27" t="str">
        <f>IF(N2028="Si",IFERROR(VLOOKUP(F2028,'TD Cumpl'!B:AB,27,0),"No Aplica"),"No Aplica")</f>
        <v>Fluctúa</v>
      </c>
      <c r="S2028" s="26">
        <v>83</v>
      </c>
      <c r="T2028" s="37">
        <v>8899450</v>
      </c>
      <c r="U2028" s="26">
        <v>226</v>
      </c>
      <c r="V2028" s="37">
        <v>22831731</v>
      </c>
      <c r="W2028" s="38">
        <v>108</v>
      </c>
      <c r="X2028" s="46">
        <v>9754876</v>
      </c>
      <c r="Y2028" s="46">
        <f t="shared" si="63"/>
        <v>3562643</v>
      </c>
    </row>
    <row r="2029" spans="1:25" x14ac:dyDescent="0.25">
      <c r="A2029" s="20">
        <f>+VLOOKUP(D2029,Back!Q:R,2,0)</f>
        <v>3</v>
      </c>
      <c r="B2029" s="20" t="str">
        <f t="shared" si="64"/>
        <v>2019 MAR</v>
      </c>
      <c r="C2029" s="30">
        <v>2019</v>
      </c>
      <c r="D2029" s="30" t="s">
        <v>139</v>
      </c>
      <c r="E2029" s="30" t="s">
        <v>298</v>
      </c>
      <c r="F2029" s="21">
        <v>6228363</v>
      </c>
      <c r="G2029" s="21" t="s">
        <v>310</v>
      </c>
      <c r="H2029" s="22">
        <v>40205611</v>
      </c>
      <c r="I2029" s="22">
        <v>0</v>
      </c>
      <c r="J2029" s="22">
        <v>2583122</v>
      </c>
      <c r="K2029" s="23">
        <v>37622489</v>
      </c>
      <c r="L2029" s="23">
        <v>2480000</v>
      </c>
      <c r="M2029" s="24">
        <v>15.170358467741936</v>
      </c>
      <c r="N2029" s="209" t="str">
        <f>IFERROR(VLOOKUP(F2029,Back!C:F,4,0),"NO")</f>
        <v>Si</v>
      </c>
      <c r="O2029" s="26">
        <v>25</v>
      </c>
      <c r="P2029" s="28" t="str">
        <f>IFERROR(VLOOKUP(F2029,Back!C:E,3,0),"")</f>
        <v>Punto de Vista Cali Norte</v>
      </c>
      <c r="Q2029" s="28" t="str">
        <f>IFERROR(VLOOKUP(P2029,Back!M:N,2,0),"")</f>
        <v>Occidente</v>
      </c>
      <c r="R2029" s="27" t="str">
        <f>IF(N2029="Si",IFERROR(VLOOKUP(F2029,'TD Cumpl'!B:AB,27,0),"No Aplica"),"No Aplica")</f>
        <v>Siempre Cumple</v>
      </c>
      <c r="S2029" s="26">
        <v>63</v>
      </c>
      <c r="T2029" s="37">
        <v>9204994</v>
      </c>
      <c r="U2029" s="26">
        <v>178</v>
      </c>
      <c r="V2029" s="37">
        <v>25157085</v>
      </c>
      <c r="W2029" s="38">
        <v>29</v>
      </c>
      <c r="X2029" s="46">
        <v>2583122</v>
      </c>
      <c r="Y2029" s="46">
        <f t="shared" si="63"/>
        <v>3260410</v>
      </c>
    </row>
    <row r="2030" spans="1:25" x14ac:dyDescent="0.25">
      <c r="A2030" s="20">
        <f>+VLOOKUP(D2030,Back!Q:R,2,0)</f>
        <v>3</v>
      </c>
      <c r="B2030" s="20" t="str">
        <f t="shared" si="64"/>
        <v>2019 MAR</v>
      </c>
      <c r="C2030" s="30">
        <v>2019</v>
      </c>
      <c r="D2030" s="30" t="s">
        <v>139</v>
      </c>
      <c r="E2030" s="30" t="s">
        <v>149</v>
      </c>
      <c r="F2030" s="21">
        <v>1130597373</v>
      </c>
      <c r="G2030" s="21" t="s">
        <v>150</v>
      </c>
      <c r="H2030" s="22">
        <v>32952707</v>
      </c>
      <c r="I2030" s="22">
        <v>1674180</v>
      </c>
      <c r="J2030" s="22">
        <v>8492048</v>
      </c>
      <c r="K2030" s="23">
        <v>22786479</v>
      </c>
      <c r="L2030" s="23">
        <v>31000000</v>
      </c>
      <c r="M2030" s="24">
        <v>0.73504770967741939</v>
      </c>
      <c r="N2030" s="209" t="str">
        <f>IFERROR(VLOOKUP(F2030,Back!C:F,4,0),"NO")</f>
        <v>Si</v>
      </c>
      <c r="O2030" s="26">
        <v>25</v>
      </c>
      <c r="P2030" s="28" t="str">
        <f>IFERROR(VLOOKUP(F2030,Back!C:E,3,0),"")</f>
        <v>Punto de Vista Cali Norte</v>
      </c>
      <c r="Q2030" s="28" t="str">
        <f>IFERROR(VLOOKUP(P2030,Back!M:N,2,0),"")</f>
        <v>Occidente</v>
      </c>
      <c r="R2030" s="27" t="str">
        <f>IF(N2030="Si",IFERROR(VLOOKUP(F2030,'TD Cumpl'!B:AB,27,0),"No Aplica"),"No Aplica")</f>
        <v>Fluctúa</v>
      </c>
      <c r="S2030" s="26">
        <v>40</v>
      </c>
      <c r="T2030" s="37">
        <v>5071520</v>
      </c>
      <c r="U2030" s="26">
        <v>116</v>
      </c>
      <c r="V2030" s="37">
        <v>16057283</v>
      </c>
      <c r="W2030" s="38">
        <v>88</v>
      </c>
      <c r="X2030" s="46">
        <v>8492048</v>
      </c>
      <c r="Y2030" s="46">
        <f t="shared" si="63"/>
        <v>3331856</v>
      </c>
    </row>
    <row r="2031" spans="1:25" x14ac:dyDescent="0.25">
      <c r="A2031" s="20">
        <f>+VLOOKUP(D2031,Back!Q:R,2,0)</f>
        <v>3</v>
      </c>
      <c r="B2031" s="20" t="str">
        <f t="shared" si="64"/>
        <v>2019 MAR</v>
      </c>
      <c r="C2031" s="30">
        <v>2019</v>
      </c>
      <c r="D2031" s="30" t="s">
        <v>139</v>
      </c>
      <c r="E2031" s="30" t="s">
        <v>249</v>
      </c>
      <c r="F2031" s="21">
        <v>1144061613</v>
      </c>
      <c r="G2031" s="21" t="s">
        <v>256</v>
      </c>
      <c r="H2031" s="22">
        <v>47340047</v>
      </c>
      <c r="I2031" s="22">
        <v>234000</v>
      </c>
      <c r="J2031" s="22">
        <v>10492818</v>
      </c>
      <c r="K2031" s="23">
        <v>36613229</v>
      </c>
      <c r="L2031" s="23">
        <v>28700000</v>
      </c>
      <c r="M2031" s="24">
        <v>1.2757222648083624</v>
      </c>
      <c r="N2031" s="209" t="str">
        <f>IFERROR(VLOOKUP(F2031,Back!C:F,4,0),"NO")</f>
        <v>Si</v>
      </c>
      <c r="O2031" s="26">
        <v>25</v>
      </c>
      <c r="P2031" s="28" t="str">
        <f>IFERROR(VLOOKUP(F2031,Back!C:E,3,0),"")</f>
        <v>Punto de Vista Tequendama</v>
      </c>
      <c r="Q2031" s="28" t="str">
        <f>IFERROR(VLOOKUP(P2031,Back!M:N,2,0),"")</f>
        <v>Occidente</v>
      </c>
      <c r="R2031" s="27" t="str">
        <f>IF(N2031="Si",IFERROR(VLOOKUP(F2031,'TD Cumpl'!B:AB,27,0),"No Aplica"),"No Aplica")</f>
        <v>Fluctúa</v>
      </c>
      <c r="S2031" s="26">
        <v>69</v>
      </c>
      <c r="T2031" s="37">
        <v>7519840</v>
      </c>
      <c r="U2031" s="26">
        <v>216</v>
      </c>
      <c r="V2031" s="37">
        <v>24460910</v>
      </c>
      <c r="W2031" s="38">
        <v>112</v>
      </c>
      <c r="X2031" s="46">
        <v>10492818</v>
      </c>
      <c r="Y2031" s="46">
        <f t="shared" si="63"/>
        <v>4866479</v>
      </c>
    </row>
    <row r="2032" spans="1:25" x14ac:dyDescent="0.25">
      <c r="A2032" s="20">
        <f>+VLOOKUP(D2032,Back!Q:R,2,0)</f>
        <v>3</v>
      </c>
      <c r="B2032" s="20" t="str">
        <f t="shared" si="64"/>
        <v>2019 MAR</v>
      </c>
      <c r="C2032" s="30">
        <v>2019</v>
      </c>
      <c r="D2032" s="30" t="s">
        <v>139</v>
      </c>
      <c r="E2032" s="30" t="s">
        <v>297</v>
      </c>
      <c r="F2032" s="21">
        <v>66910365</v>
      </c>
      <c r="G2032" s="21" t="s">
        <v>303</v>
      </c>
      <c r="H2032" s="22">
        <v>40306966</v>
      </c>
      <c r="I2032" s="22">
        <v>641190</v>
      </c>
      <c r="J2032" s="22">
        <v>9057805</v>
      </c>
      <c r="K2032" s="23">
        <v>30607971</v>
      </c>
      <c r="L2032" s="23">
        <v>28900000</v>
      </c>
      <c r="M2032" s="24">
        <v>1.0590993425605537</v>
      </c>
      <c r="N2032" s="209" t="str">
        <f>IFERROR(VLOOKUP(F2032,Back!C:F,4,0),"NO")</f>
        <v>Si</v>
      </c>
      <c r="O2032" s="26">
        <v>25</v>
      </c>
      <c r="P2032" s="28" t="str">
        <f>IFERROR(VLOOKUP(F2032,Back!C:E,3,0),"")</f>
        <v>Punto de Vista Tequendama</v>
      </c>
      <c r="Q2032" s="28" t="str">
        <f>IFERROR(VLOOKUP(P2032,Back!M:N,2,0),"")</f>
        <v>Occidente</v>
      </c>
      <c r="R2032" s="27" t="str">
        <f>IF(N2032="Si",IFERROR(VLOOKUP(F2032,'TD Cumpl'!B:AB,27,0),"No Aplica"),"No Aplica")</f>
        <v>Fluctúa</v>
      </c>
      <c r="S2032" s="26">
        <v>62</v>
      </c>
      <c r="T2032" s="37">
        <v>7371960</v>
      </c>
      <c r="U2032" s="26">
        <v>178</v>
      </c>
      <c r="V2032" s="37">
        <v>19717214</v>
      </c>
      <c r="W2032" s="38">
        <v>89</v>
      </c>
      <c r="X2032" s="46">
        <v>9057805</v>
      </c>
      <c r="Y2032" s="46">
        <f t="shared" si="63"/>
        <v>4159987</v>
      </c>
    </row>
    <row r="2033" spans="1:25" x14ac:dyDescent="0.25">
      <c r="A2033" s="20">
        <f>+VLOOKUP(D2033,Back!Q:R,2,0)</f>
        <v>3</v>
      </c>
      <c r="B2033" s="20" t="str">
        <f t="shared" si="64"/>
        <v>2019 MAR</v>
      </c>
      <c r="C2033" s="30">
        <v>2019</v>
      </c>
      <c r="D2033" s="30" t="s">
        <v>139</v>
      </c>
      <c r="E2033" s="30" t="s">
        <v>88</v>
      </c>
      <c r="F2033" s="21">
        <v>31445278</v>
      </c>
      <c r="G2033" s="21" t="s">
        <v>93</v>
      </c>
      <c r="H2033" s="22">
        <v>47024184</v>
      </c>
      <c r="I2033" s="22">
        <v>689100</v>
      </c>
      <c r="J2033" s="22">
        <v>8392650</v>
      </c>
      <c r="K2033" s="23">
        <v>37942434</v>
      </c>
      <c r="L2033" s="23">
        <v>28800000</v>
      </c>
      <c r="M2033" s="24">
        <v>1.317445625</v>
      </c>
      <c r="N2033" s="209" t="str">
        <f>IFERROR(VLOOKUP(F2033,Back!C:F,4,0),"NO")</f>
        <v>Si</v>
      </c>
      <c r="O2033" s="26">
        <v>25</v>
      </c>
      <c r="P2033" s="28" t="str">
        <f>IFERROR(VLOOKUP(F2033,Back!C:E,3,0),"")</f>
        <v>Punto de Vista Tequendama</v>
      </c>
      <c r="Q2033" s="28" t="str">
        <f>IFERROR(VLOOKUP(P2033,Back!M:N,2,0),"")</f>
        <v>Occidente</v>
      </c>
      <c r="R2033" s="27" t="str">
        <f>IF(N2033="Si",IFERROR(VLOOKUP(F2033,'TD Cumpl'!B:AB,27,0),"No Aplica"),"No Aplica")</f>
        <v>Cumple</v>
      </c>
      <c r="S2033" s="26">
        <v>82</v>
      </c>
      <c r="T2033" s="37">
        <v>8578805</v>
      </c>
      <c r="U2033" s="26">
        <v>220</v>
      </c>
      <c r="V2033" s="37">
        <v>26148416</v>
      </c>
      <c r="W2033" s="38">
        <v>97</v>
      </c>
      <c r="X2033" s="46">
        <v>8392650</v>
      </c>
      <c r="Y2033" s="46">
        <f t="shared" si="63"/>
        <v>3904313</v>
      </c>
    </row>
    <row r="2034" spans="1:25" x14ac:dyDescent="0.25">
      <c r="A2034" s="20">
        <f>+VLOOKUP(D2034,Back!Q:R,2,0)</f>
        <v>3</v>
      </c>
      <c r="B2034" s="20" t="str">
        <f t="shared" si="64"/>
        <v>2019 MAR</v>
      </c>
      <c r="C2034" s="30">
        <v>2019</v>
      </c>
      <c r="D2034" s="30" t="s">
        <v>139</v>
      </c>
      <c r="E2034" s="30" t="s">
        <v>444</v>
      </c>
      <c r="F2034" s="21"/>
      <c r="G2034" s="21"/>
      <c r="H2034" s="22">
        <v>255775</v>
      </c>
      <c r="I2034" s="22">
        <v>0</v>
      </c>
      <c r="J2034" s="22">
        <v>0</v>
      </c>
      <c r="K2034" s="23">
        <v>255775</v>
      </c>
      <c r="L2034" s="23"/>
      <c r="M2034" s="24"/>
      <c r="N2034" s="209" t="str">
        <f>IFERROR(VLOOKUP(F2034,Back!C:F,4,0),"NO")</f>
        <v>NO</v>
      </c>
      <c r="O2034" s="26">
        <v>25</v>
      </c>
      <c r="P2034" s="28" t="str">
        <f>IFERROR(VLOOKUP(F2034,Back!C:E,3,0),"")</f>
        <v/>
      </c>
      <c r="Q2034" s="28" t="str">
        <f>IFERROR(VLOOKUP(P2034,Back!M:N,2,0),"")</f>
        <v/>
      </c>
      <c r="R2034" s="27" t="str">
        <f>IF(N2034="Si",IFERROR(VLOOKUP(F2034,'TD Cumpl'!B:AB,27,0),"No Aplica"),"No Aplica")</f>
        <v>No Aplica</v>
      </c>
      <c r="S2034" s="26">
        <v>1</v>
      </c>
      <c r="T2034" s="37">
        <v>87857</v>
      </c>
      <c r="U2034" s="26">
        <v>2</v>
      </c>
      <c r="V2034" s="37">
        <v>167917</v>
      </c>
      <c r="W2034" s="38">
        <v>0</v>
      </c>
      <c r="X2034" s="46">
        <v>0</v>
      </c>
      <c r="Y2034" s="46">
        <f t="shared" si="63"/>
        <v>1</v>
      </c>
    </row>
    <row r="2035" spans="1:25" x14ac:dyDescent="0.25">
      <c r="A2035" s="20">
        <f>+VLOOKUP(D2035,Back!Q:R,2,0)</f>
        <v>3</v>
      </c>
      <c r="B2035" s="20" t="str">
        <f t="shared" si="64"/>
        <v>2019 MAR</v>
      </c>
      <c r="C2035" s="30">
        <v>2019</v>
      </c>
      <c r="D2035" s="30" t="s">
        <v>139</v>
      </c>
      <c r="E2035" s="30" t="s">
        <v>22</v>
      </c>
      <c r="F2035" s="21"/>
      <c r="G2035" s="21"/>
      <c r="H2035" s="22">
        <v>658342</v>
      </c>
      <c r="I2035" s="22">
        <v>0</v>
      </c>
      <c r="J2035" s="22">
        <v>0</v>
      </c>
      <c r="K2035" s="23">
        <v>658342</v>
      </c>
      <c r="L2035" s="23"/>
      <c r="M2035" s="24"/>
      <c r="N2035" s="209" t="str">
        <f>IFERROR(VLOOKUP(F2035,Back!C:F,4,0),"NO")</f>
        <v>NO</v>
      </c>
      <c r="O2035" s="26">
        <v>25</v>
      </c>
      <c r="P2035" s="28" t="str">
        <f>IFERROR(VLOOKUP(F2035,Back!C:E,3,0),"")</f>
        <v/>
      </c>
      <c r="Q2035" s="28" t="str">
        <f>IFERROR(VLOOKUP(P2035,Back!M:N,2,0),"")</f>
        <v/>
      </c>
      <c r="R2035" s="27" t="str">
        <f>IF(N2035="Si",IFERROR(VLOOKUP(F2035,'TD Cumpl'!B:AB,27,0),"No Aplica"),"No Aplica")</f>
        <v>No Aplica</v>
      </c>
      <c r="S2035" s="26">
        <v>1</v>
      </c>
      <c r="T2035" s="37">
        <v>158572</v>
      </c>
      <c r="U2035" s="26">
        <v>4</v>
      </c>
      <c r="V2035" s="37">
        <v>499770</v>
      </c>
      <c r="W2035" s="38">
        <v>0</v>
      </c>
      <c r="X2035" s="46">
        <v>0</v>
      </c>
      <c r="Y2035" s="46">
        <f t="shared" si="63"/>
        <v>0</v>
      </c>
    </row>
    <row r="2036" spans="1:25" x14ac:dyDescent="0.25">
      <c r="A2036" s="20">
        <f>+VLOOKUP(D2036,Back!Q:R,2,0)</f>
        <v>3</v>
      </c>
      <c r="B2036" s="20" t="str">
        <f t="shared" si="64"/>
        <v>2019 MAR</v>
      </c>
      <c r="C2036" s="30">
        <v>2019</v>
      </c>
      <c r="D2036" s="30" t="s">
        <v>139</v>
      </c>
      <c r="E2036" s="30" t="s">
        <v>294</v>
      </c>
      <c r="F2036" s="21"/>
      <c r="G2036" s="21"/>
      <c r="H2036" s="22">
        <v>72600</v>
      </c>
      <c r="I2036" s="22">
        <v>0</v>
      </c>
      <c r="J2036" s="22">
        <v>72600</v>
      </c>
      <c r="K2036" s="23">
        <v>0</v>
      </c>
      <c r="L2036" s="23"/>
      <c r="M2036" s="24"/>
      <c r="N2036" s="209" t="str">
        <f>IFERROR(VLOOKUP(F2036,Back!C:F,4,0),"NO")</f>
        <v>NO</v>
      </c>
      <c r="O2036" s="26">
        <v>25</v>
      </c>
      <c r="P2036" s="28" t="str">
        <f>IFERROR(VLOOKUP(F2036,Back!C:E,3,0),"")</f>
        <v/>
      </c>
      <c r="Q2036" s="28" t="str">
        <f>IFERROR(VLOOKUP(P2036,Back!M:N,2,0),"")</f>
        <v/>
      </c>
      <c r="R2036" s="27" t="str">
        <f>IF(N2036="Si",IFERROR(VLOOKUP(F2036,'TD Cumpl'!B:AB,27,0),"No Aplica"),"No Aplica")</f>
        <v>No Aplica</v>
      </c>
      <c r="S2036" s="26">
        <v>0</v>
      </c>
      <c r="T2036" s="37">
        <v>0</v>
      </c>
      <c r="U2036" s="26">
        <v>0</v>
      </c>
      <c r="V2036" s="37">
        <v>0</v>
      </c>
      <c r="W2036" s="38">
        <v>2</v>
      </c>
      <c r="X2036" s="46">
        <v>72600</v>
      </c>
      <c r="Y2036" s="46">
        <f t="shared" si="63"/>
        <v>0</v>
      </c>
    </row>
    <row r="2037" spans="1:25" x14ac:dyDescent="0.25">
      <c r="A2037" s="20">
        <f>+VLOOKUP(D2037,Back!Q:R,2,0)</f>
        <v>3</v>
      </c>
      <c r="B2037" s="20" t="str">
        <f t="shared" si="64"/>
        <v>2019 MAR</v>
      </c>
      <c r="C2037" s="30">
        <v>2019</v>
      </c>
      <c r="D2037" s="30" t="s">
        <v>139</v>
      </c>
      <c r="E2037" s="30" t="s">
        <v>189</v>
      </c>
      <c r="F2037" s="21"/>
      <c r="G2037" s="21"/>
      <c r="H2037" s="22">
        <v>98000</v>
      </c>
      <c r="I2037" s="22">
        <v>0</v>
      </c>
      <c r="J2037" s="22">
        <v>98000</v>
      </c>
      <c r="K2037" s="23">
        <v>0</v>
      </c>
      <c r="L2037" s="23"/>
      <c r="M2037" s="24"/>
      <c r="N2037" s="209" t="str">
        <f>IFERROR(VLOOKUP(F2037,Back!C:F,4,0),"NO")</f>
        <v>NO</v>
      </c>
      <c r="O2037" s="26">
        <v>25</v>
      </c>
      <c r="P2037" s="28" t="str">
        <f>IFERROR(VLOOKUP(F2037,Back!C:E,3,0),"")</f>
        <v/>
      </c>
      <c r="Q2037" s="28" t="str">
        <f>IFERROR(VLOOKUP(P2037,Back!M:N,2,0),"")</f>
        <v/>
      </c>
      <c r="R2037" s="27" t="str">
        <f>IF(N2037="Si",IFERROR(VLOOKUP(F2037,'TD Cumpl'!B:AB,27,0),"No Aplica"),"No Aplica")</f>
        <v>No Aplica</v>
      </c>
      <c r="S2037" s="26">
        <v>0</v>
      </c>
      <c r="T2037" s="37">
        <v>0</v>
      </c>
      <c r="U2037" s="26">
        <v>0</v>
      </c>
      <c r="V2037" s="37">
        <v>0</v>
      </c>
      <c r="W2037" s="38">
        <v>2</v>
      </c>
      <c r="X2037" s="46">
        <v>98000</v>
      </c>
      <c r="Y2037" s="46">
        <f t="shared" si="63"/>
        <v>0</v>
      </c>
    </row>
    <row r="2038" spans="1:25" x14ac:dyDescent="0.25">
      <c r="A2038" s="20">
        <f>+VLOOKUP(D2038,Back!Q:R,2,0)</f>
        <v>3</v>
      </c>
      <c r="B2038" s="20" t="str">
        <f t="shared" si="64"/>
        <v>2019 MAR</v>
      </c>
      <c r="C2038" s="30">
        <v>2019</v>
      </c>
      <c r="D2038" s="30" t="s">
        <v>139</v>
      </c>
      <c r="E2038" s="30" t="s">
        <v>307</v>
      </c>
      <c r="F2038" s="21"/>
      <c r="G2038" s="21"/>
      <c r="H2038" s="22">
        <v>367001</v>
      </c>
      <c r="I2038" s="22">
        <v>0</v>
      </c>
      <c r="J2038" s="22">
        <v>0</v>
      </c>
      <c r="K2038" s="23">
        <v>367001</v>
      </c>
      <c r="L2038" s="23"/>
      <c r="M2038" s="24"/>
      <c r="N2038" s="209" t="str">
        <f>IFERROR(VLOOKUP(F2038,Back!C:F,4,0),"NO")</f>
        <v>NO</v>
      </c>
      <c r="O2038" s="26">
        <v>25</v>
      </c>
      <c r="P2038" s="28" t="str">
        <f>IFERROR(VLOOKUP(F2038,Back!C:E,3,0),"")</f>
        <v/>
      </c>
      <c r="Q2038" s="28" t="str">
        <f>IFERROR(VLOOKUP(P2038,Back!M:N,2,0),"")</f>
        <v/>
      </c>
      <c r="R2038" s="27" t="str">
        <f>IF(N2038="Si",IFERROR(VLOOKUP(F2038,'TD Cumpl'!B:AB,27,0),"No Aplica"),"No Aplica")</f>
        <v>No Aplica</v>
      </c>
      <c r="S2038" s="26">
        <v>1</v>
      </c>
      <c r="T2038" s="37">
        <v>77000</v>
      </c>
      <c r="U2038" s="26">
        <v>0</v>
      </c>
      <c r="V2038" s="37">
        <v>0</v>
      </c>
      <c r="W2038" s="38">
        <v>0</v>
      </c>
      <c r="X2038" s="46">
        <v>0</v>
      </c>
      <c r="Y2038" s="46">
        <f t="shared" si="63"/>
        <v>290001</v>
      </c>
    </row>
    <row r="2039" spans="1:25" x14ac:dyDescent="0.25">
      <c r="A2039" s="20">
        <f>+VLOOKUP(D2039,Back!Q:R,2,0)</f>
        <v>3</v>
      </c>
      <c r="B2039" s="20" t="str">
        <f t="shared" si="64"/>
        <v>2019 MAR</v>
      </c>
      <c r="C2039" s="30">
        <v>2019</v>
      </c>
      <c r="D2039" s="30" t="s">
        <v>139</v>
      </c>
      <c r="E2039" s="30" t="s">
        <v>119</v>
      </c>
      <c r="F2039" s="21"/>
      <c r="G2039" s="21"/>
      <c r="H2039" s="22">
        <v>742355</v>
      </c>
      <c r="I2039" s="22">
        <v>0</v>
      </c>
      <c r="J2039" s="22">
        <v>742355</v>
      </c>
      <c r="K2039" s="23">
        <v>0</v>
      </c>
      <c r="L2039" s="23"/>
      <c r="M2039" s="24"/>
      <c r="N2039" s="209" t="str">
        <f>IFERROR(VLOOKUP(F2039,Back!C:F,4,0),"NO")</f>
        <v>NO</v>
      </c>
      <c r="O2039" s="26">
        <v>25</v>
      </c>
      <c r="P2039" s="28" t="str">
        <f>IFERROR(VLOOKUP(F2039,Back!C:E,3,0),"")</f>
        <v/>
      </c>
      <c r="Q2039" s="28" t="str">
        <f>IFERROR(VLOOKUP(P2039,Back!M:N,2,0),"")</f>
        <v/>
      </c>
      <c r="R2039" s="27" t="str">
        <f>IF(N2039="Si",IFERROR(VLOOKUP(F2039,'TD Cumpl'!B:AB,27,0),"No Aplica"),"No Aplica")</f>
        <v>No Aplica</v>
      </c>
      <c r="S2039" s="26">
        <v>0</v>
      </c>
      <c r="T2039" s="37">
        <v>0</v>
      </c>
      <c r="U2039" s="26">
        <v>0</v>
      </c>
      <c r="V2039" s="37">
        <v>0</v>
      </c>
      <c r="W2039" s="38">
        <v>5</v>
      </c>
      <c r="X2039" s="46">
        <v>742355</v>
      </c>
      <c r="Y2039" s="46">
        <f t="shared" si="63"/>
        <v>0</v>
      </c>
    </row>
    <row r="2040" spans="1:25" x14ac:dyDescent="0.25">
      <c r="A2040" s="20">
        <f>+VLOOKUP(D2040,Back!Q:R,2,0)</f>
        <v>3</v>
      </c>
      <c r="B2040" s="20" t="str">
        <f t="shared" si="64"/>
        <v>2019 MAR</v>
      </c>
      <c r="C2040" s="30">
        <v>2019</v>
      </c>
      <c r="D2040" s="30" t="s">
        <v>139</v>
      </c>
      <c r="E2040" s="30" t="s">
        <v>445</v>
      </c>
      <c r="F2040" s="21"/>
      <c r="G2040" s="21"/>
      <c r="H2040" s="22">
        <v>125638</v>
      </c>
      <c r="I2040" s="22">
        <v>0</v>
      </c>
      <c r="J2040" s="22">
        <v>125638</v>
      </c>
      <c r="K2040" s="23">
        <v>0</v>
      </c>
      <c r="L2040" s="23"/>
      <c r="M2040" s="24"/>
      <c r="N2040" s="209" t="str">
        <f>IFERROR(VLOOKUP(F2040,Back!C:F,4,0),"NO")</f>
        <v>NO</v>
      </c>
      <c r="O2040" s="26">
        <v>25</v>
      </c>
      <c r="P2040" s="28" t="str">
        <f>IFERROR(VLOOKUP(F2040,Back!C:E,3,0),"")</f>
        <v/>
      </c>
      <c r="Q2040" s="28" t="str">
        <f>IFERROR(VLOOKUP(P2040,Back!M:N,2,0),"")</f>
        <v/>
      </c>
      <c r="R2040" s="27" t="str">
        <f>IF(N2040="Si",IFERROR(VLOOKUP(F2040,'TD Cumpl'!B:AB,27,0),"No Aplica"),"No Aplica")</f>
        <v>No Aplica</v>
      </c>
      <c r="S2040" s="26">
        <v>0</v>
      </c>
      <c r="T2040" s="37">
        <v>0</v>
      </c>
      <c r="U2040" s="26">
        <v>0</v>
      </c>
      <c r="V2040" s="37">
        <v>0</v>
      </c>
      <c r="W2040" s="38">
        <v>2</v>
      </c>
      <c r="X2040" s="46">
        <v>125638</v>
      </c>
      <c r="Y2040" s="46">
        <f t="shared" si="63"/>
        <v>0</v>
      </c>
    </row>
    <row r="2041" spans="1:25" x14ac:dyDescent="0.25">
      <c r="A2041" s="20">
        <f>+VLOOKUP(D2041,Back!Q:R,2,0)</f>
        <v>3</v>
      </c>
      <c r="B2041" s="20" t="str">
        <f t="shared" si="64"/>
        <v>2019 MAR</v>
      </c>
      <c r="C2041" s="30">
        <v>2019</v>
      </c>
      <c r="D2041" s="30" t="s">
        <v>139</v>
      </c>
      <c r="E2041" s="30" t="s">
        <v>168</v>
      </c>
      <c r="F2041" s="21"/>
      <c r="G2041" s="21"/>
      <c r="H2041" s="22">
        <v>296942</v>
      </c>
      <c r="I2041" s="22">
        <v>0</v>
      </c>
      <c r="J2041" s="22">
        <v>296942</v>
      </c>
      <c r="K2041" s="23">
        <v>0</v>
      </c>
      <c r="L2041" s="23"/>
      <c r="M2041" s="24"/>
      <c r="N2041" s="209" t="str">
        <f>IFERROR(VLOOKUP(F2041,Back!C:F,4,0),"NO")</f>
        <v>NO</v>
      </c>
      <c r="O2041" s="26">
        <v>25</v>
      </c>
      <c r="P2041" s="28" t="str">
        <f>IFERROR(VLOOKUP(F2041,Back!C:E,3,0),"")</f>
        <v/>
      </c>
      <c r="Q2041" s="28" t="str">
        <f>IFERROR(VLOOKUP(P2041,Back!M:N,2,0),"")</f>
        <v/>
      </c>
      <c r="R2041" s="27" t="str">
        <f>IF(N2041="Si",IFERROR(VLOOKUP(F2041,'TD Cumpl'!B:AB,27,0),"No Aplica"),"No Aplica")</f>
        <v>No Aplica</v>
      </c>
      <c r="S2041" s="26">
        <v>0</v>
      </c>
      <c r="T2041" s="37">
        <v>0</v>
      </c>
      <c r="U2041" s="26">
        <v>0</v>
      </c>
      <c r="V2041" s="37">
        <v>0</v>
      </c>
      <c r="W2041" s="38">
        <v>2</v>
      </c>
      <c r="X2041" s="46">
        <v>296942</v>
      </c>
      <c r="Y2041" s="46">
        <f t="shared" si="63"/>
        <v>0</v>
      </c>
    </row>
    <row r="2042" spans="1:25" x14ac:dyDescent="0.25">
      <c r="A2042" s="20">
        <f>+VLOOKUP(D2042,Back!Q:R,2,0)</f>
        <v>3</v>
      </c>
      <c r="B2042" s="20" t="str">
        <f t="shared" si="64"/>
        <v>2019 MAR</v>
      </c>
      <c r="C2042" s="30">
        <v>2019</v>
      </c>
      <c r="D2042" s="30" t="s">
        <v>139</v>
      </c>
      <c r="E2042" s="30" t="s">
        <v>4</v>
      </c>
      <c r="F2042" s="21"/>
      <c r="G2042" s="21"/>
      <c r="H2042" s="22">
        <v>15103</v>
      </c>
      <c r="I2042" s="22">
        <v>0</v>
      </c>
      <c r="J2042" s="22">
        <v>-113335</v>
      </c>
      <c r="K2042" s="23">
        <v>128438</v>
      </c>
      <c r="L2042" s="23"/>
      <c r="M2042" s="24"/>
      <c r="N2042" s="209" t="str">
        <f>IFERROR(VLOOKUP(F2042,Back!C:F,4,0),"NO")</f>
        <v>NO</v>
      </c>
      <c r="O2042" s="26">
        <v>25</v>
      </c>
      <c r="P2042" s="28" t="str">
        <f>IFERROR(VLOOKUP(F2042,Back!C:E,3,0),"")</f>
        <v/>
      </c>
      <c r="Q2042" s="28" t="str">
        <f>IFERROR(VLOOKUP(P2042,Back!M:N,2,0),"")</f>
        <v/>
      </c>
      <c r="R2042" s="27" t="str">
        <f>IF(N2042="Si",IFERROR(VLOOKUP(F2042,'TD Cumpl'!B:AB,27,0),"No Aplica"),"No Aplica")</f>
        <v>No Aplica</v>
      </c>
      <c r="S2042" s="26">
        <v>1</v>
      </c>
      <c r="T2042" s="37">
        <v>76429</v>
      </c>
      <c r="U2042" s="26">
        <v>-4</v>
      </c>
      <c r="V2042" s="37">
        <v>-61326</v>
      </c>
      <c r="W2042" s="38">
        <v>-6</v>
      </c>
      <c r="X2042" s="46">
        <v>-113335</v>
      </c>
      <c r="Y2042" s="46">
        <f t="shared" si="63"/>
        <v>113335</v>
      </c>
    </row>
    <row r="2043" spans="1:25" x14ac:dyDescent="0.25">
      <c r="A2043" s="20">
        <f>+VLOOKUP(D2043,Back!Q:R,2,0)</f>
        <v>3</v>
      </c>
      <c r="B2043" s="20" t="str">
        <f t="shared" si="64"/>
        <v>2019 MAR</v>
      </c>
      <c r="C2043" s="30">
        <v>2019</v>
      </c>
      <c r="D2043" s="30" t="s">
        <v>139</v>
      </c>
      <c r="E2043" s="30" t="s">
        <v>87</v>
      </c>
      <c r="F2043" s="21"/>
      <c r="G2043" s="21"/>
      <c r="H2043" s="22">
        <v>-3054660</v>
      </c>
      <c r="I2043" s="22">
        <v>0</v>
      </c>
      <c r="J2043" s="22">
        <v>102188</v>
      </c>
      <c r="K2043" s="23">
        <v>-3156848</v>
      </c>
      <c r="L2043" s="23"/>
      <c r="M2043" s="24"/>
      <c r="N2043" s="209" t="str">
        <f>IFERROR(VLOOKUP(F2043,Back!C:F,4,0),"NO")</f>
        <v>NO</v>
      </c>
      <c r="O2043" s="26">
        <v>25</v>
      </c>
      <c r="P2043" s="28" t="str">
        <f>IFERROR(VLOOKUP(F2043,Back!C:E,3,0),"")</f>
        <v/>
      </c>
      <c r="Q2043" s="28" t="str">
        <f>IFERROR(VLOOKUP(P2043,Back!M:N,2,0),"")</f>
        <v/>
      </c>
      <c r="R2043" s="27" t="str">
        <f>IF(N2043="Si",IFERROR(VLOOKUP(F2043,'TD Cumpl'!B:AB,27,0),"No Aplica"),"No Aplica")</f>
        <v>No Aplica</v>
      </c>
      <c r="S2043" s="26">
        <v>16</v>
      </c>
      <c r="T2043" s="37">
        <v>249243</v>
      </c>
      <c r="U2043" s="26">
        <v>30</v>
      </c>
      <c r="V2043" s="37">
        <v>2097600</v>
      </c>
      <c r="W2043" s="38">
        <v>-195</v>
      </c>
      <c r="X2043" s="46">
        <v>-205901</v>
      </c>
      <c r="Y2043" s="46">
        <f t="shared" ref="Y2043" si="65">+H2043-X2043-V2043-T2043</f>
        <v>-5195602</v>
      </c>
    </row>
  </sheetData>
  <autoFilter ref="A1:Z2043"/>
  <conditionalFormatting sqref="H1983:M2043">
    <cfRule type="expression" dxfId="132" priority="55">
      <formula>+MID($B1983,1,5)="Total"</formula>
    </cfRule>
  </conditionalFormatting>
  <conditionalFormatting sqref="F2043 F2040 F1983:F2038">
    <cfRule type="duplicateValues" dxfId="131" priority="56"/>
  </conditionalFormatting>
  <conditionalFormatting sqref="G2043 G2040 G1983:G2038">
    <cfRule type="duplicateValues" dxfId="130" priority="57"/>
  </conditionalFormatting>
  <conditionalFormatting sqref="F2041:F2042">
    <cfRule type="duplicateValues" dxfId="129" priority="61"/>
  </conditionalFormatting>
  <conditionalFormatting sqref="G2041:G2042">
    <cfRule type="duplicateValues" dxfId="128" priority="62"/>
  </conditionalFormatting>
  <conditionalFormatting sqref="F2039">
    <cfRule type="duplicateValues" dxfId="127" priority="63"/>
  </conditionalFormatting>
  <conditionalFormatting sqref="G2039">
    <cfRule type="duplicateValues" dxfId="126" priority="64"/>
  </conditionalFormatting>
  <conditionalFormatting sqref="G1983:G2043">
    <cfRule type="duplicateValues" dxfId="125" priority="65"/>
  </conditionalFormatting>
  <conditionalFormatting sqref="M1983:M2043">
    <cfRule type="iconSet" priority="66">
      <iconSet iconSet="3Symbols2">
        <cfvo type="percent" val="0"/>
        <cfvo type="num" val="$C$451" gte="0"/>
        <cfvo type="num" val="$C$451"/>
      </iconSet>
    </cfRule>
  </conditionalFormatting>
  <conditionalFormatting sqref="E1">
    <cfRule type="duplicateValues" dxfId="124" priority="146"/>
  </conditionalFormatting>
  <conditionalFormatting sqref="F1">
    <cfRule type="duplicateValues" dxfId="123" priority="147"/>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C00000"/>
  </sheetPr>
  <dimension ref="A1:AC91"/>
  <sheetViews>
    <sheetView showGridLines="0" zoomScale="85" zoomScaleNormal="85" workbookViewId="0">
      <selection activeCell="A6" sqref="A6"/>
    </sheetView>
  </sheetViews>
  <sheetFormatPr baseColWidth="10" defaultRowHeight="15" x14ac:dyDescent="0.25"/>
  <cols>
    <col min="1" max="1" width="38.140625" style="2" bestFit="1" customWidth="1"/>
    <col min="2" max="2" width="11.28515625" style="2" customWidth="1"/>
    <col min="3" max="3" width="11.5703125" style="7" customWidth="1"/>
    <col min="4" max="4" width="9.7109375" style="7" customWidth="1"/>
    <col min="5" max="5" width="9" style="7" customWidth="1"/>
    <col min="6" max="6" width="8.5703125" style="7" customWidth="1"/>
    <col min="7" max="7" width="9.5703125" style="7" customWidth="1"/>
    <col min="8" max="8" width="8.7109375" style="7" customWidth="1"/>
    <col min="9" max="9" width="9" style="2" customWidth="1"/>
    <col min="10" max="10" width="9.5703125" style="3" customWidth="1"/>
    <col min="11" max="11" width="8.5703125" style="3" customWidth="1"/>
    <col min="12" max="12" width="9" style="3" customWidth="1"/>
    <col min="13" max="13" width="8.85546875" style="3" customWidth="1"/>
    <col min="14" max="14" width="9.7109375" style="3" customWidth="1"/>
    <col min="15" max="15" width="8.7109375" style="3" bestFit="1" customWidth="1"/>
    <col min="16" max="16" width="9.42578125" style="3" bestFit="1" customWidth="1"/>
    <col min="17" max="17" width="8.5703125" style="3" bestFit="1" customWidth="1"/>
    <col min="18" max="18" width="8.140625" style="3" bestFit="1" customWidth="1"/>
    <col min="19" max="19" width="9" style="3" bestFit="1" customWidth="1"/>
    <col min="20" max="20" width="8.140625" style="8" bestFit="1" customWidth="1"/>
    <col min="21" max="21" width="8.5703125" style="2" bestFit="1" customWidth="1"/>
    <col min="22" max="22" width="9.140625" style="2" bestFit="1" customWidth="1"/>
    <col min="23" max="23" width="8.140625" style="2" bestFit="1" customWidth="1"/>
    <col min="24" max="24" width="8.42578125" style="2" bestFit="1" customWidth="1"/>
    <col min="25" max="25" width="8.140625" style="2" bestFit="1" customWidth="1"/>
    <col min="26" max="26" width="9.42578125" style="2" bestFit="1" customWidth="1"/>
    <col min="27" max="27" width="15.7109375" style="3" bestFit="1" customWidth="1"/>
    <col min="28" max="28" width="16.140625" style="3" bestFit="1" customWidth="1"/>
    <col min="29" max="16384" width="11.42578125" style="2"/>
  </cols>
  <sheetData>
    <row r="1" spans="1:29" x14ac:dyDescent="0.25">
      <c r="A1"/>
      <c r="B1"/>
      <c r="O1" s="47"/>
      <c r="P1" s="47"/>
      <c r="Q1" s="47"/>
      <c r="R1" s="47"/>
      <c r="S1" s="47"/>
      <c r="T1" s="47"/>
      <c r="U1" s="47"/>
      <c r="V1" s="47"/>
      <c r="W1" s="47"/>
      <c r="X1" s="47"/>
    </row>
    <row r="2" spans="1:29" x14ac:dyDescent="0.25">
      <c r="A2" s="6" t="s">
        <v>174</v>
      </c>
      <c r="B2" s="2" t="s">
        <v>270</v>
      </c>
    </row>
    <row r="3" spans="1:29" x14ac:dyDescent="0.25">
      <c r="C3" s="2"/>
      <c r="D3" s="2"/>
      <c r="E3" s="2"/>
      <c r="F3" s="2"/>
      <c r="G3" s="2"/>
      <c r="H3" s="2"/>
    </row>
    <row r="4" spans="1:29" x14ac:dyDescent="0.25">
      <c r="A4" s="6" t="s">
        <v>115</v>
      </c>
      <c r="C4" s="6" t="s">
        <v>234</v>
      </c>
      <c r="D4" s="2"/>
      <c r="E4" s="2"/>
      <c r="F4" s="2"/>
      <c r="G4" s="2"/>
      <c r="H4" s="2"/>
      <c r="J4" s="2"/>
      <c r="K4" s="2"/>
      <c r="L4" s="2"/>
      <c r="M4" s="2"/>
      <c r="N4" s="2"/>
      <c r="T4" s="3"/>
      <c r="U4" s="3"/>
      <c r="V4" s="3"/>
      <c r="W4" s="3"/>
      <c r="X4" s="3"/>
      <c r="Y4" s="3"/>
      <c r="Z4" s="3"/>
    </row>
    <row r="5" spans="1:29" x14ac:dyDescent="0.25">
      <c r="A5" s="6" t="s">
        <v>30</v>
      </c>
      <c r="B5" s="6" t="s">
        <v>32</v>
      </c>
      <c r="C5" s="2" t="s">
        <v>390</v>
      </c>
      <c r="D5" s="2" t="s">
        <v>391</v>
      </c>
      <c r="E5" s="2" t="s">
        <v>392</v>
      </c>
      <c r="F5" s="2" t="s">
        <v>393</v>
      </c>
      <c r="G5" s="2" t="s">
        <v>394</v>
      </c>
      <c r="H5" s="2" t="s">
        <v>338</v>
      </c>
      <c r="I5" s="2" t="s">
        <v>339</v>
      </c>
      <c r="J5" s="2" t="s">
        <v>340</v>
      </c>
      <c r="K5" s="2" t="s">
        <v>341</v>
      </c>
      <c r="L5" s="2" t="s">
        <v>342</v>
      </c>
      <c r="M5" s="2" t="s">
        <v>343</v>
      </c>
      <c r="N5" s="2" t="s">
        <v>452</v>
      </c>
      <c r="O5" s="11" t="str">
        <f t="shared" ref="O5:Z5" si="0">+C5</f>
        <v>2018 ABR</v>
      </c>
      <c r="P5" s="11" t="str">
        <f t="shared" si="0"/>
        <v>2018 MAY</v>
      </c>
      <c r="Q5" s="11" t="str">
        <f t="shared" si="0"/>
        <v>2018 JUN</v>
      </c>
      <c r="R5" s="11" t="str">
        <f t="shared" si="0"/>
        <v>2018 JUL</v>
      </c>
      <c r="S5" s="11" t="str">
        <f t="shared" si="0"/>
        <v>2018 AGO</v>
      </c>
      <c r="T5" s="11" t="str">
        <f t="shared" si="0"/>
        <v>2018 SEP</v>
      </c>
      <c r="U5" s="11" t="str">
        <f t="shared" si="0"/>
        <v>2018 OCT</v>
      </c>
      <c r="V5" s="11" t="str">
        <f t="shared" si="0"/>
        <v>2018 NOV</v>
      </c>
      <c r="W5" s="11" t="str">
        <f t="shared" si="0"/>
        <v>2018 DIC</v>
      </c>
      <c r="X5" s="11" t="str">
        <f t="shared" si="0"/>
        <v>2019 ENE</v>
      </c>
      <c r="Y5" s="11" t="str">
        <f t="shared" si="0"/>
        <v>2019 FEB</v>
      </c>
      <c r="Z5" s="11" t="str">
        <f t="shared" si="0"/>
        <v>2019 MAR</v>
      </c>
      <c r="AA5" s="9" t="s">
        <v>315</v>
      </c>
      <c r="AB5" s="9" t="s">
        <v>274</v>
      </c>
    </row>
    <row r="6" spans="1:29" x14ac:dyDescent="0.25">
      <c r="A6" s="2" t="s">
        <v>155</v>
      </c>
      <c r="B6" s="2">
        <v>43169964</v>
      </c>
      <c r="C6" s="10">
        <v>1.1090953480113637</v>
      </c>
      <c r="D6" s="10">
        <v>1.0220229318181817</v>
      </c>
      <c r="E6" s="10">
        <v>1.2541995234908225</v>
      </c>
      <c r="F6" s="10">
        <v>1.0101308427510622</v>
      </c>
      <c r="G6" s="10">
        <v>0.5446564318181818</v>
      </c>
      <c r="H6" s="10">
        <v>1.0126597045454546</v>
      </c>
      <c r="I6" s="10">
        <v>1.079706461443745</v>
      </c>
      <c r="J6" s="10">
        <v>1.0422746688433282</v>
      </c>
      <c r="K6" s="10">
        <v>1.0348004569202411</v>
      </c>
      <c r="L6" s="10">
        <v>1.0116418357487922</v>
      </c>
      <c r="M6" s="10">
        <v>0.54832635362318838</v>
      </c>
      <c r="N6" s="10">
        <v>1.0318777777777777</v>
      </c>
      <c r="O6" s="12">
        <f>+IF(AND(C6&lt;&gt;"",C6&gt;=1),1,IF(AND(C6&lt;&gt;"",C6&lt;1),0,""))</f>
        <v>1</v>
      </c>
      <c r="P6" s="12">
        <f t="shared" ref="P6:Z6" si="1">+IF(AND(D6&lt;&gt;"",D6&gt;=1),1,IF(AND(D6&lt;&gt;"",D6&lt;1),0,""))</f>
        <v>1</v>
      </c>
      <c r="Q6" s="12">
        <f t="shared" si="1"/>
        <v>1</v>
      </c>
      <c r="R6" s="12">
        <f t="shared" si="1"/>
        <v>1</v>
      </c>
      <c r="S6" s="12">
        <f t="shared" si="1"/>
        <v>0</v>
      </c>
      <c r="T6" s="12">
        <f t="shared" si="1"/>
        <v>1</v>
      </c>
      <c r="U6" s="12">
        <f t="shared" si="1"/>
        <v>1</v>
      </c>
      <c r="V6" s="12">
        <f t="shared" si="1"/>
        <v>1</v>
      </c>
      <c r="W6" s="12">
        <f t="shared" si="1"/>
        <v>1</v>
      </c>
      <c r="X6" s="12">
        <f t="shared" si="1"/>
        <v>1</v>
      </c>
      <c r="Y6" s="12">
        <f>+IF(AND(M6&lt;&gt;"",M6&gt;=1),1,IF(AND(M6&lt;&gt;"",M6&lt;1),0,""))</f>
        <v>0</v>
      </c>
      <c r="Z6" s="12">
        <f t="shared" si="1"/>
        <v>1</v>
      </c>
      <c r="AA6" s="49">
        <f>COUNTIF(O6:Z6,"=1")/COUNTIF(O6:Z6,"&gt;=0")</f>
        <v>0.83333333333333337</v>
      </c>
      <c r="AB6" s="50" t="str">
        <f>+IF(AA6&gt;=100%,"Siempre Cumple",IF(AA6&gt;=80%,"Cumple",IF(AA6&gt;40%,"Fluctúa",IF(AA6&gt;=0%,"No Cumple",""))))</f>
        <v>Cumple</v>
      </c>
      <c r="AC6" s="48"/>
    </row>
    <row r="7" spans="1:29" x14ac:dyDescent="0.25">
      <c r="A7" s="2" t="s">
        <v>327</v>
      </c>
      <c r="B7" s="2">
        <v>1126257967</v>
      </c>
      <c r="C7" s="10"/>
      <c r="D7" s="10"/>
      <c r="E7" s="10"/>
      <c r="F7" s="10"/>
      <c r="G7" s="10"/>
      <c r="H7" s="10"/>
      <c r="I7" s="10"/>
      <c r="J7" s="10"/>
      <c r="K7" s="10"/>
      <c r="L7" s="10"/>
      <c r="M7" s="10">
        <v>0.47299030322073843</v>
      </c>
      <c r="N7" s="10">
        <v>0.89985826865671636</v>
      </c>
      <c r="O7" s="304" t="s">
        <v>314</v>
      </c>
      <c r="P7" s="304" t="s">
        <v>314</v>
      </c>
      <c r="Q7" s="304" t="s">
        <v>314</v>
      </c>
      <c r="R7" s="304" t="s">
        <v>314</v>
      </c>
      <c r="S7" s="304" t="s">
        <v>314</v>
      </c>
      <c r="T7" s="304" t="s">
        <v>314</v>
      </c>
      <c r="U7" s="304" t="s">
        <v>314</v>
      </c>
      <c r="V7" s="304" t="s">
        <v>314</v>
      </c>
      <c r="W7" s="304" t="s">
        <v>314</v>
      </c>
      <c r="X7" s="304" t="s">
        <v>314</v>
      </c>
      <c r="Y7" s="304">
        <v>0</v>
      </c>
      <c r="Z7" s="304">
        <v>0</v>
      </c>
      <c r="AA7" s="305">
        <v>0</v>
      </c>
      <c r="AB7" s="306" t="s">
        <v>325</v>
      </c>
      <c r="AC7" s="48"/>
    </row>
    <row r="8" spans="1:29" x14ac:dyDescent="0.25">
      <c r="A8" s="2" t="s">
        <v>443</v>
      </c>
      <c r="B8" s="2">
        <v>79805095</v>
      </c>
      <c r="C8" s="10"/>
      <c r="D8" s="10"/>
      <c r="E8" s="10"/>
      <c r="F8" s="10"/>
      <c r="G8" s="10"/>
      <c r="H8" s="10"/>
      <c r="I8" s="10"/>
      <c r="J8" s="10"/>
      <c r="K8" s="10"/>
      <c r="L8" s="10"/>
      <c r="M8" s="10"/>
      <c r="N8" s="10">
        <v>0.71633785714285714</v>
      </c>
      <c r="O8" s="304" t="s">
        <v>314</v>
      </c>
      <c r="P8" s="304" t="s">
        <v>314</v>
      </c>
      <c r="Q8" s="304" t="s">
        <v>314</v>
      </c>
      <c r="R8" s="304" t="s">
        <v>314</v>
      </c>
      <c r="S8" s="304" t="s">
        <v>314</v>
      </c>
      <c r="T8" s="304" t="s">
        <v>314</v>
      </c>
      <c r="U8" s="304" t="s">
        <v>314</v>
      </c>
      <c r="V8" s="304" t="s">
        <v>314</v>
      </c>
      <c r="W8" s="304" t="s">
        <v>314</v>
      </c>
      <c r="X8" s="304" t="s">
        <v>314</v>
      </c>
      <c r="Y8" s="304" t="s">
        <v>314</v>
      </c>
      <c r="Z8" s="304">
        <v>0</v>
      </c>
      <c r="AA8" s="305">
        <v>0</v>
      </c>
      <c r="AB8" s="306" t="s">
        <v>325</v>
      </c>
      <c r="AC8" s="48"/>
    </row>
    <row r="9" spans="1:29" x14ac:dyDescent="0.25">
      <c r="A9" s="2" t="s">
        <v>39</v>
      </c>
      <c r="B9" s="2">
        <v>43253531</v>
      </c>
      <c r="C9" s="10">
        <v>1.1514369047619049</v>
      </c>
      <c r="D9" s="10">
        <v>1.0431452380952382</v>
      </c>
      <c r="E9" s="10">
        <v>1.0798125325285788</v>
      </c>
      <c r="F9" s="10">
        <v>1.2840497792113781</v>
      </c>
      <c r="G9" s="10">
        <v>1.8992751020408163</v>
      </c>
      <c r="H9" s="10">
        <v>1.023253</v>
      </c>
      <c r="I9" s="10">
        <v>1.0876264756998313</v>
      </c>
      <c r="J9" s="10">
        <v>0.92166753534218993</v>
      </c>
      <c r="K9" s="10">
        <v>1.0701456060953931</v>
      </c>
      <c r="L9" s="10">
        <v>1.1818575499412456</v>
      </c>
      <c r="M9" s="10">
        <v>1.0354060540540539</v>
      </c>
      <c r="N9" s="10">
        <v>1.0497954918032786</v>
      </c>
      <c r="O9" s="304">
        <v>1</v>
      </c>
      <c r="P9" s="304">
        <v>1</v>
      </c>
      <c r="Q9" s="304">
        <v>1</v>
      </c>
      <c r="R9" s="304">
        <v>1</v>
      </c>
      <c r="S9" s="304">
        <v>1</v>
      </c>
      <c r="T9" s="304">
        <v>1</v>
      </c>
      <c r="U9" s="304">
        <v>1</v>
      </c>
      <c r="V9" s="304">
        <v>0</v>
      </c>
      <c r="W9" s="304">
        <v>1</v>
      </c>
      <c r="X9" s="304">
        <v>1</v>
      </c>
      <c r="Y9" s="304">
        <v>1</v>
      </c>
      <c r="Z9" s="304">
        <v>1</v>
      </c>
      <c r="AA9" s="305">
        <v>0.91666666666666663</v>
      </c>
      <c r="AB9" s="306" t="s">
        <v>322</v>
      </c>
      <c r="AC9" s="48"/>
    </row>
    <row r="10" spans="1:29" x14ac:dyDescent="0.25">
      <c r="A10" s="2" t="s">
        <v>71</v>
      </c>
      <c r="B10" s="2">
        <v>3438422</v>
      </c>
      <c r="C10" s="10">
        <v>1.0458393409090909</v>
      </c>
      <c r="D10" s="10">
        <v>0.81300402272727268</v>
      </c>
      <c r="E10" s="10">
        <v>1.0374544840826334</v>
      </c>
      <c r="F10" s="10">
        <v>1.0238511634274843</v>
      </c>
      <c r="G10" s="10">
        <v>1.0450730909090908</v>
      </c>
      <c r="H10" s="10">
        <v>1.0678113863636363</v>
      </c>
      <c r="I10" s="10">
        <v>1.0844584619166433</v>
      </c>
      <c r="J10" s="10">
        <v>1.9101815291239144</v>
      </c>
      <c r="K10" s="10">
        <v>1.0252395144704256</v>
      </c>
      <c r="L10" s="10">
        <v>0.59358345935727785</v>
      </c>
      <c r="M10" s="10">
        <v>1.142272195652174</v>
      </c>
      <c r="N10" s="10">
        <v>0.41808760869565215</v>
      </c>
      <c r="O10" s="304">
        <v>1</v>
      </c>
      <c r="P10" s="304">
        <v>0</v>
      </c>
      <c r="Q10" s="304">
        <v>1</v>
      </c>
      <c r="R10" s="304">
        <v>1</v>
      </c>
      <c r="S10" s="304">
        <v>1</v>
      </c>
      <c r="T10" s="304">
        <v>1</v>
      </c>
      <c r="U10" s="304">
        <v>1</v>
      </c>
      <c r="V10" s="304">
        <v>1</v>
      </c>
      <c r="W10" s="304">
        <v>1</v>
      </c>
      <c r="X10" s="304">
        <v>0</v>
      </c>
      <c r="Y10" s="304">
        <v>1</v>
      </c>
      <c r="Z10" s="304">
        <v>0</v>
      </c>
      <c r="AA10" s="305">
        <v>0.75</v>
      </c>
      <c r="AB10" s="306" t="s">
        <v>323</v>
      </c>
      <c r="AC10" s="48"/>
    </row>
    <row r="11" spans="1:29" x14ac:dyDescent="0.25">
      <c r="A11" s="2" t="s">
        <v>40</v>
      </c>
      <c r="B11" s="2">
        <v>43821410</v>
      </c>
      <c r="C11" s="10">
        <v>1.5788479772727273</v>
      </c>
      <c r="D11" s="10">
        <v>1.8646280032467533</v>
      </c>
      <c r="E11" s="10">
        <v>1.4874450886263797</v>
      </c>
      <c r="F11" s="10">
        <v>1.4789311325329333</v>
      </c>
      <c r="G11" s="10">
        <v>1.4165441363636364</v>
      </c>
      <c r="H11" s="10">
        <v>1.4917855</v>
      </c>
      <c r="I11" s="10">
        <v>1.6808035353084481</v>
      </c>
      <c r="J11" s="10">
        <v>1.4640829521473135</v>
      </c>
      <c r="K11" s="10">
        <v>1.3395370973071403</v>
      </c>
      <c r="L11" s="10">
        <v>1.4911338405797101</v>
      </c>
      <c r="M11" s="10">
        <v>1.3022104000000001</v>
      </c>
      <c r="N11" s="10">
        <v>1.4686118666666668</v>
      </c>
      <c r="O11" s="304">
        <v>1</v>
      </c>
      <c r="P11" s="304">
        <v>1</v>
      </c>
      <c r="Q11" s="304">
        <v>1</v>
      </c>
      <c r="R11" s="304">
        <v>1</v>
      </c>
      <c r="S11" s="304">
        <v>1</v>
      </c>
      <c r="T11" s="304">
        <v>1</v>
      </c>
      <c r="U11" s="304">
        <v>1</v>
      </c>
      <c r="V11" s="304">
        <v>1</v>
      </c>
      <c r="W11" s="304">
        <v>1</v>
      </c>
      <c r="X11" s="304">
        <v>1</v>
      </c>
      <c r="Y11" s="304">
        <v>1</v>
      </c>
      <c r="Z11" s="304">
        <v>1</v>
      </c>
      <c r="AA11" s="305">
        <v>1</v>
      </c>
      <c r="AB11" s="306" t="s">
        <v>324</v>
      </c>
      <c r="AC11" s="48"/>
    </row>
    <row r="12" spans="1:29" x14ac:dyDescent="0.25">
      <c r="A12" s="2" t="s">
        <v>156</v>
      </c>
      <c r="B12" s="2">
        <v>1020736461</v>
      </c>
      <c r="C12" s="10">
        <v>1.4021090357142858</v>
      </c>
      <c r="D12" s="10">
        <v>1.6056807291666666</v>
      </c>
      <c r="E12" s="10">
        <v>1.4473405507598427</v>
      </c>
      <c r="F12" s="10">
        <v>1.5728393006173427</v>
      </c>
      <c r="G12" s="10">
        <v>1.632262642857143</v>
      </c>
      <c r="H12" s="10">
        <v>1.7877312857142857</v>
      </c>
      <c r="I12" s="10">
        <v>2.0221764301554592</v>
      </c>
      <c r="J12" s="10">
        <v>1.3246765500924143</v>
      </c>
      <c r="K12" s="10">
        <v>1.8527884023089036</v>
      </c>
      <c r="L12" s="10">
        <v>1.4329523320895523</v>
      </c>
      <c r="M12" s="10">
        <v>1.2045977497129736</v>
      </c>
      <c r="N12" s="10">
        <v>1.362452895522388</v>
      </c>
      <c r="O12" s="304">
        <v>1</v>
      </c>
      <c r="P12" s="304">
        <v>1</v>
      </c>
      <c r="Q12" s="304">
        <v>1</v>
      </c>
      <c r="R12" s="304">
        <v>1</v>
      </c>
      <c r="S12" s="304">
        <v>1</v>
      </c>
      <c r="T12" s="304">
        <v>1</v>
      </c>
      <c r="U12" s="304">
        <v>1</v>
      </c>
      <c r="V12" s="304">
        <v>1</v>
      </c>
      <c r="W12" s="304">
        <v>1</v>
      </c>
      <c r="X12" s="304">
        <v>1</v>
      </c>
      <c r="Y12" s="304">
        <v>1</v>
      </c>
      <c r="Z12" s="304">
        <v>1</v>
      </c>
      <c r="AA12" s="305">
        <v>1</v>
      </c>
      <c r="AB12" s="306" t="s">
        <v>324</v>
      </c>
      <c r="AC12" s="48"/>
    </row>
    <row r="13" spans="1:29" x14ac:dyDescent="0.25">
      <c r="A13" s="2" t="s">
        <v>41</v>
      </c>
      <c r="B13" s="2">
        <v>39442617</v>
      </c>
      <c r="C13" s="10"/>
      <c r="D13" s="10">
        <v>0.30848547008547006</v>
      </c>
      <c r="E13" s="10">
        <v>1.3523840606060606</v>
      </c>
      <c r="F13" s="10">
        <v>2.1366879238095238</v>
      </c>
      <c r="G13" s="10">
        <v>1.1859724254742547</v>
      </c>
      <c r="H13" s="10">
        <v>0.74533344444444449</v>
      </c>
      <c r="I13" s="10">
        <v>1.5248049981972296</v>
      </c>
      <c r="J13" s="10">
        <v>1.1835157141156778</v>
      </c>
      <c r="K13" s="10">
        <v>1.1021354289456451</v>
      </c>
      <c r="L13" s="10">
        <v>1.6764304999999999</v>
      </c>
      <c r="M13" s="10">
        <v>1.096528120649652</v>
      </c>
      <c r="N13" s="10">
        <v>1.0334091666666667</v>
      </c>
      <c r="O13" s="304" t="s">
        <v>314</v>
      </c>
      <c r="P13" s="304">
        <v>0</v>
      </c>
      <c r="Q13" s="304">
        <v>1</v>
      </c>
      <c r="R13" s="304">
        <v>1</v>
      </c>
      <c r="S13" s="304">
        <v>1</v>
      </c>
      <c r="T13" s="304">
        <v>0</v>
      </c>
      <c r="U13" s="304">
        <v>1</v>
      </c>
      <c r="V13" s="304">
        <v>1</v>
      </c>
      <c r="W13" s="304">
        <v>1</v>
      </c>
      <c r="X13" s="304">
        <v>1</v>
      </c>
      <c r="Y13" s="304">
        <v>1</v>
      </c>
      <c r="Z13" s="304">
        <v>1</v>
      </c>
      <c r="AA13" s="305">
        <v>0.81818181818181823</v>
      </c>
      <c r="AB13" s="306" t="s">
        <v>322</v>
      </c>
      <c r="AC13" s="48"/>
    </row>
    <row r="14" spans="1:29" x14ac:dyDescent="0.25">
      <c r="A14" s="2" t="s">
        <v>256</v>
      </c>
      <c r="B14" s="2">
        <v>1144061613</v>
      </c>
      <c r="C14" s="10"/>
      <c r="D14" s="10">
        <v>0.85985372222222223</v>
      </c>
      <c r="E14" s="10">
        <v>1.0163692666666666</v>
      </c>
      <c r="F14" s="10">
        <v>0.67327286666666664</v>
      </c>
      <c r="G14" s="10">
        <v>1.0410634666666667</v>
      </c>
      <c r="H14" s="10">
        <v>0.99081533333333338</v>
      </c>
      <c r="I14" s="10">
        <v>1.053991007198801</v>
      </c>
      <c r="J14" s="10">
        <v>1.1252087466666667</v>
      </c>
      <c r="K14" s="10">
        <v>1.1342560011757596</v>
      </c>
      <c r="L14" s="10">
        <v>1.0823854385964913</v>
      </c>
      <c r="M14" s="10">
        <v>1.0584307719298245</v>
      </c>
      <c r="N14" s="10">
        <v>1.2757222648083624</v>
      </c>
      <c r="O14" s="304" t="s">
        <v>314</v>
      </c>
      <c r="P14" s="304">
        <v>0</v>
      </c>
      <c r="Q14" s="304">
        <v>1</v>
      </c>
      <c r="R14" s="304">
        <v>0</v>
      </c>
      <c r="S14" s="304">
        <v>1</v>
      </c>
      <c r="T14" s="304">
        <v>0</v>
      </c>
      <c r="U14" s="304">
        <v>1</v>
      </c>
      <c r="V14" s="304">
        <v>1</v>
      </c>
      <c r="W14" s="304">
        <v>1</v>
      </c>
      <c r="X14" s="304">
        <v>1</v>
      </c>
      <c r="Y14" s="304">
        <v>1</v>
      </c>
      <c r="Z14" s="304">
        <v>1</v>
      </c>
      <c r="AA14" s="305">
        <v>0.72727272727272729</v>
      </c>
      <c r="AB14" s="306" t="s">
        <v>323</v>
      </c>
      <c r="AC14" s="48"/>
    </row>
    <row r="15" spans="1:29" x14ac:dyDescent="0.25">
      <c r="A15" s="2" t="s">
        <v>289</v>
      </c>
      <c r="B15" s="2">
        <v>1017191161</v>
      </c>
      <c r="C15" s="10"/>
      <c r="D15" s="10"/>
      <c r="E15" s="10"/>
      <c r="F15" s="10"/>
      <c r="G15" s="10"/>
      <c r="H15" s="10"/>
      <c r="I15" s="10">
        <v>1.1956715326051759</v>
      </c>
      <c r="J15" s="10">
        <v>0.58347736063224742</v>
      </c>
      <c r="K15" s="10">
        <v>0.64416746890001408</v>
      </c>
      <c r="L15" s="10">
        <v>0.7841516414141414</v>
      </c>
      <c r="M15" s="10">
        <v>0.69694406956521737</v>
      </c>
      <c r="N15" s="10">
        <v>0.99764919753086423</v>
      </c>
      <c r="O15" s="304" t="s">
        <v>314</v>
      </c>
      <c r="P15" s="304" t="s">
        <v>314</v>
      </c>
      <c r="Q15" s="304" t="s">
        <v>314</v>
      </c>
      <c r="R15" s="304" t="s">
        <v>314</v>
      </c>
      <c r="S15" s="304" t="s">
        <v>314</v>
      </c>
      <c r="T15" s="304" t="s">
        <v>314</v>
      </c>
      <c r="U15" s="304">
        <v>1</v>
      </c>
      <c r="V15" s="304">
        <v>0</v>
      </c>
      <c r="W15" s="304">
        <v>0</v>
      </c>
      <c r="X15" s="304">
        <v>0</v>
      </c>
      <c r="Y15" s="304">
        <v>0</v>
      </c>
      <c r="Z15" s="304">
        <v>0</v>
      </c>
      <c r="AA15" s="305">
        <v>0.16666666666666666</v>
      </c>
      <c r="AB15" s="306" t="s">
        <v>325</v>
      </c>
      <c r="AC15" s="48"/>
    </row>
    <row r="16" spans="1:29" x14ac:dyDescent="0.25">
      <c r="A16" s="2" t="s">
        <v>303</v>
      </c>
      <c r="B16" s="2">
        <v>66910365</v>
      </c>
      <c r="C16" s="10"/>
      <c r="D16" s="10"/>
      <c r="E16" s="10"/>
      <c r="F16" s="10"/>
      <c r="G16" s="10"/>
      <c r="H16" s="10"/>
      <c r="I16" s="10"/>
      <c r="J16" s="10">
        <v>0.23719656666666666</v>
      </c>
      <c r="K16" s="10">
        <v>1.0763213077644158</v>
      </c>
      <c r="L16" s="10">
        <v>1.0521419999999999</v>
      </c>
      <c r="M16" s="10">
        <v>0.98236501754385963</v>
      </c>
      <c r="N16" s="10">
        <v>1.0590993425605537</v>
      </c>
      <c r="O16" s="304" t="s">
        <v>314</v>
      </c>
      <c r="P16" s="304" t="s">
        <v>314</v>
      </c>
      <c r="Q16" s="304" t="s">
        <v>314</v>
      </c>
      <c r="R16" s="304" t="s">
        <v>314</v>
      </c>
      <c r="S16" s="304" t="s">
        <v>314</v>
      </c>
      <c r="T16" s="304" t="s">
        <v>314</v>
      </c>
      <c r="U16" s="304" t="s">
        <v>314</v>
      </c>
      <c r="V16" s="304">
        <v>0</v>
      </c>
      <c r="W16" s="304">
        <v>1</v>
      </c>
      <c r="X16" s="304">
        <v>1</v>
      </c>
      <c r="Y16" s="304">
        <v>0</v>
      </c>
      <c r="Z16" s="304">
        <v>1</v>
      </c>
      <c r="AA16" s="305">
        <v>0.6</v>
      </c>
      <c r="AB16" s="306" t="s">
        <v>323</v>
      </c>
      <c r="AC16" s="48"/>
    </row>
    <row r="17" spans="1:29" x14ac:dyDescent="0.25">
      <c r="A17" s="2" t="s">
        <v>142</v>
      </c>
      <c r="B17" s="2">
        <v>43971430</v>
      </c>
      <c r="C17" s="10">
        <v>1.0661862142857144</v>
      </c>
      <c r="D17" s="10">
        <v>1.1876095238095239</v>
      </c>
      <c r="E17" s="10">
        <v>1.0426689523809525</v>
      </c>
      <c r="F17" s="10">
        <v>1.0951151190476192</v>
      </c>
      <c r="G17" s="10">
        <v>1.056879857142857</v>
      </c>
      <c r="H17" s="10">
        <v>1.0520191904761904</v>
      </c>
      <c r="I17" s="10">
        <v>1.2136568331872963</v>
      </c>
      <c r="J17" s="10">
        <v>1.1517001632653061</v>
      </c>
      <c r="K17" s="10">
        <v>1.1084321987577639</v>
      </c>
      <c r="L17" s="10">
        <v>1.1805059535573124</v>
      </c>
      <c r="M17" s="10">
        <v>1.0368995454545455</v>
      </c>
      <c r="N17" s="10">
        <v>1.0421579772727272</v>
      </c>
      <c r="O17" s="304">
        <v>1</v>
      </c>
      <c r="P17" s="304">
        <v>1</v>
      </c>
      <c r="Q17" s="304">
        <v>1</v>
      </c>
      <c r="R17" s="304">
        <v>1</v>
      </c>
      <c r="S17" s="304">
        <v>1</v>
      </c>
      <c r="T17" s="304">
        <v>1</v>
      </c>
      <c r="U17" s="304">
        <v>1</v>
      </c>
      <c r="V17" s="304">
        <v>1</v>
      </c>
      <c r="W17" s="304">
        <v>1</v>
      </c>
      <c r="X17" s="304">
        <v>1</v>
      </c>
      <c r="Y17" s="304">
        <v>1</v>
      </c>
      <c r="Z17" s="304">
        <v>1</v>
      </c>
      <c r="AA17" s="305">
        <v>1</v>
      </c>
      <c r="AB17" s="306" t="s">
        <v>324</v>
      </c>
      <c r="AC17" s="48"/>
    </row>
    <row r="18" spans="1:29" x14ac:dyDescent="0.25">
      <c r="A18" s="2" t="s">
        <v>106</v>
      </c>
      <c r="B18" s="2">
        <v>79850984</v>
      </c>
      <c r="C18" s="10">
        <v>0.69273498883928575</v>
      </c>
      <c r="D18" s="10">
        <v>0.79123407142857138</v>
      </c>
      <c r="E18" s="10">
        <v>1.1900964456867298</v>
      </c>
      <c r="F18" s="10">
        <v>1.0496932000876571</v>
      </c>
      <c r="G18" s="10">
        <v>1.1858853571428571</v>
      </c>
      <c r="H18" s="10">
        <v>1.0876600714285714</v>
      </c>
      <c r="I18" s="10">
        <v>1.0233465730961837</v>
      </c>
      <c r="J18" s="10">
        <v>0.71492560000000005</v>
      </c>
      <c r="K18" s="10">
        <v>1.1111001391304347</v>
      </c>
      <c r="L18" s="10">
        <v>1.3895352000000001</v>
      </c>
      <c r="M18" s="10">
        <v>2.5193420363636365</v>
      </c>
      <c r="N18" s="10">
        <v>1.0511097916666667</v>
      </c>
      <c r="O18" s="304">
        <v>0</v>
      </c>
      <c r="P18" s="304">
        <v>0</v>
      </c>
      <c r="Q18" s="304">
        <v>1</v>
      </c>
      <c r="R18" s="304">
        <v>1</v>
      </c>
      <c r="S18" s="304">
        <v>1</v>
      </c>
      <c r="T18" s="304">
        <v>1</v>
      </c>
      <c r="U18" s="304">
        <v>1</v>
      </c>
      <c r="V18" s="304">
        <v>0</v>
      </c>
      <c r="W18" s="304">
        <v>1</v>
      </c>
      <c r="X18" s="304">
        <v>1</v>
      </c>
      <c r="Y18" s="304">
        <v>1</v>
      </c>
      <c r="Z18" s="304">
        <v>1</v>
      </c>
      <c r="AA18" s="305">
        <v>0.75</v>
      </c>
      <c r="AB18" s="306" t="s">
        <v>323</v>
      </c>
      <c r="AC18" s="48"/>
    </row>
    <row r="19" spans="1:29" x14ac:dyDescent="0.25">
      <c r="A19" s="2" t="s">
        <v>167</v>
      </c>
      <c r="B19" s="2">
        <v>1020451288</v>
      </c>
      <c r="C19" s="10">
        <v>1.0130852272727273</v>
      </c>
      <c r="D19" s="10">
        <v>1.0222659090909092</v>
      </c>
      <c r="E19" s="10">
        <v>0.45832333333151515</v>
      </c>
      <c r="F19" s="10">
        <v>1.0057410237710953</v>
      </c>
      <c r="G19" s="10">
        <v>1.1367620681818182</v>
      </c>
      <c r="H19" s="10">
        <v>1.0168619999999999</v>
      </c>
      <c r="I19" s="10">
        <v>1.0723158959425643</v>
      </c>
      <c r="J19" s="10">
        <v>0.9787156903450015</v>
      </c>
      <c r="K19" s="10">
        <v>1.0204288400779709</v>
      </c>
      <c r="L19" s="10">
        <v>1.1507441471571906</v>
      </c>
      <c r="M19" s="10">
        <v>1.0133229565217392</v>
      </c>
      <c r="N19" s="10">
        <v>1.0257067173913044</v>
      </c>
      <c r="O19" s="304">
        <v>1</v>
      </c>
      <c r="P19" s="304">
        <v>1</v>
      </c>
      <c r="Q19" s="304">
        <v>0</v>
      </c>
      <c r="R19" s="304">
        <v>1</v>
      </c>
      <c r="S19" s="304">
        <v>1</v>
      </c>
      <c r="T19" s="304">
        <v>1</v>
      </c>
      <c r="U19" s="304">
        <v>1</v>
      </c>
      <c r="V19" s="304">
        <v>0</v>
      </c>
      <c r="W19" s="304">
        <v>1</v>
      </c>
      <c r="X19" s="304">
        <v>1</v>
      </c>
      <c r="Y19" s="304">
        <v>1</v>
      </c>
      <c r="Z19" s="304">
        <v>1</v>
      </c>
      <c r="AA19" s="305">
        <v>0.83333333333333337</v>
      </c>
      <c r="AB19" s="306" t="s">
        <v>322</v>
      </c>
      <c r="AC19" s="48"/>
    </row>
    <row r="20" spans="1:29" x14ac:dyDescent="0.25">
      <c r="A20" s="2" t="s">
        <v>302</v>
      </c>
      <c r="B20" s="2">
        <v>1020769180</v>
      </c>
      <c r="C20" s="10"/>
      <c r="D20" s="10"/>
      <c r="E20" s="10"/>
      <c r="F20" s="10"/>
      <c r="G20" s="10"/>
      <c r="H20" s="10"/>
      <c r="I20" s="10"/>
      <c r="J20" s="10">
        <v>0.52506956426583873</v>
      </c>
      <c r="K20" s="10">
        <v>0.74094683177916609</v>
      </c>
      <c r="L20" s="10">
        <v>0.74216128358208955</v>
      </c>
      <c r="M20" s="10">
        <v>1.0900971317326413</v>
      </c>
      <c r="N20" s="10">
        <v>0.79831122388059705</v>
      </c>
      <c r="O20" s="304" t="s">
        <v>314</v>
      </c>
      <c r="P20" s="304" t="s">
        <v>314</v>
      </c>
      <c r="Q20" s="304" t="s">
        <v>314</v>
      </c>
      <c r="R20" s="304" t="s">
        <v>314</v>
      </c>
      <c r="S20" s="304" t="s">
        <v>314</v>
      </c>
      <c r="T20" s="304" t="s">
        <v>314</v>
      </c>
      <c r="U20" s="304" t="s">
        <v>314</v>
      </c>
      <c r="V20" s="304">
        <v>0</v>
      </c>
      <c r="W20" s="304">
        <v>0</v>
      </c>
      <c r="X20" s="304">
        <v>0</v>
      </c>
      <c r="Y20" s="304">
        <v>1</v>
      </c>
      <c r="Z20" s="304">
        <v>0</v>
      </c>
      <c r="AA20" s="305">
        <v>0.2</v>
      </c>
      <c r="AB20" s="306" t="s">
        <v>325</v>
      </c>
      <c r="AC20" s="48"/>
    </row>
    <row r="21" spans="1:29" x14ac:dyDescent="0.25">
      <c r="A21" s="2" t="s">
        <v>109</v>
      </c>
      <c r="B21" s="2">
        <v>1020443426</v>
      </c>
      <c r="C21" s="10">
        <v>1.0391899047619049</v>
      </c>
      <c r="D21" s="10">
        <v>0.53567497619047622</v>
      </c>
      <c r="E21" s="10">
        <v>1.0168934999999999</v>
      </c>
      <c r="F21" s="10">
        <v>0.48072197619047619</v>
      </c>
      <c r="G21" s="10">
        <v>0.5910688061938062</v>
      </c>
      <c r="H21" s="10">
        <v>1.1009022727272728</v>
      </c>
      <c r="I21" s="10">
        <v>0.58546962688431026</v>
      </c>
      <c r="J21" s="10">
        <v>0.80049203040694461</v>
      </c>
      <c r="K21" s="10">
        <v>0.62490175938645809</v>
      </c>
      <c r="L21" s="10">
        <v>1.0332389030612246</v>
      </c>
      <c r="M21" s="10">
        <v>1.05882115</v>
      </c>
      <c r="N21" s="10">
        <v>0.67907370840630477</v>
      </c>
      <c r="O21" s="304">
        <v>1</v>
      </c>
      <c r="P21" s="304">
        <v>0</v>
      </c>
      <c r="Q21" s="304">
        <v>1</v>
      </c>
      <c r="R21" s="304">
        <v>0</v>
      </c>
      <c r="S21" s="304">
        <v>0</v>
      </c>
      <c r="T21" s="304">
        <v>1</v>
      </c>
      <c r="U21" s="304">
        <v>0</v>
      </c>
      <c r="V21" s="304">
        <v>0</v>
      </c>
      <c r="W21" s="304">
        <v>0</v>
      </c>
      <c r="X21" s="304">
        <v>1</v>
      </c>
      <c r="Y21" s="304">
        <v>1</v>
      </c>
      <c r="Z21" s="304">
        <v>0</v>
      </c>
      <c r="AA21" s="305">
        <v>0.41666666666666669</v>
      </c>
      <c r="AB21" s="306" t="s">
        <v>323</v>
      </c>
      <c r="AC21" s="48"/>
    </row>
    <row r="22" spans="1:29" x14ac:dyDescent="0.25">
      <c r="A22" s="2" t="s">
        <v>35</v>
      </c>
      <c r="B22" s="2">
        <v>43554403</v>
      </c>
      <c r="C22" s="10">
        <v>1.2785378333333333</v>
      </c>
      <c r="D22" s="10">
        <v>2.909502806122449</v>
      </c>
      <c r="E22" s="10">
        <v>1.0575346190476191</v>
      </c>
      <c r="F22" s="10">
        <v>1.2645369047619048</v>
      </c>
      <c r="G22" s="10">
        <v>1.1466505714285715</v>
      </c>
      <c r="H22" s="10">
        <v>1.1393393333333333</v>
      </c>
      <c r="I22" s="10">
        <v>1.1668862935985016</v>
      </c>
      <c r="J22" s="10">
        <v>1.132716883116883</v>
      </c>
      <c r="K22" s="10">
        <v>1.1463949316770186</v>
      </c>
      <c r="L22" s="10">
        <v>1.2915442687747036</v>
      </c>
      <c r="M22" s="10">
        <v>1.1231419090909092</v>
      </c>
      <c r="N22" s="10">
        <v>1.3924611471861472</v>
      </c>
      <c r="O22" s="304">
        <v>1</v>
      </c>
      <c r="P22" s="304">
        <v>1</v>
      </c>
      <c r="Q22" s="304">
        <v>1</v>
      </c>
      <c r="R22" s="304">
        <v>1</v>
      </c>
      <c r="S22" s="304">
        <v>1</v>
      </c>
      <c r="T22" s="304">
        <v>1</v>
      </c>
      <c r="U22" s="304">
        <v>1</v>
      </c>
      <c r="V22" s="304">
        <v>1</v>
      </c>
      <c r="W22" s="304">
        <v>1</v>
      </c>
      <c r="X22" s="304">
        <v>1</v>
      </c>
      <c r="Y22" s="304">
        <v>1</v>
      </c>
      <c r="Z22" s="304">
        <v>1</v>
      </c>
      <c r="AA22" s="305">
        <v>1</v>
      </c>
      <c r="AB22" s="306" t="s">
        <v>324</v>
      </c>
      <c r="AC22" s="48"/>
    </row>
    <row r="23" spans="1:29" x14ac:dyDescent="0.25">
      <c r="A23" s="2" t="s">
        <v>287</v>
      </c>
      <c r="B23" s="2">
        <v>16379021</v>
      </c>
      <c r="C23" s="10"/>
      <c r="D23" s="10"/>
      <c r="E23" s="10"/>
      <c r="F23" s="10"/>
      <c r="G23" s="10"/>
      <c r="H23" s="10">
        <v>0.6515455</v>
      </c>
      <c r="I23" s="10">
        <v>0.99784266637902219</v>
      </c>
      <c r="J23" s="10">
        <v>0.60492073333333329</v>
      </c>
      <c r="K23" s="10">
        <v>1.1991102260869566</v>
      </c>
      <c r="L23" s="10">
        <v>1.0779471612903226</v>
      </c>
      <c r="M23" s="10">
        <v>1.1276932258064516</v>
      </c>
      <c r="N23" s="10">
        <v>1.1249233548387096</v>
      </c>
      <c r="O23" s="304" t="s">
        <v>314</v>
      </c>
      <c r="P23" s="304" t="s">
        <v>314</v>
      </c>
      <c r="Q23" s="304" t="s">
        <v>314</v>
      </c>
      <c r="R23" s="304" t="s">
        <v>314</v>
      </c>
      <c r="S23" s="304" t="s">
        <v>314</v>
      </c>
      <c r="T23" s="304">
        <v>0</v>
      </c>
      <c r="U23" s="304">
        <v>0</v>
      </c>
      <c r="V23" s="304">
        <v>0</v>
      </c>
      <c r="W23" s="304">
        <v>1</v>
      </c>
      <c r="X23" s="304">
        <v>1</v>
      </c>
      <c r="Y23" s="304">
        <v>1</v>
      </c>
      <c r="Z23" s="304">
        <v>1</v>
      </c>
      <c r="AA23" s="305">
        <v>0.5714285714285714</v>
      </c>
      <c r="AB23" s="306" t="s">
        <v>323</v>
      </c>
      <c r="AC23" s="48"/>
    </row>
    <row r="24" spans="1:29" x14ac:dyDescent="0.25">
      <c r="A24" s="2" t="s">
        <v>96</v>
      </c>
      <c r="B24" s="2">
        <v>1017167720</v>
      </c>
      <c r="C24" s="10">
        <v>1.0355212752525254</v>
      </c>
      <c r="D24" s="10">
        <v>1.0644219545454545</v>
      </c>
      <c r="E24" s="10">
        <v>1.0482647587754106</v>
      </c>
      <c r="F24" s="10">
        <v>1.0241129816569057</v>
      </c>
      <c r="G24" s="10">
        <v>0.99611684090909092</v>
      </c>
      <c r="H24" s="10"/>
      <c r="I24" s="10"/>
      <c r="J24" s="10"/>
      <c r="K24" s="10"/>
      <c r="L24" s="10"/>
      <c r="M24" s="10"/>
      <c r="N24" s="10">
        <v>1.255685652173913</v>
      </c>
      <c r="O24" s="304">
        <v>1</v>
      </c>
      <c r="P24" s="304">
        <v>1</v>
      </c>
      <c r="Q24" s="304">
        <v>1</v>
      </c>
      <c r="R24" s="304">
        <v>1</v>
      </c>
      <c r="S24" s="304">
        <v>0</v>
      </c>
      <c r="T24" s="304" t="s">
        <v>314</v>
      </c>
      <c r="U24" s="304" t="s">
        <v>314</v>
      </c>
      <c r="V24" s="304" t="s">
        <v>314</v>
      </c>
      <c r="W24" s="304" t="s">
        <v>314</v>
      </c>
      <c r="X24" s="304" t="s">
        <v>314</v>
      </c>
      <c r="Y24" s="304" t="s">
        <v>314</v>
      </c>
      <c r="Z24" s="304">
        <v>1</v>
      </c>
      <c r="AA24" s="305">
        <v>0.83333333333333337</v>
      </c>
      <c r="AB24" s="306" t="s">
        <v>322</v>
      </c>
      <c r="AC24" s="48"/>
    </row>
    <row r="25" spans="1:29" x14ac:dyDescent="0.25">
      <c r="A25" s="2" t="s">
        <v>42</v>
      </c>
      <c r="B25" s="2">
        <v>52725011</v>
      </c>
      <c r="C25" s="10">
        <v>1.0626739199999999</v>
      </c>
      <c r="D25" s="10">
        <v>0.76755547999999996</v>
      </c>
      <c r="E25" s="10">
        <v>1.0198724336408211</v>
      </c>
      <c r="F25" s="10">
        <v>1.0279378710598812</v>
      </c>
      <c r="G25" s="10">
        <v>0.86897020000000003</v>
      </c>
      <c r="H25" s="10">
        <v>1.0350155599999999</v>
      </c>
      <c r="I25" s="10">
        <v>0.61235961393261473</v>
      </c>
      <c r="J25" s="10">
        <v>1.0110342364690443</v>
      </c>
      <c r="K25" s="10">
        <v>1.1880841415522052</v>
      </c>
      <c r="L25" s="10">
        <v>1.0589384642857143</v>
      </c>
      <c r="M25" s="10">
        <v>1.050711652173913</v>
      </c>
      <c r="N25" s="10">
        <v>1.0120663431677019</v>
      </c>
      <c r="O25" s="304">
        <v>1</v>
      </c>
      <c r="P25" s="304">
        <v>0</v>
      </c>
      <c r="Q25" s="304">
        <v>1</v>
      </c>
      <c r="R25" s="304">
        <v>1</v>
      </c>
      <c r="S25" s="304">
        <v>0</v>
      </c>
      <c r="T25" s="304">
        <v>1</v>
      </c>
      <c r="U25" s="304">
        <v>0</v>
      </c>
      <c r="V25" s="304">
        <v>1</v>
      </c>
      <c r="W25" s="304">
        <v>1</v>
      </c>
      <c r="X25" s="304">
        <v>1</v>
      </c>
      <c r="Y25" s="304">
        <v>1</v>
      </c>
      <c r="Z25" s="304">
        <v>1</v>
      </c>
      <c r="AA25" s="305">
        <v>0.75</v>
      </c>
      <c r="AB25" s="306" t="s">
        <v>323</v>
      </c>
      <c r="AC25" s="48"/>
    </row>
    <row r="26" spans="1:29" x14ac:dyDescent="0.25">
      <c r="A26" s="2" t="s">
        <v>105</v>
      </c>
      <c r="B26" s="2">
        <v>42164020</v>
      </c>
      <c r="C26" s="10">
        <v>1.1392947499999999</v>
      </c>
      <c r="D26" s="10">
        <v>1.1303904090909092</v>
      </c>
      <c r="E26" s="10">
        <v>2.1796906040995903</v>
      </c>
      <c r="F26" s="10"/>
      <c r="G26" s="10"/>
      <c r="H26" s="10"/>
      <c r="I26" s="10"/>
      <c r="J26" s="10"/>
      <c r="K26" s="10"/>
      <c r="L26" s="10"/>
      <c r="M26" s="10"/>
      <c r="N26" s="10"/>
      <c r="O26" s="304">
        <v>1</v>
      </c>
      <c r="P26" s="304">
        <v>1</v>
      </c>
      <c r="Q26" s="304">
        <v>1</v>
      </c>
      <c r="R26" s="304" t="s">
        <v>314</v>
      </c>
      <c r="S26" s="304" t="s">
        <v>314</v>
      </c>
      <c r="T26" s="304" t="s">
        <v>314</v>
      </c>
      <c r="U26" s="304" t="s">
        <v>314</v>
      </c>
      <c r="V26" s="304" t="s">
        <v>314</v>
      </c>
      <c r="W26" s="304" t="s">
        <v>314</v>
      </c>
      <c r="X26" s="304" t="s">
        <v>314</v>
      </c>
      <c r="Y26" s="304" t="s">
        <v>314</v>
      </c>
      <c r="Z26" s="304" t="s">
        <v>314</v>
      </c>
      <c r="AA26" s="305">
        <v>1</v>
      </c>
      <c r="AB26" s="306" t="s">
        <v>324</v>
      </c>
      <c r="AC26" s="48"/>
    </row>
    <row r="27" spans="1:29" x14ac:dyDescent="0.25">
      <c r="A27" s="2" t="s">
        <v>43</v>
      </c>
      <c r="B27" s="2">
        <v>1040030764</v>
      </c>
      <c r="C27" s="10">
        <v>1.0846678571428572</v>
      </c>
      <c r="D27" s="10">
        <v>1.0444980285714285</v>
      </c>
      <c r="E27" s="10">
        <v>1.0164931466270049</v>
      </c>
      <c r="F27" s="10">
        <v>0.9927265983375082</v>
      </c>
      <c r="G27" s="10">
        <v>1.1111880285714286</v>
      </c>
      <c r="H27" s="10">
        <v>1.0297080285714286</v>
      </c>
      <c r="I27" s="10">
        <v>1.0679080779533625</v>
      </c>
      <c r="J27" s="10">
        <v>1.1670482979227279</v>
      </c>
      <c r="K27" s="10">
        <v>1.1685286646077941</v>
      </c>
      <c r="L27" s="10">
        <v>1.9802083749999999</v>
      </c>
      <c r="M27" s="10">
        <v>0.34456937142857141</v>
      </c>
      <c r="N27" s="10">
        <v>1.0261433</v>
      </c>
      <c r="O27" s="304">
        <v>1</v>
      </c>
      <c r="P27" s="304">
        <v>1</v>
      </c>
      <c r="Q27" s="304">
        <v>1</v>
      </c>
      <c r="R27" s="304">
        <v>0</v>
      </c>
      <c r="S27" s="304">
        <v>1</v>
      </c>
      <c r="T27" s="304">
        <v>1</v>
      </c>
      <c r="U27" s="304">
        <v>1</v>
      </c>
      <c r="V27" s="304">
        <v>1</v>
      </c>
      <c r="W27" s="304">
        <v>1</v>
      </c>
      <c r="X27" s="304">
        <v>1</v>
      </c>
      <c r="Y27" s="304">
        <v>0</v>
      </c>
      <c r="Z27" s="304">
        <v>1</v>
      </c>
      <c r="AA27" s="305">
        <v>0.83333333333333337</v>
      </c>
      <c r="AB27" s="306" t="s">
        <v>322</v>
      </c>
      <c r="AC27" s="48"/>
    </row>
    <row r="28" spans="1:29" x14ac:dyDescent="0.25">
      <c r="A28" s="2" t="s">
        <v>80</v>
      </c>
      <c r="B28" s="2">
        <v>1035417626</v>
      </c>
      <c r="C28" s="10">
        <v>1.132659659090909</v>
      </c>
      <c r="D28" s="10">
        <v>1.1366763863636364</v>
      </c>
      <c r="E28" s="10">
        <v>1.1778425777895596</v>
      </c>
      <c r="F28" s="10">
        <v>1.4055195510035547</v>
      </c>
      <c r="G28" s="10">
        <v>1.3165238636363636</v>
      </c>
      <c r="H28" s="10">
        <v>1.1633343636363636</v>
      </c>
      <c r="I28" s="10">
        <v>1.3798448627554796</v>
      </c>
      <c r="J28" s="10">
        <v>1.869010048910918</v>
      </c>
      <c r="K28" s="10">
        <v>0.50996296544781194</v>
      </c>
      <c r="L28" s="10">
        <v>1.2980405072463768</v>
      </c>
      <c r="M28" s="10">
        <v>1.190281274074074</v>
      </c>
      <c r="N28" s="10">
        <v>1.3046864222222223</v>
      </c>
      <c r="O28" s="304">
        <v>1</v>
      </c>
      <c r="P28" s="304">
        <v>1</v>
      </c>
      <c r="Q28" s="304">
        <v>1</v>
      </c>
      <c r="R28" s="304">
        <v>1</v>
      </c>
      <c r="S28" s="304">
        <v>1</v>
      </c>
      <c r="T28" s="304">
        <v>1</v>
      </c>
      <c r="U28" s="304">
        <v>1</v>
      </c>
      <c r="V28" s="304">
        <v>1</v>
      </c>
      <c r="W28" s="304">
        <v>0</v>
      </c>
      <c r="X28" s="304">
        <v>1</v>
      </c>
      <c r="Y28" s="304">
        <v>1</v>
      </c>
      <c r="Z28" s="304">
        <v>1</v>
      </c>
      <c r="AA28" s="305">
        <v>0.91666666666666663</v>
      </c>
      <c r="AB28" s="306" t="s">
        <v>322</v>
      </c>
      <c r="AC28" s="48"/>
    </row>
    <row r="29" spans="1:29" x14ac:dyDescent="0.25">
      <c r="A29" s="2" t="s">
        <v>82</v>
      </c>
      <c r="B29" s="2">
        <v>1017200970</v>
      </c>
      <c r="C29" s="10">
        <v>1.0439270833333334</v>
      </c>
      <c r="D29" s="10">
        <v>1.0608457777777778</v>
      </c>
      <c r="E29" s="10">
        <v>1.1936459444444445</v>
      </c>
      <c r="F29" s="10">
        <v>1.2041309166666667</v>
      </c>
      <c r="G29" s="10">
        <v>1.0485306944444444</v>
      </c>
      <c r="H29" s="10">
        <v>1.0408914722222222</v>
      </c>
      <c r="I29" s="10">
        <v>1.0354662876295244</v>
      </c>
      <c r="J29" s="10">
        <v>0.71676912121212122</v>
      </c>
      <c r="K29" s="10">
        <v>1.0946229855072465</v>
      </c>
      <c r="L29" s="10">
        <v>1.4172505</v>
      </c>
      <c r="M29" s="10">
        <v>0.16525124210526315</v>
      </c>
      <c r="N29" s="10">
        <v>1.0182051750000001</v>
      </c>
      <c r="O29" s="304">
        <v>1</v>
      </c>
      <c r="P29" s="304">
        <v>1</v>
      </c>
      <c r="Q29" s="304">
        <v>1</v>
      </c>
      <c r="R29" s="304">
        <v>1</v>
      </c>
      <c r="S29" s="304">
        <v>1</v>
      </c>
      <c r="T29" s="304">
        <v>1</v>
      </c>
      <c r="U29" s="304">
        <v>1</v>
      </c>
      <c r="V29" s="304">
        <v>0</v>
      </c>
      <c r="W29" s="304">
        <v>1</v>
      </c>
      <c r="X29" s="304">
        <v>1</v>
      </c>
      <c r="Y29" s="304">
        <v>0</v>
      </c>
      <c r="Z29" s="304">
        <v>1</v>
      </c>
      <c r="AA29" s="305">
        <v>0.83333333333333337</v>
      </c>
      <c r="AB29" s="306" t="s">
        <v>322</v>
      </c>
      <c r="AC29" s="48"/>
    </row>
    <row r="30" spans="1:29" x14ac:dyDescent="0.25">
      <c r="A30" s="2" t="s">
        <v>60</v>
      </c>
      <c r="B30" s="2">
        <v>43874518</v>
      </c>
      <c r="C30" s="10">
        <v>0.81607752272727274</v>
      </c>
      <c r="D30" s="10">
        <v>1.0398998409090909</v>
      </c>
      <c r="E30" s="10">
        <v>1.4480845360153702</v>
      </c>
      <c r="F30" s="10">
        <v>0.53513949123748328</v>
      </c>
      <c r="G30" s="10">
        <v>1.0884953409090909</v>
      </c>
      <c r="H30" s="10">
        <v>1.0148248863636364</v>
      </c>
      <c r="I30" s="10">
        <v>1.0249068363805751</v>
      </c>
      <c r="J30" s="10">
        <v>1.0264697982011204</v>
      </c>
      <c r="K30" s="10">
        <v>1.0926270682246844</v>
      </c>
      <c r="L30" s="10">
        <v>1.0245493147448015</v>
      </c>
      <c r="M30" s="10">
        <v>1.5774286086956522</v>
      </c>
      <c r="N30" s="10">
        <v>0.27696634782608698</v>
      </c>
      <c r="O30" s="304">
        <v>0</v>
      </c>
      <c r="P30" s="304">
        <v>1</v>
      </c>
      <c r="Q30" s="304">
        <v>1</v>
      </c>
      <c r="R30" s="304">
        <v>0</v>
      </c>
      <c r="S30" s="304">
        <v>1</v>
      </c>
      <c r="T30" s="304">
        <v>1</v>
      </c>
      <c r="U30" s="304">
        <v>1</v>
      </c>
      <c r="V30" s="304">
        <v>1</v>
      </c>
      <c r="W30" s="304">
        <v>1</v>
      </c>
      <c r="X30" s="304">
        <v>1</v>
      </c>
      <c r="Y30" s="304">
        <v>1</v>
      </c>
      <c r="Z30" s="304">
        <v>0</v>
      </c>
      <c r="AA30" s="305">
        <v>0.75</v>
      </c>
      <c r="AB30" s="306" t="s">
        <v>323</v>
      </c>
      <c r="AC30" s="48"/>
    </row>
    <row r="31" spans="1:29" x14ac:dyDescent="0.25">
      <c r="A31" s="2" t="s">
        <v>262</v>
      </c>
      <c r="B31" s="2">
        <v>1130676531</v>
      </c>
      <c r="C31" s="10"/>
      <c r="D31" s="10"/>
      <c r="E31" s="10">
        <v>0.51576580000000005</v>
      </c>
      <c r="F31" s="10">
        <v>0.57488993333333338</v>
      </c>
      <c r="G31" s="10">
        <v>0.69010014517507912</v>
      </c>
      <c r="H31" s="10">
        <v>0.76403001777924173</v>
      </c>
      <c r="I31" s="10">
        <v>1.0098359833289781</v>
      </c>
      <c r="J31" s="10">
        <v>0.51658766150423552</v>
      </c>
      <c r="K31" s="10">
        <v>1.1198646330352717</v>
      </c>
      <c r="L31" s="10">
        <v>1.0710745777027026</v>
      </c>
      <c r="M31" s="10">
        <v>1.1719875189873419</v>
      </c>
      <c r="N31" s="10">
        <v>0.56796161360347319</v>
      </c>
      <c r="O31" s="304" t="s">
        <v>314</v>
      </c>
      <c r="P31" s="304" t="s">
        <v>314</v>
      </c>
      <c r="Q31" s="304">
        <v>0</v>
      </c>
      <c r="R31" s="304">
        <v>0</v>
      </c>
      <c r="S31" s="304">
        <v>0</v>
      </c>
      <c r="T31" s="304">
        <v>0</v>
      </c>
      <c r="U31" s="304">
        <v>1</v>
      </c>
      <c r="V31" s="304">
        <v>0</v>
      </c>
      <c r="W31" s="304">
        <v>1</v>
      </c>
      <c r="X31" s="304">
        <v>1</v>
      </c>
      <c r="Y31" s="304">
        <v>1</v>
      </c>
      <c r="Z31" s="304">
        <v>0</v>
      </c>
      <c r="AA31" s="305">
        <v>0.4</v>
      </c>
      <c r="AB31" s="306" t="s">
        <v>325</v>
      </c>
      <c r="AC31" s="48"/>
    </row>
    <row r="32" spans="1:29" x14ac:dyDescent="0.25">
      <c r="A32" s="2" t="s">
        <v>154</v>
      </c>
      <c r="B32" s="2">
        <v>21428423</v>
      </c>
      <c r="C32" s="10">
        <v>0.91250033333333336</v>
      </c>
      <c r="D32" s="10">
        <v>1.1495057194616978</v>
      </c>
      <c r="E32" s="10">
        <v>0.60212723809523805</v>
      </c>
      <c r="F32" s="10">
        <v>1.0351666086956521</v>
      </c>
      <c r="G32" s="10">
        <v>1.0190769761904761</v>
      </c>
      <c r="H32" s="10">
        <v>0.53853735714285711</v>
      </c>
      <c r="I32" s="10">
        <v>1.0743374823005996</v>
      </c>
      <c r="J32" s="10">
        <v>0.56948371428571432</v>
      </c>
      <c r="K32" s="10">
        <v>1.0900911304347827</v>
      </c>
      <c r="L32" s="10">
        <v>1.1221991353754941</v>
      </c>
      <c r="M32" s="10">
        <v>0.52721734090909089</v>
      </c>
      <c r="N32" s="10">
        <v>1.0407147727272728</v>
      </c>
      <c r="O32" s="304">
        <v>0</v>
      </c>
      <c r="P32" s="304">
        <v>1</v>
      </c>
      <c r="Q32" s="304">
        <v>0</v>
      </c>
      <c r="R32" s="304">
        <v>1</v>
      </c>
      <c r="S32" s="304">
        <v>1</v>
      </c>
      <c r="T32" s="304">
        <v>0</v>
      </c>
      <c r="U32" s="304">
        <v>1</v>
      </c>
      <c r="V32" s="304">
        <v>0</v>
      </c>
      <c r="W32" s="304">
        <v>1</v>
      </c>
      <c r="X32" s="304">
        <v>1</v>
      </c>
      <c r="Y32" s="304">
        <v>0</v>
      </c>
      <c r="Z32" s="304">
        <v>1</v>
      </c>
      <c r="AA32" s="305">
        <v>0.58333333333333337</v>
      </c>
      <c r="AB32" s="306" t="s">
        <v>323</v>
      </c>
      <c r="AC32" s="48"/>
    </row>
    <row r="33" spans="1:29" x14ac:dyDescent="0.25">
      <c r="A33" s="2" t="s">
        <v>26</v>
      </c>
      <c r="B33" s="2">
        <v>52260671</v>
      </c>
      <c r="C33" s="10">
        <v>1.0444848571428571</v>
      </c>
      <c r="D33" s="10">
        <v>1.0407523214285714</v>
      </c>
      <c r="E33" s="10">
        <v>1.1666208809654626</v>
      </c>
      <c r="F33" s="10">
        <v>1.243931037448275</v>
      </c>
      <c r="G33" s="10">
        <v>1.2249745357142856</v>
      </c>
      <c r="H33" s="10">
        <v>1.1762170357142858</v>
      </c>
      <c r="I33" s="10">
        <v>1.3393042028074431</v>
      </c>
      <c r="J33" s="10">
        <v>1.1039456131583962</v>
      </c>
      <c r="K33" s="10">
        <v>1.039739926533934</v>
      </c>
      <c r="L33" s="10">
        <v>1.0234276716417909</v>
      </c>
      <c r="M33" s="10">
        <v>1.1869007439945094</v>
      </c>
      <c r="N33" s="10">
        <v>1.8214827777777778</v>
      </c>
      <c r="O33" s="304">
        <v>1</v>
      </c>
      <c r="P33" s="304">
        <v>1</v>
      </c>
      <c r="Q33" s="304">
        <v>1</v>
      </c>
      <c r="R33" s="304">
        <v>1</v>
      </c>
      <c r="S33" s="304">
        <v>1</v>
      </c>
      <c r="T33" s="304">
        <v>1</v>
      </c>
      <c r="U33" s="304">
        <v>1</v>
      </c>
      <c r="V33" s="304">
        <v>1</v>
      </c>
      <c r="W33" s="304">
        <v>1</v>
      </c>
      <c r="X33" s="304">
        <v>1</v>
      </c>
      <c r="Y33" s="304">
        <v>1</v>
      </c>
      <c r="Z33" s="304">
        <v>1</v>
      </c>
      <c r="AA33" s="305">
        <v>1</v>
      </c>
      <c r="AB33" s="306" t="s">
        <v>324</v>
      </c>
      <c r="AC33" s="48"/>
    </row>
    <row r="34" spans="1:29" x14ac:dyDescent="0.25">
      <c r="A34" s="2" t="s">
        <v>310</v>
      </c>
      <c r="B34" s="2">
        <v>6228363</v>
      </c>
      <c r="C34" s="10"/>
      <c r="D34" s="10"/>
      <c r="E34" s="10"/>
      <c r="F34" s="10"/>
      <c r="G34" s="10"/>
      <c r="H34" s="10"/>
      <c r="I34" s="10"/>
      <c r="J34" s="10"/>
      <c r="K34" s="10">
        <v>1.2807618794907842</v>
      </c>
      <c r="L34" s="10">
        <v>1.5125186774193549</v>
      </c>
      <c r="M34" s="10">
        <v>1.8181263225806452</v>
      </c>
      <c r="N34" s="10">
        <v>15.170358467741936</v>
      </c>
      <c r="O34" s="304" t="s">
        <v>314</v>
      </c>
      <c r="P34" s="304" t="s">
        <v>314</v>
      </c>
      <c r="Q34" s="304" t="s">
        <v>314</v>
      </c>
      <c r="R34" s="304" t="s">
        <v>314</v>
      </c>
      <c r="S34" s="304" t="s">
        <v>314</v>
      </c>
      <c r="T34" s="304" t="s">
        <v>314</v>
      </c>
      <c r="U34" s="304" t="s">
        <v>314</v>
      </c>
      <c r="V34" s="304" t="s">
        <v>314</v>
      </c>
      <c r="W34" s="304">
        <v>1</v>
      </c>
      <c r="X34" s="304">
        <v>1</v>
      </c>
      <c r="Y34" s="304">
        <v>1</v>
      </c>
      <c r="Z34" s="304">
        <v>1</v>
      </c>
      <c r="AA34" s="305">
        <v>1</v>
      </c>
      <c r="AB34" s="306" t="s">
        <v>324</v>
      </c>
      <c r="AC34" s="48"/>
    </row>
    <row r="35" spans="1:29" x14ac:dyDescent="0.25">
      <c r="A35" s="2" t="s">
        <v>309</v>
      </c>
      <c r="B35" s="2">
        <v>1128402269</v>
      </c>
      <c r="C35" s="10"/>
      <c r="D35" s="10"/>
      <c r="E35" s="10"/>
      <c r="F35" s="10"/>
      <c r="G35" s="10"/>
      <c r="H35" s="10"/>
      <c r="I35" s="10"/>
      <c r="J35" s="10"/>
      <c r="K35" s="10">
        <v>0.13991958907628893</v>
      </c>
      <c r="L35" s="10">
        <v>0.49373494845360827</v>
      </c>
      <c r="M35" s="10">
        <v>0.4479856695652174</v>
      </c>
      <c r="N35" s="10">
        <v>1.0334265333333332</v>
      </c>
      <c r="O35" s="304" t="s">
        <v>314</v>
      </c>
      <c r="P35" s="304" t="s">
        <v>314</v>
      </c>
      <c r="Q35" s="304" t="s">
        <v>314</v>
      </c>
      <c r="R35" s="304" t="s">
        <v>314</v>
      </c>
      <c r="S35" s="304" t="s">
        <v>314</v>
      </c>
      <c r="T35" s="304" t="s">
        <v>314</v>
      </c>
      <c r="U35" s="304" t="s">
        <v>314</v>
      </c>
      <c r="V35" s="304" t="s">
        <v>314</v>
      </c>
      <c r="W35" s="304">
        <v>0</v>
      </c>
      <c r="X35" s="304">
        <v>0</v>
      </c>
      <c r="Y35" s="304">
        <v>0</v>
      </c>
      <c r="Z35" s="304">
        <v>1</v>
      </c>
      <c r="AA35" s="305">
        <v>0.25</v>
      </c>
      <c r="AB35" s="306" t="s">
        <v>325</v>
      </c>
      <c r="AC35" s="48"/>
    </row>
    <row r="36" spans="1:29" x14ac:dyDescent="0.25">
      <c r="A36" s="2" t="s">
        <v>146</v>
      </c>
      <c r="B36" s="2">
        <v>1036598360</v>
      </c>
      <c r="C36" s="10">
        <v>1.0441227727272728</v>
      </c>
      <c r="D36" s="10">
        <v>1.0852928636363637</v>
      </c>
      <c r="E36" s="10">
        <v>1.0862288565870648</v>
      </c>
      <c r="F36" s="10">
        <v>0.89709175401668251</v>
      </c>
      <c r="G36" s="10">
        <v>1.8462713474025974</v>
      </c>
      <c r="H36" s="10">
        <v>1.0618698863636364</v>
      </c>
      <c r="I36" s="10">
        <v>1.0833172575786805</v>
      </c>
      <c r="J36" s="10">
        <v>0.84644073241071172</v>
      </c>
      <c r="K36" s="10">
        <v>0.52984304495169987</v>
      </c>
      <c r="L36" s="10">
        <v>1.2174411389413988</v>
      </c>
      <c r="M36" s="10">
        <v>1.1100438695652175</v>
      </c>
      <c r="N36" s="10">
        <v>1.0934394130434784</v>
      </c>
      <c r="O36" s="304">
        <v>1</v>
      </c>
      <c r="P36" s="304">
        <v>1</v>
      </c>
      <c r="Q36" s="304">
        <v>1</v>
      </c>
      <c r="R36" s="304">
        <v>0</v>
      </c>
      <c r="S36" s="304">
        <v>1</v>
      </c>
      <c r="T36" s="304">
        <v>1</v>
      </c>
      <c r="U36" s="304">
        <v>1</v>
      </c>
      <c r="V36" s="304">
        <v>0</v>
      </c>
      <c r="W36" s="304">
        <v>0</v>
      </c>
      <c r="X36" s="304">
        <v>1</v>
      </c>
      <c r="Y36" s="304">
        <v>1</v>
      </c>
      <c r="Z36" s="304">
        <v>1</v>
      </c>
      <c r="AA36" s="305">
        <v>0.75</v>
      </c>
      <c r="AB36" s="306" t="s">
        <v>323</v>
      </c>
      <c r="AC36" s="48"/>
    </row>
    <row r="37" spans="1:29" x14ac:dyDescent="0.25">
      <c r="A37" s="2" t="s">
        <v>271</v>
      </c>
      <c r="B37" s="2">
        <v>1020425089</v>
      </c>
      <c r="C37" s="10"/>
      <c r="D37" s="10"/>
      <c r="E37" s="10">
        <v>0.58342716666666672</v>
      </c>
      <c r="F37" s="10">
        <v>0.65565472392255886</v>
      </c>
      <c r="G37" s="10">
        <v>1.0208203888888889</v>
      </c>
      <c r="H37" s="10">
        <v>1.0524777954545455</v>
      </c>
      <c r="I37" s="10">
        <v>1.0731030094358165</v>
      </c>
      <c r="J37" s="10">
        <v>1.0384436681467826</v>
      </c>
      <c r="K37" s="10">
        <v>1.0475199354811058</v>
      </c>
      <c r="L37" s="10">
        <v>1.0620482041587902</v>
      </c>
      <c r="M37" s="10">
        <v>1.105466511627907</v>
      </c>
      <c r="N37" s="10">
        <v>1.0294861162790698</v>
      </c>
      <c r="O37" s="304" t="s">
        <v>314</v>
      </c>
      <c r="P37" s="304" t="s">
        <v>314</v>
      </c>
      <c r="Q37" s="304">
        <v>0</v>
      </c>
      <c r="R37" s="304">
        <v>0</v>
      </c>
      <c r="S37" s="304">
        <v>1</v>
      </c>
      <c r="T37" s="304">
        <v>1</v>
      </c>
      <c r="U37" s="304">
        <v>1</v>
      </c>
      <c r="V37" s="304">
        <v>1</v>
      </c>
      <c r="W37" s="304">
        <v>1</v>
      </c>
      <c r="X37" s="304">
        <v>1</v>
      </c>
      <c r="Y37" s="304">
        <v>1</v>
      </c>
      <c r="Z37" s="304">
        <v>1</v>
      </c>
      <c r="AA37" s="305">
        <v>0.8</v>
      </c>
      <c r="AB37" s="306" t="s">
        <v>322</v>
      </c>
      <c r="AC37" s="48"/>
    </row>
    <row r="38" spans="1:29" x14ac:dyDescent="0.25">
      <c r="A38" s="2" t="s">
        <v>260</v>
      </c>
      <c r="B38" s="2">
        <v>1020399898</v>
      </c>
      <c r="C38" s="10"/>
      <c r="D38" s="10"/>
      <c r="E38" s="10">
        <v>0.14522084993320267</v>
      </c>
      <c r="F38" s="10">
        <v>0.65736233566832114</v>
      </c>
      <c r="G38" s="10">
        <v>0.67452195454545449</v>
      </c>
      <c r="H38" s="10">
        <v>0.58332892786561263</v>
      </c>
      <c r="I38" s="10">
        <v>1.7184001032366896</v>
      </c>
      <c r="J38" s="10">
        <v>2.0663026000000002</v>
      </c>
      <c r="K38" s="10">
        <v>1.1061093225480283</v>
      </c>
      <c r="L38" s="10">
        <v>1.0137920671243326</v>
      </c>
      <c r="M38" s="10">
        <v>0.49842663157894734</v>
      </c>
      <c r="N38" s="10">
        <v>1.181766245614035</v>
      </c>
      <c r="O38" s="304" t="s">
        <v>314</v>
      </c>
      <c r="P38" s="304" t="s">
        <v>314</v>
      </c>
      <c r="Q38" s="304">
        <v>0</v>
      </c>
      <c r="R38" s="304">
        <v>0</v>
      </c>
      <c r="S38" s="304">
        <v>0</v>
      </c>
      <c r="T38" s="304">
        <v>0</v>
      </c>
      <c r="U38" s="304">
        <v>1</v>
      </c>
      <c r="V38" s="304">
        <v>1</v>
      </c>
      <c r="W38" s="304">
        <v>1</v>
      </c>
      <c r="X38" s="304">
        <v>1</v>
      </c>
      <c r="Y38" s="304">
        <v>0</v>
      </c>
      <c r="Z38" s="304">
        <v>1</v>
      </c>
      <c r="AA38" s="305">
        <v>0.5</v>
      </c>
      <c r="AB38" s="306" t="s">
        <v>323</v>
      </c>
      <c r="AC38" s="48"/>
    </row>
    <row r="39" spans="1:29" x14ac:dyDescent="0.25">
      <c r="A39" s="2" t="s">
        <v>44</v>
      </c>
      <c r="B39" s="2">
        <v>1017141451</v>
      </c>
      <c r="C39" s="10">
        <v>1.0080426136363636</v>
      </c>
      <c r="D39" s="10">
        <v>1.264696340909091</v>
      </c>
      <c r="E39" s="10">
        <v>1.0261838229425133</v>
      </c>
      <c r="F39" s="10">
        <v>1.044734667224485</v>
      </c>
      <c r="G39" s="10">
        <v>1.1228302727272728</v>
      </c>
      <c r="H39" s="10">
        <v>1.275308832644628</v>
      </c>
      <c r="I39" s="10">
        <v>1.0497330219493679</v>
      </c>
      <c r="J39" s="10">
        <v>1.0254786823184381</v>
      </c>
      <c r="K39" s="10">
        <v>1.1158192359340759</v>
      </c>
      <c r="L39" s="10">
        <v>1.0121487198067634</v>
      </c>
      <c r="M39" s="10">
        <v>1.0358507826086956</v>
      </c>
      <c r="N39" s="10">
        <v>1.0475846888888889</v>
      </c>
      <c r="O39" s="304">
        <v>1</v>
      </c>
      <c r="P39" s="304">
        <v>1</v>
      </c>
      <c r="Q39" s="304">
        <v>1</v>
      </c>
      <c r="R39" s="304">
        <v>1</v>
      </c>
      <c r="S39" s="304">
        <v>1</v>
      </c>
      <c r="T39" s="304">
        <v>1</v>
      </c>
      <c r="U39" s="304">
        <v>1</v>
      </c>
      <c r="V39" s="304">
        <v>1</v>
      </c>
      <c r="W39" s="304">
        <v>1</v>
      </c>
      <c r="X39" s="304">
        <v>1</v>
      </c>
      <c r="Y39" s="304">
        <v>1</v>
      </c>
      <c r="Z39" s="304">
        <v>1</v>
      </c>
      <c r="AA39" s="305">
        <v>1</v>
      </c>
      <c r="AB39" s="306" t="s">
        <v>324</v>
      </c>
      <c r="AC39" s="48"/>
    </row>
    <row r="40" spans="1:29" x14ac:dyDescent="0.25">
      <c r="A40" s="2" t="s">
        <v>291</v>
      </c>
      <c r="B40" s="2">
        <v>1128442101</v>
      </c>
      <c r="C40" s="10"/>
      <c r="D40" s="10"/>
      <c r="E40" s="10"/>
      <c r="F40" s="10"/>
      <c r="G40" s="10"/>
      <c r="H40" s="10"/>
      <c r="I40" s="10">
        <v>0.46453928330690719</v>
      </c>
      <c r="J40" s="10">
        <v>0.57509650952167946</v>
      </c>
      <c r="K40" s="10">
        <v>0.74021510691658066</v>
      </c>
      <c r="L40" s="10">
        <v>1.077047365079365</v>
      </c>
      <c r="M40" s="10">
        <v>1.0265462807017545</v>
      </c>
      <c r="N40" s="10">
        <v>1.0206524210526315</v>
      </c>
      <c r="O40" s="304" t="s">
        <v>314</v>
      </c>
      <c r="P40" s="304" t="s">
        <v>314</v>
      </c>
      <c r="Q40" s="304" t="s">
        <v>314</v>
      </c>
      <c r="R40" s="304" t="s">
        <v>314</v>
      </c>
      <c r="S40" s="304" t="s">
        <v>314</v>
      </c>
      <c r="T40" s="304" t="s">
        <v>314</v>
      </c>
      <c r="U40" s="304">
        <v>0</v>
      </c>
      <c r="V40" s="304">
        <v>0</v>
      </c>
      <c r="W40" s="304">
        <v>0</v>
      </c>
      <c r="X40" s="304">
        <v>1</v>
      </c>
      <c r="Y40" s="304">
        <v>1</v>
      </c>
      <c r="Z40" s="304">
        <v>1</v>
      </c>
      <c r="AA40" s="305">
        <v>0.5</v>
      </c>
      <c r="AB40" s="306" t="s">
        <v>323</v>
      </c>
      <c r="AC40" s="48"/>
    </row>
    <row r="41" spans="1:29" x14ac:dyDescent="0.25">
      <c r="A41" s="2" t="s">
        <v>253</v>
      </c>
      <c r="B41" s="2">
        <v>1010207310</v>
      </c>
      <c r="C41" s="10"/>
      <c r="D41" s="10">
        <v>0.77538991999999995</v>
      </c>
      <c r="E41" s="10">
        <v>0.69398913792347583</v>
      </c>
      <c r="F41" s="10">
        <v>1.119751121679641</v>
      </c>
      <c r="G41" s="10">
        <v>1.1357531199999999</v>
      </c>
      <c r="H41" s="10">
        <v>1.0417611200000001</v>
      </c>
      <c r="I41" s="10">
        <v>1.13678714565783</v>
      </c>
      <c r="J41" s="10">
        <v>1.0124062760299917</v>
      </c>
      <c r="K41" s="10">
        <v>1.1409805461905731</v>
      </c>
      <c r="L41" s="10">
        <v>1.0998358571428573</v>
      </c>
      <c r="M41" s="10">
        <v>1.105028608695652</v>
      </c>
      <c r="N41" s="10">
        <v>1.3775767857142858</v>
      </c>
      <c r="O41" s="304" t="s">
        <v>314</v>
      </c>
      <c r="P41" s="304">
        <v>0</v>
      </c>
      <c r="Q41" s="304">
        <v>0</v>
      </c>
      <c r="R41" s="304">
        <v>1</v>
      </c>
      <c r="S41" s="304">
        <v>1</v>
      </c>
      <c r="T41" s="304">
        <v>1</v>
      </c>
      <c r="U41" s="304">
        <v>1</v>
      </c>
      <c r="V41" s="304">
        <v>1</v>
      </c>
      <c r="W41" s="304">
        <v>1</v>
      </c>
      <c r="X41" s="304">
        <v>1</v>
      </c>
      <c r="Y41" s="304">
        <v>1</v>
      </c>
      <c r="Z41" s="304">
        <v>1</v>
      </c>
      <c r="AA41" s="305">
        <v>0.81818181818181823</v>
      </c>
      <c r="AB41" s="306" t="s">
        <v>322</v>
      </c>
      <c r="AC41" s="48"/>
    </row>
    <row r="42" spans="1:29" x14ac:dyDescent="0.25">
      <c r="A42" s="2" t="s">
        <v>45</v>
      </c>
      <c r="B42" s="2">
        <v>43745192</v>
      </c>
      <c r="C42" s="10">
        <v>1.0776981999999999</v>
      </c>
      <c r="D42" s="10">
        <v>1.0285040333333333</v>
      </c>
      <c r="E42" s="10">
        <v>0.88456233333333334</v>
      </c>
      <c r="F42" s="10">
        <v>1.1890585666666666</v>
      </c>
      <c r="G42" s="10">
        <v>1.1784469</v>
      </c>
      <c r="H42" s="10">
        <v>1.1980555666666666</v>
      </c>
      <c r="I42" s="10">
        <v>1.2191838625578484</v>
      </c>
      <c r="J42" s="10">
        <v>4.8668665600000001</v>
      </c>
      <c r="K42" s="10">
        <v>1.0814531445904954</v>
      </c>
      <c r="L42" s="10">
        <v>1.0444888634630054</v>
      </c>
      <c r="M42" s="10">
        <v>1.0042802456140352</v>
      </c>
      <c r="N42" s="10">
        <v>0.74779536842105265</v>
      </c>
      <c r="O42" s="304">
        <v>1</v>
      </c>
      <c r="P42" s="304">
        <v>1</v>
      </c>
      <c r="Q42" s="304">
        <v>0</v>
      </c>
      <c r="R42" s="304">
        <v>1</v>
      </c>
      <c r="S42" s="304">
        <v>1</v>
      </c>
      <c r="T42" s="304">
        <v>1</v>
      </c>
      <c r="U42" s="304">
        <v>1</v>
      </c>
      <c r="V42" s="304">
        <v>1</v>
      </c>
      <c r="W42" s="304">
        <v>1</v>
      </c>
      <c r="X42" s="304">
        <v>1</v>
      </c>
      <c r="Y42" s="304">
        <v>1</v>
      </c>
      <c r="Z42" s="304">
        <v>0</v>
      </c>
      <c r="AA42" s="305">
        <v>0.83333333333333337</v>
      </c>
      <c r="AB42" s="306" t="s">
        <v>322</v>
      </c>
      <c r="AC42" s="48"/>
    </row>
    <row r="43" spans="1:29" x14ac:dyDescent="0.25">
      <c r="A43" s="2" t="s">
        <v>304</v>
      </c>
      <c r="B43" s="2">
        <v>1232400088</v>
      </c>
      <c r="C43" s="10"/>
      <c r="D43" s="10"/>
      <c r="E43" s="10"/>
      <c r="F43" s="10"/>
      <c r="G43" s="10"/>
      <c r="H43" s="10"/>
      <c r="I43" s="10"/>
      <c r="J43" s="10">
        <v>1.0580033333333334</v>
      </c>
      <c r="K43" s="10">
        <v>0.88436780586450958</v>
      </c>
      <c r="L43" s="10">
        <v>1.0334989702517163</v>
      </c>
      <c r="M43" s="10">
        <v>1.0362393684210527</v>
      </c>
      <c r="N43" s="10">
        <v>0.65921298245614035</v>
      </c>
      <c r="O43" s="304" t="s">
        <v>314</v>
      </c>
      <c r="P43" s="304" t="s">
        <v>314</v>
      </c>
      <c r="Q43" s="304" t="s">
        <v>314</v>
      </c>
      <c r="R43" s="304" t="s">
        <v>314</v>
      </c>
      <c r="S43" s="304" t="s">
        <v>314</v>
      </c>
      <c r="T43" s="304" t="s">
        <v>314</v>
      </c>
      <c r="U43" s="304" t="s">
        <v>314</v>
      </c>
      <c r="V43" s="304">
        <v>1</v>
      </c>
      <c r="W43" s="304">
        <v>0</v>
      </c>
      <c r="X43" s="304">
        <v>1</v>
      </c>
      <c r="Y43" s="304">
        <v>1</v>
      </c>
      <c r="Z43" s="304">
        <v>0</v>
      </c>
      <c r="AA43" s="305">
        <v>0.6</v>
      </c>
      <c r="AB43" s="306" t="s">
        <v>323</v>
      </c>
      <c r="AC43" s="48"/>
    </row>
    <row r="44" spans="1:29" x14ac:dyDescent="0.25">
      <c r="A44" s="2" t="s">
        <v>46</v>
      </c>
      <c r="B44" s="2">
        <v>43866877</v>
      </c>
      <c r="C44" s="10">
        <v>1.1078356666666667</v>
      </c>
      <c r="D44" s="10">
        <v>1.1006155238095239</v>
      </c>
      <c r="E44" s="10">
        <v>1.8161055389052971</v>
      </c>
      <c r="F44" s="10">
        <v>1.495563590331948</v>
      </c>
      <c r="G44" s="10">
        <v>1.0810655714285715</v>
      </c>
      <c r="H44" s="10">
        <v>1.0543388095238095</v>
      </c>
      <c r="I44" s="10">
        <v>1.1014547377488719</v>
      </c>
      <c r="J44" s="10">
        <v>1.1805673246753248</v>
      </c>
      <c r="K44" s="10">
        <v>1.1971171180124223</v>
      </c>
      <c r="L44" s="10">
        <v>1.1410645998023716</v>
      </c>
      <c r="M44" s="10">
        <v>1.203251090909091</v>
      </c>
      <c r="N44" s="10">
        <v>1.0375162272727272</v>
      </c>
      <c r="O44" s="304">
        <v>1</v>
      </c>
      <c r="P44" s="304">
        <v>1</v>
      </c>
      <c r="Q44" s="304">
        <v>1</v>
      </c>
      <c r="R44" s="304">
        <v>1</v>
      </c>
      <c r="S44" s="304">
        <v>1</v>
      </c>
      <c r="T44" s="304">
        <v>1</v>
      </c>
      <c r="U44" s="304">
        <v>1</v>
      </c>
      <c r="V44" s="304">
        <v>1</v>
      </c>
      <c r="W44" s="304">
        <v>1</v>
      </c>
      <c r="X44" s="304">
        <v>1</v>
      </c>
      <c r="Y44" s="304">
        <v>1</v>
      </c>
      <c r="Z44" s="304">
        <v>1</v>
      </c>
      <c r="AA44" s="305">
        <v>1</v>
      </c>
      <c r="AB44" s="306" t="s">
        <v>324</v>
      </c>
      <c r="AC44" s="48"/>
    </row>
    <row r="45" spans="1:29" x14ac:dyDescent="0.25">
      <c r="A45" s="2" t="s">
        <v>47</v>
      </c>
      <c r="B45" s="2">
        <v>43113640</v>
      </c>
      <c r="C45" s="10">
        <v>1.2419896388888889</v>
      </c>
      <c r="D45" s="10">
        <v>1.199125611111111</v>
      </c>
      <c r="E45" s="10">
        <v>1.1162237222222222</v>
      </c>
      <c r="F45" s="10">
        <v>2.7824427777777778</v>
      </c>
      <c r="G45" s="10">
        <v>1.0435631944444443</v>
      </c>
      <c r="H45" s="10">
        <v>1.1977099444444443</v>
      </c>
      <c r="I45" s="10">
        <v>1.0626047118346422</v>
      </c>
      <c r="J45" s="10">
        <v>1.0175148484848484</v>
      </c>
      <c r="K45" s="10">
        <v>1.1849353333333332</v>
      </c>
      <c r="L45" s="10">
        <v>1.0615560869565217</v>
      </c>
      <c r="M45" s="10">
        <v>1.6880116000000001</v>
      </c>
      <c r="N45" s="10">
        <v>0.290281075</v>
      </c>
      <c r="O45" s="304">
        <v>1</v>
      </c>
      <c r="P45" s="304">
        <v>1</v>
      </c>
      <c r="Q45" s="304">
        <v>1</v>
      </c>
      <c r="R45" s="304">
        <v>1</v>
      </c>
      <c r="S45" s="304">
        <v>1</v>
      </c>
      <c r="T45" s="304">
        <v>1</v>
      </c>
      <c r="U45" s="304">
        <v>1</v>
      </c>
      <c r="V45" s="304">
        <v>1</v>
      </c>
      <c r="W45" s="304">
        <v>1</v>
      </c>
      <c r="X45" s="304">
        <v>1</v>
      </c>
      <c r="Y45" s="304">
        <v>1</v>
      </c>
      <c r="Z45" s="304">
        <v>0</v>
      </c>
      <c r="AA45" s="305">
        <v>0.91666666666666663</v>
      </c>
      <c r="AB45" s="306" t="s">
        <v>322</v>
      </c>
      <c r="AC45" s="48"/>
    </row>
    <row r="46" spans="1:29" x14ac:dyDescent="0.25">
      <c r="A46" s="2" t="s">
        <v>285</v>
      </c>
      <c r="B46" s="2">
        <v>1128267208</v>
      </c>
      <c r="C46" s="10"/>
      <c r="D46" s="10"/>
      <c r="E46" s="10"/>
      <c r="F46" s="10"/>
      <c r="G46" s="10"/>
      <c r="H46" s="10">
        <v>0.32426647959183674</v>
      </c>
      <c r="I46" s="10">
        <v>0.74483600059017141</v>
      </c>
      <c r="J46" s="10">
        <v>1.1051094266224144</v>
      </c>
      <c r="K46" s="10">
        <v>1.0777605246061324</v>
      </c>
      <c r="L46" s="10">
        <v>1.1303998641304347</v>
      </c>
      <c r="M46" s="10">
        <v>0.98626937872340414</v>
      </c>
      <c r="N46" s="10">
        <v>1.02894825</v>
      </c>
      <c r="O46" s="304" t="s">
        <v>314</v>
      </c>
      <c r="P46" s="304" t="s">
        <v>314</v>
      </c>
      <c r="Q46" s="304" t="s">
        <v>314</v>
      </c>
      <c r="R46" s="304" t="s">
        <v>314</v>
      </c>
      <c r="S46" s="304" t="s">
        <v>314</v>
      </c>
      <c r="T46" s="304">
        <v>0</v>
      </c>
      <c r="U46" s="304">
        <v>0</v>
      </c>
      <c r="V46" s="304">
        <v>1</v>
      </c>
      <c r="W46" s="304">
        <v>1</v>
      </c>
      <c r="X46" s="304">
        <v>1</v>
      </c>
      <c r="Y46" s="304">
        <v>0</v>
      </c>
      <c r="Z46" s="304">
        <v>1</v>
      </c>
      <c r="AA46" s="305">
        <v>0.5714285714285714</v>
      </c>
      <c r="AB46" s="306" t="s">
        <v>323</v>
      </c>
      <c r="AC46" s="48"/>
    </row>
    <row r="47" spans="1:29" x14ac:dyDescent="0.25">
      <c r="A47" s="2" t="s">
        <v>48</v>
      </c>
      <c r="B47" s="2">
        <v>39448823</v>
      </c>
      <c r="C47" s="10">
        <v>1.2919055142857143</v>
      </c>
      <c r="D47" s="10">
        <v>1.1184150857142856</v>
      </c>
      <c r="E47" s="10">
        <v>1.0722167879352658</v>
      </c>
      <c r="F47" s="10">
        <v>1.143461004219658</v>
      </c>
      <c r="G47" s="10">
        <v>1.1843808</v>
      </c>
      <c r="H47" s="10">
        <v>1.2348542857142857</v>
      </c>
      <c r="I47" s="10">
        <v>1.2660720838774762</v>
      </c>
      <c r="J47" s="10">
        <v>1.4648627452153806</v>
      </c>
      <c r="K47" s="10">
        <v>1.7709051476354623</v>
      </c>
      <c r="L47" s="10">
        <v>1.124036875</v>
      </c>
      <c r="M47" s="10">
        <v>1.0619081361702127</v>
      </c>
      <c r="N47" s="10">
        <v>1.0364070999999999</v>
      </c>
      <c r="O47" s="304">
        <v>1</v>
      </c>
      <c r="P47" s="304">
        <v>1</v>
      </c>
      <c r="Q47" s="304">
        <v>1</v>
      </c>
      <c r="R47" s="304">
        <v>1</v>
      </c>
      <c r="S47" s="304">
        <v>1</v>
      </c>
      <c r="T47" s="304">
        <v>1</v>
      </c>
      <c r="U47" s="304">
        <v>1</v>
      </c>
      <c r="V47" s="304">
        <v>1</v>
      </c>
      <c r="W47" s="304">
        <v>1</v>
      </c>
      <c r="X47" s="304">
        <v>1</v>
      </c>
      <c r="Y47" s="304">
        <v>1</v>
      </c>
      <c r="Z47" s="304">
        <v>1</v>
      </c>
      <c r="AA47" s="305">
        <v>1</v>
      </c>
      <c r="AB47" s="306" t="s">
        <v>324</v>
      </c>
      <c r="AC47" s="48"/>
    </row>
    <row r="48" spans="1:29" x14ac:dyDescent="0.25">
      <c r="A48" s="2" t="s">
        <v>331</v>
      </c>
      <c r="B48" s="2">
        <v>1001131473</v>
      </c>
      <c r="C48" s="10"/>
      <c r="D48" s="10"/>
      <c r="E48" s="10"/>
      <c r="F48" s="10">
        <v>0.76185466666666668</v>
      </c>
      <c r="G48" s="10">
        <v>0.74780465367965365</v>
      </c>
      <c r="H48" s="10">
        <v>0.80291650000000003</v>
      </c>
      <c r="I48" s="10">
        <v>1.0684684360789438</v>
      </c>
      <c r="J48" s="10">
        <v>0.99279166233766236</v>
      </c>
      <c r="K48" s="10">
        <v>1.0742980869565217</v>
      </c>
      <c r="L48" s="10">
        <v>0.50707240612648219</v>
      </c>
      <c r="M48" s="10">
        <v>0.49208747727272728</v>
      </c>
      <c r="N48" s="10">
        <v>1.0431710000000001</v>
      </c>
      <c r="O48" s="304" t="s">
        <v>314</v>
      </c>
      <c r="P48" s="304" t="s">
        <v>314</v>
      </c>
      <c r="Q48" s="304" t="s">
        <v>314</v>
      </c>
      <c r="R48" s="304">
        <v>0</v>
      </c>
      <c r="S48" s="304">
        <v>0</v>
      </c>
      <c r="T48" s="304">
        <v>0</v>
      </c>
      <c r="U48" s="304">
        <v>1</v>
      </c>
      <c r="V48" s="304">
        <v>0</v>
      </c>
      <c r="W48" s="304">
        <v>1</v>
      </c>
      <c r="X48" s="304">
        <v>0</v>
      </c>
      <c r="Y48" s="304">
        <v>0</v>
      </c>
      <c r="Z48" s="304">
        <v>1</v>
      </c>
      <c r="AA48" s="305">
        <v>0.33333333333333331</v>
      </c>
      <c r="AB48" s="306" t="s">
        <v>325</v>
      </c>
      <c r="AC48" s="48"/>
    </row>
    <row r="49" spans="1:29" x14ac:dyDescent="0.25">
      <c r="A49" s="2" t="s">
        <v>286</v>
      </c>
      <c r="B49" s="2">
        <v>1035224144</v>
      </c>
      <c r="C49" s="10"/>
      <c r="D49" s="10"/>
      <c r="E49" s="10"/>
      <c r="F49" s="10"/>
      <c r="G49" s="10"/>
      <c r="H49" s="10">
        <v>0.4867053409090909</v>
      </c>
      <c r="I49" s="10">
        <v>1.2495860583678284</v>
      </c>
      <c r="J49" s="10">
        <v>2.2994107333333331</v>
      </c>
      <c r="K49" s="10">
        <v>1.0607023255813954</v>
      </c>
      <c r="L49" s="10">
        <v>1.0819457665903891</v>
      </c>
      <c r="M49" s="10">
        <v>1.0211121403508772</v>
      </c>
      <c r="N49" s="10">
        <v>1.0033241754385964</v>
      </c>
      <c r="O49" s="304" t="s">
        <v>314</v>
      </c>
      <c r="P49" s="304" t="s">
        <v>314</v>
      </c>
      <c r="Q49" s="304" t="s">
        <v>314</v>
      </c>
      <c r="R49" s="304" t="s">
        <v>314</v>
      </c>
      <c r="S49" s="304" t="s">
        <v>314</v>
      </c>
      <c r="T49" s="304">
        <v>0</v>
      </c>
      <c r="U49" s="304">
        <v>1</v>
      </c>
      <c r="V49" s="304">
        <v>1</v>
      </c>
      <c r="W49" s="304">
        <v>1</v>
      </c>
      <c r="X49" s="304">
        <v>1</v>
      </c>
      <c r="Y49" s="304">
        <v>1</v>
      </c>
      <c r="Z49" s="304">
        <v>1</v>
      </c>
      <c r="AA49" s="305">
        <v>0.8571428571428571</v>
      </c>
      <c r="AB49" s="306" t="s">
        <v>322</v>
      </c>
      <c r="AC49" s="48"/>
    </row>
    <row r="50" spans="1:29" x14ac:dyDescent="0.25">
      <c r="A50" s="2" t="s">
        <v>182</v>
      </c>
      <c r="B50" s="2">
        <v>32183069</v>
      </c>
      <c r="C50" s="10">
        <v>1.0446148295454545</v>
      </c>
      <c r="D50" s="10">
        <v>0.82928355263157894</v>
      </c>
      <c r="E50" s="10">
        <v>1.167883730022254</v>
      </c>
      <c r="F50" s="10">
        <v>0.98475250150189142</v>
      </c>
      <c r="G50" s="10">
        <v>0.83717504545454546</v>
      </c>
      <c r="H50" s="10">
        <v>0.75676079545454544</v>
      </c>
      <c r="I50" s="10">
        <v>0.84542415736311982</v>
      </c>
      <c r="J50" s="10">
        <v>0.5438113501635774</v>
      </c>
      <c r="K50" s="10">
        <v>0.83129222968946526</v>
      </c>
      <c r="L50" s="10">
        <v>0.84124657608695652</v>
      </c>
      <c r="M50" s="10">
        <v>0.62316809692451069</v>
      </c>
      <c r="N50" s="10">
        <v>1.1755755555555556</v>
      </c>
      <c r="O50" s="304">
        <v>1</v>
      </c>
      <c r="P50" s="304">
        <v>0</v>
      </c>
      <c r="Q50" s="304">
        <v>1</v>
      </c>
      <c r="R50" s="304">
        <v>0</v>
      </c>
      <c r="S50" s="304">
        <v>0</v>
      </c>
      <c r="T50" s="304">
        <v>0</v>
      </c>
      <c r="U50" s="304">
        <v>0</v>
      </c>
      <c r="V50" s="304">
        <v>0</v>
      </c>
      <c r="W50" s="304">
        <v>0</v>
      </c>
      <c r="X50" s="304">
        <v>0</v>
      </c>
      <c r="Y50" s="304">
        <v>0</v>
      </c>
      <c r="Z50" s="304">
        <v>1</v>
      </c>
      <c r="AA50" s="305">
        <v>0.25</v>
      </c>
      <c r="AB50" s="306" t="s">
        <v>325</v>
      </c>
      <c r="AC50" s="48"/>
    </row>
    <row r="51" spans="1:29" x14ac:dyDescent="0.25">
      <c r="A51" s="2" t="s">
        <v>144</v>
      </c>
      <c r="B51" s="2">
        <v>43907427</v>
      </c>
      <c r="C51" s="10">
        <v>1.5461887999999999</v>
      </c>
      <c r="D51" s="10">
        <v>1.552678775</v>
      </c>
      <c r="E51" s="10">
        <v>1.4091545431690913</v>
      </c>
      <c r="F51" s="10">
        <v>1.1297583240483351</v>
      </c>
      <c r="G51" s="10">
        <v>1.4847874999999999</v>
      </c>
      <c r="H51" s="10">
        <v>1.5616696000000001</v>
      </c>
      <c r="I51" s="10">
        <v>2.1464949469606069</v>
      </c>
      <c r="J51" s="10">
        <v>1.1360675394531587</v>
      </c>
      <c r="K51" s="10">
        <v>1.2735245018168388</v>
      </c>
      <c r="L51" s="10">
        <v>1.1163429347826086</v>
      </c>
      <c r="M51" s="10">
        <v>1.3249342500000001</v>
      </c>
      <c r="N51" s="10">
        <v>1.258703175</v>
      </c>
      <c r="O51" s="304">
        <v>1</v>
      </c>
      <c r="P51" s="304">
        <v>1</v>
      </c>
      <c r="Q51" s="304">
        <v>1</v>
      </c>
      <c r="R51" s="304">
        <v>1</v>
      </c>
      <c r="S51" s="304">
        <v>1</v>
      </c>
      <c r="T51" s="304">
        <v>1</v>
      </c>
      <c r="U51" s="304">
        <v>1</v>
      </c>
      <c r="V51" s="304">
        <v>1</v>
      </c>
      <c r="W51" s="304">
        <v>1</v>
      </c>
      <c r="X51" s="304">
        <v>1</v>
      </c>
      <c r="Y51" s="304">
        <v>1</v>
      </c>
      <c r="Z51" s="304">
        <v>1</v>
      </c>
      <c r="AA51" s="305">
        <v>1</v>
      </c>
      <c r="AB51" s="306" t="s">
        <v>324</v>
      </c>
      <c r="AC51" s="48"/>
    </row>
    <row r="52" spans="1:29" x14ac:dyDescent="0.25">
      <c r="A52" s="2" t="s">
        <v>236</v>
      </c>
      <c r="B52" s="2">
        <v>39275090</v>
      </c>
      <c r="C52" s="10">
        <v>1.2247979341004185</v>
      </c>
      <c r="D52" s="10">
        <v>1.1319926335174955</v>
      </c>
      <c r="E52" s="10">
        <v>1.1383466640322477</v>
      </c>
      <c r="F52" s="10">
        <v>1.1904041152844271</v>
      </c>
      <c r="G52" s="10">
        <v>1.2113374444444445</v>
      </c>
      <c r="H52" s="10">
        <v>1.0739984722222222</v>
      </c>
      <c r="I52" s="10">
        <v>1.2076400021222229</v>
      </c>
      <c r="J52" s="10">
        <v>1.0419659696969696</v>
      </c>
      <c r="K52" s="10">
        <v>1.1169808000000001</v>
      </c>
      <c r="L52" s="10">
        <v>1.1096054861111111</v>
      </c>
      <c r="M52" s="10">
        <v>1.0465918000000001</v>
      </c>
      <c r="N52" s="10">
        <v>1.2986119</v>
      </c>
      <c r="O52" s="304">
        <v>1</v>
      </c>
      <c r="P52" s="304">
        <v>1</v>
      </c>
      <c r="Q52" s="304">
        <v>1</v>
      </c>
      <c r="R52" s="304">
        <v>1</v>
      </c>
      <c r="S52" s="304">
        <v>1</v>
      </c>
      <c r="T52" s="304">
        <v>1</v>
      </c>
      <c r="U52" s="304">
        <v>1</v>
      </c>
      <c r="V52" s="304">
        <v>1</v>
      </c>
      <c r="W52" s="304">
        <v>1</v>
      </c>
      <c r="X52" s="304">
        <v>1</v>
      </c>
      <c r="Y52" s="304">
        <v>1</v>
      </c>
      <c r="Z52" s="304">
        <v>1</v>
      </c>
      <c r="AA52" s="305">
        <v>1</v>
      </c>
      <c r="AB52" s="306" t="s">
        <v>324</v>
      </c>
      <c r="AC52" s="48"/>
    </row>
    <row r="53" spans="1:29" x14ac:dyDescent="0.25">
      <c r="A53" s="2" t="s">
        <v>93</v>
      </c>
      <c r="B53" s="2">
        <v>31445278</v>
      </c>
      <c r="C53" s="10">
        <v>0.93531431159420286</v>
      </c>
      <c r="D53" s="10">
        <v>0.92049407407407402</v>
      </c>
      <c r="E53" s="10">
        <v>1.0605714333333334</v>
      </c>
      <c r="F53" s="10">
        <v>1.0959380666666667</v>
      </c>
      <c r="G53" s="10">
        <v>1.1184956666666668</v>
      </c>
      <c r="H53" s="10">
        <v>1.0741514333333333</v>
      </c>
      <c r="I53" s="10">
        <v>1.1449576859943582</v>
      </c>
      <c r="J53" s="10">
        <v>1.25484496</v>
      </c>
      <c r="K53" s="10">
        <v>2.9006279694239905</v>
      </c>
      <c r="L53" s="10">
        <v>1.1684485263157895</v>
      </c>
      <c r="M53" s="10">
        <v>1.1634819999999999</v>
      </c>
      <c r="N53" s="10">
        <v>1.317445625</v>
      </c>
      <c r="O53" s="304">
        <v>0</v>
      </c>
      <c r="P53" s="304">
        <v>0</v>
      </c>
      <c r="Q53" s="304">
        <v>1</v>
      </c>
      <c r="R53" s="304">
        <v>1</v>
      </c>
      <c r="S53" s="304">
        <v>1</v>
      </c>
      <c r="T53" s="304">
        <v>1</v>
      </c>
      <c r="U53" s="304">
        <v>1</v>
      </c>
      <c r="V53" s="304">
        <v>1</v>
      </c>
      <c r="W53" s="304">
        <v>1</v>
      </c>
      <c r="X53" s="304">
        <v>1</v>
      </c>
      <c r="Y53" s="304">
        <v>1</v>
      </c>
      <c r="Z53" s="304">
        <v>1</v>
      </c>
      <c r="AA53" s="305">
        <v>0.83333333333333337</v>
      </c>
      <c r="AB53" s="306" t="s">
        <v>322</v>
      </c>
      <c r="AC53" s="48"/>
    </row>
    <row r="54" spans="1:29" x14ac:dyDescent="0.25">
      <c r="A54" s="2" t="s">
        <v>61</v>
      </c>
      <c r="B54" s="2">
        <v>32256379</v>
      </c>
      <c r="C54" s="10">
        <v>1.1857142045454545</v>
      </c>
      <c r="D54" s="10">
        <v>1.0428698181818181</v>
      </c>
      <c r="E54" s="10">
        <v>1.4974152495300455</v>
      </c>
      <c r="F54" s="10">
        <v>0.62235149951845448</v>
      </c>
      <c r="G54" s="10">
        <v>0.29087959280303033</v>
      </c>
      <c r="H54" s="10">
        <v>1.0925222727272728</v>
      </c>
      <c r="I54" s="10">
        <v>1.0492049910536381</v>
      </c>
      <c r="J54" s="10">
        <v>1.6899945345444609</v>
      </c>
      <c r="K54" s="10"/>
      <c r="L54" s="10"/>
      <c r="M54" s="10">
        <v>0.2230928925619835</v>
      </c>
      <c r="N54" s="10">
        <v>1.4085608195754717</v>
      </c>
      <c r="O54" s="304">
        <v>1</v>
      </c>
      <c r="P54" s="304">
        <v>1</v>
      </c>
      <c r="Q54" s="304">
        <v>1</v>
      </c>
      <c r="R54" s="304">
        <v>0</v>
      </c>
      <c r="S54" s="304">
        <v>0</v>
      </c>
      <c r="T54" s="304">
        <v>1</v>
      </c>
      <c r="U54" s="304">
        <v>1</v>
      </c>
      <c r="V54" s="304">
        <v>1</v>
      </c>
      <c r="W54" s="304" t="s">
        <v>314</v>
      </c>
      <c r="X54" s="304" t="s">
        <v>314</v>
      </c>
      <c r="Y54" s="304">
        <v>0</v>
      </c>
      <c r="Z54" s="304">
        <v>1</v>
      </c>
      <c r="AA54" s="305">
        <v>0.7</v>
      </c>
      <c r="AB54" s="306" t="s">
        <v>323</v>
      </c>
      <c r="AC54" s="48"/>
    </row>
    <row r="55" spans="1:29" x14ac:dyDescent="0.25">
      <c r="A55" s="2" t="s">
        <v>28</v>
      </c>
      <c r="B55" s="2">
        <v>34542470</v>
      </c>
      <c r="C55" s="10">
        <v>1.2848265428571428</v>
      </c>
      <c r="D55" s="10">
        <v>1.2534007142857142</v>
      </c>
      <c r="E55" s="10">
        <v>1.1666910095293737</v>
      </c>
      <c r="F55" s="10">
        <v>1.2966334963733706</v>
      </c>
      <c r="G55" s="10">
        <v>1.4868572</v>
      </c>
      <c r="H55" s="10">
        <v>1.4378746571428571</v>
      </c>
      <c r="I55" s="10">
        <v>1.6250034305151992</v>
      </c>
      <c r="J55" s="10">
        <v>1.3920291467495192</v>
      </c>
      <c r="K55" s="10">
        <v>1.3196032730521767</v>
      </c>
      <c r="L55" s="10">
        <v>1.9079774774774774</v>
      </c>
      <c r="M55" s="10">
        <v>1.0880255528255527</v>
      </c>
      <c r="N55" s="10">
        <v>1.2916025405405405</v>
      </c>
      <c r="O55" s="304">
        <v>1</v>
      </c>
      <c r="P55" s="304">
        <v>1</v>
      </c>
      <c r="Q55" s="304">
        <v>1</v>
      </c>
      <c r="R55" s="304">
        <v>1</v>
      </c>
      <c r="S55" s="304">
        <v>1</v>
      </c>
      <c r="T55" s="304">
        <v>1</v>
      </c>
      <c r="U55" s="304">
        <v>1</v>
      </c>
      <c r="V55" s="304">
        <v>1</v>
      </c>
      <c r="W55" s="304">
        <v>1</v>
      </c>
      <c r="X55" s="304">
        <v>1</v>
      </c>
      <c r="Y55" s="304">
        <v>1</v>
      </c>
      <c r="Z55" s="304">
        <v>1</v>
      </c>
      <c r="AA55" s="305">
        <v>1</v>
      </c>
      <c r="AB55" s="306" t="s">
        <v>324</v>
      </c>
      <c r="AC55" s="48"/>
    </row>
    <row r="56" spans="1:29" x14ac:dyDescent="0.25">
      <c r="A56" s="2" t="s">
        <v>268</v>
      </c>
      <c r="B56" s="2">
        <v>39175639</v>
      </c>
      <c r="C56" s="10"/>
      <c r="D56" s="10"/>
      <c r="E56" s="10"/>
      <c r="F56" s="10">
        <v>0.43739980952380952</v>
      </c>
      <c r="G56" s="10">
        <v>0.84558077471482884</v>
      </c>
      <c r="H56" s="10">
        <v>1.0052820952380952</v>
      </c>
      <c r="I56" s="10">
        <v>0.77575126767826963</v>
      </c>
      <c r="J56" s="10">
        <v>0.7129301818181818</v>
      </c>
      <c r="K56" s="10">
        <v>1.0942944844720497</v>
      </c>
      <c r="L56" s="10">
        <v>1.1308465662055336</v>
      </c>
      <c r="M56" s="10">
        <v>1.0312536590909092</v>
      </c>
      <c r="N56" s="10">
        <v>1.0261467727272728</v>
      </c>
      <c r="O56" s="304" t="s">
        <v>314</v>
      </c>
      <c r="P56" s="304" t="s">
        <v>314</v>
      </c>
      <c r="Q56" s="304" t="s">
        <v>314</v>
      </c>
      <c r="R56" s="304">
        <v>0</v>
      </c>
      <c r="S56" s="304">
        <v>0</v>
      </c>
      <c r="T56" s="304">
        <v>1</v>
      </c>
      <c r="U56" s="304">
        <v>0</v>
      </c>
      <c r="V56" s="304">
        <v>0</v>
      </c>
      <c r="W56" s="304">
        <v>1</v>
      </c>
      <c r="X56" s="304">
        <v>1</v>
      </c>
      <c r="Y56" s="304">
        <v>1</v>
      </c>
      <c r="Z56" s="304">
        <v>1</v>
      </c>
      <c r="AA56" s="305">
        <v>0.55555555555555558</v>
      </c>
      <c r="AB56" s="306" t="s">
        <v>323</v>
      </c>
      <c r="AC56" s="48"/>
    </row>
    <row r="57" spans="1:29" x14ac:dyDescent="0.25">
      <c r="A57" s="2" t="s">
        <v>145</v>
      </c>
      <c r="B57" s="2">
        <v>1020409789</v>
      </c>
      <c r="C57" s="10">
        <v>1.2861449545454546</v>
      </c>
      <c r="D57" s="10">
        <v>1.2675000227272728</v>
      </c>
      <c r="E57" s="10">
        <v>1.2529212050765828</v>
      </c>
      <c r="F57" s="10">
        <v>1.7550334659501408</v>
      </c>
      <c r="G57" s="10">
        <v>0.78801957070707074</v>
      </c>
      <c r="H57" s="10">
        <v>1.0593191136363636</v>
      </c>
      <c r="I57" s="10">
        <v>1.0212812234034139</v>
      </c>
      <c r="J57" s="10">
        <v>1.1629377403688455</v>
      </c>
      <c r="K57" s="10">
        <v>1.2325722320091805</v>
      </c>
      <c r="L57" s="10">
        <v>1.1368542512077295</v>
      </c>
      <c r="M57" s="10">
        <v>1.1151376927536232</v>
      </c>
      <c r="N57" s="10">
        <v>1.0288440888888888</v>
      </c>
      <c r="O57" s="304">
        <v>1</v>
      </c>
      <c r="P57" s="304">
        <v>1</v>
      </c>
      <c r="Q57" s="304">
        <v>1</v>
      </c>
      <c r="R57" s="304">
        <v>1</v>
      </c>
      <c r="S57" s="304">
        <v>0</v>
      </c>
      <c r="T57" s="304">
        <v>1</v>
      </c>
      <c r="U57" s="304">
        <v>1</v>
      </c>
      <c r="V57" s="304">
        <v>1</v>
      </c>
      <c r="W57" s="304">
        <v>1</v>
      </c>
      <c r="X57" s="304">
        <v>1</v>
      </c>
      <c r="Y57" s="304">
        <v>1</v>
      </c>
      <c r="Z57" s="304">
        <v>1</v>
      </c>
      <c r="AA57" s="305">
        <v>0.91666666666666663</v>
      </c>
      <c r="AB57" s="306" t="s">
        <v>322</v>
      </c>
      <c r="AC57" s="48"/>
    </row>
    <row r="58" spans="1:29" x14ac:dyDescent="0.25">
      <c r="A58" s="2" t="s">
        <v>150</v>
      </c>
      <c r="B58" s="2">
        <v>1130597373</v>
      </c>
      <c r="C58" s="10">
        <v>1.2484709782608696</v>
      </c>
      <c r="D58" s="10">
        <v>0.71655690000000005</v>
      </c>
      <c r="E58" s="10">
        <v>0.71877286666666662</v>
      </c>
      <c r="F58" s="10">
        <v>1.1510227</v>
      </c>
      <c r="G58" s="10">
        <v>1.1011073666666666</v>
      </c>
      <c r="H58" s="10">
        <v>1.0875970312500001</v>
      </c>
      <c r="I58" s="10">
        <v>0.65138918685189162</v>
      </c>
      <c r="J58" s="10">
        <v>1.0624326666666666</v>
      </c>
      <c r="K58" s="10">
        <v>1.2214144025486551</v>
      </c>
      <c r="L58" s="10">
        <v>1.1663882903225806</v>
      </c>
      <c r="M58" s="10">
        <v>2.7356010322580646</v>
      </c>
      <c r="N58" s="10">
        <v>0.73504770967741939</v>
      </c>
      <c r="O58" s="304">
        <v>1</v>
      </c>
      <c r="P58" s="304">
        <v>0</v>
      </c>
      <c r="Q58" s="304">
        <v>0</v>
      </c>
      <c r="R58" s="304">
        <v>1</v>
      </c>
      <c r="S58" s="304">
        <v>1</v>
      </c>
      <c r="T58" s="304">
        <v>1</v>
      </c>
      <c r="U58" s="304">
        <v>0</v>
      </c>
      <c r="V58" s="304">
        <v>1</v>
      </c>
      <c r="W58" s="304">
        <v>1</v>
      </c>
      <c r="X58" s="304">
        <v>1</v>
      </c>
      <c r="Y58" s="304">
        <v>1</v>
      </c>
      <c r="Z58" s="304">
        <v>0</v>
      </c>
      <c r="AA58" s="305">
        <v>0.66666666666666663</v>
      </c>
      <c r="AB58" s="306" t="s">
        <v>323</v>
      </c>
      <c r="AC58" s="48"/>
    </row>
    <row r="59" spans="1:29" x14ac:dyDescent="0.25">
      <c r="A59" s="2" t="s">
        <v>267</v>
      </c>
      <c r="B59" s="2">
        <v>1128476466</v>
      </c>
      <c r="C59" s="10"/>
      <c r="D59" s="10"/>
      <c r="E59" s="10"/>
      <c r="F59" s="10">
        <v>1.4075096112827392</v>
      </c>
      <c r="G59" s="10">
        <v>0.53774236111111107</v>
      </c>
      <c r="H59" s="10">
        <v>1.6723652698863636</v>
      </c>
      <c r="I59" s="10">
        <v>1.6857432275921405</v>
      </c>
      <c r="J59" s="10">
        <v>1.5052491827725787</v>
      </c>
      <c r="K59" s="10"/>
      <c r="L59" s="10">
        <v>0.69126647321428569</v>
      </c>
      <c r="M59" s="10">
        <v>0.82711800000000002</v>
      </c>
      <c r="N59" s="10">
        <v>1.0408894275700935</v>
      </c>
      <c r="O59" s="304" t="s">
        <v>314</v>
      </c>
      <c r="P59" s="304" t="s">
        <v>314</v>
      </c>
      <c r="Q59" s="304" t="s">
        <v>314</v>
      </c>
      <c r="R59" s="304">
        <v>1</v>
      </c>
      <c r="S59" s="304">
        <v>0</v>
      </c>
      <c r="T59" s="304">
        <v>1</v>
      </c>
      <c r="U59" s="304">
        <v>1</v>
      </c>
      <c r="V59" s="304">
        <v>1</v>
      </c>
      <c r="W59" s="304" t="s">
        <v>314</v>
      </c>
      <c r="X59" s="304">
        <v>0</v>
      </c>
      <c r="Y59" s="304">
        <v>0</v>
      </c>
      <c r="Z59" s="304">
        <v>1</v>
      </c>
      <c r="AA59" s="305">
        <v>0.625</v>
      </c>
      <c r="AB59" s="306" t="s">
        <v>323</v>
      </c>
      <c r="AC59" s="48"/>
    </row>
    <row r="60" spans="1:29" x14ac:dyDescent="0.25">
      <c r="A60" s="2" t="s">
        <v>293</v>
      </c>
      <c r="B60" s="2">
        <v>32352312</v>
      </c>
      <c r="C60" s="10"/>
      <c r="D60" s="10"/>
      <c r="E60" s="10"/>
      <c r="F60" s="10"/>
      <c r="G60" s="10"/>
      <c r="H60" s="10"/>
      <c r="I60" s="10">
        <v>0.54150745597429328</v>
      </c>
      <c r="J60" s="10">
        <v>1.0076347272727273</v>
      </c>
      <c r="K60" s="10">
        <v>0.60726634782608691</v>
      </c>
      <c r="L60" s="10">
        <v>1.0507714130434782</v>
      </c>
      <c r="M60" s="10">
        <v>0.39412035000000001</v>
      </c>
      <c r="N60" s="10">
        <v>0.68328537360890307</v>
      </c>
      <c r="O60" s="304" t="s">
        <v>314</v>
      </c>
      <c r="P60" s="304" t="s">
        <v>314</v>
      </c>
      <c r="Q60" s="304" t="s">
        <v>314</v>
      </c>
      <c r="R60" s="304" t="s">
        <v>314</v>
      </c>
      <c r="S60" s="304" t="s">
        <v>314</v>
      </c>
      <c r="T60" s="304" t="s">
        <v>314</v>
      </c>
      <c r="U60" s="304">
        <v>0</v>
      </c>
      <c r="V60" s="304">
        <v>1</v>
      </c>
      <c r="W60" s="304">
        <v>0</v>
      </c>
      <c r="X60" s="304">
        <v>1</v>
      </c>
      <c r="Y60" s="304">
        <v>0</v>
      </c>
      <c r="Z60" s="304">
        <v>0</v>
      </c>
      <c r="AA60" s="305">
        <v>0.33333333333333331</v>
      </c>
      <c r="AB60" s="306" t="s">
        <v>325</v>
      </c>
      <c r="AC60" s="48"/>
    </row>
    <row r="61" spans="1:29" x14ac:dyDescent="0.25">
      <c r="A61" s="2" t="s">
        <v>50</v>
      </c>
      <c r="B61" s="2">
        <v>43745952</v>
      </c>
      <c r="C61" s="10">
        <v>1.1879005227272728</v>
      </c>
      <c r="D61" s="10">
        <v>1.4525694772727273</v>
      </c>
      <c r="E61" s="10">
        <v>1.4887050206736401</v>
      </c>
      <c r="F61" s="10">
        <v>1.540246461862993</v>
      </c>
      <c r="G61" s="10">
        <v>1.4448835227272727</v>
      </c>
      <c r="H61" s="10">
        <v>1.5482409772727272</v>
      </c>
      <c r="I61" s="10">
        <v>1.3653911835652393</v>
      </c>
      <c r="J61" s="10">
        <v>1.4835254598145464</v>
      </c>
      <c r="K61" s="10">
        <v>1.5267395977471205</v>
      </c>
      <c r="L61" s="10">
        <v>1.477572922705314</v>
      </c>
      <c r="M61" s="10">
        <v>1.329450911111111</v>
      </c>
      <c r="N61" s="10">
        <v>1.4345448222222221</v>
      </c>
      <c r="O61" s="304">
        <v>1</v>
      </c>
      <c r="P61" s="304">
        <v>1</v>
      </c>
      <c r="Q61" s="304">
        <v>1</v>
      </c>
      <c r="R61" s="304">
        <v>1</v>
      </c>
      <c r="S61" s="304">
        <v>1</v>
      </c>
      <c r="T61" s="304">
        <v>1</v>
      </c>
      <c r="U61" s="304">
        <v>1</v>
      </c>
      <c r="V61" s="304">
        <v>1</v>
      </c>
      <c r="W61" s="304">
        <v>1</v>
      </c>
      <c r="X61" s="304">
        <v>1</v>
      </c>
      <c r="Y61" s="304">
        <v>1</v>
      </c>
      <c r="Z61" s="304">
        <v>1</v>
      </c>
      <c r="AA61" s="305">
        <v>1</v>
      </c>
      <c r="AB61" s="306" t="s">
        <v>324</v>
      </c>
      <c r="AC61" s="48"/>
    </row>
    <row r="62" spans="1:29" x14ac:dyDescent="0.25">
      <c r="A62" s="2" t="s">
        <v>183</v>
      </c>
      <c r="B62" s="2">
        <v>1035913369</v>
      </c>
      <c r="C62" s="10">
        <v>1.0309866428571428</v>
      </c>
      <c r="D62" s="10">
        <v>0.61103330952380952</v>
      </c>
      <c r="E62" s="10">
        <v>1.0136267380952382</v>
      </c>
      <c r="F62" s="10">
        <v>1.0435282857142858</v>
      </c>
      <c r="G62" s="10">
        <v>0.59408769047619048</v>
      </c>
      <c r="H62" s="10">
        <v>1.0058778095238095</v>
      </c>
      <c r="I62" s="10">
        <v>0.63864103841880038</v>
      </c>
      <c r="J62" s="10">
        <v>1.0166634285714287</v>
      </c>
      <c r="K62" s="10">
        <v>1.0819184844720497</v>
      </c>
      <c r="L62" s="10">
        <v>0.52558604249011853</v>
      </c>
      <c r="M62" s="10">
        <v>1.0730076694214878</v>
      </c>
      <c r="N62" s="10">
        <v>0.48900485795454546</v>
      </c>
      <c r="O62" s="304">
        <v>1</v>
      </c>
      <c r="P62" s="304">
        <v>0</v>
      </c>
      <c r="Q62" s="304">
        <v>1</v>
      </c>
      <c r="R62" s="304">
        <v>1</v>
      </c>
      <c r="S62" s="304">
        <v>0</v>
      </c>
      <c r="T62" s="304">
        <v>1</v>
      </c>
      <c r="U62" s="304">
        <v>0</v>
      </c>
      <c r="V62" s="304">
        <v>1</v>
      </c>
      <c r="W62" s="304">
        <v>1</v>
      </c>
      <c r="X62" s="304">
        <v>0</v>
      </c>
      <c r="Y62" s="304">
        <v>1</v>
      </c>
      <c r="Z62" s="304">
        <v>0</v>
      </c>
      <c r="AA62" s="305">
        <v>0.58333333333333337</v>
      </c>
      <c r="AB62" s="306" t="s">
        <v>323</v>
      </c>
      <c r="AC62" s="48"/>
    </row>
    <row r="63" spans="1:29" x14ac:dyDescent="0.25">
      <c r="A63" s="2" t="s">
        <v>97</v>
      </c>
      <c r="B63" s="2">
        <v>1020419011</v>
      </c>
      <c r="C63" s="10">
        <v>1.4111353896103895</v>
      </c>
      <c r="D63" s="10">
        <v>1.0016741792929293</v>
      </c>
      <c r="E63" s="10">
        <v>0.42799760054501829</v>
      </c>
      <c r="F63" s="10">
        <v>1.1183061806011239</v>
      </c>
      <c r="G63" s="10">
        <v>1.0245313181818181</v>
      </c>
      <c r="H63" s="10">
        <v>1.0309730227272726</v>
      </c>
      <c r="I63" s="10">
        <v>1.0669762605497708</v>
      </c>
      <c r="J63" s="10">
        <v>0.73867201033705976</v>
      </c>
      <c r="K63" s="10">
        <v>1.0822499596185697</v>
      </c>
      <c r="L63" s="10">
        <v>1.0752422731568998</v>
      </c>
      <c r="M63" s="10">
        <v>1.0090472826086956</v>
      </c>
      <c r="N63" s="10">
        <v>1.1019213315217391</v>
      </c>
      <c r="O63" s="304">
        <v>1</v>
      </c>
      <c r="P63" s="304">
        <v>1</v>
      </c>
      <c r="Q63" s="304">
        <v>0</v>
      </c>
      <c r="R63" s="304">
        <v>1</v>
      </c>
      <c r="S63" s="304">
        <v>1</v>
      </c>
      <c r="T63" s="304">
        <v>1</v>
      </c>
      <c r="U63" s="304">
        <v>1</v>
      </c>
      <c r="V63" s="304">
        <v>0</v>
      </c>
      <c r="W63" s="304">
        <v>1</v>
      </c>
      <c r="X63" s="304">
        <v>1</v>
      </c>
      <c r="Y63" s="304">
        <v>1</v>
      </c>
      <c r="Z63" s="304">
        <v>1</v>
      </c>
      <c r="AA63" s="305">
        <v>0.83333333333333337</v>
      </c>
      <c r="AB63" s="306" t="s">
        <v>322</v>
      </c>
      <c r="AC63" s="48"/>
    </row>
    <row r="64" spans="1:29" x14ac:dyDescent="0.25">
      <c r="A64" s="2" t="s">
        <v>143</v>
      </c>
      <c r="B64" s="2">
        <v>21982241</v>
      </c>
      <c r="C64" s="10">
        <v>1.1241655428571429</v>
      </c>
      <c r="D64" s="10">
        <v>1.0816265428571428</v>
      </c>
      <c r="E64" s="10">
        <v>0.69202855817795617</v>
      </c>
      <c r="F64" s="10">
        <v>1.6913668355777256</v>
      </c>
      <c r="G64" s="10">
        <v>1.066045857142857</v>
      </c>
      <c r="H64" s="10">
        <v>0.7413885714285714</v>
      </c>
      <c r="I64" s="10">
        <v>1.1016647026668911</v>
      </c>
      <c r="J64" s="10">
        <v>0.99327334703390791</v>
      </c>
      <c r="K64" s="10">
        <v>1.2625034028579207</v>
      </c>
      <c r="L64" s="10">
        <v>0.55602259106933016</v>
      </c>
      <c r="M64" s="10">
        <v>1.0641956618746404</v>
      </c>
      <c r="N64" s="10">
        <v>0.82586073131955484</v>
      </c>
      <c r="O64" s="304">
        <v>1</v>
      </c>
      <c r="P64" s="304">
        <v>1</v>
      </c>
      <c r="Q64" s="304">
        <v>0</v>
      </c>
      <c r="R64" s="304">
        <v>1</v>
      </c>
      <c r="S64" s="304">
        <v>1</v>
      </c>
      <c r="T64" s="304">
        <v>0</v>
      </c>
      <c r="U64" s="304">
        <v>1</v>
      </c>
      <c r="V64" s="304">
        <v>0</v>
      </c>
      <c r="W64" s="304">
        <v>1</v>
      </c>
      <c r="X64" s="304">
        <v>0</v>
      </c>
      <c r="Y64" s="304">
        <v>1</v>
      </c>
      <c r="Z64" s="304">
        <v>0</v>
      </c>
      <c r="AA64" s="305">
        <v>0.58333333333333337</v>
      </c>
      <c r="AB64" s="306" t="s">
        <v>323</v>
      </c>
    </row>
    <row r="65" spans="1:28" x14ac:dyDescent="0.25">
      <c r="A65" s="2" t="s">
        <v>118</v>
      </c>
      <c r="B65" s="2">
        <v>1020419615</v>
      </c>
      <c r="C65" s="10">
        <v>1.0312252954545456</v>
      </c>
      <c r="D65" s="10">
        <v>0.99772838636363637</v>
      </c>
      <c r="E65" s="10">
        <v>1.1701653036664188</v>
      </c>
      <c r="F65" s="10">
        <v>1.2657583210469674</v>
      </c>
      <c r="G65" s="10">
        <v>1.0386121922348486</v>
      </c>
      <c r="H65" s="10">
        <v>1.1133038352272728</v>
      </c>
      <c r="I65" s="10">
        <v>1.4791156730599628</v>
      </c>
      <c r="J65" s="10">
        <v>1.1530672028818558</v>
      </c>
      <c r="K65" s="10">
        <v>1.0914563565493771</v>
      </c>
      <c r="L65" s="10">
        <v>1.2894024952471483</v>
      </c>
      <c r="M65" s="10">
        <v>1.0432980434782608</v>
      </c>
      <c r="N65" s="10">
        <v>1.0061440217391304</v>
      </c>
      <c r="O65" s="304">
        <v>1</v>
      </c>
      <c r="P65" s="304">
        <v>0</v>
      </c>
      <c r="Q65" s="304">
        <v>1</v>
      </c>
      <c r="R65" s="304">
        <v>1</v>
      </c>
      <c r="S65" s="304">
        <v>1</v>
      </c>
      <c r="T65" s="304">
        <v>1</v>
      </c>
      <c r="U65" s="304">
        <v>1</v>
      </c>
      <c r="V65" s="304">
        <v>1</v>
      </c>
      <c r="W65" s="304">
        <v>1</v>
      </c>
      <c r="X65" s="304">
        <v>1</v>
      </c>
      <c r="Y65" s="304">
        <v>1</v>
      </c>
      <c r="Z65" s="304">
        <v>1</v>
      </c>
      <c r="AA65" s="305">
        <v>0.91666666666666663</v>
      </c>
      <c r="AB65" s="306" t="s">
        <v>322</v>
      </c>
    </row>
    <row r="66" spans="1:28" x14ac:dyDescent="0.25">
      <c r="A66" s="2" t="s">
        <v>51</v>
      </c>
      <c r="B66" s="2">
        <v>43259130</v>
      </c>
      <c r="C66" s="10">
        <v>1.0817159999999999</v>
      </c>
      <c r="D66" s="10">
        <v>1.2123135681818182</v>
      </c>
      <c r="E66" s="10">
        <v>1.207838696879763</v>
      </c>
      <c r="F66" s="10">
        <v>1.0175014577275379</v>
      </c>
      <c r="G66" s="10">
        <v>0.85466722727272726</v>
      </c>
      <c r="H66" s="10">
        <v>1.0735944318181818</v>
      </c>
      <c r="I66" s="10">
        <v>1.4754105044708175</v>
      </c>
      <c r="J66" s="10">
        <v>0.85672691609910867</v>
      </c>
      <c r="K66" s="10">
        <v>1.206960531135681</v>
      </c>
      <c r="L66" s="10">
        <v>1.0178983080808082</v>
      </c>
      <c r="M66" s="10">
        <v>0.68250939259259258</v>
      </c>
      <c r="N66" s="10">
        <v>1.0518875333333333</v>
      </c>
      <c r="O66" s="304">
        <v>1</v>
      </c>
      <c r="P66" s="304">
        <v>1</v>
      </c>
      <c r="Q66" s="304">
        <v>1</v>
      </c>
      <c r="R66" s="304">
        <v>1</v>
      </c>
      <c r="S66" s="304">
        <v>0</v>
      </c>
      <c r="T66" s="304">
        <v>1</v>
      </c>
      <c r="U66" s="304">
        <v>1</v>
      </c>
      <c r="V66" s="304">
        <v>0</v>
      </c>
      <c r="W66" s="304">
        <v>1</v>
      </c>
      <c r="X66" s="304">
        <v>1</v>
      </c>
      <c r="Y66" s="304">
        <v>0</v>
      </c>
      <c r="Z66" s="304">
        <v>1</v>
      </c>
      <c r="AA66" s="305">
        <v>0.75</v>
      </c>
      <c r="AB66" s="306" t="s">
        <v>323</v>
      </c>
    </row>
    <row r="67" spans="1:28" x14ac:dyDescent="0.25">
      <c r="A67" s="2" t="s">
        <v>87</v>
      </c>
      <c r="B67" s="2">
        <v>32256379</v>
      </c>
      <c r="C67" s="10"/>
      <c r="D67" s="10"/>
      <c r="E67" s="10"/>
      <c r="F67" s="10"/>
      <c r="G67" s="10"/>
      <c r="H67" s="10"/>
      <c r="I67" s="10"/>
      <c r="J67" s="10"/>
      <c r="K67" s="10"/>
      <c r="L67" s="10"/>
      <c r="M67" s="10"/>
      <c r="N67" s="10"/>
    </row>
    <row r="68" spans="1:28" x14ac:dyDescent="0.25">
      <c r="B68" s="2">
        <v>39442617</v>
      </c>
      <c r="C68" s="10"/>
      <c r="D68" s="10"/>
      <c r="E68" s="10"/>
      <c r="F68" s="10"/>
      <c r="G68" s="10"/>
      <c r="H68" s="10"/>
      <c r="I68" s="10"/>
      <c r="J68" s="10"/>
      <c r="K68" s="10"/>
      <c r="L68" s="10"/>
      <c r="M68" s="10"/>
      <c r="N68" s="10"/>
    </row>
    <row r="69" spans="1:28" x14ac:dyDescent="0.25">
      <c r="B69" s="2">
        <v>42164020</v>
      </c>
      <c r="C69" s="10"/>
      <c r="D69" s="10"/>
      <c r="E69" s="10"/>
      <c r="F69" s="10"/>
      <c r="G69" s="10"/>
      <c r="H69" s="10"/>
      <c r="I69" s="10"/>
      <c r="J69" s="10"/>
      <c r="K69" s="10"/>
      <c r="L69" s="10"/>
      <c r="M69" s="10"/>
      <c r="N69" s="10"/>
    </row>
    <row r="70" spans="1:28" x14ac:dyDescent="0.25">
      <c r="B70" s="2">
        <v>1017167720</v>
      </c>
      <c r="C70" s="10"/>
      <c r="D70" s="10"/>
      <c r="E70" s="10"/>
      <c r="F70" s="10"/>
      <c r="G70" s="10"/>
      <c r="H70" s="10"/>
      <c r="I70" s="10"/>
      <c r="J70" s="10"/>
      <c r="K70" s="10"/>
      <c r="L70" s="10"/>
      <c r="M70" s="10"/>
      <c r="N70" s="10"/>
    </row>
    <row r="71" spans="1:28" x14ac:dyDescent="0.25">
      <c r="B71" s="2">
        <v>1128476466</v>
      </c>
      <c r="C71" s="10"/>
      <c r="D71" s="10"/>
      <c r="E71" s="10"/>
      <c r="F71" s="10"/>
      <c r="G71" s="10"/>
      <c r="H71" s="10"/>
      <c r="I71" s="10"/>
      <c r="J71" s="10"/>
      <c r="K71" s="10"/>
      <c r="L71" s="10"/>
      <c r="M71" s="10"/>
      <c r="N71" s="10"/>
    </row>
    <row r="72" spans="1:28" x14ac:dyDescent="0.25">
      <c r="C72" s="2"/>
      <c r="D72" s="2"/>
      <c r="E72" s="2"/>
      <c r="F72" s="2"/>
      <c r="G72" s="2"/>
      <c r="H72" s="2"/>
    </row>
    <row r="73" spans="1:28" x14ac:dyDescent="0.25">
      <c r="C73" s="2"/>
      <c r="D73" s="2"/>
      <c r="E73" s="2"/>
      <c r="F73" s="2"/>
      <c r="G73" s="2"/>
      <c r="H73" s="2"/>
    </row>
    <row r="74" spans="1:28" x14ac:dyDescent="0.25">
      <c r="C74" s="2"/>
      <c r="D74" s="2"/>
      <c r="E74" s="2"/>
      <c r="F74" s="2"/>
      <c r="G74" s="2"/>
      <c r="H74" s="2"/>
    </row>
    <row r="75" spans="1:28" x14ac:dyDescent="0.25">
      <c r="C75" s="2"/>
      <c r="D75" s="2"/>
      <c r="E75" s="2"/>
      <c r="F75" s="2"/>
      <c r="G75" s="2"/>
      <c r="H75" s="2"/>
    </row>
    <row r="76" spans="1:28" x14ac:dyDescent="0.25">
      <c r="C76" s="2"/>
      <c r="D76" s="2"/>
      <c r="E76" s="2"/>
      <c r="F76" s="2"/>
      <c r="G76" s="2"/>
      <c r="H76" s="2"/>
    </row>
    <row r="77" spans="1:28" x14ac:dyDescent="0.25">
      <c r="C77" s="2"/>
      <c r="D77" s="2"/>
      <c r="E77" s="2"/>
      <c r="F77" s="2"/>
      <c r="G77" s="2"/>
      <c r="H77" s="2"/>
    </row>
    <row r="78" spans="1:28" x14ac:dyDescent="0.25">
      <c r="C78" s="2"/>
      <c r="D78" s="2"/>
      <c r="E78" s="2"/>
      <c r="F78" s="2"/>
      <c r="G78" s="2"/>
      <c r="H78" s="2"/>
    </row>
    <row r="79" spans="1:28" x14ac:dyDescent="0.25">
      <c r="C79" s="2"/>
      <c r="D79" s="2"/>
      <c r="E79" s="2"/>
      <c r="F79" s="2"/>
      <c r="G79" s="2"/>
      <c r="H79" s="2"/>
    </row>
    <row r="80" spans="1:28" x14ac:dyDescent="0.25">
      <c r="C80" s="2"/>
      <c r="D80" s="2"/>
      <c r="E80" s="2"/>
      <c r="F80" s="2"/>
      <c r="G80" s="2"/>
      <c r="H80" s="2"/>
    </row>
    <row r="81" spans="3:8" x14ac:dyDescent="0.25">
      <c r="C81" s="2"/>
      <c r="D81" s="2"/>
      <c r="E81" s="2"/>
      <c r="F81" s="2"/>
      <c r="G81" s="2"/>
      <c r="H81" s="2"/>
    </row>
    <row r="82" spans="3:8" x14ac:dyDescent="0.25">
      <c r="C82" s="2"/>
      <c r="D82" s="2"/>
      <c r="E82" s="2"/>
      <c r="F82" s="2"/>
      <c r="G82" s="2"/>
      <c r="H82" s="2"/>
    </row>
    <row r="83" spans="3:8" x14ac:dyDescent="0.25">
      <c r="C83" s="2"/>
      <c r="D83" s="2"/>
      <c r="E83" s="2"/>
      <c r="F83" s="2"/>
      <c r="G83" s="2"/>
      <c r="H83" s="2"/>
    </row>
    <row r="84" spans="3:8" x14ac:dyDescent="0.25">
      <c r="C84" s="2"/>
      <c r="D84" s="2"/>
      <c r="E84" s="2"/>
      <c r="F84" s="2"/>
      <c r="G84" s="2"/>
      <c r="H84" s="2"/>
    </row>
    <row r="85" spans="3:8" x14ac:dyDescent="0.25">
      <c r="C85" s="2"/>
      <c r="D85" s="2"/>
      <c r="E85" s="2"/>
      <c r="F85" s="2"/>
      <c r="G85" s="2"/>
      <c r="H85" s="2"/>
    </row>
    <row r="86" spans="3:8" x14ac:dyDescent="0.25">
      <c r="C86" s="2"/>
      <c r="D86" s="2"/>
      <c r="E86" s="2"/>
      <c r="F86" s="2"/>
      <c r="G86" s="2"/>
      <c r="H86" s="2"/>
    </row>
    <row r="87" spans="3:8" x14ac:dyDescent="0.25">
      <c r="C87" s="2"/>
      <c r="D87" s="2"/>
      <c r="E87" s="2"/>
      <c r="F87" s="2"/>
      <c r="G87" s="2"/>
      <c r="H87" s="2"/>
    </row>
    <row r="88" spans="3:8" x14ac:dyDescent="0.25">
      <c r="C88" s="2"/>
      <c r="D88" s="2"/>
      <c r="E88" s="2"/>
      <c r="F88" s="2"/>
      <c r="G88" s="2"/>
      <c r="H88" s="2"/>
    </row>
    <row r="89" spans="3:8" x14ac:dyDescent="0.25">
      <c r="C89" s="2"/>
      <c r="D89" s="2"/>
      <c r="E89" s="2"/>
      <c r="F89" s="2"/>
      <c r="G89" s="2"/>
      <c r="H89" s="2"/>
    </row>
    <row r="90" spans="3:8" x14ac:dyDescent="0.25">
      <c r="C90" s="2"/>
      <c r="D90" s="2"/>
      <c r="E90" s="2"/>
      <c r="F90" s="2"/>
      <c r="G90" s="2"/>
      <c r="H90" s="2"/>
    </row>
    <row r="91" spans="3:8" x14ac:dyDescent="0.25">
      <c r="C91" s="2"/>
      <c r="D91" s="2"/>
      <c r="E91" s="2"/>
      <c r="F91" s="2"/>
      <c r="G91" s="2"/>
      <c r="H91" s="2"/>
    </row>
  </sheetData>
  <conditionalFormatting pivot="1" sqref="C6:N71">
    <cfRule type="cellIs" dxfId="122" priority="4" operator="lessThan">
      <formula>1</formula>
    </cfRule>
  </conditionalFormatting>
  <conditionalFormatting pivot="1" sqref="C6:N71">
    <cfRule type="cellIs" dxfId="121" priority="3" operator="between">
      <formula>0.01</formula>
      <formula>1</formula>
    </cfRule>
  </conditionalFormatting>
  <conditionalFormatting pivot="1" sqref="C6:N71">
    <cfRule type="cellIs" dxfId="120" priority="2" operator="between">
      <formula>0.01</formula>
      <formula>1</formula>
    </cfRule>
  </conditionalFormatting>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I5"/>
  <sheetViews>
    <sheetView showGridLines="0" zoomScale="85" zoomScaleNormal="85" workbookViewId="0">
      <selection activeCell="E17" sqref="E17"/>
    </sheetView>
  </sheetViews>
  <sheetFormatPr baseColWidth="10" defaultRowHeight="15" x14ac:dyDescent="0.25"/>
  <cols>
    <col min="1" max="1" width="6.28515625" style="2" customWidth="1"/>
    <col min="2" max="2" width="23.85546875" style="2" bestFit="1" customWidth="1"/>
    <col min="3" max="3" width="26" style="2" bestFit="1" customWidth="1"/>
    <col min="4" max="4" width="11.28515625" style="2" bestFit="1" customWidth="1"/>
    <col min="5" max="5" width="15.42578125" style="2" bestFit="1" customWidth="1"/>
    <col min="6" max="6" width="14.5703125" style="2" bestFit="1" customWidth="1"/>
    <col min="7" max="7" width="10.5703125" style="2" bestFit="1" customWidth="1"/>
    <col min="8" max="8" width="12.42578125" style="2" bestFit="1" customWidth="1"/>
    <col min="9" max="9" width="11" style="2" bestFit="1" customWidth="1"/>
    <col min="10" max="16384" width="11.42578125" style="2"/>
  </cols>
  <sheetData>
    <row r="2" spans="2:9" x14ac:dyDescent="0.25">
      <c r="B2" s="280" t="s">
        <v>446</v>
      </c>
      <c r="C2" s="280" t="s">
        <v>30</v>
      </c>
      <c r="D2" s="280" t="s">
        <v>32</v>
      </c>
      <c r="E2" s="280" t="s">
        <v>474</v>
      </c>
      <c r="F2" s="280" t="s">
        <v>473</v>
      </c>
      <c r="G2" s="280" t="s">
        <v>472</v>
      </c>
      <c r="H2" s="280" t="s">
        <v>471</v>
      </c>
      <c r="I2" s="280" t="s">
        <v>470</v>
      </c>
    </row>
    <row r="3" spans="2:9" x14ac:dyDescent="0.25">
      <c r="B3" s="276" t="s">
        <v>129</v>
      </c>
      <c r="C3" s="276" t="s">
        <v>289</v>
      </c>
      <c r="D3" s="276">
        <v>1017191161</v>
      </c>
      <c r="E3" s="279">
        <v>0.58347736063224742</v>
      </c>
      <c r="F3" s="279">
        <v>0.64416746890001408</v>
      </c>
      <c r="G3" s="279">
        <v>0.7841516414141414</v>
      </c>
      <c r="H3" s="279">
        <v>0.69694406956521737</v>
      </c>
      <c r="I3" s="279">
        <v>0.99764919753086423</v>
      </c>
    </row>
    <row r="4" spans="2:9" x14ac:dyDescent="0.25">
      <c r="B4"/>
      <c r="C4"/>
      <c r="D4"/>
      <c r="E4"/>
      <c r="F4"/>
      <c r="G4"/>
    </row>
    <row r="5" spans="2:9" x14ac:dyDescent="0.25">
      <c r="B5"/>
      <c r="C5"/>
      <c r="D5"/>
      <c r="E5"/>
      <c r="F5"/>
      <c r="G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1"/>
  </sheetPr>
  <dimension ref="B1:AD69"/>
  <sheetViews>
    <sheetView showGridLines="0" zoomScale="85" zoomScaleNormal="85" workbookViewId="0"/>
  </sheetViews>
  <sheetFormatPr baseColWidth="10" defaultRowHeight="12.75" x14ac:dyDescent="0.2"/>
  <cols>
    <col min="1" max="1" width="4.28515625" style="60" customWidth="1"/>
    <col min="2" max="2" width="11.7109375" style="60" bestFit="1" customWidth="1"/>
    <col min="3" max="3" width="11" style="60" bestFit="1" customWidth="1"/>
    <col min="4" max="4" width="29.28515625" style="60" bestFit="1" customWidth="1"/>
    <col min="5" max="5" width="23.140625" style="60" bestFit="1" customWidth="1"/>
    <col min="6" max="6" width="9.140625" style="197" bestFit="1" customWidth="1"/>
    <col min="7" max="7" width="13.7109375" style="198" customWidth="1"/>
    <col min="8" max="8" width="6.85546875" style="60" customWidth="1"/>
    <col min="9" max="9" width="11" style="60" bestFit="1" customWidth="1"/>
    <col min="10" max="10" width="13" style="60" customWidth="1"/>
    <col min="11" max="11" width="15.28515625" style="60" customWidth="1"/>
    <col min="12" max="12" width="11.42578125" style="60"/>
    <col min="13" max="13" width="26" style="60" bestFit="1" customWidth="1"/>
    <col min="14" max="14" width="9" style="60" bestFit="1" customWidth="1"/>
    <col min="15" max="16384" width="11.42578125" style="60"/>
  </cols>
  <sheetData>
    <row r="1" spans="2:30" ht="24" customHeight="1" x14ac:dyDescent="0.2">
      <c r="B1" s="13" t="s">
        <v>31</v>
      </c>
      <c r="C1" s="13" t="s">
        <v>32</v>
      </c>
      <c r="D1" s="13" t="s">
        <v>30</v>
      </c>
      <c r="E1" s="13" t="s">
        <v>180</v>
      </c>
      <c r="F1" s="13" t="s">
        <v>330</v>
      </c>
      <c r="G1" s="188" t="s">
        <v>248</v>
      </c>
      <c r="I1" s="337" t="s">
        <v>329</v>
      </c>
      <c r="J1" s="337"/>
      <c r="K1" s="337"/>
      <c r="M1" s="56" t="s">
        <v>195</v>
      </c>
      <c r="N1" s="55" t="s">
        <v>194</v>
      </c>
      <c r="Q1" s="60" t="s">
        <v>335</v>
      </c>
      <c r="R1" s="60" t="s">
        <v>336</v>
      </c>
      <c r="U1" s="60" t="s">
        <v>398</v>
      </c>
      <c r="V1" s="60" t="s">
        <v>399</v>
      </c>
      <c r="W1" s="60" t="s">
        <v>400</v>
      </c>
      <c r="Z1" s="60" t="s">
        <v>348</v>
      </c>
      <c r="AB1" s="60" t="s">
        <v>435</v>
      </c>
      <c r="AD1" s="60" t="s">
        <v>438</v>
      </c>
    </row>
    <row r="2" spans="2:30" x14ac:dyDescent="0.2">
      <c r="B2" s="30" t="s">
        <v>9</v>
      </c>
      <c r="C2" s="30">
        <v>43169964</v>
      </c>
      <c r="D2" s="30" t="s">
        <v>155</v>
      </c>
      <c r="E2" s="30" t="s">
        <v>129</v>
      </c>
      <c r="F2" s="189" t="s">
        <v>270</v>
      </c>
      <c r="G2" s="190">
        <v>41913</v>
      </c>
      <c r="M2" s="57" t="s">
        <v>197</v>
      </c>
      <c r="N2" s="57" t="s">
        <v>196</v>
      </c>
      <c r="Q2" s="60" t="s">
        <v>122</v>
      </c>
      <c r="R2" s="60">
        <v>1</v>
      </c>
      <c r="U2" s="191">
        <v>131000</v>
      </c>
      <c r="V2" s="191">
        <v>91000</v>
      </c>
      <c r="W2" s="191">
        <v>45000</v>
      </c>
      <c r="Z2" s="60">
        <v>2019</v>
      </c>
      <c r="AB2" s="60" t="s">
        <v>442</v>
      </c>
      <c r="AD2" s="60" t="s">
        <v>0</v>
      </c>
    </row>
    <row r="3" spans="2:30" x14ac:dyDescent="0.2">
      <c r="B3" s="30" t="s">
        <v>326</v>
      </c>
      <c r="C3" s="30">
        <v>1126257967</v>
      </c>
      <c r="D3" s="30" t="s">
        <v>327</v>
      </c>
      <c r="E3" s="30" t="s">
        <v>126</v>
      </c>
      <c r="F3" s="189" t="s">
        <v>270</v>
      </c>
      <c r="G3" s="190"/>
      <c r="M3" s="57" t="s">
        <v>198</v>
      </c>
      <c r="N3" s="57" t="s">
        <v>196</v>
      </c>
      <c r="Q3" s="60" t="s">
        <v>138</v>
      </c>
      <c r="R3" s="60">
        <v>2</v>
      </c>
      <c r="U3" s="191">
        <v>140000</v>
      </c>
      <c r="V3" s="191">
        <v>95000</v>
      </c>
      <c r="W3" s="191">
        <f>+W2+5000</f>
        <v>50000</v>
      </c>
      <c r="Z3" s="60">
        <v>2018</v>
      </c>
      <c r="AB3" s="60" t="s">
        <v>441</v>
      </c>
      <c r="AD3" s="60" t="s">
        <v>439</v>
      </c>
    </row>
    <row r="4" spans="2:30" x14ac:dyDescent="0.2">
      <c r="B4" s="30" t="s">
        <v>11</v>
      </c>
      <c r="C4" s="30">
        <v>43253531</v>
      </c>
      <c r="D4" s="30" t="s">
        <v>39</v>
      </c>
      <c r="E4" s="30" t="s">
        <v>135</v>
      </c>
      <c r="F4" s="189" t="s">
        <v>270</v>
      </c>
      <c r="G4" s="190">
        <v>40360</v>
      </c>
      <c r="M4" s="57" t="s">
        <v>199</v>
      </c>
      <c r="N4" s="57" t="s">
        <v>196</v>
      </c>
      <c r="Q4" s="60" t="s">
        <v>139</v>
      </c>
      <c r="R4" s="60">
        <v>3</v>
      </c>
      <c r="U4" s="191">
        <f>+U3+10000</f>
        <v>150000</v>
      </c>
      <c r="V4" s="191">
        <f>+V3+5000</f>
        <v>100000</v>
      </c>
      <c r="W4" s="191">
        <f t="shared" ref="W4:W11" si="0">+W3+5000</f>
        <v>55000</v>
      </c>
      <c r="Z4" s="60">
        <v>2017</v>
      </c>
      <c r="AD4" s="60" t="s">
        <v>440</v>
      </c>
    </row>
    <row r="5" spans="2:30" x14ac:dyDescent="0.2">
      <c r="B5" s="30" t="s">
        <v>66</v>
      </c>
      <c r="C5" s="30">
        <v>3438422</v>
      </c>
      <c r="D5" s="30" t="s">
        <v>71</v>
      </c>
      <c r="E5" s="30" t="s">
        <v>131</v>
      </c>
      <c r="F5" s="189" t="s">
        <v>270</v>
      </c>
      <c r="G5" s="190">
        <v>42464</v>
      </c>
      <c r="M5" s="57" t="s">
        <v>200</v>
      </c>
      <c r="N5" s="57" t="s">
        <v>196</v>
      </c>
      <c r="Q5" s="60" t="s">
        <v>140</v>
      </c>
      <c r="R5" s="60">
        <v>4</v>
      </c>
      <c r="U5" s="191">
        <f t="shared" ref="U5:U28" si="1">+U4+10000</f>
        <v>160000</v>
      </c>
      <c r="V5" s="191">
        <f t="shared" ref="V5:V9" si="2">+V4+5000</f>
        <v>105000</v>
      </c>
      <c r="W5" s="191">
        <f t="shared" si="0"/>
        <v>60000</v>
      </c>
    </row>
    <row r="6" spans="2:30" x14ac:dyDescent="0.2">
      <c r="B6" s="30" t="s">
        <v>6</v>
      </c>
      <c r="C6" s="30">
        <v>43821410</v>
      </c>
      <c r="D6" s="30" t="s">
        <v>40</v>
      </c>
      <c r="E6" s="30" t="s">
        <v>134</v>
      </c>
      <c r="F6" s="189" t="s">
        <v>270</v>
      </c>
      <c r="G6" s="190">
        <v>39417</v>
      </c>
      <c r="M6" s="57" t="s">
        <v>201</v>
      </c>
      <c r="N6" s="57" t="s">
        <v>196</v>
      </c>
      <c r="Q6" s="60" t="s">
        <v>141</v>
      </c>
      <c r="R6" s="60">
        <v>5</v>
      </c>
      <c r="U6" s="191">
        <f t="shared" si="1"/>
        <v>170000</v>
      </c>
      <c r="V6" s="191">
        <f t="shared" si="2"/>
        <v>110000</v>
      </c>
      <c r="W6" s="191">
        <f t="shared" si="0"/>
        <v>65000</v>
      </c>
    </row>
    <row r="7" spans="2:30" x14ac:dyDescent="0.2">
      <c r="B7" s="30" t="s">
        <v>84</v>
      </c>
      <c r="C7" s="30">
        <v>1020736461</v>
      </c>
      <c r="D7" s="30" t="s">
        <v>156</v>
      </c>
      <c r="E7" s="30" t="s">
        <v>126</v>
      </c>
      <c r="F7" s="189" t="s">
        <v>270</v>
      </c>
      <c r="G7" s="190">
        <v>42705</v>
      </c>
      <c r="M7" s="57" t="s">
        <v>202</v>
      </c>
      <c r="N7" s="57" t="s">
        <v>196</v>
      </c>
      <c r="Q7" s="60" t="s">
        <v>153</v>
      </c>
      <c r="R7" s="60">
        <v>6</v>
      </c>
      <c r="U7" s="191">
        <f t="shared" si="1"/>
        <v>180000</v>
      </c>
      <c r="V7" s="191">
        <f t="shared" si="2"/>
        <v>115000</v>
      </c>
      <c r="W7" s="191">
        <f t="shared" si="0"/>
        <v>70000</v>
      </c>
    </row>
    <row r="8" spans="2:30" x14ac:dyDescent="0.2">
      <c r="B8" s="30" t="s">
        <v>18</v>
      </c>
      <c r="C8" s="30">
        <v>39442617</v>
      </c>
      <c r="D8" s="30" t="s">
        <v>41</v>
      </c>
      <c r="E8" s="30" t="s">
        <v>127</v>
      </c>
      <c r="F8" s="189" t="s">
        <v>270</v>
      </c>
      <c r="G8" s="190">
        <v>39860</v>
      </c>
      <c r="M8" s="57" t="s">
        <v>203</v>
      </c>
      <c r="N8" s="57" t="s">
        <v>196</v>
      </c>
      <c r="Q8" s="60" t="s">
        <v>157</v>
      </c>
      <c r="R8" s="60">
        <v>7</v>
      </c>
      <c r="U8" s="191">
        <f t="shared" si="1"/>
        <v>190000</v>
      </c>
      <c r="V8" s="191">
        <f t="shared" si="2"/>
        <v>120000</v>
      </c>
      <c r="W8" s="191">
        <f t="shared" si="0"/>
        <v>75000</v>
      </c>
    </row>
    <row r="9" spans="2:30" x14ac:dyDescent="0.2">
      <c r="B9" s="30" t="s">
        <v>249</v>
      </c>
      <c r="C9" s="30">
        <v>1144061613</v>
      </c>
      <c r="D9" s="30" t="s">
        <v>256</v>
      </c>
      <c r="E9" s="30" t="s">
        <v>301</v>
      </c>
      <c r="F9" s="189" t="s">
        <v>270</v>
      </c>
      <c r="G9" s="190">
        <v>43175</v>
      </c>
      <c r="M9" s="57" t="s">
        <v>204</v>
      </c>
      <c r="N9" s="57" t="s">
        <v>196</v>
      </c>
      <c r="Q9" s="60" t="s">
        <v>158</v>
      </c>
      <c r="R9" s="60">
        <v>8</v>
      </c>
      <c r="U9" s="191">
        <f t="shared" si="1"/>
        <v>200000</v>
      </c>
      <c r="V9" s="191">
        <f t="shared" si="2"/>
        <v>125000</v>
      </c>
      <c r="W9" s="191">
        <f>+W8+5000</f>
        <v>80000</v>
      </c>
    </row>
    <row r="10" spans="2:30" x14ac:dyDescent="0.2">
      <c r="B10" s="30" t="s">
        <v>288</v>
      </c>
      <c r="C10" s="30">
        <v>1017191161</v>
      </c>
      <c r="D10" s="30" t="s">
        <v>289</v>
      </c>
      <c r="E10" s="30" t="s">
        <v>129</v>
      </c>
      <c r="F10" s="189" t="s">
        <v>270</v>
      </c>
      <c r="G10" s="190"/>
      <c r="M10" s="57" t="s">
        <v>206</v>
      </c>
      <c r="N10" s="57" t="s">
        <v>205</v>
      </c>
      <c r="Q10" s="60" t="s">
        <v>165</v>
      </c>
      <c r="R10" s="60">
        <v>9</v>
      </c>
      <c r="U10" s="191">
        <f t="shared" si="1"/>
        <v>210000</v>
      </c>
      <c r="V10" s="191">
        <f>+V9+5000</f>
        <v>130000</v>
      </c>
      <c r="W10" s="191">
        <f t="shared" si="0"/>
        <v>85000</v>
      </c>
    </row>
    <row r="11" spans="2:30" x14ac:dyDescent="0.2">
      <c r="B11" s="30" t="s">
        <v>297</v>
      </c>
      <c r="C11" s="30">
        <v>66910365</v>
      </c>
      <c r="D11" s="30" t="s">
        <v>303</v>
      </c>
      <c r="E11" s="30" t="s">
        <v>301</v>
      </c>
      <c r="F11" s="189" t="s">
        <v>270</v>
      </c>
      <c r="G11" s="190"/>
      <c r="M11" s="57" t="s">
        <v>207</v>
      </c>
      <c r="N11" s="57" t="s">
        <v>205</v>
      </c>
      <c r="Q11" s="60" t="s">
        <v>173</v>
      </c>
      <c r="R11" s="60">
        <v>10</v>
      </c>
      <c r="U11" s="191">
        <f t="shared" si="1"/>
        <v>220000</v>
      </c>
      <c r="W11" s="191">
        <f t="shared" si="0"/>
        <v>90000</v>
      </c>
    </row>
    <row r="12" spans="2:30" x14ac:dyDescent="0.2">
      <c r="B12" s="30" t="s">
        <v>56</v>
      </c>
      <c r="C12" s="30">
        <v>43971430</v>
      </c>
      <c r="D12" s="30" t="s">
        <v>142</v>
      </c>
      <c r="E12" s="30" t="s">
        <v>125</v>
      </c>
      <c r="F12" s="189" t="s">
        <v>270</v>
      </c>
      <c r="G12" s="190">
        <v>42296</v>
      </c>
      <c r="M12" s="57" t="s">
        <v>208</v>
      </c>
      <c r="N12" s="57" t="s">
        <v>205</v>
      </c>
      <c r="Q12" s="60" t="s">
        <v>175</v>
      </c>
      <c r="R12" s="60">
        <v>11</v>
      </c>
      <c r="U12" s="191">
        <f t="shared" si="1"/>
        <v>230000</v>
      </c>
    </row>
    <row r="13" spans="2:30" x14ac:dyDescent="0.2">
      <c r="B13" s="30" t="s">
        <v>102</v>
      </c>
      <c r="C13" s="30">
        <v>79850984</v>
      </c>
      <c r="D13" s="30" t="s">
        <v>106</v>
      </c>
      <c r="E13" s="30" t="s">
        <v>133</v>
      </c>
      <c r="F13" s="189" t="s">
        <v>270</v>
      </c>
      <c r="G13" s="190">
        <v>42810</v>
      </c>
      <c r="M13" s="57" t="s">
        <v>209</v>
      </c>
      <c r="N13" s="57" t="s">
        <v>205</v>
      </c>
      <c r="Q13" s="60" t="s">
        <v>187</v>
      </c>
      <c r="R13" s="60">
        <v>12</v>
      </c>
      <c r="U13" s="191">
        <f t="shared" si="1"/>
        <v>240000</v>
      </c>
    </row>
    <row r="14" spans="2:30" x14ac:dyDescent="0.2">
      <c r="B14" s="30" t="s">
        <v>166</v>
      </c>
      <c r="C14" s="30">
        <v>1020451288</v>
      </c>
      <c r="D14" s="30" t="s">
        <v>167</v>
      </c>
      <c r="E14" s="30" t="s">
        <v>131</v>
      </c>
      <c r="F14" s="189" t="s">
        <v>270</v>
      </c>
      <c r="G14" s="190">
        <v>42969</v>
      </c>
      <c r="M14" s="57" t="s">
        <v>210</v>
      </c>
      <c r="N14" s="57" t="s">
        <v>205</v>
      </c>
      <c r="U14" s="191">
        <f t="shared" si="1"/>
        <v>250000</v>
      </c>
    </row>
    <row r="15" spans="2:30" x14ac:dyDescent="0.2">
      <c r="B15" s="192" t="s">
        <v>147</v>
      </c>
      <c r="C15" s="192">
        <v>31309227</v>
      </c>
      <c r="D15" s="192" t="s">
        <v>148</v>
      </c>
      <c r="E15" s="192" t="e">
        <v>#N/A</v>
      </c>
      <c r="F15" s="193" t="s">
        <v>311</v>
      </c>
      <c r="G15" s="194"/>
      <c r="M15" s="57" t="s">
        <v>212</v>
      </c>
      <c r="N15" s="57" t="s">
        <v>211</v>
      </c>
      <c r="U15" s="191">
        <f>+U14+10000</f>
        <v>260000</v>
      </c>
    </row>
    <row r="16" spans="2:30" x14ac:dyDescent="0.2">
      <c r="B16" s="30" t="s">
        <v>295</v>
      </c>
      <c r="C16" s="30">
        <v>1020769180</v>
      </c>
      <c r="D16" s="30" t="s">
        <v>302</v>
      </c>
      <c r="E16" s="30" t="s">
        <v>126</v>
      </c>
      <c r="F16" s="189" t="s">
        <v>270</v>
      </c>
      <c r="G16" s="190"/>
      <c r="M16" s="57" t="s">
        <v>213</v>
      </c>
      <c r="N16" s="57" t="s">
        <v>211</v>
      </c>
      <c r="U16" s="191">
        <f t="shared" si="1"/>
        <v>270000</v>
      </c>
    </row>
    <row r="17" spans="2:25" x14ac:dyDescent="0.2">
      <c r="B17" s="30" t="s">
        <v>108</v>
      </c>
      <c r="C17" s="30">
        <v>1020443426</v>
      </c>
      <c r="D17" s="30" t="s">
        <v>109</v>
      </c>
      <c r="E17" s="30" t="s">
        <v>127</v>
      </c>
      <c r="F17" s="189" t="s">
        <v>270</v>
      </c>
      <c r="G17" s="190">
        <v>42857</v>
      </c>
      <c r="M17" s="57" t="s">
        <v>214</v>
      </c>
      <c r="N17" s="57" t="s">
        <v>211</v>
      </c>
      <c r="U17" s="191">
        <f t="shared" si="1"/>
        <v>280000</v>
      </c>
    </row>
    <row r="18" spans="2:25" x14ac:dyDescent="0.2">
      <c r="B18" s="30" t="s">
        <v>34</v>
      </c>
      <c r="C18" s="30">
        <v>43554403</v>
      </c>
      <c r="D18" s="30" t="s">
        <v>35</v>
      </c>
      <c r="E18" s="30" t="s">
        <v>125</v>
      </c>
      <c r="F18" s="189" t="s">
        <v>270</v>
      </c>
      <c r="G18" s="190">
        <v>42051</v>
      </c>
      <c r="M18" s="57" t="s">
        <v>216</v>
      </c>
      <c r="N18" s="57" t="s">
        <v>215</v>
      </c>
      <c r="U18" s="191">
        <f t="shared" si="1"/>
        <v>290000</v>
      </c>
    </row>
    <row r="19" spans="2:25" x14ac:dyDescent="0.2">
      <c r="B19" s="30" t="s">
        <v>275</v>
      </c>
      <c r="C19" s="30">
        <v>16379021</v>
      </c>
      <c r="D19" s="30" t="s">
        <v>287</v>
      </c>
      <c r="E19" s="30" t="s">
        <v>252</v>
      </c>
      <c r="F19" s="189" t="s">
        <v>270</v>
      </c>
      <c r="G19" s="190"/>
      <c r="M19" s="57" t="s">
        <v>217</v>
      </c>
      <c r="N19" s="57" t="s">
        <v>215</v>
      </c>
      <c r="U19" s="191">
        <f t="shared" si="1"/>
        <v>300000</v>
      </c>
    </row>
    <row r="20" spans="2:25" x14ac:dyDescent="0.2">
      <c r="B20" s="30" t="s">
        <v>92</v>
      </c>
      <c r="C20" s="30">
        <v>1017167720</v>
      </c>
      <c r="D20" s="30" t="s">
        <v>96</v>
      </c>
      <c r="E20" s="30" t="s">
        <v>131</v>
      </c>
      <c r="F20" s="189" t="s">
        <v>270</v>
      </c>
      <c r="G20" s="190">
        <v>42709</v>
      </c>
      <c r="M20" s="57" t="s">
        <v>218</v>
      </c>
      <c r="N20" s="57" t="s">
        <v>215</v>
      </c>
      <c r="U20" s="191">
        <f t="shared" si="1"/>
        <v>310000</v>
      </c>
    </row>
    <row r="21" spans="2:25" x14ac:dyDescent="0.2">
      <c r="B21" s="30" t="s">
        <v>3</v>
      </c>
      <c r="C21" s="30">
        <v>52725011</v>
      </c>
      <c r="D21" s="30" t="s">
        <v>42</v>
      </c>
      <c r="E21" s="30" t="s">
        <v>130</v>
      </c>
      <c r="F21" s="189" t="s">
        <v>270</v>
      </c>
      <c r="G21" s="190">
        <v>41883</v>
      </c>
      <c r="M21" s="58" t="s">
        <v>124</v>
      </c>
      <c r="N21" s="57" t="s">
        <v>196</v>
      </c>
      <c r="U21" s="191">
        <f t="shared" si="1"/>
        <v>320000</v>
      </c>
    </row>
    <row r="22" spans="2:25" x14ac:dyDescent="0.2">
      <c r="B22" s="30" t="s">
        <v>25</v>
      </c>
      <c r="C22" s="30">
        <v>1040030764</v>
      </c>
      <c r="D22" s="30" t="s">
        <v>43</v>
      </c>
      <c r="E22" s="30" t="s">
        <v>132</v>
      </c>
      <c r="F22" s="189" t="s">
        <v>270</v>
      </c>
      <c r="G22" s="190">
        <v>41298</v>
      </c>
      <c r="M22" s="58" t="s">
        <v>135</v>
      </c>
      <c r="N22" s="57" t="s">
        <v>196</v>
      </c>
      <c r="U22" s="191">
        <f t="shared" si="1"/>
        <v>330000</v>
      </c>
    </row>
    <row r="23" spans="2:25" x14ac:dyDescent="0.2">
      <c r="B23" s="192" t="s">
        <v>22</v>
      </c>
      <c r="C23" s="192">
        <v>42164020</v>
      </c>
      <c r="D23" s="192" t="s">
        <v>105</v>
      </c>
      <c r="E23" s="192" t="s">
        <v>129</v>
      </c>
      <c r="F23" s="193" t="s">
        <v>270</v>
      </c>
      <c r="G23" s="194">
        <v>39417</v>
      </c>
      <c r="M23" s="58" t="s">
        <v>125</v>
      </c>
      <c r="N23" s="57" t="s">
        <v>196</v>
      </c>
      <c r="U23" s="191">
        <f>+U22+10000</f>
        <v>340000</v>
      </c>
    </row>
    <row r="24" spans="2:25" x14ac:dyDescent="0.2">
      <c r="B24" s="30" t="s">
        <v>21</v>
      </c>
      <c r="C24" s="30">
        <v>1035417626</v>
      </c>
      <c r="D24" s="30" t="s">
        <v>80</v>
      </c>
      <c r="E24" s="30" t="s">
        <v>134</v>
      </c>
      <c r="F24" s="189" t="s">
        <v>270</v>
      </c>
      <c r="G24" s="190">
        <v>41730</v>
      </c>
      <c r="M24" s="58" t="s">
        <v>129</v>
      </c>
      <c r="N24" s="57" t="s">
        <v>196</v>
      </c>
      <c r="U24" s="191">
        <f t="shared" si="1"/>
        <v>350000</v>
      </c>
      <c r="Y24" s="195"/>
    </row>
    <row r="25" spans="2:25" x14ac:dyDescent="0.2">
      <c r="B25" s="30" t="s">
        <v>81</v>
      </c>
      <c r="C25" s="30">
        <v>1017200970</v>
      </c>
      <c r="D25" s="30" t="s">
        <v>82</v>
      </c>
      <c r="E25" s="30" t="s">
        <v>127</v>
      </c>
      <c r="F25" s="189" t="s">
        <v>270</v>
      </c>
      <c r="G25" s="190">
        <v>42587</v>
      </c>
      <c r="M25" s="58" t="s">
        <v>131</v>
      </c>
      <c r="N25" s="57" t="s">
        <v>196</v>
      </c>
      <c r="U25" s="191">
        <f t="shared" si="1"/>
        <v>360000</v>
      </c>
      <c r="Y25" s="196"/>
    </row>
    <row r="26" spans="2:25" x14ac:dyDescent="0.2">
      <c r="B26" s="30" t="s">
        <v>57</v>
      </c>
      <c r="C26" s="30">
        <v>43874518</v>
      </c>
      <c r="D26" s="30" t="s">
        <v>60</v>
      </c>
      <c r="E26" s="30" t="s">
        <v>131</v>
      </c>
      <c r="F26" s="189" t="s">
        <v>270</v>
      </c>
      <c r="G26" s="190">
        <v>42373</v>
      </c>
      <c r="M26" s="58" t="s">
        <v>132</v>
      </c>
      <c r="N26" s="57" t="s">
        <v>196</v>
      </c>
      <c r="U26" s="191">
        <f t="shared" si="1"/>
        <v>370000</v>
      </c>
      <c r="Y26" s="195"/>
    </row>
    <row r="27" spans="2:25" x14ac:dyDescent="0.2">
      <c r="B27" s="30" t="s">
        <v>258</v>
      </c>
      <c r="C27" s="30">
        <v>1130676531</v>
      </c>
      <c r="D27" s="30" t="s">
        <v>262</v>
      </c>
      <c r="E27" s="30" t="s">
        <v>252</v>
      </c>
      <c r="F27" s="189" t="s">
        <v>270</v>
      </c>
      <c r="G27" s="190">
        <v>43213</v>
      </c>
      <c r="M27" s="58" t="s">
        <v>134</v>
      </c>
      <c r="N27" s="57" t="s">
        <v>196</v>
      </c>
      <c r="U27" s="191">
        <f>+U26+10000</f>
        <v>380000</v>
      </c>
      <c r="Y27" s="196"/>
    </row>
    <row r="28" spans="2:25" x14ac:dyDescent="0.2">
      <c r="B28" s="30" t="s">
        <v>101</v>
      </c>
      <c r="C28" s="30">
        <v>21428423</v>
      </c>
      <c r="D28" s="30" t="s">
        <v>154</v>
      </c>
      <c r="E28" s="30" t="s">
        <v>125</v>
      </c>
      <c r="F28" s="189" t="s">
        <v>270</v>
      </c>
      <c r="G28" s="190">
        <v>42740</v>
      </c>
      <c r="M28" s="58" t="s">
        <v>128</v>
      </c>
      <c r="N28" s="57" t="s">
        <v>196</v>
      </c>
      <c r="U28" s="191">
        <f t="shared" si="1"/>
        <v>390000</v>
      </c>
      <c r="Y28" s="195"/>
    </row>
    <row r="29" spans="2:25" x14ac:dyDescent="0.2">
      <c r="B29" s="192" t="s">
        <v>91</v>
      </c>
      <c r="C29" s="192">
        <v>43114534</v>
      </c>
      <c r="D29" s="192" t="s">
        <v>95</v>
      </c>
      <c r="E29" s="192" t="s">
        <v>127</v>
      </c>
      <c r="F29" s="193" t="s">
        <v>311</v>
      </c>
      <c r="G29" s="194">
        <v>42709</v>
      </c>
      <c r="M29" s="58" t="s">
        <v>127</v>
      </c>
      <c r="N29" s="57" t="s">
        <v>196</v>
      </c>
      <c r="U29" s="191">
        <f>+U28+10000</f>
        <v>400000</v>
      </c>
      <c r="Y29" s="196"/>
    </row>
    <row r="30" spans="2:25" x14ac:dyDescent="0.2">
      <c r="B30" s="30" t="s">
        <v>2</v>
      </c>
      <c r="C30" s="30">
        <v>52260671</v>
      </c>
      <c r="D30" s="30" t="s">
        <v>26</v>
      </c>
      <c r="E30" s="30" t="s">
        <v>126</v>
      </c>
      <c r="F30" s="189" t="s">
        <v>270</v>
      </c>
      <c r="G30" s="190">
        <v>41715</v>
      </c>
      <c r="M30" s="58" t="s">
        <v>126</v>
      </c>
      <c r="N30" s="57" t="s">
        <v>205</v>
      </c>
      <c r="Y30" s="195"/>
    </row>
    <row r="31" spans="2:25" x14ac:dyDescent="0.2">
      <c r="B31" s="192" t="s">
        <v>37</v>
      </c>
      <c r="C31" s="192">
        <v>1036779770</v>
      </c>
      <c r="D31" s="192" t="s">
        <v>52</v>
      </c>
      <c r="E31" s="192" t="s">
        <v>132</v>
      </c>
      <c r="F31" s="193" t="s">
        <v>311</v>
      </c>
      <c r="G31" s="194">
        <v>42219</v>
      </c>
      <c r="M31" s="58" t="s">
        <v>130</v>
      </c>
      <c r="N31" s="57" t="s">
        <v>205</v>
      </c>
      <c r="Y31" s="196"/>
    </row>
    <row r="32" spans="2:25" x14ac:dyDescent="0.2">
      <c r="B32" s="30" t="s">
        <v>298</v>
      </c>
      <c r="C32" s="30">
        <v>6228363</v>
      </c>
      <c r="D32" s="30" t="s">
        <v>310</v>
      </c>
      <c r="E32" s="30" t="s">
        <v>252</v>
      </c>
      <c r="F32" s="189" t="s">
        <v>270</v>
      </c>
      <c r="G32" s="190"/>
      <c r="M32" s="58" t="s">
        <v>133</v>
      </c>
      <c r="N32" s="57" t="s">
        <v>205</v>
      </c>
      <c r="Y32" s="195"/>
    </row>
    <row r="33" spans="2:25" x14ac:dyDescent="0.2">
      <c r="B33" s="30" t="s">
        <v>308</v>
      </c>
      <c r="C33" s="30">
        <v>1128402269</v>
      </c>
      <c r="D33" s="30" t="s">
        <v>309</v>
      </c>
      <c r="E33" s="30" t="s">
        <v>129</v>
      </c>
      <c r="F33" s="189" t="s">
        <v>270</v>
      </c>
      <c r="G33" s="190"/>
      <c r="M33" s="58" t="s">
        <v>219</v>
      </c>
      <c r="N33" s="57" t="s">
        <v>205</v>
      </c>
      <c r="Y33" s="196"/>
    </row>
    <row r="34" spans="2:25" x14ac:dyDescent="0.2">
      <c r="B34" s="30" t="s">
        <v>259</v>
      </c>
      <c r="C34" s="30">
        <v>1020399898</v>
      </c>
      <c r="D34" s="30" t="s">
        <v>260</v>
      </c>
      <c r="E34" s="30" t="s">
        <v>300</v>
      </c>
      <c r="F34" s="189" t="s">
        <v>270</v>
      </c>
      <c r="G34" s="190"/>
      <c r="M34" s="58" t="s">
        <v>137</v>
      </c>
      <c r="N34" s="57" t="s">
        <v>215</v>
      </c>
      <c r="Y34" s="195"/>
    </row>
    <row r="35" spans="2:25" x14ac:dyDescent="0.2">
      <c r="B35" s="30" t="s">
        <v>64</v>
      </c>
      <c r="C35" s="30">
        <v>1036598360</v>
      </c>
      <c r="D35" s="30" t="s">
        <v>146</v>
      </c>
      <c r="E35" s="30" t="s">
        <v>131</v>
      </c>
      <c r="F35" s="189" t="s">
        <v>270</v>
      </c>
      <c r="G35" s="190">
        <v>42464</v>
      </c>
      <c r="M35" s="58" t="s">
        <v>123</v>
      </c>
      <c r="N35" s="57" t="s">
        <v>215</v>
      </c>
    </row>
    <row r="36" spans="2:25" x14ac:dyDescent="0.2">
      <c r="B36" s="30" t="s">
        <v>261</v>
      </c>
      <c r="C36" s="30">
        <v>1020425089</v>
      </c>
      <c r="D36" s="30" t="s">
        <v>271</v>
      </c>
      <c r="E36" s="30" t="s">
        <v>131</v>
      </c>
      <c r="F36" s="189" t="s">
        <v>270</v>
      </c>
      <c r="G36" s="190">
        <v>43222</v>
      </c>
      <c r="M36" s="57" t="s">
        <v>136</v>
      </c>
      <c r="N36" s="57" t="s">
        <v>215</v>
      </c>
    </row>
    <row r="37" spans="2:25" x14ac:dyDescent="0.2">
      <c r="B37" s="30" t="s">
        <v>20</v>
      </c>
      <c r="C37" s="30">
        <v>1017141451</v>
      </c>
      <c r="D37" s="30" t="s">
        <v>44</v>
      </c>
      <c r="E37" s="30" t="s">
        <v>129</v>
      </c>
      <c r="F37" s="189" t="s">
        <v>270</v>
      </c>
      <c r="G37" s="190">
        <v>40834</v>
      </c>
      <c r="M37" s="57" t="s">
        <v>220</v>
      </c>
      <c r="N37" s="57" t="s">
        <v>196</v>
      </c>
    </row>
    <row r="38" spans="2:25" x14ac:dyDescent="0.2">
      <c r="B38" s="30" t="s">
        <v>290</v>
      </c>
      <c r="C38" s="30">
        <v>1128442101</v>
      </c>
      <c r="D38" s="30" t="s">
        <v>291</v>
      </c>
      <c r="E38" s="30" t="s">
        <v>300</v>
      </c>
      <c r="F38" s="189" t="s">
        <v>270</v>
      </c>
      <c r="G38" s="190"/>
      <c r="M38" s="57" t="s">
        <v>221</v>
      </c>
      <c r="N38" s="57" t="s">
        <v>196</v>
      </c>
    </row>
    <row r="39" spans="2:25" x14ac:dyDescent="0.2">
      <c r="B39" s="30" t="s">
        <v>191</v>
      </c>
      <c r="C39" s="30">
        <v>1010207310</v>
      </c>
      <c r="D39" s="30" t="s">
        <v>253</v>
      </c>
      <c r="E39" s="30" t="s">
        <v>130</v>
      </c>
      <c r="F39" s="189" t="s">
        <v>270</v>
      </c>
      <c r="G39" s="190">
        <v>43206</v>
      </c>
      <c r="M39" s="57" t="s">
        <v>222</v>
      </c>
      <c r="N39" s="57" t="s">
        <v>196</v>
      </c>
    </row>
    <row r="40" spans="2:25" x14ac:dyDescent="0.2">
      <c r="B40" s="30" t="s">
        <v>38</v>
      </c>
      <c r="C40" s="30">
        <v>43745192</v>
      </c>
      <c r="D40" s="30" t="s">
        <v>45</v>
      </c>
      <c r="E40" s="30" t="s">
        <v>300</v>
      </c>
      <c r="F40" s="189" t="s">
        <v>270</v>
      </c>
      <c r="G40" s="190">
        <v>42114</v>
      </c>
      <c r="M40" s="57" t="s">
        <v>223</v>
      </c>
      <c r="N40" s="57" t="s">
        <v>196</v>
      </c>
    </row>
    <row r="41" spans="2:25" x14ac:dyDescent="0.2">
      <c r="B41" s="30" t="s">
        <v>299</v>
      </c>
      <c r="C41" s="30">
        <v>1232400088</v>
      </c>
      <c r="D41" s="30" t="s">
        <v>304</v>
      </c>
      <c r="E41" s="30" t="s">
        <v>300</v>
      </c>
      <c r="F41" s="189" t="s">
        <v>270</v>
      </c>
      <c r="G41" s="190"/>
      <c r="M41" s="57" t="s">
        <v>224</v>
      </c>
      <c r="N41" s="57" t="s">
        <v>196</v>
      </c>
    </row>
    <row r="42" spans="2:25" x14ac:dyDescent="0.2">
      <c r="B42" s="30" t="s">
        <v>13</v>
      </c>
      <c r="C42" s="30">
        <v>43866877</v>
      </c>
      <c r="D42" s="30" t="s">
        <v>46</v>
      </c>
      <c r="E42" s="30" t="s">
        <v>125</v>
      </c>
      <c r="F42" s="189" t="s">
        <v>270</v>
      </c>
      <c r="G42" s="190">
        <v>40618</v>
      </c>
      <c r="M42" s="57" t="s">
        <v>225</v>
      </c>
      <c r="N42" s="57" t="s">
        <v>205</v>
      </c>
    </row>
    <row r="43" spans="2:25" x14ac:dyDescent="0.2">
      <c r="B43" s="30" t="s">
        <v>284</v>
      </c>
      <c r="C43" s="30">
        <v>1128267208</v>
      </c>
      <c r="D43" s="30" t="s">
        <v>285</v>
      </c>
      <c r="E43" s="30" t="s">
        <v>132</v>
      </c>
      <c r="F43" s="189" t="s">
        <v>270</v>
      </c>
      <c r="G43" s="190"/>
      <c r="M43" s="57" t="s">
        <v>226</v>
      </c>
      <c r="N43" s="57" t="s">
        <v>205</v>
      </c>
    </row>
    <row r="44" spans="2:25" x14ac:dyDescent="0.2">
      <c r="B44" s="30" t="s">
        <v>269</v>
      </c>
      <c r="C44" s="30">
        <v>1001131473</v>
      </c>
      <c r="D44" s="30" t="s">
        <v>331</v>
      </c>
      <c r="E44" s="30" t="s">
        <v>125</v>
      </c>
      <c r="F44" s="189" t="s">
        <v>270</v>
      </c>
      <c r="G44" s="190"/>
      <c r="M44" s="57" t="s">
        <v>227</v>
      </c>
      <c r="N44" s="57" t="s">
        <v>215</v>
      </c>
    </row>
    <row r="45" spans="2:25" x14ac:dyDescent="0.2">
      <c r="B45" s="30" t="s">
        <v>17</v>
      </c>
      <c r="C45" s="30">
        <v>43113640</v>
      </c>
      <c r="D45" s="30" t="s">
        <v>47</v>
      </c>
      <c r="E45" s="30" t="s">
        <v>127</v>
      </c>
      <c r="F45" s="189" t="s">
        <v>270</v>
      </c>
      <c r="G45" s="190">
        <v>40546</v>
      </c>
      <c r="M45" s="57" t="s">
        <v>228</v>
      </c>
      <c r="N45" s="57" t="s">
        <v>215</v>
      </c>
    </row>
    <row r="46" spans="2:25" x14ac:dyDescent="0.2">
      <c r="B46" s="30" t="s">
        <v>24</v>
      </c>
      <c r="C46" s="30">
        <v>39448823</v>
      </c>
      <c r="D46" s="30" t="s">
        <v>48</v>
      </c>
      <c r="E46" s="30" t="s">
        <v>132</v>
      </c>
      <c r="F46" s="189" t="s">
        <v>270</v>
      </c>
      <c r="G46" s="190">
        <v>41263</v>
      </c>
      <c r="M46" s="57" t="s">
        <v>229</v>
      </c>
      <c r="N46" s="57" t="s">
        <v>211</v>
      </c>
    </row>
    <row r="47" spans="2:25" x14ac:dyDescent="0.2">
      <c r="B47" s="30" t="s">
        <v>276</v>
      </c>
      <c r="C47" s="30">
        <v>1035224144</v>
      </c>
      <c r="D47" s="30" t="s">
        <v>286</v>
      </c>
      <c r="E47" s="30" t="s">
        <v>300</v>
      </c>
      <c r="F47" s="189" t="s">
        <v>270</v>
      </c>
      <c r="G47" s="190"/>
      <c r="M47" s="57" t="s">
        <v>230</v>
      </c>
      <c r="N47" s="57" t="s">
        <v>196</v>
      </c>
    </row>
    <row r="48" spans="2:25" x14ac:dyDescent="0.2">
      <c r="B48" s="192" t="s">
        <v>237</v>
      </c>
      <c r="C48" s="192">
        <v>1151951440</v>
      </c>
      <c r="D48" s="192" t="s">
        <v>238</v>
      </c>
      <c r="E48" s="192" t="s">
        <v>252</v>
      </c>
      <c r="F48" s="193" t="s">
        <v>311</v>
      </c>
      <c r="G48" s="194">
        <v>43116</v>
      </c>
      <c r="M48" s="57" t="s">
        <v>231</v>
      </c>
      <c r="N48" s="57" t="s">
        <v>205</v>
      </c>
    </row>
    <row r="49" spans="2:14" x14ac:dyDescent="0.2">
      <c r="B49" s="192" t="s">
        <v>254</v>
      </c>
      <c r="C49" s="192">
        <v>1095794354</v>
      </c>
      <c r="D49" s="192" t="s">
        <v>255</v>
      </c>
      <c r="E49" s="192" t="s">
        <v>123</v>
      </c>
      <c r="F49" s="193" t="s">
        <v>311</v>
      </c>
      <c r="G49" s="194">
        <v>43195</v>
      </c>
      <c r="M49" s="57" t="s">
        <v>232</v>
      </c>
      <c r="N49" s="57" t="s">
        <v>196</v>
      </c>
    </row>
    <row r="50" spans="2:14" x14ac:dyDescent="0.2">
      <c r="B50" s="30" t="s">
        <v>23</v>
      </c>
      <c r="C50" s="30">
        <v>43907427</v>
      </c>
      <c r="D50" s="30" t="s">
        <v>144</v>
      </c>
      <c r="E50" s="30" t="s">
        <v>128</v>
      </c>
      <c r="F50" s="189" t="s">
        <v>270</v>
      </c>
      <c r="G50" s="190">
        <v>41198</v>
      </c>
      <c r="M50" s="59" t="s">
        <v>233</v>
      </c>
      <c r="N50" s="59" t="s">
        <v>215</v>
      </c>
    </row>
    <row r="51" spans="2:14" x14ac:dyDescent="0.2">
      <c r="B51" s="30" t="s">
        <v>181</v>
      </c>
      <c r="C51" s="30">
        <v>32183069</v>
      </c>
      <c r="D51" s="30" t="s">
        <v>182</v>
      </c>
      <c r="E51" s="30" t="s">
        <v>129</v>
      </c>
      <c r="F51" s="189" t="s">
        <v>270</v>
      </c>
      <c r="G51" s="190">
        <v>43040</v>
      </c>
      <c r="M51" s="59" t="s">
        <v>252</v>
      </c>
      <c r="N51" s="59" t="s">
        <v>215</v>
      </c>
    </row>
    <row r="52" spans="2:14" x14ac:dyDescent="0.2">
      <c r="B52" s="30" t="s">
        <v>235</v>
      </c>
      <c r="C52" s="30">
        <v>39275090</v>
      </c>
      <c r="D52" s="30" t="s">
        <v>236</v>
      </c>
      <c r="E52" s="30" t="s">
        <v>127</v>
      </c>
      <c r="F52" s="189" t="s">
        <v>270</v>
      </c>
      <c r="G52" s="190">
        <v>43073</v>
      </c>
      <c r="M52" s="59" t="s">
        <v>301</v>
      </c>
      <c r="N52" s="59" t="s">
        <v>215</v>
      </c>
    </row>
    <row r="53" spans="2:14" x14ac:dyDescent="0.2">
      <c r="B53" s="30" t="s">
        <v>88</v>
      </c>
      <c r="C53" s="30">
        <v>31445278</v>
      </c>
      <c r="D53" s="30" t="s">
        <v>93</v>
      </c>
      <c r="E53" s="30" t="s">
        <v>301</v>
      </c>
      <c r="F53" s="189" t="s">
        <v>270</v>
      </c>
      <c r="G53" s="190">
        <v>42711</v>
      </c>
      <c r="M53" s="59" t="s">
        <v>300</v>
      </c>
      <c r="N53" s="59" t="s">
        <v>196</v>
      </c>
    </row>
    <row r="54" spans="2:14" x14ac:dyDescent="0.2">
      <c r="B54" s="30" t="s">
        <v>62</v>
      </c>
      <c r="C54" s="30">
        <v>32256379</v>
      </c>
      <c r="D54" s="30" t="s">
        <v>61</v>
      </c>
      <c r="E54" s="30" t="s">
        <v>124</v>
      </c>
      <c r="F54" s="189" t="s">
        <v>270</v>
      </c>
      <c r="G54" s="190">
        <v>42436</v>
      </c>
    </row>
    <row r="55" spans="2:14" x14ac:dyDescent="0.2">
      <c r="B55" s="192" t="s">
        <v>4</v>
      </c>
      <c r="C55" s="192">
        <v>79701425</v>
      </c>
      <c r="D55" s="192" t="s">
        <v>27</v>
      </c>
      <c r="E55" s="192" t="s">
        <v>130</v>
      </c>
      <c r="F55" s="193" t="s">
        <v>311</v>
      </c>
      <c r="G55" s="194">
        <v>41337</v>
      </c>
    </row>
    <row r="56" spans="2:14" x14ac:dyDescent="0.2">
      <c r="B56" s="30" t="s">
        <v>5</v>
      </c>
      <c r="C56" s="30">
        <v>34542470</v>
      </c>
      <c r="D56" s="30" t="s">
        <v>28</v>
      </c>
      <c r="E56" s="30" t="s">
        <v>137</v>
      </c>
      <c r="F56" s="189" t="s">
        <v>270</v>
      </c>
      <c r="G56" s="190">
        <v>41778</v>
      </c>
    </row>
    <row r="57" spans="2:14" x14ac:dyDescent="0.2">
      <c r="B57" s="30" t="s">
        <v>265</v>
      </c>
      <c r="C57" s="30">
        <v>39175639</v>
      </c>
      <c r="D57" s="30" t="s">
        <v>268</v>
      </c>
      <c r="E57" s="30" t="s">
        <v>125</v>
      </c>
      <c r="F57" s="189" t="s">
        <v>270</v>
      </c>
      <c r="G57" s="190"/>
    </row>
    <row r="58" spans="2:14" x14ac:dyDescent="0.2">
      <c r="B58" s="30" t="s">
        <v>103</v>
      </c>
      <c r="C58" s="30">
        <v>1020409789</v>
      </c>
      <c r="D58" s="30" t="s">
        <v>145</v>
      </c>
      <c r="E58" s="30" t="s">
        <v>129</v>
      </c>
      <c r="F58" s="189" t="s">
        <v>270</v>
      </c>
      <c r="G58" s="190">
        <v>39818</v>
      </c>
    </row>
    <row r="59" spans="2:14" x14ac:dyDescent="0.2">
      <c r="B59" s="30" t="s">
        <v>149</v>
      </c>
      <c r="C59" s="30">
        <v>1130597373</v>
      </c>
      <c r="D59" s="30" t="s">
        <v>150</v>
      </c>
      <c r="E59" s="30" t="s">
        <v>252</v>
      </c>
      <c r="F59" s="189" t="s">
        <v>270</v>
      </c>
      <c r="G59" s="190">
        <v>42857</v>
      </c>
    </row>
    <row r="60" spans="2:14" x14ac:dyDescent="0.2">
      <c r="B60" s="30" t="s">
        <v>266</v>
      </c>
      <c r="C60" s="30">
        <v>1128476466</v>
      </c>
      <c r="D60" s="30" t="s">
        <v>267</v>
      </c>
      <c r="E60" s="30" t="s">
        <v>127</v>
      </c>
      <c r="F60" s="189" t="s">
        <v>270</v>
      </c>
      <c r="G60" s="190"/>
    </row>
    <row r="61" spans="2:14" x14ac:dyDescent="0.2">
      <c r="B61" s="30" t="s">
        <v>292</v>
      </c>
      <c r="C61" s="30">
        <v>32352312</v>
      </c>
      <c r="D61" s="30" t="s">
        <v>293</v>
      </c>
      <c r="E61" s="30" t="s">
        <v>127</v>
      </c>
      <c r="F61" s="189" t="s">
        <v>270</v>
      </c>
      <c r="G61" s="190"/>
    </row>
    <row r="62" spans="2:14" x14ac:dyDescent="0.2">
      <c r="B62" s="30" t="s">
        <v>7</v>
      </c>
      <c r="C62" s="30">
        <v>43745952</v>
      </c>
      <c r="D62" s="30" t="s">
        <v>50</v>
      </c>
      <c r="E62" s="30" t="s">
        <v>134</v>
      </c>
      <c r="F62" s="189" t="s">
        <v>270</v>
      </c>
      <c r="G62" s="190">
        <v>39417</v>
      </c>
    </row>
    <row r="63" spans="2:14" x14ac:dyDescent="0.2">
      <c r="B63" s="192" t="s">
        <v>169</v>
      </c>
      <c r="C63" s="192">
        <v>66857504</v>
      </c>
      <c r="D63" s="192" t="s">
        <v>170</v>
      </c>
      <c r="E63" s="192" t="e">
        <v>#N/A</v>
      </c>
      <c r="F63" s="193" t="s">
        <v>311</v>
      </c>
      <c r="G63" s="194"/>
    </row>
    <row r="64" spans="2:14" x14ac:dyDescent="0.2">
      <c r="B64" s="30" t="s">
        <v>177</v>
      </c>
      <c r="C64" s="30">
        <v>1035913369</v>
      </c>
      <c r="D64" s="30" t="s">
        <v>183</v>
      </c>
      <c r="E64" s="30" t="s">
        <v>125</v>
      </c>
      <c r="F64" s="189" t="s">
        <v>270</v>
      </c>
      <c r="G64" s="190">
        <v>43040</v>
      </c>
    </row>
    <row r="65" spans="2:7" x14ac:dyDescent="0.2">
      <c r="B65" s="30" t="s">
        <v>90</v>
      </c>
      <c r="C65" s="30">
        <v>1020419011</v>
      </c>
      <c r="D65" s="30" t="s">
        <v>97</v>
      </c>
      <c r="E65" s="30" t="s">
        <v>131</v>
      </c>
      <c r="F65" s="189" t="s">
        <v>270</v>
      </c>
      <c r="G65" s="190">
        <v>42709</v>
      </c>
    </row>
    <row r="66" spans="2:7" x14ac:dyDescent="0.2">
      <c r="B66" s="30" t="s">
        <v>121</v>
      </c>
      <c r="C66" s="30">
        <v>21982241</v>
      </c>
      <c r="D66" s="30" t="s">
        <v>143</v>
      </c>
      <c r="E66" s="30" t="s">
        <v>135</v>
      </c>
      <c r="F66" s="189" t="s">
        <v>270</v>
      </c>
      <c r="G66" s="190">
        <v>42887</v>
      </c>
    </row>
    <row r="67" spans="2:7" x14ac:dyDescent="0.2">
      <c r="B67" s="30" t="s">
        <v>117</v>
      </c>
      <c r="C67" s="30">
        <v>1020419615</v>
      </c>
      <c r="D67" s="30" t="s">
        <v>118</v>
      </c>
      <c r="E67" s="30" t="s">
        <v>131</v>
      </c>
      <c r="F67" s="189" t="s">
        <v>270</v>
      </c>
      <c r="G67" s="190">
        <v>42842</v>
      </c>
    </row>
    <row r="68" spans="2:7" x14ac:dyDescent="0.2">
      <c r="B68" s="30" t="s">
        <v>8</v>
      </c>
      <c r="C68" s="30">
        <v>43259130</v>
      </c>
      <c r="D68" s="30" t="s">
        <v>51</v>
      </c>
      <c r="E68" s="30" t="s">
        <v>129</v>
      </c>
      <c r="F68" s="189" t="s">
        <v>270</v>
      </c>
      <c r="G68" s="190">
        <v>41302</v>
      </c>
    </row>
    <row r="69" spans="2:7" x14ac:dyDescent="0.2">
      <c r="B69" s="30" t="s">
        <v>328</v>
      </c>
      <c r="C69" s="30">
        <v>79805095</v>
      </c>
      <c r="D69" s="30" t="s">
        <v>443</v>
      </c>
      <c r="E69" s="30" t="s">
        <v>130</v>
      </c>
      <c r="F69" s="189" t="s">
        <v>270</v>
      </c>
      <c r="G69" s="190"/>
    </row>
  </sheetData>
  <sortState ref="B2:G133">
    <sortCondition ref="B2:B133"/>
  </sortState>
  <mergeCells count="1">
    <mergeCell ref="I1:K1"/>
  </mergeCells>
  <conditionalFormatting sqref="D70:D1048576">
    <cfRule type="duplicateValues" dxfId="55" priority="28"/>
  </conditionalFormatting>
  <conditionalFormatting sqref="B70:C1048576">
    <cfRule type="duplicateValues" dxfId="54" priority="26"/>
  </conditionalFormatting>
  <conditionalFormatting sqref="B70:C1048576">
    <cfRule type="duplicateValues" dxfId="53" priority="23"/>
  </conditionalFormatting>
  <conditionalFormatting sqref="B70:B1048576">
    <cfRule type="duplicateValues" dxfId="52" priority="16"/>
  </conditionalFormatting>
  <conditionalFormatting sqref="C70:C1048576">
    <cfRule type="duplicateValues" dxfId="51" priority="15"/>
  </conditionalFormatting>
  <conditionalFormatting sqref="D70:D1048576">
    <cfRule type="duplicateValues" dxfId="50" priority="14"/>
  </conditionalFormatting>
  <conditionalFormatting sqref="M1:M53">
    <cfRule type="duplicateValues" dxfId="49" priority="13"/>
  </conditionalFormatting>
  <conditionalFormatting sqref="D1:D2">
    <cfRule type="duplicateValues" dxfId="48" priority="10"/>
  </conditionalFormatting>
  <conditionalFormatting sqref="B1:C2">
    <cfRule type="duplicateValues" dxfId="47" priority="9"/>
  </conditionalFormatting>
  <conditionalFormatting sqref="B1:B68">
    <cfRule type="duplicateValues" dxfId="46" priority="8"/>
  </conditionalFormatting>
  <conditionalFormatting sqref="C1:C68">
    <cfRule type="duplicateValues" dxfId="45" priority="7"/>
  </conditionalFormatting>
  <conditionalFormatting sqref="D1:D68">
    <cfRule type="duplicateValues" dxfId="44" priority="6"/>
  </conditionalFormatting>
  <conditionalFormatting sqref="D3:D68">
    <cfRule type="duplicateValues" dxfId="43" priority="11"/>
  </conditionalFormatting>
  <conditionalFormatting sqref="B3:C68">
    <cfRule type="duplicateValues" dxfId="42" priority="12"/>
  </conditionalFormatting>
  <conditionalFormatting sqref="B69">
    <cfRule type="duplicateValues" dxfId="41" priority="3"/>
  </conditionalFormatting>
  <conditionalFormatting sqref="C69">
    <cfRule type="duplicateValues" dxfId="40" priority="2"/>
  </conditionalFormatting>
  <conditionalFormatting sqref="D69">
    <cfRule type="duplicateValues" dxfId="39" priority="1"/>
  </conditionalFormatting>
  <conditionalFormatting sqref="D69">
    <cfRule type="duplicateValues" dxfId="38" priority="4"/>
  </conditionalFormatting>
  <conditionalFormatting sqref="B69:C69">
    <cfRule type="duplicateValues" dxfId="37" priority="5"/>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7"/>
  <sheetViews>
    <sheetView showGridLines="0" zoomScale="85" zoomScaleNormal="85" workbookViewId="0">
      <selection activeCell="P33" sqref="P33:Q33"/>
    </sheetView>
  </sheetViews>
  <sheetFormatPr baseColWidth="10" defaultRowHeight="15" x14ac:dyDescent="0.25"/>
  <cols>
    <col min="1" max="1" width="3.140625" bestFit="1" customWidth="1"/>
    <col min="2" max="2" width="14.42578125" customWidth="1"/>
    <col min="3" max="3" width="32.42578125" customWidth="1"/>
    <col min="4" max="4" width="29.5703125" customWidth="1"/>
    <col min="5" max="5" width="21" customWidth="1"/>
    <col min="6" max="6" width="20" customWidth="1"/>
    <col min="7" max="7" width="24.7109375" bestFit="1" customWidth="1"/>
    <col min="8" max="9" width="23.7109375" customWidth="1"/>
    <col min="10" max="10" width="22.7109375" customWidth="1"/>
    <col min="11" max="11" width="24.7109375" customWidth="1"/>
    <col min="12" max="12" width="23.7109375" customWidth="1"/>
    <col min="13" max="14" width="24.140625" bestFit="1" customWidth="1"/>
    <col min="15" max="15" width="25.28515625" bestFit="1" customWidth="1"/>
    <col min="16" max="16" width="24.140625" bestFit="1" customWidth="1"/>
    <col min="17" max="17" width="29.140625" bestFit="1" customWidth="1"/>
    <col min="18" max="18" width="28" bestFit="1" customWidth="1"/>
  </cols>
  <sheetData>
    <row r="3" spans="1:10" x14ac:dyDescent="0.25">
      <c r="B3" s="61" t="s">
        <v>334</v>
      </c>
      <c r="C3" t="s">
        <v>125</v>
      </c>
    </row>
    <row r="4" spans="1:10" x14ac:dyDescent="0.25">
      <c r="B4" s="61" t="s">
        <v>174</v>
      </c>
      <c r="C4" t="s">
        <v>270</v>
      </c>
    </row>
    <row r="5" spans="1:10" x14ac:dyDescent="0.25">
      <c r="B5" s="61" t="s">
        <v>30</v>
      </c>
      <c r="C5" t="s">
        <v>35</v>
      </c>
      <c r="D5" t="str">
        <f>+VLOOKUP(C5,'BD ASR'!G:R,12,0)</f>
        <v>Siempre Cumple</v>
      </c>
    </row>
    <row r="7" spans="1:10" x14ac:dyDescent="0.25">
      <c r="B7" s="61" t="s">
        <v>234</v>
      </c>
      <c r="C7" t="s">
        <v>344</v>
      </c>
      <c r="D7" t="s">
        <v>345</v>
      </c>
      <c r="E7" t="s">
        <v>373</v>
      </c>
      <c r="F7" t="s">
        <v>374</v>
      </c>
      <c r="G7" t="s">
        <v>375</v>
      </c>
      <c r="H7" t="s">
        <v>376</v>
      </c>
      <c r="I7" t="s">
        <v>377</v>
      </c>
      <c r="J7" t="s">
        <v>378</v>
      </c>
    </row>
    <row r="8" spans="1:10" x14ac:dyDescent="0.25">
      <c r="A8" s="92">
        <v>1</v>
      </c>
      <c r="B8" t="s">
        <v>390</v>
      </c>
      <c r="C8" s="62">
        <v>53698589</v>
      </c>
      <c r="D8" s="62">
        <v>42000000</v>
      </c>
      <c r="E8" s="62">
        <v>115</v>
      </c>
      <c r="F8" s="62">
        <v>11734633</v>
      </c>
      <c r="G8" s="62">
        <v>265</v>
      </c>
      <c r="H8" s="62">
        <v>35660745</v>
      </c>
      <c r="I8" s="62">
        <v>147</v>
      </c>
      <c r="J8" s="62">
        <v>13391211</v>
      </c>
    </row>
    <row r="9" spans="1:10" x14ac:dyDescent="0.25">
      <c r="A9" s="92">
        <v>2</v>
      </c>
      <c r="B9" t="s">
        <v>391</v>
      </c>
      <c r="C9" s="62">
        <v>34215753</v>
      </c>
      <c r="D9" s="62">
        <v>11760000</v>
      </c>
      <c r="E9" s="62">
        <v>75</v>
      </c>
      <c r="F9" s="62">
        <v>7143525</v>
      </c>
      <c r="G9" s="62">
        <v>186</v>
      </c>
      <c r="H9" s="62">
        <v>23140191</v>
      </c>
      <c r="I9" s="62">
        <v>98</v>
      </c>
      <c r="J9" s="62">
        <v>9598406</v>
      </c>
    </row>
    <row r="10" spans="1:10" x14ac:dyDescent="0.25">
      <c r="A10" s="92">
        <v>3</v>
      </c>
      <c r="B10" t="s">
        <v>392</v>
      </c>
      <c r="C10" s="62">
        <v>44416454</v>
      </c>
      <c r="D10" s="62">
        <v>42000000</v>
      </c>
      <c r="E10" s="62">
        <v>92</v>
      </c>
      <c r="F10" s="62">
        <v>9636178</v>
      </c>
      <c r="G10" s="62">
        <v>228</v>
      </c>
      <c r="H10" s="62">
        <v>28926721</v>
      </c>
      <c r="I10" s="62">
        <v>107</v>
      </c>
      <c r="J10" s="62">
        <v>10386459</v>
      </c>
    </row>
    <row r="11" spans="1:10" x14ac:dyDescent="0.25">
      <c r="A11" s="92">
        <v>4</v>
      </c>
      <c r="B11" t="s">
        <v>393</v>
      </c>
      <c r="C11" s="62">
        <v>53110550</v>
      </c>
      <c r="D11" s="62">
        <v>42000000</v>
      </c>
      <c r="E11" s="62">
        <v>108</v>
      </c>
      <c r="F11" s="62">
        <v>12929543</v>
      </c>
      <c r="G11" s="62">
        <v>245</v>
      </c>
      <c r="H11" s="62">
        <v>28901743</v>
      </c>
      <c r="I11" s="62">
        <v>150</v>
      </c>
      <c r="J11" s="62">
        <v>14727684</v>
      </c>
    </row>
    <row r="12" spans="1:10" x14ac:dyDescent="0.25">
      <c r="A12" s="92">
        <v>5</v>
      </c>
      <c r="B12" t="s">
        <v>394</v>
      </c>
      <c r="C12" s="62">
        <v>48159324</v>
      </c>
      <c r="D12" s="62">
        <v>42000000</v>
      </c>
      <c r="E12" s="62">
        <v>87</v>
      </c>
      <c r="F12" s="62">
        <v>9608293</v>
      </c>
      <c r="G12" s="62">
        <v>228</v>
      </c>
      <c r="H12" s="62">
        <v>31539682</v>
      </c>
      <c r="I12" s="62">
        <v>128</v>
      </c>
      <c r="J12" s="62">
        <v>13402752</v>
      </c>
    </row>
    <row r="13" spans="1:10" x14ac:dyDescent="0.25">
      <c r="A13" s="92">
        <v>6</v>
      </c>
      <c r="B13" t="s">
        <v>338</v>
      </c>
      <c r="C13" s="62">
        <v>47852252</v>
      </c>
      <c r="D13" s="62">
        <v>42000000</v>
      </c>
      <c r="E13" s="62">
        <v>106</v>
      </c>
      <c r="F13" s="62">
        <v>11768030</v>
      </c>
      <c r="G13" s="62">
        <v>238</v>
      </c>
      <c r="H13" s="62">
        <v>28157803</v>
      </c>
      <c r="I13" s="62">
        <v>159</v>
      </c>
      <c r="J13" s="62">
        <v>15466183</v>
      </c>
    </row>
    <row r="14" spans="1:10" x14ac:dyDescent="0.25">
      <c r="A14" s="92">
        <v>7</v>
      </c>
      <c r="B14" t="s">
        <v>339</v>
      </c>
      <c r="C14" s="62">
        <v>49009236</v>
      </c>
      <c r="D14" s="62">
        <v>42000010</v>
      </c>
      <c r="E14" s="62">
        <v>102</v>
      </c>
      <c r="F14" s="62">
        <v>11011276</v>
      </c>
      <c r="G14" s="62">
        <v>232</v>
      </c>
      <c r="H14" s="62">
        <v>29105028</v>
      </c>
      <c r="I14" s="62">
        <v>113</v>
      </c>
      <c r="J14" s="62">
        <v>10868367</v>
      </c>
    </row>
    <row r="15" spans="1:10" x14ac:dyDescent="0.25">
      <c r="A15" s="92">
        <v>8</v>
      </c>
      <c r="B15" t="s">
        <v>340</v>
      </c>
      <c r="C15" s="62">
        <v>43609600</v>
      </c>
      <c r="D15" s="62">
        <v>38500000</v>
      </c>
      <c r="E15" s="62">
        <v>82</v>
      </c>
      <c r="F15" s="62">
        <v>8391793</v>
      </c>
      <c r="G15" s="62">
        <v>208</v>
      </c>
      <c r="H15" s="62">
        <v>30125206</v>
      </c>
      <c r="I15" s="62">
        <v>110</v>
      </c>
      <c r="J15" s="62">
        <v>11368222</v>
      </c>
    </row>
    <row r="16" spans="1:10" x14ac:dyDescent="0.25">
      <c r="A16" s="92">
        <v>9</v>
      </c>
      <c r="B16" t="s">
        <v>341</v>
      </c>
      <c r="C16" s="62">
        <v>46142396</v>
      </c>
      <c r="D16" s="62">
        <v>40250000</v>
      </c>
      <c r="E16" s="62">
        <v>92</v>
      </c>
      <c r="F16" s="62">
        <v>9040083</v>
      </c>
      <c r="G16" s="62">
        <v>214</v>
      </c>
      <c r="H16" s="62">
        <v>28888322</v>
      </c>
      <c r="I16" s="62">
        <v>138</v>
      </c>
      <c r="J16" s="62">
        <v>14091578</v>
      </c>
    </row>
    <row r="17" spans="1:12" x14ac:dyDescent="0.25">
      <c r="A17" s="92">
        <v>10</v>
      </c>
      <c r="B17" t="s">
        <v>342</v>
      </c>
      <c r="C17" s="62">
        <v>52281712</v>
      </c>
      <c r="D17" s="62">
        <v>40480000</v>
      </c>
      <c r="E17" s="62">
        <v>87</v>
      </c>
      <c r="F17" s="62">
        <v>10580834</v>
      </c>
      <c r="G17" s="62">
        <v>242</v>
      </c>
      <c r="H17" s="62">
        <v>34808536</v>
      </c>
      <c r="I17" s="62">
        <v>128</v>
      </c>
      <c r="J17" s="62">
        <v>12553856</v>
      </c>
    </row>
    <row r="18" spans="1:12" x14ac:dyDescent="0.25">
      <c r="A18" s="92">
        <v>11</v>
      </c>
      <c r="B18" t="s">
        <v>343</v>
      </c>
      <c r="C18" s="62">
        <v>49418244</v>
      </c>
      <c r="D18" s="62">
        <v>44000000</v>
      </c>
      <c r="E18" s="62">
        <v>82</v>
      </c>
      <c r="F18" s="62">
        <v>9882835</v>
      </c>
      <c r="G18" s="62">
        <v>212</v>
      </c>
      <c r="H18" s="62">
        <v>32229920</v>
      </c>
      <c r="I18" s="62">
        <v>134</v>
      </c>
      <c r="J18" s="62">
        <v>13513154</v>
      </c>
    </row>
    <row r="19" spans="1:12" x14ac:dyDescent="0.25">
      <c r="A19" s="92">
        <v>12</v>
      </c>
      <c r="B19" t="s">
        <v>452</v>
      </c>
      <c r="C19" s="62">
        <v>51465364</v>
      </c>
      <c r="D19" s="62">
        <v>36960000</v>
      </c>
      <c r="E19" s="62">
        <v>103</v>
      </c>
      <c r="F19" s="62">
        <v>12176052</v>
      </c>
      <c r="G19" s="62">
        <v>234</v>
      </c>
      <c r="H19" s="62">
        <v>31483031</v>
      </c>
      <c r="I19" s="62"/>
      <c r="J19" s="62"/>
    </row>
    <row r="24" spans="1:12" x14ac:dyDescent="0.25">
      <c r="B24" s="61" t="s">
        <v>234</v>
      </c>
      <c r="C24" t="s">
        <v>373</v>
      </c>
      <c r="D24" t="s">
        <v>374</v>
      </c>
      <c r="E24" t="s">
        <v>375</v>
      </c>
      <c r="F24" t="s">
        <v>376</v>
      </c>
    </row>
    <row r="25" spans="1:12" x14ac:dyDescent="0.25">
      <c r="A25" s="92">
        <v>1</v>
      </c>
      <c r="B25" t="s">
        <v>390</v>
      </c>
      <c r="C25" s="62">
        <v>3580</v>
      </c>
      <c r="D25" s="62">
        <v>392469993</v>
      </c>
      <c r="E25" s="62">
        <v>9029</v>
      </c>
      <c r="F25" s="62">
        <v>1121133748</v>
      </c>
    </row>
    <row r="26" spans="1:12" x14ac:dyDescent="0.25">
      <c r="A26" s="92">
        <v>2</v>
      </c>
      <c r="B26" t="s">
        <v>391</v>
      </c>
      <c r="C26" s="62">
        <v>3606</v>
      </c>
      <c r="D26" s="62">
        <v>378658254</v>
      </c>
      <c r="E26" s="62">
        <v>9152</v>
      </c>
      <c r="F26" s="62">
        <v>1086382283</v>
      </c>
    </row>
    <row r="27" spans="1:12" x14ac:dyDescent="0.25">
      <c r="A27" s="92">
        <v>3</v>
      </c>
      <c r="B27" t="s">
        <v>392</v>
      </c>
      <c r="C27" s="62">
        <v>3956</v>
      </c>
      <c r="D27" s="62">
        <v>440970770</v>
      </c>
      <c r="E27" s="62">
        <v>9892</v>
      </c>
      <c r="F27" s="62">
        <v>1177695158</v>
      </c>
    </row>
    <row r="28" spans="1:12" x14ac:dyDescent="0.25">
      <c r="A28" s="92">
        <v>4</v>
      </c>
      <c r="B28" t="s">
        <v>393</v>
      </c>
      <c r="C28" s="62">
        <v>4064</v>
      </c>
      <c r="D28" s="62">
        <v>448378903</v>
      </c>
      <c r="E28" s="62">
        <v>10392</v>
      </c>
      <c r="F28" s="62">
        <v>1257266107</v>
      </c>
    </row>
    <row r="29" spans="1:12" x14ac:dyDescent="0.25">
      <c r="A29" s="92">
        <v>5</v>
      </c>
      <c r="B29" t="s">
        <v>394</v>
      </c>
      <c r="C29" s="62">
        <v>3893</v>
      </c>
      <c r="D29" s="62">
        <v>420310474</v>
      </c>
      <c r="E29" s="62">
        <v>10057</v>
      </c>
      <c r="F29" s="62">
        <v>1178542967</v>
      </c>
    </row>
    <row r="30" spans="1:12" x14ac:dyDescent="0.25">
      <c r="A30" s="92">
        <v>6</v>
      </c>
      <c r="B30" t="s">
        <v>338</v>
      </c>
      <c r="C30" s="62">
        <v>3860</v>
      </c>
      <c r="D30" s="62">
        <v>415721540</v>
      </c>
      <c r="E30" s="62">
        <v>9705</v>
      </c>
      <c r="F30" s="62">
        <v>1171836031</v>
      </c>
    </row>
    <row r="31" spans="1:12" x14ac:dyDescent="0.25">
      <c r="A31" s="92">
        <v>7</v>
      </c>
      <c r="B31" t="s">
        <v>339</v>
      </c>
      <c r="C31" s="62">
        <v>4100</v>
      </c>
      <c r="D31" s="62">
        <v>445638972</v>
      </c>
      <c r="E31" s="62">
        <v>10524</v>
      </c>
      <c r="F31" s="62">
        <v>1306342765</v>
      </c>
    </row>
    <row r="32" spans="1:12" x14ac:dyDescent="0.25">
      <c r="A32" s="92">
        <v>8</v>
      </c>
      <c r="B32" t="s">
        <v>340</v>
      </c>
      <c r="C32" s="62">
        <v>3498</v>
      </c>
      <c r="D32" s="62">
        <v>380601442</v>
      </c>
      <c r="E32" s="62">
        <v>9007</v>
      </c>
      <c r="F32" s="62">
        <v>1154583040</v>
      </c>
      <c r="I32" s="274"/>
      <c r="J32" s="274"/>
      <c r="K32" s="274"/>
      <c r="L32" s="274"/>
    </row>
    <row r="33" spans="1:12" x14ac:dyDescent="0.25">
      <c r="A33" s="92">
        <v>9</v>
      </c>
      <c r="B33" t="s">
        <v>341</v>
      </c>
      <c r="C33" s="62">
        <v>4053</v>
      </c>
      <c r="D33" s="62">
        <v>407807525</v>
      </c>
      <c r="E33" s="62">
        <v>10039</v>
      </c>
      <c r="F33" s="62">
        <v>1307350320</v>
      </c>
      <c r="I33" s="274"/>
      <c r="J33" s="274"/>
      <c r="K33" s="274"/>
      <c r="L33" s="274"/>
    </row>
    <row r="34" spans="1:12" x14ac:dyDescent="0.25">
      <c r="A34" s="92">
        <v>10</v>
      </c>
      <c r="B34" t="s">
        <v>342</v>
      </c>
      <c r="C34" s="62">
        <v>4031</v>
      </c>
      <c r="D34" s="62">
        <v>434946555</v>
      </c>
      <c r="E34" s="62">
        <v>10458</v>
      </c>
      <c r="F34" s="62">
        <v>1347490980</v>
      </c>
    </row>
    <row r="35" spans="1:12" x14ac:dyDescent="0.25">
      <c r="A35" s="92">
        <v>11</v>
      </c>
      <c r="B35" t="s">
        <v>343</v>
      </c>
      <c r="C35" s="62">
        <v>3727</v>
      </c>
      <c r="D35" s="62">
        <v>411317313</v>
      </c>
      <c r="E35" s="62">
        <v>9781</v>
      </c>
      <c r="F35" s="62">
        <v>1255720312</v>
      </c>
    </row>
    <row r="36" spans="1:12" x14ac:dyDescent="0.25">
      <c r="A36" s="92">
        <v>12</v>
      </c>
      <c r="B36" t="s">
        <v>452</v>
      </c>
      <c r="C36" s="62">
        <v>4332</v>
      </c>
      <c r="D36" s="62">
        <v>492548827</v>
      </c>
      <c r="E36" s="62">
        <v>10783</v>
      </c>
      <c r="F36" s="62">
        <v>1389553495</v>
      </c>
    </row>
    <row r="37" spans="1:12" x14ac:dyDescent="0.25">
      <c r="B37" s="177" t="s">
        <v>430</v>
      </c>
      <c r="C37" s="62">
        <v>46700</v>
      </c>
      <c r="D37" s="62">
        <v>5069370568</v>
      </c>
      <c r="E37" s="62">
        <v>118819</v>
      </c>
      <c r="F37" s="62">
        <v>14753897206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zoomScale="85" zoomScaleNormal="85" workbookViewId="0"/>
  </sheetViews>
  <sheetFormatPr baseColWidth="10" defaultRowHeight="15" x14ac:dyDescent="0.25"/>
  <cols>
    <col min="1" max="1" width="9" customWidth="1"/>
    <col min="2" max="2" width="7.85546875" customWidth="1"/>
    <col min="3" max="3" width="1.42578125" customWidth="1"/>
    <col min="4" max="4" width="11.7109375" bestFit="1" customWidth="1"/>
    <col min="5" max="5" width="12.5703125" bestFit="1" customWidth="1"/>
    <col min="6" max="6" width="12.5703125" customWidth="1"/>
    <col min="7" max="7" width="0.85546875" customWidth="1"/>
    <col min="8" max="8" width="12.5703125" bestFit="1" customWidth="1"/>
    <col min="9" max="9" width="12.5703125" customWidth="1"/>
    <col min="10" max="10" width="0.85546875" customWidth="1"/>
    <col min="11" max="11" width="12.5703125" bestFit="1" customWidth="1"/>
    <col min="12" max="12" width="12.5703125" customWidth="1"/>
    <col min="13" max="13" width="1.28515625" customWidth="1"/>
    <col min="14" max="14" width="3.5703125" customWidth="1"/>
  </cols>
  <sheetData>
    <row r="1" spans="1:14" x14ac:dyDescent="0.25">
      <c r="A1" s="212"/>
      <c r="B1" s="212"/>
      <c r="C1" s="212"/>
      <c r="D1" s="212"/>
      <c r="E1" s="212"/>
      <c r="F1" s="212"/>
      <c r="G1" s="212"/>
      <c r="H1" s="212"/>
      <c r="I1" s="212"/>
      <c r="J1" s="212"/>
      <c r="K1" s="212"/>
      <c r="L1" s="212"/>
      <c r="M1" s="212"/>
      <c r="N1" s="212"/>
    </row>
    <row r="2" spans="1:14" ht="15.75" x14ac:dyDescent="0.25">
      <c r="A2" s="212"/>
      <c r="B2" s="212"/>
      <c r="C2" s="215"/>
      <c r="D2" s="340" t="s">
        <v>459</v>
      </c>
      <c r="E2" s="340"/>
      <c r="F2" s="340"/>
      <c r="G2" s="340"/>
      <c r="H2" s="340"/>
      <c r="I2" s="340"/>
      <c r="J2" s="340"/>
      <c r="K2" s="340"/>
      <c r="L2" s="340"/>
      <c r="M2" s="212"/>
      <c r="N2" s="212"/>
    </row>
    <row r="3" spans="1:14" ht="6" customHeight="1" x14ac:dyDescent="0.25">
      <c r="A3" s="212"/>
      <c r="B3" s="212"/>
      <c r="C3" s="212"/>
      <c r="D3" s="212"/>
      <c r="E3" s="212"/>
      <c r="F3" s="212"/>
      <c r="G3" s="212"/>
      <c r="H3" s="212"/>
      <c r="I3" s="212"/>
      <c r="J3" s="212"/>
      <c r="K3" s="212"/>
      <c r="L3" s="212"/>
      <c r="M3" s="212"/>
      <c r="N3" s="212"/>
    </row>
    <row r="4" spans="1:14" ht="15.75" x14ac:dyDescent="0.25">
      <c r="A4" s="212"/>
      <c r="B4" s="212"/>
      <c r="C4" s="212"/>
      <c r="D4" s="339" t="str">
        <f>UPPER(TABLERO!I3)</f>
        <v>CLAUDIA MARIA BLANDON ARENAS</v>
      </c>
      <c r="E4" s="339"/>
      <c r="F4" s="339"/>
      <c r="G4" s="339"/>
      <c r="H4" s="339"/>
      <c r="I4" s="339"/>
      <c r="J4" s="339"/>
      <c r="K4" s="339"/>
      <c r="L4" s="339"/>
      <c r="M4" s="212"/>
      <c r="N4" s="212"/>
    </row>
    <row r="5" spans="1:14" ht="4.5" customHeight="1" x14ac:dyDescent="0.25">
      <c r="A5" s="212"/>
      <c r="B5" s="212"/>
      <c r="C5" s="212"/>
      <c r="D5" s="216"/>
      <c r="E5" s="216"/>
      <c r="F5" s="216"/>
      <c r="G5" s="216"/>
      <c r="H5" s="216"/>
      <c r="I5" s="216"/>
      <c r="J5" s="216"/>
      <c r="K5" s="216"/>
      <c r="L5" s="216"/>
      <c r="M5" s="212"/>
      <c r="N5" s="212"/>
    </row>
    <row r="6" spans="1:14" x14ac:dyDescent="0.25">
      <c r="A6" s="212"/>
      <c r="B6" s="212"/>
      <c r="C6" s="247"/>
      <c r="D6" s="338" t="str">
        <f>"PROMEDIO POR "&amp;TABLERO!O3</f>
        <v>PROMEDIO POR MES</v>
      </c>
      <c r="E6" s="338"/>
      <c r="F6" s="338"/>
      <c r="G6" s="338"/>
      <c r="H6" s="338"/>
      <c r="I6" s="338"/>
      <c r="J6" s="338"/>
      <c r="K6" s="338"/>
      <c r="L6" s="338"/>
      <c r="M6" s="247"/>
      <c r="N6" s="212"/>
    </row>
    <row r="7" spans="1:14" x14ac:dyDescent="0.25">
      <c r="A7" s="212"/>
      <c r="B7" s="212"/>
      <c r="C7" s="247"/>
      <c r="D7" s="211" t="s">
        <v>456</v>
      </c>
      <c r="E7" s="236" t="s">
        <v>453</v>
      </c>
      <c r="F7" s="236" t="s">
        <v>458</v>
      </c>
      <c r="G7" s="264"/>
      <c r="H7" s="236" t="s">
        <v>454</v>
      </c>
      <c r="I7" s="236" t="s">
        <v>458</v>
      </c>
      <c r="J7" s="264"/>
      <c r="K7" s="211" t="s">
        <v>457</v>
      </c>
      <c r="L7" s="211" t="s">
        <v>458</v>
      </c>
      <c r="M7" s="247"/>
      <c r="N7" s="212"/>
    </row>
    <row r="8" spans="1:14" x14ac:dyDescent="0.25">
      <c r="A8" s="212"/>
      <c r="B8" s="212"/>
      <c r="C8" s="247">
        <v>1</v>
      </c>
      <c r="D8" s="248" t="s">
        <v>122</v>
      </c>
      <c r="E8" s="253">
        <f>SUMIF(TABLERO!$G$7:$G$18,"&lt;="&amp;C8,TABLERO!$K$7:$K$18) + SUMIF(TABLERO!$G$7:$G$18,"&gt;"&amp;C8,TABLERO!$J$7:$J$18)</f>
        <v>126849401</v>
      </c>
      <c r="F8" s="255"/>
      <c r="G8" s="260"/>
      <c r="H8" s="258">
        <f>SUMIF(TABLERO!$G$7:$G$18,"&lt;="&amp;C8,TABLERO!$O$7:$O$18) + SUMIF(TABLERO!$G$7:$G$18,"&gt;"&amp;C8,TABLERO!$N$7:$N$18)</f>
        <v>365418133</v>
      </c>
      <c r="I8" s="262"/>
      <c r="J8" s="263"/>
      <c r="K8" s="249">
        <f>H8+E8</f>
        <v>492267534</v>
      </c>
      <c r="L8" s="252"/>
      <c r="M8" s="247"/>
      <c r="N8" s="212"/>
    </row>
    <row r="9" spans="1:14" x14ac:dyDescent="0.25">
      <c r="A9" s="212"/>
      <c r="B9" s="212"/>
      <c r="C9" s="247">
        <v>2</v>
      </c>
      <c r="D9" s="214" t="s">
        <v>138</v>
      </c>
      <c r="E9" s="254">
        <f>SUMIF(TABLERO!$G$7:$G$18,"&lt;="&amp;C9,TABLERO!$K$7:$K$18) + SUMIF(TABLERO!$G$7:$G$18,"&gt;"&amp;C9,TABLERO!$J$7:$J$18)</f>
        <v>123849354</v>
      </c>
      <c r="F9" s="256">
        <f>+E9/E8-1</f>
        <v>-2.3650462488191026E-2</v>
      </c>
      <c r="G9" s="261"/>
      <c r="H9" s="259">
        <f>SUMIF(TABLERO!$G$7:$G$18,"&lt;="&amp;C9,TABLERO!$O$7:$O$18) + SUMIF(TABLERO!$G$7:$G$18,"&gt;"&amp;C9,TABLERO!$N$7:$N$18)</f>
        <v>364064912</v>
      </c>
      <c r="I9" s="256">
        <f>+H9/H8-1</f>
        <v>-3.7032125058774623E-3</v>
      </c>
      <c r="J9" s="261"/>
      <c r="K9" s="250">
        <f t="shared" ref="K9:K19" si="0">H9+E9</f>
        <v>487914266</v>
      </c>
      <c r="L9" s="218">
        <f>+K9/K8-1</f>
        <v>-8.8432969865528399E-3</v>
      </c>
      <c r="M9" s="247"/>
      <c r="N9" s="212"/>
    </row>
    <row r="10" spans="1:14" x14ac:dyDescent="0.25">
      <c r="A10" s="212"/>
      <c r="B10" s="212"/>
      <c r="C10" s="247">
        <v>3</v>
      </c>
      <c r="D10" s="213" t="s">
        <v>139</v>
      </c>
      <c r="E10" s="253">
        <f>SUMIF(TABLERO!$G$7:$G$18,"&lt;="&amp;C10,TABLERO!$K$7:$K$18) + SUMIF(TABLERO!$G$7:$G$18,"&gt;"&amp;C10,TABLERO!$J$7:$J$18)</f>
        <v>123903075</v>
      </c>
      <c r="F10" s="257">
        <f t="shared" ref="F10:I19" si="1">+E10/E9-1</f>
        <v>4.3376084141710791E-4</v>
      </c>
      <c r="G10" s="261"/>
      <c r="H10" s="258">
        <f>SUMIF(TABLERO!$G$7:$G$18,"&lt;="&amp;C10,TABLERO!$O$7:$O$18) + SUMIF(TABLERO!$G$7:$G$18,"&gt;"&amp;C10,TABLERO!$N$7:$N$18)</f>
        <v>362966928</v>
      </c>
      <c r="I10" s="257">
        <f t="shared" si="1"/>
        <v>-3.0159017356773399E-3</v>
      </c>
      <c r="J10" s="261"/>
      <c r="K10" s="249">
        <f t="shared" si="0"/>
        <v>486870003</v>
      </c>
      <c r="L10" s="217">
        <f t="shared" ref="L10" si="2">+K10/K9-1</f>
        <v>-2.1402592069320603E-3</v>
      </c>
      <c r="M10" s="247"/>
      <c r="N10" s="212"/>
    </row>
    <row r="11" spans="1:14" x14ac:dyDescent="0.25">
      <c r="A11" s="212"/>
      <c r="B11" s="212"/>
      <c r="C11" s="247">
        <v>4</v>
      </c>
      <c r="D11" s="251" t="s">
        <v>140</v>
      </c>
      <c r="E11" s="254">
        <f>SUMIF(TABLERO!$G$7:$G$18,"&lt;="&amp;C11,TABLERO!$K$7:$K$18) + SUMIF(TABLERO!$G$7:$G$18,"&gt;"&amp;C11,TABLERO!$J$7:$J$18)</f>
        <v>112168442</v>
      </c>
      <c r="F11" s="256">
        <f t="shared" si="1"/>
        <v>-9.470816604026977E-2</v>
      </c>
      <c r="G11" s="261"/>
      <c r="H11" s="259">
        <f>SUMIF(TABLERO!$G$7:$G$18,"&lt;="&amp;C11,TABLERO!$O$7:$O$18) + SUMIF(TABLERO!$G$7:$G$18,"&gt;"&amp;C11,TABLERO!$N$7:$N$18)</f>
        <v>327306183</v>
      </c>
      <c r="I11" s="256">
        <f t="shared" si="1"/>
        <v>-9.8247918058253503E-2</v>
      </c>
      <c r="J11" s="261"/>
      <c r="K11" s="250">
        <f t="shared" si="0"/>
        <v>439474625</v>
      </c>
      <c r="L11" s="218">
        <f t="shared" ref="L11" si="3">+K11/K10-1</f>
        <v>-9.7347089999299086E-2</v>
      </c>
      <c r="M11" s="247"/>
      <c r="N11" s="212"/>
    </row>
    <row r="12" spans="1:14" x14ac:dyDescent="0.25">
      <c r="A12" s="212"/>
      <c r="B12" s="212"/>
      <c r="C12" s="247">
        <v>5</v>
      </c>
      <c r="D12" s="213" t="s">
        <v>141</v>
      </c>
      <c r="E12" s="253">
        <f>SUMIF(TABLERO!$G$7:$G$18,"&lt;="&amp;C12,TABLERO!$K$7:$K$18) + SUMIF(TABLERO!$G$7:$G$18,"&gt;"&amp;C12,TABLERO!$J$7:$J$18)</f>
        <v>105024917</v>
      </c>
      <c r="F12" s="257">
        <f t="shared" si="1"/>
        <v>-6.3685693343231042E-2</v>
      </c>
      <c r="G12" s="261"/>
      <c r="H12" s="258">
        <f>SUMIF(TABLERO!$G$7:$G$18,"&lt;="&amp;C12,TABLERO!$O$7:$O$18) + SUMIF(TABLERO!$G$7:$G$18,"&gt;"&amp;C12,TABLERO!$N$7:$N$18)</f>
        <v>304165992</v>
      </c>
      <c r="I12" s="257">
        <f t="shared" si="1"/>
        <v>-7.0698911911480811E-2</v>
      </c>
      <c r="J12" s="261"/>
      <c r="K12" s="249">
        <f t="shared" si="0"/>
        <v>409190909</v>
      </c>
      <c r="L12" s="217">
        <f t="shared" ref="L12" si="4">+K12/K11-1</f>
        <v>-6.8908906856681384E-2</v>
      </c>
      <c r="M12" s="247"/>
      <c r="N12" s="212"/>
    </row>
    <row r="13" spans="1:14" x14ac:dyDescent="0.25">
      <c r="A13" s="212"/>
      <c r="B13" s="212"/>
      <c r="C13" s="247">
        <v>6</v>
      </c>
      <c r="D13" s="214" t="s">
        <v>153</v>
      </c>
      <c r="E13" s="254">
        <f>SUMIF(TABLERO!$G$7:$G$18,"&lt;="&amp;C13,TABLERO!$K$7:$K$18) + SUMIF(TABLERO!$G$7:$G$18,"&gt;"&amp;C13,TABLERO!$J$7:$J$18)</f>
        <v>95388739</v>
      </c>
      <c r="F13" s="256">
        <f t="shared" si="1"/>
        <v>-9.1751350777073193E-2</v>
      </c>
      <c r="G13" s="261"/>
      <c r="H13" s="259">
        <f>SUMIF(TABLERO!$G$7:$G$18,"&lt;="&amp;C13,TABLERO!$O$7:$O$18) + SUMIF(TABLERO!$G$7:$G$18,"&gt;"&amp;C13,TABLERO!$N$7:$N$18)</f>
        <v>275239271</v>
      </c>
      <c r="I13" s="256">
        <f t="shared" si="1"/>
        <v>-9.5101759436669653E-2</v>
      </c>
      <c r="J13" s="261"/>
      <c r="K13" s="250">
        <f t="shared" si="0"/>
        <v>370628010</v>
      </c>
      <c r="L13" s="218">
        <f t="shared" ref="L13" si="5">+K13/K12-1</f>
        <v>-9.4241827352034346E-2</v>
      </c>
      <c r="M13" s="247"/>
      <c r="N13" s="212"/>
    </row>
    <row r="14" spans="1:14" x14ac:dyDescent="0.25">
      <c r="A14" s="212"/>
      <c r="B14" s="212"/>
      <c r="C14" s="247">
        <v>7</v>
      </c>
      <c r="D14" s="248" t="s">
        <v>157</v>
      </c>
      <c r="E14" s="253">
        <f>SUMIF(TABLERO!$G$7:$G$18,"&lt;="&amp;C14,TABLERO!$K$7:$K$18) + SUMIF(TABLERO!$G$7:$G$18,"&gt;"&amp;C14,TABLERO!$J$7:$J$18)</f>
        <v>82459196</v>
      </c>
      <c r="F14" s="257">
        <f t="shared" si="1"/>
        <v>-0.13554580064214916</v>
      </c>
      <c r="G14" s="261"/>
      <c r="H14" s="258">
        <f>SUMIF(TABLERO!$G$7:$G$18,"&lt;="&amp;C14,TABLERO!$O$7:$O$18) + SUMIF(TABLERO!$G$7:$G$18,"&gt;"&amp;C14,TABLERO!$N$7:$N$18)</f>
        <v>246337528</v>
      </c>
      <c r="I14" s="257">
        <f t="shared" si="1"/>
        <v>-0.10500588413489875</v>
      </c>
      <c r="J14" s="261"/>
      <c r="K14" s="249">
        <f t="shared" si="0"/>
        <v>328796724</v>
      </c>
      <c r="L14" s="217">
        <f t="shared" ref="L14" si="6">+K14/K13-1</f>
        <v>-0.11286595959112755</v>
      </c>
      <c r="M14" s="247"/>
      <c r="N14" s="212"/>
    </row>
    <row r="15" spans="1:14" x14ac:dyDescent="0.25">
      <c r="A15" s="212"/>
      <c r="B15" s="212"/>
      <c r="C15" s="247">
        <v>8</v>
      </c>
      <c r="D15" s="214" t="s">
        <v>158</v>
      </c>
      <c r="E15" s="254">
        <f>SUMIF(TABLERO!$G$7:$G$18,"&lt;="&amp;C15,TABLERO!$K$7:$K$18) + SUMIF(TABLERO!$G$7:$G$18,"&gt;"&amp;C15,TABLERO!$J$7:$J$18)</f>
        <v>72850903</v>
      </c>
      <c r="F15" s="256">
        <f t="shared" si="1"/>
        <v>-0.11652178854617989</v>
      </c>
      <c r="G15" s="261"/>
      <c r="H15" s="259">
        <f>SUMIF(TABLERO!$G$7:$G$18,"&lt;="&amp;C15,TABLERO!$O$7:$O$18) + SUMIF(TABLERO!$G$7:$G$18,"&gt;"&amp;C15,TABLERO!$N$7:$N$18)</f>
        <v>214797846</v>
      </c>
      <c r="I15" s="256">
        <f t="shared" si="1"/>
        <v>-0.12803441788211822</v>
      </c>
      <c r="J15" s="261"/>
      <c r="K15" s="250">
        <f t="shared" si="0"/>
        <v>287648749</v>
      </c>
      <c r="L15" s="218">
        <f t="shared" ref="L15" si="7">+K15/K14-1</f>
        <v>-0.12514715627154482</v>
      </c>
      <c r="M15" s="247"/>
      <c r="N15" s="212"/>
    </row>
    <row r="16" spans="1:14" x14ac:dyDescent="0.25">
      <c r="A16" s="212"/>
      <c r="B16" s="212"/>
      <c r="C16" s="247">
        <v>9</v>
      </c>
      <c r="D16" s="213" t="s">
        <v>165</v>
      </c>
      <c r="E16" s="253">
        <f>SUMIF(TABLERO!$G$7:$G$18,"&lt;="&amp;C16,TABLERO!$K$7:$K$18) + SUMIF(TABLERO!$G$7:$G$18,"&gt;"&amp;C16,TABLERO!$J$7:$J$18)</f>
        <v>61082873</v>
      </c>
      <c r="F16" s="257">
        <f t="shared" si="1"/>
        <v>-0.16153581514288162</v>
      </c>
      <c r="G16" s="261"/>
      <c r="H16" s="258">
        <f>SUMIF(TABLERO!$G$7:$G$18,"&lt;="&amp;C16,TABLERO!$O$7:$O$18) + SUMIF(TABLERO!$G$7:$G$18,"&gt;"&amp;C16,TABLERO!$N$7:$N$18)</f>
        <v>186640043</v>
      </c>
      <c r="I16" s="257">
        <f t="shared" si="1"/>
        <v>-0.13108978290219908</v>
      </c>
      <c r="J16" s="261"/>
      <c r="K16" s="249">
        <f t="shared" si="0"/>
        <v>247722916</v>
      </c>
      <c r="L16" s="217">
        <f t="shared" ref="L16" si="8">+K16/K15-1</f>
        <v>-0.13880064884273147</v>
      </c>
      <c r="M16" s="247"/>
      <c r="N16" s="212"/>
    </row>
    <row r="17" spans="1:14" x14ac:dyDescent="0.25">
      <c r="A17" s="212"/>
      <c r="B17" s="212"/>
      <c r="C17" s="247">
        <v>10</v>
      </c>
      <c r="D17" s="251" t="s">
        <v>173</v>
      </c>
      <c r="E17" s="254">
        <f>SUMIF(TABLERO!$G$7:$G$18,"&lt;="&amp;C17,TABLERO!$K$7:$K$18) + SUMIF(TABLERO!$G$7:$G$18,"&gt;"&amp;C17,TABLERO!$J$7:$J$18)</f>
        <v>50071597</v>
      </c>
      <c r="F17" s="256">
        <f t="shared" si="1"/>
        <v>-0.18026781418745641</v>
      </c>
      <c r="G17" s="261"/>
      <c r="H17" s="259">
        <f>SUMIF(TABLERO!$G$7:$G$18,"&lt;="&amp;C17,TABLERO!$O$7:$O$18) + SUMIF(TABLERO!$G$7:$G$18,"&gt;"&amp;C17,TABLERO!$N$7:$N$18)</f>
        <v>157535015</v>
      </c>
      <c r="I17" s="256">
        <f t="shared" si="1"/>
        <v>-0.15594203436826259</v>
      </c>
      <c r="J17" s="261"/>
      <c r="K17" s="250">
        <f t="shared" si="0"/>
        <v>207606612</v>
      </c>
      <c r="L17" s="218">
        <f t="shared" ref="L17" si="9">+K17/K16-1</f>
        <v>-0.1619402219534668</v>
      </c>
      <c r="M17" s="247"/>
      <c r="N17" s="212"/>
    </row>
    <row r="18" spans="1:14" x14ac:dyDescent="0.25">
      <c r="A18" s="212"/>
      <c r="B18" s="212"/>
      <c r="C18" s="247">
        <v>11</v>
      </c>
      <c r="D18" s="213" t="s">
        <v>175</v>
      </c>
      <c r="E18" s="253">
        <f>SUMIF(TABLERO!$G$7:$G$18,"&lt;="&amp;C18,TABLERO!$K$7:$K$18) + SUMIF(TABLERO!$G$7:$G$18,"&gt;"&amp;C18,TABLERO!$J$7:$J$18)</f>
        <v>41679804</v>
      </c>
      <c r="F18" s="257">
        <f t="shared" si="1"/>
        <v>-0.16759587276595156</v>
      </c>
      <c r="G18" s="261"/>
      <c r="H18" s="258">
        <f>SUMIF(TABLERO!$G$7:$G$18,"&lt;="&amp;C18,TABLERO!$O$7:$O$18) + SUMIF(TABLERO!$G$7:$G$18,"&gt;"&amp;C18,TABLERO!$N$7:$N$18)</f>
        <v>127409809</v>
      </c>
      <c r="I18" s="257">
        <f t="shared" si="1"/>
        <v>-0.19122863574171112</v>
      </c>
      <c r="J18" s="261"/>
      <c r="K18" s="249">
        <f t="shared" si="0"/>
        <v>169089613</v>
      </c>
      <c r="L18" s="217">
        <f t="shared" ref="L18" si="10">+K18/K17-1</f>
        <v>-0.18552876822632225</v>
      </c>
      <c r="M18" s="247"/>
      <c r="N18" s="212"/>
    </row>
    <row r="19" spans="1:14" x14ac:dyDescent="0.25">
      <c r="A19" s="212"/>
      <c r="B19" s="212"/>
      <c r="C19" s="247">
        <v>12</v>
      </c>
      <c r="D19" s="214" t="s">
        <v>187</v>
      </c>
      <c r="E19" s="254">
        <f>SUMIF(TABLERO!$G$7:$G$18,"&lt;="&amp;C19,TABLERO!$K$7:$K$18) + SUMIF(TABLERO!$G$7:$G$18,"&gt;"&amp;C19,TABLERO!$J$7:$J$18)</f>
        <v>32639721</v>
      </c>
      <c r="F19" s="256">
        <f t="shared" si="1"/>
        <v>-0.21689360631350374</v>
      </c>
      <c r="G19" s="261"/>
      <c r="H19" s="259">
        <f>SUMIF(TABLERO!$G$7:$G$18,"&lt;="&amp;C19,TABLERO!$O$7:$O$18) + SUMIF(TABLERO!$G$7:$G$18,"&gt;"&amp;C19,TABLERO!$N$7:$N$18)</f>
        <v>98521487</v>
      </c>
      <c r="I19" s="256">
        <f t="shared" si="1"/>
        <v>-0.22673546273034595</v>
      </c>
      <c r="J19" s="261"/>
      <c r="K19" s="250">
        <f t="shared" si="0"/>
        <v>131161208</v>
      </c>
      <c r="L19" s="218">
        <f t="shared" ref="L19" si="11">+K19/K18-1</f>
        <v>-0.22430949084968332</v>
      </c>
      <c r="M19" s="247"/>
      <c r="N19" s="212"/>
    </row>
    <row r="20" spans="1:14" ht="6" customHeight="1" x14ac:dyDescent="0.25">
      <c r="A20" s="212"/>
      <c r="B20" s="212"/>
      <c r="C20" s="247"/>
      <c r="D20" s="247"/>
      <c r="E20" s="247"/>
      <c r="F20" s="247"/>
      <c r="G20" s="247"/>
      <c r="H20" s="247"/>
      <c r="I20" s="247"/>
      <c r="J20" s="247"/>
      <c r="K20" s="247"/>
      <c r="L20" s="247"/>
      <c r="M20" s="247"/>
      <c r="N20" s="212"/>
    </row>
    <row r="21" spans="1:14" x14ac:dyDescent="0.25">
      <c r="A21" s="212"/>
      <c r="B21" s="212"/>
      <c r="C21" s="212"/>
      <c r="D21" s="212"/>
      <c r="E21" s="212"/>
      <c r="F21" s="212"/>
      <c r="G21" s="212"/>
      <c r="H21" s="212"/>
      <c r="I21" s="212"/>
      <c r="J21" s="212"/>
      <c r="K21" s="212"/>
      <c r="L21" s="212"/>
      <c r="M21" s="212"/>
      <c r="N21" s="212"/>
    </row>
  </sheetData>
  <mergeCells count="3">
    <mergeCell ref="D6:L6"/>
    <mergeCell ref="D4:L4"/>
    <mergeCell ref="D2:L2"/>
  </mergeCells>
  <pageMargins left="0.7" right="0.7" top="0.75" bottom="0.75" header="0.3" footer="0.3"/>
  <ignoredErrors>
    <ignoredError sqref="K9:K10 H9 H10:H19 K11:K19" formula="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0"/>
  <sheetViews>
    <sheetView showGridLines="0" zoomScale="85" zoomScaleNormal="85" workbookViewId="0"/>
  </sheetViews>
  <sheetFormatPr baseColWidth="10" defaultRowHeight="15" x14ac:dyDescent="0.25"/>
  <cols>
    <col min="1" max="1" width="0.7109375" style="234" customWidth="1"/>
    <col min="2" max="2" width="2.42578125" style="234" customWidth="1"/>
    <col min="3" max="3" width="8" style="234" customWidth="1"/>
    <col min="4" max="4" width="7.7109375" style="234" customWidth="1"/>
    <col min="5" max="5" width="6.5703125" style="234" customWidth="1"/>
    <col min="6" max="6" width="2.140625" style="234" customWidth="1"/>
    <col min="7" max="7" width="1.42578125" style="234" customWidth="1"/>
    <col min="8" max="8" width="0.85546875" style="234" customWidth="1"/>
    <col min="9" max="9" width="18.5703125" style="234" customWidth="1"/>
    <col min="10" max="10" width="14.140625" style="234" bestFit="1" customWidth="1"/>
    <col min="11" max="12" width="12.5703125" style="234" bestFit="1" customWidth="1"/>
    <col min="13" max="13" width="0.85546875" style="234" customWidth="1"/>
    <col min="14" max="14" width="14.140625" style="234" bestFit="1" customWidth="1"/>
    <col min="15" max="15" width="15" style="234" bestFit="1" customWidth="1"/>
    <col min="16" max="16" width="11.85546875" style="234" bestFit="1" customWidth="1"/>
    <col min="17" max="17" width="0.85546875" style="234" customWidth="1"/>
    <col min="18" max="18" width="13.42578125" style="234" customWidth="1"/>
    <col min="19" max="19" width="12.5703125" style="234" bestFit="1" customWidth="1"/>
    <col min="20" max="20" width="11.85546875" style="234" bestFit="1" customWidth="1"/>
    <col min="21" max="21" width="1" style="234" customWidth="1"/>
    <col min="22" max="23" width="0.85546875" style="234" customWidth="1"/>
    <col min="24" max="25" width="6.140625" style="2" customWidth="1"/>
    <col min="26" max="26" width="0.7109375" style="2" customWidth="1"/>
    <col min="27" max="27" width="6.140625" style="2" bestFit="1" customWidth="1"/>
    <col min="28" max="28" width="6.140625" style="2" customWidth="1"/>
    <col min="29" max="30" width="0.85546875" style="234" customWidth="1"/>
    <col min="31" max="31" width="2" style="234" customWidth="1"/>
    <col min="32" max="32" width="5.140625" style="2" bestFit="1" customWidth="1"/>
    <col min="33" max="33" width="9.5703125" style="2" bestFit="1" customWidth="1"/>
    <col min="34" max="34" width="6.85546875" style="2" bestFit="1" customWidth="1"/>
    <col min="35" max="35" width="1.85546875" style="234" customWidth="1"/>
    <col min="36" max="39" width="8.85546875" style="2" customWidth="1"/>
    <col min="40" max="41" width="11.42578125" style="2"/>
    <col min="42" max="42" width="11.28515625" style="2" bestFit="1" customWidth="1"/>
    <col min="43" max="43" width="10.28515625" style="2" bestFit="1" customWidth="1"/>
    <col min="44" max="44" width="9.28515625" style="2" bestFit="1" customWidth="1"/>
    <col min="45" max="45" width="12.7109375" style="2" bestFit="1" customWidth="1"/>
    <col min="46" max="46" width="10.28515625" style="2" bestFit="1" customWidth="1"/>
    <col min="47" max="47" width="9.28515625" style="2" bestFit="1" customWidth="1"/>
    <col min="48" max="48" width="11.42578125" style="2"/>
    <col min="49" max="49" width="3.5703125" style="2" customWidth="1"/>
    <col min="50" max="50" width="3" style="2" customWidth="1"/>
    <col min="51" max="51" width="16.42578125" style="2" bestFit="1" customWidth="1"/>
    <col min="52" max="52" width="10.28515625" style="2" bestFit="1" customWidth="1"/>
    <col min="53" max="53" width="7.7109375" style="2" bestFit="1" customWidth="1"/>
    <col min="54" max="54" width="10.28515625" style="2" bestFit="1" customWidth="1"/>
    <col min="55" max="55" width="9.28515625" style="2" bestFit="1" customWidth="1"/>
    <col min="56" max="56" width="3.7109375" style="2" customWidth="1"/>
    <col min="57" max="57" width="4.5703125" style="2" customWidth="1"/>
    <col min="58" max="16384" width="11.42578125" style="2"/>
  </cols>
  <sheetData>
    <row r="1" spans="1:37" ht="10.5" customHeight="1" x14ac:dyDescent="0.25">
      <c r="A1" s="219"/>
      <c r="B1" s="219"/>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35"/>
      <c r="AK1" s="235"/>
    </row>
    <row r="2" spans="1:37" x14ac:dyDescent="0.25">
      <c r="A2" s="219"/>
      <c r="B2" s="219"/>
      <c r="C2" s="219"/>
      <c r="D2" s="219"/>
      <c r="E2" s="219"/>
      <c r="F2" s="219"/>
      <c r="G2" s="219"/>
      <c r="H2" s="219"/>
      <c r="I2" s="341" t="s">
        <v>431</v>
      </c>
      <c r="J2" s="341"/>
      <c r="K2" s="219"/>
      <c r="L2" s="267" t="s">
        <v>436</v>
      </c>
      <c r="M2" s="219"/>
      <c r="N2" s="219"/>
      <c r="O2" s="219" t="s">
        <v>437</v>
      </c>
      <c r="P2" s="219"/>
      <c r="Q2" s="219"/>
      <c r="R2" s="341" t="s">
        <v>433</v>
      </c>
      <c r="S2" s="341"/>
      <c r="T2" s="341"/>
      <c r="U2" s="219"/>
      <c r="V2" s="219"/>
      <c r="W2" s="219"/>
      <c r="X2" s="219"/>
      <c r="Y2" s="219"/>
      <c r="Z2" s="219"/>
      <c r="AA2" s="219"/>
      <c r="AB2" s="219"/>
      <c r="AC2" s="219"/>
      <c r="AD2" s="219"/>
      <c r="AE2" s="219"/>
      <c r="AF2" s="219"/>
      <c r="AG2" s="219"/>
      <c r="AH2" s="219"/>
      <c r="AI2" s="219"/>
      <c r="AJ2" s="235"/>
      <c r="AK2" s="235"/>
    </row>
    <row r="3" spans="1:37" ht="15.75" x14ac:dyDescent="0.25">
      <c r="A3" s="219"/>
      <c r="B3" s="219"/>
      <c r="C3" s="219"/>
      <c r="D3" s="219"/>
      <c r="E3" s="219"/>
      <c r="F3" s="219"/>
      <c r="G3" s="219"/>
      <c r="H3" s="219"/>
      <c r="I3" s="342" t="str">
        <f>+TD_Tablero!C5</f>
        <v>Claudia Maria Blandon Arenas</v>
      </c>
      <c r="J3" s="342"/>
      <c r="K3" s="219"/>
      <c r="L3" s="266" t="s">
        <v>442</v>
      </c>
      <c r="M3" s="219"/>
      <c r="N3" s="219"/>
      <c r="O3" s="266" t="s">
        <v>0</v>
      </c>
      <c r="P3" s="220">
        <f>+VLOOKUP(R3,Back!Q:R,2,0)</f>
        <v>3</v>
      </c>
      <c r="Q3" s="219"/>
      <c r="R3" s="342" t="s">
        <v>139</v>
      </c>
      <c r="S3" s="342"/>
      <c r="T3" s="266">
        <v>2019</v>
      </c>
      <c r="U3" s="219"/>
      <c r="V3" s="219"/>
      <c r="W3" s="355" t="s">
        <v>486</v>
      </c>
      <c r="X3" s="355"/>
      <c r="Y3" s="355"/>
      <c r="Z3" s="355"/>
      <c r="AA3" s="355"/>
      <c r="AB3" s="355"/>
      <c r="AC3" s="355"/>
      <c r="AD3" s="219"/>
      <c r="AE3" s="219"/>
      <c r="AF3" s="219"/>
      <c r="AG3" s="219"/>
      <c r="AH3" s="219"/>
      <c r="AI3" s="219"/>
      <c r="AJ3" s="235"/>
      <c r="AK3" s="235"/>
    </row>
    <row r="4" spans="1:37" ht="6.75" customHeight="1" x14ac:dyDescent="0.25">
      <c r="A4" s="219"/>
      <c r="B4" s="219"/>
      <c r="C4" s="219"/>
      <c r="D4" s="219"/>
      <c r="E4" s="219"/>
      <c r="F4" s="219"/>
      <c r="G4" s="219"/>
      <c r="H4" s="219"/>
      <c r="I4" s="219"/>
      <c r="J4" s="219"/>
      <c r="K4" s="219"/>
      <c r="L4" s="219"/>
      <c r="M4" s="219"/>
      <c r="N4" s="219"/>
      <c r="O4" s="219"/>
      <c r="P4" s="219"/>
      <c r="Q4" s="219"/>
      <c r="R4" s="219"/>
      <c r="S4" s="219"/>
      <c r="T4" s="219"/>
      <c r="U4" s="219"/>
      <c r="V4" s="219"/>
      <c r="W4" s="219"/>
      <c r="X4" s="210"/>
      <c r="Y4" s="210"/>
      <c r="Z4" s="210"/>
      <c r="AA4" s="210"/>
      <c r="AB4" s="210"/>
      <c r="AC4" s="219"/>
      <c r="AD4" s="235"/>
      <c r="AE4" s="235"/>
      <c r="AF4" s="235"/>
      <c r="AG4" s="235"/>
      <c r="AH4" s="235"/>
      <c r="AI4" s="235"/>
      <c r="AJ4" s="235"/>
      <c r="AK4" s="235"/>
    </row>
    <row r="5" spans="1:37" ht="15.75" x14ac:dyDescent="0.25">
      <c r="A5" s="219"/>
      <c r="B5" s="219"/>
      <c r="C5" s="219"/>
      <c r="D5" s="219"/>
      <c r="E5" s="219"/>
      <c r="F5" s="219"/>
      <c r="G5" s="219"/>
      <c r="H5" s="221"/>
      <c r="I5" s="221"/>
      <c r="J5" s="343" t="s">
        <v>453</v>
      </c>
      <c r="K5" s="343"/>
      <c r="L5" s="343"/>
      <c r="M5" s="221"/>
      <c r="N5" s="343" t="s">
        <v>454</v>
      </c>
      <c r="O5" s="343"/>
      <c r="P5" s="343"/>
      <c r="Q5" s="221"/>
      <c r="R5" s="343" t="s">
        <v>455</v>
      </c>
      <c r="S5" s="343"/>
      <c r="T5" s="343"/>
      <c r="U5" s="221"/>
      <c r="V5" s="222"/>
      <c r="W5" s="221"/>
      <c r="X5" s="355" t="s">
        <v>367</v>
      </c>
      <c r="Y5" s="355"/>
      <c r="Z5" s="265"/>
      <c r="AA5" s="355" t="s">
        <v>371</v>
      </c>
      <c r="AB5" s="355"/>
      <c r="AC5" s="221"/>
      <c r="AD5" s="219"/>
      <c r="AE5" s="221"/>
      <c r="AF5" s="221"/>
      <c r="AG5" s="221"/>
      <c r="AH5" s="221"/>
      <c r="AI5" s="221"/>
      <c r="AJ5" s="235"/>
      <c r="AK5" s="235"/>
    </row>
    <row r="6" spans="1:37" ht="15.75" x14ac:dyDescent="0.25">
      <c r="A6" s="219"/>
      <c r="B6" s="219"/>
      <c r="C6" s="219"/>
      <c r="D6" s="219"/>
      <c r="E6" s="219"/>
      <c r="F6" s="219"/>
      <c r="G6" s="219"/>
      <c r="H6" s="221"/>
      <c r="I6" s="267" t="s">
        <v>432</v>
      </c>
      <c r="J6" s="267">
        <f>+K6-1</f>
        <v>2018</v>
      </c>
      <c r="K6" s="267">
        <f>+T3</f>
        <v>2019</v>
      </c>
      <c r="L6" s="267" t="s">
        <v>434</v>
      </c>
      <c r="M6" s="223"/>
      <c r="N6" s="267">
        <f>O6-1</f>
        <v>2018</v>
      </c>
      <c r="O6" s="267">
        <f>T3</f>
        <v>2019</v>
      </c>
      <c r="P6" s="267" t="s">
        <v>434</v>
      </c>
      <c r="Q6" s="223"/>
      <c r="R6" s="267">
        <f>S6-1</f>
        <v>2018</v>
      </c>
      <c r="S6" s="267">
        <f>T3</f>
        <v>2019</v>
      </c>
      <c r="T6" s="267" t="s">
        <v>434</v>
      </c>
      <c r="U6" s="223"/>
      <c r="V6" s="267"/>
      <c r="W6" s="221"/>
      <c r="X6" s="236">
        <f>Y6-1</f>
        <v>2018</v>
      </c>
      <c r="Y6" s="236">
        <f>+T3</f>
        <v>2019</v>
      </c>
      <c r="Z6" s="240"/>
      <c r="AA6" s="236">
        <f>AB6-1</f>
        <v>2018</v>
      </c>
      <c r="AB6" s="236">
        <f>+T3</f>
        <v>2019</v>
      </c>
      <c r="AC6" s="221"/>
      <c r="AD6" s="267"/>
      <c r="AE6" s="221"/>
      <c r="AF6" s="349" t="s">
        <v>460</v>
      </c>
      <c r="AG6" s="350"/>
      <c r="AH6" s="351"/>
      <c r="AI6" s="221"/>
      <c r="AJ6" s="235"/>
      <c r="AK6" s="235"/>
    </row>
    <row r="7" spans="1:37" ht="15.75" x14ac:dyDescent="0.25">
      <c r="A7" s="219"/>
      <c r="B7" s="219"/>
      <c r="C7" s="219"/>
      <c r="D7" s="219"/>
      <c r="E7" s="219"/>
      <c r="F7" s="219"/>
      <c r="G7" s="220">
        <v>1</v>
      </c>
      <c r="H7" s="221"/>
      <c r="I7" s="224" t="s">
        <v>122</v>
      </c>
      <c r="J7" s="225">
        <f t="shared" ref="J7:K18" si="0">IF($O$3="MES",IF($L$3="VALOR",ventasMonturas,CantidadMonturas),IF($O$3="DIA",IF($L$3="VALOR",ventasMonturas,CantidadMonturas)/24,IF($L$3="VALOR",ventasMonturas,CantidadMonturas)/192))</f>
        <v>13182111</v>
      </c>
      <c r="K7" s="225">
        <f t="shared" si="0"/>
        <v>10580834</v>
      </c>
      <c r="L7" s="226">
        <f>IF(K7&gt;0,IFERROR(K7/J7-1,0),"")</f>
        <v>-0.19733387163861693</v>
      </c>
      <c r="M7" s="227"/>
      <c r="N7" s="225">
        <f t="shared" ref="N7:O18" si="1">IF($O$3="MES",IF($L$3="VALOR",ventasLentes,cantidadLentes),IF($O$3="DIA",IF($L$3="VALOR",ventasLentes,cantidadLentes)/24,IF($L$3="VALOR",ventasLentes,cantidadLentes)/192))</f>
        <v>37750781</v>
      </c>
      <c r="O7" s="225">
        <f t="shared" si="1"/>
        <v>34808536</v>
      </c>
      <c r="P7" s="226">
        <f>IF(O7&gt;0,IFERROR(O7/N7-1,0),"")</f>
        <v>-7.7938652448011569E-2</v>
      </c>
      <c r="Q7" s="227"/>
      <c r="R7" s="225">
        <f>N7+J7</f>
        <v>50932892</v>
      </c>
      <c r="S7" s="225">
        <f>O7+K7</f>
        <v>45389370</v>
      </c>
      <c r="T7" s="226">
        <f>IF(S7&gt;0,IFERROR(S7/R7-1,0),"")</f>
        <v>-0.10883972581018964</v>
      </c>
      <c r="U7" s="227"/>
      <c r="V7" s="228"/>
      <c r="W7" s="221"/>
      <c r="X7" s="237">
        <f>IFERROR(J7/R7,"")</f>
        <v>0.25881332244004523</v>
      </c>
      <c r="Y7" s="237">
        <f t="shared" ref="Y7" si="2">IFERROR(K7/S7,"")</f>
        <v>0.23311259883095975</v>
      </c>
      <c r="Z7" s="241"/>
      <c r="AA7" s="237">
        <f>IFERROR(N7/R7,"")</f>
        <v>0.74118667755995482</v>
      </c>
      <c r="AB7" s="237">
        <f>IFERROR(O7/S7,"")</f>
        <v>0.76688740116904019</v>
      </c>
      <c r="AC7" s="221"/>
      <c r="AD7" s="228"/>
      <c r="AE7" s="221"/>
      <c r="AF7" s="352"/>
      <c r="AG7" s="353"/>
      <c r="AH7" s="354"/>
      <c r="AI7" s="221"/>
      <c r="AJ7" s="235"/>
      <c r="AK7" s="235"/>
    </row>
    <row r="8" spans="1:37" ht="15.75" x14ac:dyDescent="0.25">
      <c r="A8" s="219"/>
      <c r="B8" s="219"/>
      <c r="C8" s="219"/>
      <c r="D8" s="219"/>
      <c r="E8" s="219"/>
      <c r="F8" s="219"/>
      <c r="G8" s="220">
        <v>2</v>
      </c>
      <c r="H8" s="221"/>
      <c r="I8" s="229" t="s">
        <v>138</v>
      </c>
      <c r="J8" s="230">
        <f t="shared" si="0"/>
        <v>12882882</v>
      </c>
      <c r="K8" s="230">
        <f t="shared" si="0"/>
        <v>9882835</v>
      </c>
      <c r="L8" s="231">
        <f t="shared" ref="L8:L19" si="3">IF(K8&gt;0,IFERROR(K8/J8-1,0),"")</f>
        <v>-0.23287079707785885</v>
      </c>
      <c r="M8" s="227"/>
      <c r="N8" s="230">
        <f t="shared" si="1"/>
        <v>33583141</v>
      </c>
      <c r="O8" s="230">
        <f t="shared" si="1"/>
        <v>32229920</v>
      </c>
      <c r="P8" s="231">
        <f t="shared" ref="P8:P19" si="4">IF(O8&gt;0,IFERROR(O8/N8-1,0),"")</f>
        <v>-4.0294652605603498E-2</v>
      </c>
      <c r="Q8" s="227"/>
      <c r="R8" s="230">
        <f t="shared" ref="R8:R18" si="5">N8+J8</f>
        <v>46466023</v>
      </c>
      <c r="S8" s="230">
        <f t="shared" ref="S8:S19" si="6">O8+K8</f>
        <v>42112755</v>
      </c>
      <c r="T8" s="231">
        <f t="shared" ref="T8:T19" si="7">IF(S8&gt;0,IFERROR(S8/R8-1,0),"")</f>
        <v>-9.3687122739124939E-2</v>
      </c>
      <c r="U8" s="227"/>
      <c r="V8" s="228"/>
      <c r="W8" s="221"/>
      <c r="X8" s="238">
        <f t="shared" ref="X8:X18" si="8">IFERROR(J8/R8,"")</f>
        <v>0.27725381188745163</v>
      </c>
      <c r="Y8" s="238">
        <f t="shared" ref="Y8:Y19" si="9">IFERROR(K8/S8,"")</f>
        <v>0.23467557513157236</v>
      </c>
      <c r="Z8" s="241"/>
      <c r="AA8" s="238">
        <f t="shared" ref="AA8:AA19" si="10">IFERROR(N8/R8,"")</f>
        <v>0.72274618811254843</v>
      </c>
      <c r="AB8" s="238">
        <f t="shared" ref="AB8:AB19" si="11">IFERROR(O8/S8,"")</f>
        <v>0.76532442486842767</v>
      </c>
      <c r="AC8" s="221"/>
      <c r="AD8" s="228"/>
      <c r="AE8" s="221"/>
      <c r="AF8" s="242"/>
      <c r="AG8" s="242"/>
      <c r="AH8" s="242"/>
      <c r="AI8" s="272"/>
      <c r="AJ8" s="235"/>
      <c r="AK8" s="235"/>
    </row>
    <row r="9" spans="1:37" ht="15.75" x14ac:dyDescent="0.25">
      <c r="A9" s="219"/>
      <c r="B9" s="219"/>
      <c r="C9" s="219"/>
      <c r="D9" s="219"/>
      <c r="E9" s="219"/>
      <c r="F9" s="219"/>
      <c r="G9" s="220">
        <v>3</v>
      </c>
      <c r="H9" s="221"/>
      <c r="I9" s="224" t="s">
        <v>139</v>
      </c>
      <c r="J9" s="225">
        <f t="shared" si="0"/>
        <v>12122331</v>
      </c>
      <c r="K9" s="225">
        <f t="shared" si="0"/>
        <v>12176052</v>
      </c>
      <c r="L9" s="226">
        <f t="shared" si="3"/>
        <v>4.4315734325353073E-3</v>
      </c>
      <c r="M9" s="227"/>
      <c r="N9" s="225">
        <f t="shared" si="1"/>
        <v>32581015</v>
      </c>
      <c r="O9" s="225">
        <f t="shared" si="1"/>
        <v>31483031</v>
      </c>
      <c r="P9" s="226">
        <f t="shared" si="4"/>
        <v>-3.3700116463529439E-2</v>
      </c>
      <c r="Q9" s="227"/>
      <c r="R9" s="225">
        <f t="shared" si="5"/>
        <v>44703346</v>
      </c>
      <c r="S9" s="225">
        <f t="shared" si="6"/>
        <v>43659083</v>
      </c>
      <c r="T9" s="226">
        <f t="shared" si="7"/>
        <v>-2.3359839775751956E-2</v>
      </c>
      <c r="U9" s="227"/>
      <c r="V9" s="228"/>
      <c r="W9" s="221"/>
      <c r="X9" s="237">
        <f t="shared" si="8"/>
        <v>0.27117278872145273</v>
      </c>
      <c r="Y9" s="237">
        <f t="shared" si="9"/>
        <v>0.27888932069416117</v>
      </c>
      <c r="Z9" s="241"/>
      <c r="AA9" s="237">
        <f t="shared" si="10"/>
        <v>0.72882721127854722</v>
      </c>
      <c r="AB9" s="237">
        <f t="shared" si="11"/>
        <v>0.72111067930583883</v>
      </c>
      <c r="AC9" s="221"/>
      <c r="AD9" s="228"/>
      <c r="AE9" s="221"/>
      <c r="AF9" s="346" t="s">
        <v>442</v>
      </c>
      <c r="AG9" s="347"/>
      <c r="AH9" s="348"/>
      <c r="AI9" s="221"/>
      <c r="AJ9" s="235"/>
      <c r="AK9" s="235"/>
    </row>
    <row r="10" spans="1:37" ht="15.75" x14ac:dyDescent="0.25">
      <c r="A10" s="219"/>
      <c r="B10" s="219"/>
      <c r="C10" s="219"/>
      <c r="D10" s="219"/>
      <c r="E10" s="219"/>
      <c r="F10" s="219"/>
      <c r="G10" s="220">
        <v>4</v>
      </c>
      <c r="H10" s="221"/>
      <c r="I10" s="229" t="s">
        <v>140</v>
      </c>
      <c r="J10" s="230">
        <f t="shared" si="0"/>
        <v>11734633</v>
      </c>
      <c r="K10" s="230">
        <f t="shared" si="0"/>
        <v>0</v>
      </c>
      <c r="L10" s="231" t="str">
        <f t="shared" si="3"/>
        <v/>
      </c>
      <c r="M10" s="227"/>
      <c r="N10" s="230">
        <f t="shared" si="1"/>
        <v>35660745</v>
      </c>
      <c r="O10" s="230">
        <f t="shared" si="1"/>
        <v>0</v>
      </c>
      <c r="P10" s="231" t="str">
        <f t="shared" si="4"/>
        <v/>
      </c>
      <c r="Q10" s="227"/>
      <c r="R10" s="230">
        <f t="shared" si="5"/>
        <v>47395378</v>
      </c>
      <c r="S10" s="230">
        <f t="shared" si="6"/>
        <v>0</v>
      </c>
      <c r="T10" s="231" t="str">
        <f t="shared" si="7"/>
        <v/>
      </c>
      <c r="U10" s="227"/>
      <c r="V10" s="228"/>
      <c r="W10" s="221"/>
      <c r="X10" s="238">
        <f t="shared" si="8"/>
        <v>0.24759023970649627</v>
      </c>
      <c r="Y10" s="238" t="str">
        <f t="shared" si="9"/>
        <v/>
      </c>
      <c r="Z10" s="241"/>
      <c r="AA10" s="238">
        <f t="shared" si="10"/>
        <v>0.7524097602935037</v>
      </c>
      <c r="AB10" s="238" t="str">
        <f t="shared" si="11"/>
        <v/>
      </c>
      <c r="AC10" s="221"/>
      <c r="AD10" s="228"/>
      <c r="AE10" s="221"/>
      <c r="AF10" s="273" t="s">
        <v>348</v>
      </c>
      <c r="AG10" s="273" t="s">
        <v>367</v>
      </c>
      <c r="AH10" s="273" t="s">
        <v>371</v>
      </c>
      <c r="AI10" s="221"/>
      <c r="AJ10" s="235"/>
      <c r="AK10" s="235"/>
    </row>
    <row r="11" spans="1:37" ht="15.75" x14ac:dyDescent="0.25">
      <c r="A11" s="219"/>
      <c r="B11" s="219"/>
      <c r="C11" s="219"/>
      <c r="D11" s="219"/>
      <c r="E11" s="219"/>
      <c r="F11" s="219"/>
      <c r="G11" s="220">
        <v>5</v>
      </c>
      <c r="H11" s="221"/>
      <c r="I11" s="224" t="s">
        <v>141</v>
      </c>
      <c r="J11" s="225">
        <f t="shared" si="0"/>
        <v>7143525</v>
      </c>
      <c r="K11" s="225">
        <f t="shared" si="0"/>
        <v>0</v>
      </c>
      <c r="L11" s="226" t="str">
        <f t="shared" si="3"/>
        <v/>
      </c>
      <c r="M11" s="227"/>
      <c r="N11" s="225">
        <f t="shared" si="1"/>
        <v>23140191</v>
      </c>
      <c r="O11" s="225">
        <f t="shared" si="1"/>
        <v>0</v>
      </c>
      <c r="P11" s="226" t="str">
        <f t="shared" si="4"/>
        <v/>
      </c>
      <c r="Q11" s="227"/>
      <c r="R11" s="225">
        <f t="shared" si="5"/>
        <v>30283716</v>
      </c>
      <c r="S11" s="225">
        <f t="shared" si="6"/>
        <v>0</v>
      </c>
      <c r="T11" s="226" t="str">
        <f t="shared" si="7"/>
        <v/>
      </c>
      <c r="U11" s="227"/>
      <c r="V11" s="228"/>
      <c r="W11" s="221"/>
      <c r="X11" s="237">
        <f t="shared" si="8"/>
        <v>0.23588667256026308</v>
      </c>
      <c r="Y11" s="237" t="str">
        <f t="shared" si="9"/>
        <v/>
      </c>
      <c r="Z11" s="241"/>
      <c r="AA11" s="237">
        <f t="shared" si="10"/>
        <v>0.76411332743973692</v>
      </c>
      <c r="AB11" s="237" t="str">
        <f t="shared" si="11"/>
        <v/>
      </c>
      <c r="AC11" s="221"/>
      <c r="AD11" s="228"/>
      <c r="AE11" s="221"/>
      <c r="AF11" s="268">
        <f>+AF12-1</f>
        <v>2018</v>
      </c>
      <c r="AG11" s="269">
        <f>+SUMIFS('BD ASR'!T:T,'BD ASR'!C:C,TABLERO!$AF$11)/(SUMIFS('BD ASR'!T:T,'BD ASR'!C:C,TABLERO!$AF$11)+SUMIFS('BD ASR'!V:V,'BD ASR'!C:C,TABLERO!$AF$11))</f>
        <v>0.25889990801879609</v>
      </c>
      <c r="AH11" s="269">
        <f>+SUMIFS('BD ASR'!V:V,'BD ASR'!C:C,TABLERO!$AF$11)/(SUMIFS('BD ASR'!V:V,'BD ASR'!C:C,TABLERO!$AF$11)+SUMIFS('BD ASR'!T:T,'BD ASR'!C:C,TABLERO!$AF$11))</f>
        <v>0.74110009198120397</v>
      </c>
      <c r="AI11" s="221"/>
      <c r="AJ11" s="235"/>
      <c r="AK11" s="235"/>
    </row>
    <row r="12" spans="1:37" ht="15.75" x14ac:dyDescent="0.25">
      <c r="A12" s="219"/>
      <c r="B12" s="219"/>
      <c r="C12" s="219"/>
      <c r="D12" s="219"/>
      <c r="E12" s="219"/>
      <c r="F12" s="219"/>
      <c r="G12" s="220">
        <v>6</v>
      </c>
      <c r="H12" s="221"/>
      <c r="I12" s="229" t="s">
        <v>153</v>
      </c>
      <c r="J12" s="230">
        <f t="shared" si="0"/>
        <v>9636178</v>
      </c>
      <c r="K12" s="230">
        <f t="shared" si="0"/>
        <v>0</v>
      </c>
      <c r="L12" s="231" t="str">
        <f t="shared" si="3"/>
        <v/>
      </c>
      <c r="M12" s="227"/>
      <c r="N12" s="230">
        <f t="shared" si="1"/>
        <v>28926721</v>
      </c>
      <c r="O12" s="230">
        <f t="shared" si="1"/>
        <v>0</v>
      </c>
      <c r="P12" s="231" t="str">
        <f t="shared" si="4"/>
        <v/>
      </c>
      <c r="Q12" s="227"/>
      <c r="R12" s="230">
        <f t="shared" si="5"/>
        <v>38562899</v>
      </c>
      <c r="S12" s="230">
        <f t="shared" si="6"/>
        <v>0</v>
      </c>
      <c r="T12" s="231" t="str">
        <f t="shared" si="7"/>
        <v/>
      </c>
      <c r="U12" s="227"/>
      <c r="V12" s="228"/>
      <c r="W12" s="221"/>
      <c r="X12" s="238">
        <f t="shared" si="8"/>
        <v>0.2498820952231833</v>
      </c>
      <c r="Y12" s="238" t="str">
        <f t="shared" si="9"/>
        <v/>
      </c>
      <c r="Z12" s="241"/>
      <c r="AA12" s="238">
        <f t="shared" si="10"/>
        <v>0.75011790477681672</v>
      </c>
      <c r="AB12" s="238" t="str">
        <f t="shared" si="11"/>
        <v/>
      </c>
      <c r="AC12" s="221"/>
      <c r="AD12" s="228"/>
      <c r="AE12" s="221"/>
      <c r="AF12" s="270">
        <f>+T3</f>
        <v>2019</v>
      </c>
      <c r="AG12" s="271">
        <f>+SUMIFS('BD ASR'!T:T,'BD ASR'!C:C,TABLERO!$AF$12)/(SUMIFS('BD ASR'!T:T,'BD ASR'!C:C,TABLERO!$AF$12)+SUMIFS('BD ASR'!V:V,'BD ASR'!C:C,TABLERO!$AF$12))</f>
        <v>0.25111005129719693</v>
      </c>
      <c r="AH12" s="271">
        <f>+SUMIFS('BD ASR'!V:V,'BD ASR'!C:C,TABLERO!$AF$12)/(SUMIFS('BD ASR'!V:V,'BD ASR'!C:C,TABLERO!$AF$12)+SUMIFS('BD ASR'!T:T,'BD ASR'!C:C,TABLERO!$AF$12))</f>
        <v>0.74888994870280312</v>
      </c>
      <c r="AI12" s="221"/>
      <c r="AJ12" s="235"/>
      <c r="AK12" s="235"/>
    </row>
    <row r="13" spans="1:37" ht="15.75" x14ac:dyDescent="0.25">
      <c r="A13" s="219"/>
      <c r="B13" s="219"/>
      <c r="C13" s="219"/>
      <c r="D13" s="219"/>
      <c r="E13" s="219"/>
      <c r="F13" s="219"/>
      <c r="G13" s="220">
        <v>7</v>
      </c>
      <c r="H13" s="221"/>
      <c r="I13" s="224" t="s">
        <v>157</v>
      </c>
      <c r="J13" s="225">
        <f t="shared" si="0"/>
        <v>12929543</v>
      </c>
      <c r="K13" s="225">
        <f t="shared" si="0"/>
        <v>0</v>
      </c>
      <c r="L13" s="226" t="str">
        <f t="shared" si="3"/>
        <v/>
      </c>
      <c r="M13" s="227"/>
      <c r="N13" s="225">
        <f t="shared" si="1"/>
        <v>28901743</v>
      </c>
      <c r="O13" s="225">
        <f t="shared" si="1"/>
        <v>0</v>
      </c>
      <c r="P13" s="226" t="str">
        <f t="shared" si="4"/>
        <v/>
      </c>
      <c r="Q13" s="227"/>
      <c r="R13" s="225">
        <f t="shared" si="5"/>
        <v>41831286</v>
      </c>
      <c r="S13" s="225">
        <f t="shared" si="6"/>
        <v>0</v>
      </c>
      <c r="T13" s="226" t="str">
        <f t="shared" si="7"/>
        <v/>
      </c>
      <c r="U13" s="227"/>
      <c r="V13" s="228"/>
      <c r="W13" s="221"/>
      <c r="X13" s="237">
        <f t="shared" si="8"/>
        <v>0.3090878678699957</v>
      </c>
      <c r="Y13" s="237" t="str">
        <f t="shared" si="9"/>
        <v/>
      </c>
      <c r="Z13" s="241"/>
      <c r="AA13" s="237">
        <f t="shared" si="10"/>
        <v>0.69091213213000435</v>
      </c>
      <c r="AB13" s="237" t="str">
        <f t="shared" si="11"/>
        <v/>
      </c>
      <c r="AC13" s="221"/>
      <c r="AD13" s="228"/>
      <c r="AE13" s="221"/>
      <c r="AF13" s="242"/>
      <c r="AG13" s="242"/>
      <c r="AH13" s="242"/>
      <c r="AI13" s="272"/>
      <c r="AJ13" s="235"/>
      <c r="AK13" s="235"/>
    </row>
    <row r="14" spans="1:37" ht="15.75" x14ac:dyDescent="0.25">
      <c r="A14" s="219"/>
      <c r="B14" s="219"/>
      <c r="C14" s="219"/>
      <c r="D14" s="219"/>
      <c r="E14" s="219"/>
      <c r="F14" s="219"/>
      <c r="G14" s="220">
        <v>8</v>
      </c>
      <c r="H14" s="221"/>
      <c r="I14" s="229" t="s">
        <v>158</v>
      </c>
      <c r="J14" s="230">
        <f t="shared" si="0"/>
        <v>9608293</v>
      </c>
      <c r="K14" s="230">
        <f t="shared" si="0"/>
        <v>0</v>
      </c>
      <c r="L14" s="231" t="str">
        <f t="shared" si="3"/>
        <v/>
      </c>
      <c r="M14" s="227"/>
      <c r="N14" s="230">
        <f t="shared" si="1"/>
        <v>31539682</v>
      </c>
      <c r="O14" s="230">
        <f t="shared" si="1"/>
        <v>0</v>
      </c>
      <c r="P14" s="231" t="str">
        <f t="shared" si="4"/>
        <v/>
      </c>
      <c r="Q14" s="227"/>
      <c r="R14" s="230">
        <f t="shared" si="5"/>
        <v>41147975</v>
      </c>
      <c r="S14" s="230">
        <f t="shared" si="6"/>
        <v>0</v>
      </c>
      <c r="T14" s="231" t="str">
        <f t="shared" si="7"/>
        <v/>
      </c>
      <c r="U14" s="227"/>
      <c r="V14" s="228"/>
      <c r="W14" s="221"/>
      <c r="X14" s="238">
        <f t="shared" si="8"/>
        <v>0.23350585296117246</v>
      </c>
      <c r="Y14" s="238" t="str">
        <f t="shared" si="9"/>
        <v/>
      </c>
      <c r="Z14" s="241"/>
      <c r="AA14" s="238">
        <f t="shared" si="10"/>
        <v>0.76649414703882757</v>
      </c>
      <c r="AB14" s="238" t="str">
        <f t="shared" si="11"/>
        <v/>
      </c>
      <c r="AC14" s="221"/>
      <c r="AD14" s="228"/>
      <c r="AE14" s="221"/>
      <c r="AF14" s="346" t="s">
        <v>441</v>
      </c>
      <c r="AG14" s="347"/>
      <c r="AH14" s="348"/>
      <c r="AI14" s="221"/>
      <c r="AJ14" s="235"/>
      <c r="AK14" s="235"/>
    </row>
    <row r="15" spans="1:37" ht="15.75" x14ac:dyDescent="0.25">
      <c r="A15" s="219"/>
      <c r="B15" s="219"/>
      <c r="C15" s="219"/>
      <c r="D15" s="219"/>
      <c r="E15" s="219"/>
      <c r="F15" s="219"/>
      <c r="G15" s="220">
        <v>9</v>
      </c>
      <c r="H15" s="221"/>
      <c r="I15" s="224" t="s">
        <v>165</v>
      </c>
      <c r="J15" s="225">
        <f t="shared" si="0"/>
        <v>11768030</v>
      </c>
      <c r="K15" s="225">
        <f t="shared" si="0"/>
        <v>0</v>
      </c>
      <c r="L15" s="226" t="str">
        <f t="shared" si="3"/>
        <v/>
      </c>
      <c r="M15" s="227"/>
      <c r="N15" s="225">
        <f t="shared" si="1"/>
        <v>28157803</v>
      </c>
      <c r="O15" s="225">
        <f t="shared" si="1"/>
        <v>0</v>
      </c>
      <c r="P15" s="226" t="str">
        <f t="shared" si="4"/>
        <v/>
      </c>
      <c r="Q15" s="227"/>
      <c r="R15" s="225">
        <f t="shared" si="5"/>
        <v>39925833</v>
      </c>
      <c r="S15" s="225">
        <f t="shared" si="6"/>
        <v>0</v>
      </c>
      <c r="T15" s="226" t="str">
        <f t="shared" si="7"/>
        <v/>
      </c>
      <c r="U15" s="227"/>
      <c r="V15" s="228"/>
      <c r="W15" s="221"/>
      <c r="X15" s="237">
        <f t="shared" si="8"/>
        <v>0.29474726300638487</v>
      </c>
      <c r="Y15" s="237" t="str">
        <f t="shared" si="9"/>
        <v/>
      </c>
      <c r="Z15" s="241"/>
      <c r="AA15" s="237">
        <f t="shared" si="10"/>
        <v>0.70525273699361513</v>
      </c>
      <c r="AB15" s="237" t="str">
        <f t="shared" si="11"/>
        <v/>
      </c>
      <c r="AC15" s="221"/>
      <c r="AD15" s="228"/>
      <c r="AE15" s="221"/>
      <c r="AF15" s="273" t="s">
        <v>348</v>
      </c>
      <c r="AG15" s="273" t="s">
        <v>367</v>
      </c>
      <c r="AH15" s="273" t="s">
        <v>371</v>
      </c>
      <c r="AI15" s="221"/>
      <c r="AJ15" s="235"/>
      <c r="AK15" s="235"/>
    </row>
    <row r="16" spans="1:37" ht="15.75" x14ac:dyDescent="0.25">
      <c r="A16" s="219"/>
      <c r="B16" s="219"/>
      <c r="C16" s="219"/>
      <c r="D16" s="219"/>
      <c r="E16" s="219"/>
      <c r="F16" s="219"/>
      <c r="G16" s="220">
        <v>10</v>
      </c>
      <c r="H16" s="221"/>
      <c r="I16" s="229" t="s">
        <v>173</v>
      </c>
      <c r="J16" s="230">
        <f t="shared" si="0"/>
        <v>11011276</v>
      </c>
      <c r="K16" s="230">
        <f t="shared" si="0"/>
        <v>0</v>
      </c>
      <c r="L16" s="231" t="str">
        <f t="shared" si="3"/>
        <v/>
      </c>
      <c r="M16" s="227"/>
      <c r="N16" s="230">
        <f t="shared" si="1"/>
        <v>29105028</v>
      </c>
      <c r="O16" s="230">
        <f t="shared" si="1"/>
        <v>0</v>
      </c>
      <c r="P16" s="231" t="str">
        <f t="shared" si="4"/>
        <v/>
      </c>
      <c r="Q16" s="227"/>
      <c r="R16" s="230">
        <f t="shared" si="5"/>
        <v>40116304</v>
      </c>
      <c r="S16" s="230">
        <f t="shared" si="6"/>
        <v>0</v>
      </c>
      <c r="T16" s="231" t="str">
        <f t="shared" si="7"/>
        <v/>
      </c>
      <c r="U16" s="227"/>
      <c r="V16" s="228"/>
      <c r="W16" s="221"/>
      <c r="X16" s="238">
        <f t="shared" si="8"/>
        <v>0.27448381087150997</v>
      </c>
      <c r="Y16" s="238" t="str">
        <f t="shared" si="9"/>
        <v/>
      </c>
      <c r="Z16" s="241"/>
      <c r="AA16" s="238">
        <f t="shared" si="10"/>
        <v>0.72551618912849003</v>
      </c>
      <c r="AB16" s="238" t="str">
        <f t="shared" si="11"/>
        <v/>
      </c>
      <c r="AC16" s="221"/>
      <c r="AD16" s="228"/>
      <c r="AE16" s="221"/>
      <c r="AF16" s="268">
        <f>+AF17-1</f>
        <v>2018</v>
      </c>
      <c r="AG16" s="269">
        <f>+SUMIFS('BD ASR'!S:S,'BD ASR'!C:C,TABLERO!$AF$16)/(SUMIFS('BD ASR'!S:S,'BD ASR'!C:C,TABLERO!$AF$16)+SUMIFS('BD ASR'!U:U,'BD ASR'!C:C,TABLERO!$AF$16))</f>
        <v>0.280249916239592</v>
      </c>
      <c r="AH16" s="269">
        <f>+SUMIFS('BD ASR'!U:U,'BD ASR'!C:C,TABLERO!$AF$16)/(SUMIFS('BD ASR'!U:U,'BD ASR'!C:C,TABLERO!$AF$16)+SUMIFS('BD ASR'!S:S,'BD ASR'!C:C,TABLERO!$AF$16))</f>
        <v>0.71975008376040805</v>
      </c>
      <c r="AI16" s="221"/>
      <c r="AJ16" s="235"/>
      <c r="AK16" s="235"/>
    </row>
    <row r="17" spans="1:37" ht="15.75" x14ac:dyDescent="0.25">
      <c r="A17" s="219"/>
      <c r="B17" s="219"/>
      <c r="C17" s="219"/>
      <c r="D17" s="219"/>
      <c r="E17" s="219"/>
      <c r="F17" s="219"/>
      <c r="G17" s="220">
        <v>11</v>
      </c>
      <c r="H17" s="221"/>
      <c r="I17" s="224" t="s">
        <v>175</v>
      </c>
      <c r="J17" s="225">
        <f t="shared" si="0"/>
        <v>8391793</v>
      </c>
      <c r="K17" s="225">
        <f t="shared" si="0"/>
        <v>0</v>
      </c>
      <c r="L17" s="226" t="str">
        <f t="shared" si="3"/>
        <v/>
      </c>
      <c r="M17" s="227"/>
      <c r="N17" s="225">
        <f t="shared" si="1"/>
        <v>30125206</v>
      </c>
      <c r="O17" s="225">
        <f t="shared" si="1"/>
        <v>0</v>
      </c>
      <c r="P17" s="226" t="str">
        <f t="shared" si="4"/>
        <v/>
      </c>
      <c r="Q17" s="227"/>
      <c r="R17" s="225">
        <f t="shared" si="5"/>
        <v>38516999</v>
      </c>
      <c r="S17" s="225">
        <f t="shared" si="6"/>
        <v>0</v>
      </c>
      <c r="T17" s="226" t="str">
        <f t="shared" si="7"/>
        <v/>
      </c>
      <c r="U17" s="227"/>
      <c r="V17" s="228"/>
      <c r="W17" s="221"/>
      <c r="X17" s="237">
        <f t="shared" si="8"/>
        <v>0.2178724515894917</v>
      </c>
      <c r="Y17" s="237" t="str">
        <f t="shared" si="9"/>
        <v/>
      </c>
      <c r="Z17" s="241"/>
      <c r="AA17" s="237">
        <f t="shared" si="10"/>
        <v>0.78212754841050836</v>
      </c>
      <c r="AB17" s="237" t="str">
        <f t="shared" si="11"/>
        <v/>
      </c>
      <c r="AC17" s="221"/>
      <c r="AD17" s="228"/>
      <c r="AE17" s="221"/>
      <c r="AF17" s="270">
        <f>+T3</f>
        <v>2019</v>
      </c>
      <c r="AG17" s="271">
        <f>+SUMIFS('BD ASR'!S:S,'BD ASR'!C:C,TABLERO!$AF$17)/(SUMIFS('BD ASR'!S:S,'BD ASR'!C:C,TABLERO!$AF$17)+SUMIFS('BD ASR'!U:U,'BD ASR'!C:C,TABLERO!$AF$17))</f>
        <v>0.28043236221933571</v>
      </c>
      <c r="AH17" s="271">
        <f>+SUMIFS('BD ASR'!U:U,'BD ASR'!C:C,TABLERO!$AF$17)/(SUMIFS('BD ASR'!U:U,'BD ASR'!C:C,TABLERO!$AF$17)+SUMIFS('BD ASR'!S:S,'BD ASR'!C:C,TABLERO!$AF$17))</f>
        <v>0.71956763778066435</v>
      </c>
      <c r="AI17" s="221"/>
      <c r="AJ17" s="235"/>
      <c r="AK17" s="235"/>
    </row>
    <row r="18" spans="1:37" ht="15.75" x14ac:dyDescent="0.25">
      <c r="A18" s="219"/>
      <c r="B18" s="219"/>
      <c r="C18" s="219"/>
      <c r="D18" s="219"/>
      <c r="E18" s="219"/>
      <c r="F18" s="219"/>
      <c r="G18" s="220">
        <v>12</v>
      </c>
      <c r="H18" s="221"/>
      <c r="I18" s="229" t="s">
        <v>187</v>
      </c>
      <c r="J18" s="230">
        <f t="shared" si="0"/>
        <v>9040083</v>
      </c>
      <c r="K18" s="230">
        <f t="shared" si="0"/>
        <v>0</v>
      </c>
      <c r="L18" s="231" t="str">
        <f t="shared" si="3"/>
        <v/>
      </c>
      <c r="M18" s="227"/>
      <c r="N18" s="230">
        <f t="shared" si="1"/>
        <v>28888322</v>
      </c>
      <c r="O18" s="230">
        <f t="shared" si="1"/>
        <v>0</v>
      </c>
      <c r="P18" s="231" t="str">
        <f t="shared" si="4"/>
        <v/>
      </c>
      <c r="Q18" s="227"/>
      <c r="R18" s="230">
        <f t="shared" si="5"/>
        <v>37928405</v>
      </c>
      <c r="S18" s="230">
        <f t="shared" si="6"/>
        <v>0</v>
      </c>
      <c r="T18" s="231" t="str">
        <f t="shared" si="7"/>
        <v/>
      </c>
      <c r="U18" s="227"/>
      <c r="V18" s="228"/>
      <c r="W18" s="221"/>
      <c r="X18" s="238">
        <f t="shared" si="8"/>
        <v>0.23834598370271567</v>
      </c>
      <c r="Y18" s="238" t="str">
        <f t="shared" si="9"/>
        <v/>
      </c>
      <c r="Z18" s="241"/>
      <c r="AA18" s="238">
        <f t="shared" si="10"/>
        <v>0.76165401629728435</v>
      </c>
      <c r="AB18" s="238" t="str">
        <f t="shared" si="11"/>
        <v/>
      </c>
      <c r="AC18" s="221"/>
      <c r="AD18" s="228"/>
      <c r="AE18" s="221"/>
      <c r="AF18" s="242"/>
      <c r="AG18" s="242"/>
      <c r="AH18" s="242"/>
      <c r="AI18" s="221"/>
      <c r="AJ18" s="235"/>
      <c r="AK18" s="235"/>
    </row>
    <row r="19" spans="1:37" ht="15.75" x14ac:dyDescent="0.25">
      <c r="A19" s="219"/>
      <c r="B19" s="219"/>
      <c r="C19" s="219"/>
      <c r="D19" s="219"/>
      <c r="E19" s="219"/>
      <c r="F19" s="219"/>
      <c r="G19" s="219"/>
      <c r="H19" s="221"/>
      <c r="I19" s="239" t="str">
        <f>"Acumulado a "&amp;R3</f>
        <v>Acumulado a Marzo</v>
      </c>
      <c r="J19" s="243">
        <f>SUMIF($G$7:$G$18,"&lt;="&amp;$P$3,J7:J18)</f>
        <v>38187324</v>
      </c>
      <c r="K19" s="243">
        <f>SUMIF($G$7:$G$18,"&lt;="&amp;$P$3,K7:K18)</f>
        <v>32639721</v>
      </c>
      <c r="L19" s="244">
        <f t="shared" si="3"/>
        <v>-0.14527341585914744</v>
      </c>
      <c r="M19" s="232"/>
      <c r="N19" s="243">
        <f>SUMIF($G$7:$G$18,"&lt;="&amp;$P$3,N7:N18)</f>
        <v>103914937</v>
      </c>
      <c r="O19" s="243">
        <f>SUMIF($G$7:$G$18,"&lt;="&amp;$P$3,O7:O18)</f>
        <v>98521487</v>
      </c>
      <c r="P19" s="244">
        <f t="shared" si="4"/>
        <v>-5.1902547946499733E-2</v>
      </c>
      <c r="Q19" s="232"/>
      <c r="R19" s="245">
        <f>N19+J19</f>
        <v>142102261</v>
      </c>
      <c r="S19" s="245">
        <f t="shared" si="6"/>
        <v>131161208</v>
      </c>
      <c r="T19" s="244">
        <f t="shared" si="7"/>
        <v>-7.6994221787927808E-2</v>
      </c>
      <c r="U19" s="232"/>
      <c r="V19" s="219"/>
      <c r="W19" s="221"/>
      <c r="X19" s="246">
        <f>IFERROR(J19/R19,"")</f>
        <v>0.26873129063020329</v>
      </c>
      <c r="Y19" s="246">
        <f t="shared" si="9"/>
        <v>0.24885193951553114</v>
      </c>
      <c r="Z19" s="240"/>
      <c r="AA19" s="246">
        <f t="shared" si="10"/>
        <v>0.73126870936979671</v>
      </c>
      <c r="AB19" s="246">
        <f t="shared" si="11"/>
        <v>0.7511480604844688</v>
      </c>
      <c r="AC19" s="221"/>
      <c r="AD19" s="219"/>
      <c r="AE19" s="235"/>
      <c r="AF19" s="235"/>
      <c r="AG19" s="235"/>
      <c r="AH19" s="235"/>
      <c r="AI19" s="235"/>
      <c r="AJ19" s="235"/>
      <c r="AK19" s="235"/>
    </row>
    <row r="20" spans="1:37" ht="6.75" customHeight="1" x14ac:dyDescent="0.25">
      <c r="A20" s="219"/>
      <c r="B20" s="219"/>
      <c r="C20" s="219"/>
      <c r="D20" s="219"/>
      <c r="E20" s="219"/>
      <c r="F20" s="219"/>
      <c r="G20" s="219"/>
      <c r="H20" s="221"/>
      <c r="I20" s="242"/>
      <c r="J20" s="242"/>
      <c r="K20" s="242"/>
      <c r="L20" s="242"/>
      <c r="M20" s="242"/>
      <c r="N20" s="242"/>
      <c r="O20" s="242"/>
      <c r="P20" s="242"/>
      <c r="Q20" s="242"/>
      <c r="R20" s="242"/>
      <c r="S20" s="242"/>
      <c r="T20" s="242"/>
      <c r="U20" s="242"/>
      <c r="V20" s="219"/>
      <c r="W20" s="221"/>
      <c r="X20" s="242"/>
      <c r="Y20" s="242"/>
      <c r="Z20" s="242"/>
      <c r="AA20" s="242"/>
      <c r="AB20" s="242"/>
      <c r="AC20" s="221"/>
      <c r="AD20" s="219"/>
      <c r="AE20" s="235"/>
      <c r="AF20" s="235"/>
      <c r="AG20" s="235"/>
      <c r="AH20" s="235"/>
      <c r="AI20" s="235"/>
      <c r="AJ20" s="235"/>
      <c r="AK20" s="235"/>
    </row>
    <row r="21" spans="1:37" x14ac:dyDescent="0.25">
      <c r="A21" s="219"/>
      <c r="B21" s="219"/>
      <c r="C21" s="219"/>
      <c r="D21" s="219"/>
      <c r="E21" s="219"/>
      <c r="F21" s="219"/>
      <c r="G21" s="219"/>
      <c r="H21" s="219"/>
      <c r="I21" s="219"/>
      <c r="J21" s="219"/>
      <c r="K21" s="219"/>
      <c r="L21" s="219"/>
      <c r="M21" s="219"/>
      <c r="N21" s="219"/>
      <c r="O21" s="219"/>
      <c r="P21" s="219"/>
      <c r="Q21" s="219"/>
      <c r="R21" s="219"/>
      <c r="S21" s="219"/>
      <c r="T21" s="219"/>
      <c r="U21" s="219"/>
      <c r="V21" s="219"/>
      <c r="W21" s="219"/>
      <c r="X21" s="219"/>
      <c r="Y21" s="219"/>
      <c r="Z21" s="219"/>
      <c r="AA21" s="219"/>
      <c r="AB21" s="219"/>
      <c r="AC21" s="219"/>
      <c r="AD21" s="219"/>
      <c r="AE21" s="219"/>
      <c r="AF21" s="219"/>
      <c r="AG21" s="219"/>
      <c r="AH21" s="219"/>
      <c r="AI21" s="219"/>
      <c r="AJ21" s="235"/>
      <c r="AK21" s="235"/>
    </row>
    <row r="22" spans="1:37" x14ac:dyDescent="0.25">
      <c r="A22" s="219"/>
      <c r="B22" s="324"/>
      <c r="C22" s="324"/>
      <c r="D22" s="324"/>
      <c r="E22" s="324"/>
      <c r="F22" s="242"/>
      <c r="G22" s="219"/>
      <c r="H22" s="312"/>
      <c r="I22" s="356" t="s">
        <v>489</v>
      </c>
      <c r="J22" s="356"/>
      <c r="K22" s="356"/>
      <c r="L22" s="356"/>
      <c r="M22" s="356"/>
      <c r="N22" s="356"/>
      <c r="O22" s="356"/>
      <c r="P22" s="356"/>
      <c r="Q22" s="356"/>
      <c r="R22" s="356"/>
      <c r="S22" s="356"/>
      <c r="T22" s="356"/>
      <c r="U22" s="312"/>
      <c r="V22" s="219"/>
      <c r="W22" s="219"/>
      <c r="X22" s="219"/>
      <c r="Y22" s="219"/>
      <c r="Z22" s="219"/>
      <c r="AA22" s="219"/>
      <c r="AB22" s="219"/>
      <c r="AC22" s="219"/>
      <c r="AD22" s="219"/>
      <c r="AE22" s="219"/>
      <c r="AF22" s="219"/>
      <c r="AG22" s="219"/>
      <c r="AH22" s="219"/>
      <c r="AI22" s="219"/>
      <c r="AJ22" s="235"/>
      <c r="AK22" s="235"/>
    </row>
    <row r="23" spans="1:37" ht="15" customHeight="1" x14ac:dyDescent="0.25">
      <c r="A23" s="219"/>
      <c r="B23" s="324"/>
      <c r="C23" s="322"/>
      <c r="D23" s="322"/>
      <c r="E23" s="322"/>
      <c r="F23" s="242"/>
      <c r="G23" s="219"/>
      <c r="H23" s="312"/>
      <c r="I23" s="308" t="s">
        <v>114</v>
      </c>
      <c r="J23" s="308" t="s">
        <v>453</v>
      </c>
      <c r="K23" s="308" t="s">
        <v>454</v>
      </c>
      <c r="L23" s="308" t="s">
        <v>491</v>
      </c>
      <c r="M23" s="313"/>
      <c r="N23" s="344" t="s">
        <v>487</v>
      </c>
      <c r="O23" s="308" t="s">
        <v>367</v>
      </c>
      <c r="P23" s="308" t="s">
        <v>371</v>
      </c>
      <c r="Q23" s="313"/>
      <c r="R23" s="345" t="s">
        <v>488</v>
      </c>
      <c r="S23" s="308" t="s">
        <v>367</v>
      </c>
      <c r="T23" s="308" t="s">
        <v>371</v>
      </c>
      <c r="U23" s="242"/>
      <c r="V23" s="219"/>
      <c r="W23" s="219"/>
      <c r="X23" s="219"/>
      <c r="Y23" s="219"/>
      <c r="Z23" s="219"/>
      <c r="AA23" s="219"/>
      <c r="AB23" s="219"/>
      <c r="AC23" s="219"/>
      <c r="AD23" s="219"/>
      <c r="AE23" s="219"/>
      <c r="AF23" s="219"/>
      <c r="AG23" s="219"/>
      <c r="AH23" s="219"/>
      <c r="AI23" s="219"/>
      <c r="AJ23" s="235"/>
      <c r="AK23" s="235"/>
    </row>
    <row r="24" spans="1:37" ht="15" customHeight="1" x14ac:dyDescent="0.25">
      <c r="A24" s="219"/>
      <c r="B24" s="324"/>
      <c r="C24" s="322"/>
      <c r="D24" s="322"/>
      <c r="E24" s="322"/>
      <c r="F24" s="242"/>
      <c r="G24" s="219"/>
      <c r="H24" s="312"/>
      <c r="I24" s="308">
        <f>+I25-1</f>
        <v>2018</v>
      </c>
      <c r="J24" s="309">
        <f>+SUM(J7:J18)</f>
        <v>129450678</v>
      </c>
      <c r="K24" s="309">
        <f>+SUM(N7:N18)</f>
        <v>368360378</v>
      </c>
      <c r="L24" s="311">
        <f>J24+K24</f>
        <v>497811056</v>
      </c>
      <c r="M24" s="313"/>
      <c r="N24" s="344"/>
      <c r="O24" s="310">
        <f>+J24/(J24+K24)</f>
        <v>0.26003978103692416</v>
      </c>
      <c r="P24" s="310">
        <f>+K24/(J24+K24)</f>
        <v>0.73996021896307584</v>
      </c>
      <c r="Q24" s="313"/>
      <c r="R24" s="344"/>
      <c r="S24" s="332">
        <f>IF($L$3="CANTIDAD","No Aplica",J24/IF($O$3="DIA",SUMIFS('BD ASR'!$S:$S,'BD ASR'!$C:$C,TABLERO!I24,'BD ASR'!$G:$G,TABLERO!$I$3)/24,IF($O$3="HORA",SUMIFS('BD ASR'!$S:$S,'BD ASR'!$C:$C,TABLERO!I24,'BD ASR'!$G:$G,TABLERO!$I$3)/192,SUMIFS('BD ASR'!$S:$S,'BD ASR'!$C:$C,TABLERO!I24,'BD ASR'!$G:$G,TABLERO!$I$3))))</f>
        <v>107606.54862842892</v>
      </c>
      <c r="T24" s="332">
        <f>IF($L$3="CANTIDAD","No Aplica",K24/IF($O$3="DIA",SUMIFS('BD ASR'!$U:$U,'BD ASR'!$C:$C,TABLERO!I24,'BD ASR'!$G:$G,TABLERO!$I$3)/24,IF($O$3="HORA",SUMIFS('BD ASR'!$U:$U,'BD ASR'!$C:$C,TABLERO!I24,'BD ASR'!$G:$G,TABLERO!$I$3)/192,SUMIFS('BD ASR'!$U:$U,'BD ASR'!$C:$C,TABLERO!I24,'BD ASR'!$G:$G,TABLERO!$I$3))))</f>
        <v>126802.19552495697</v>
      </c>
      <c r="U24" s="242"/>
      <c r="V24" s="219"/>
      <c r="W24" s="219"/>
      <c r="X24" s="219"/>
      <c r="Y24" s="219"/>
      <c r="Z24" s="219"/>
      <c r="AA24" s="219"/>
      <c r="AB24" s="219"/>
      <c r="AC24" s="219"/>
      <c r="AD24" s="219"/>
      <c r="AE24" s="219"/>
      <c r="AF24" s="219"/>
      <c r="AG24" s="219"/>
      <c r="AH24" s="219"/>
      <c r="AI24" s="219"/>
      <c r="AJ24" s="235"/>
      <c r="AK24" s="235"/>
    </row>
    <row r="25" spans="1:37" ht="15" customHeight="1" x14ac:dyDescent="0.25">
      <c r="A25" s="219"/>
      <c r="B25" s="324"/>
      <c r="C25" s="322"/>
      <c r="D25" s="322"/>
      <c r="E25" s="322"/>
      <c r="F25" s="242"/>
      <c r="G25" s="219"/>
      <c r="H25" s="312"/>
      <c r="I25" s="308">
        <f>+T3</f>
        <v>2019</v>
      </c>
      <c r="J25" s="309">
        <f>+SUM(K7:K18)</f>
        <v>32639721</v>
      </c>
      <c r="K25" s="309">
        <f>+SUM(O7:O18)</f>
        <v>98521487</v>
      </c>
      <c r="L25" s="311">
        <f>J25+K25</f>
        <v>131161208</v>
      </c>
      <c r="M25" s="313"/>
      <c r="N25" s="344"/>
      <c r="O25" s="310">
        <f>+J25/(J25+K25)</f>
        <v>0.24885193951553114</v>
      </c>
      <c r="P25" s="310">
        <f>+K25/(J25+K25)</f>
        <v>0.7511480604844688</v>
      </c>
      <c r="Q25" s="313"/>
      <c r="R25" s="344"/>
      <c r="S25" s="332">
        <f>IF($L$3="CANTIDAD","No Aplica",J25/IF($O$3="DIA",SUMIFS('BD ASR'!$S:$S,'BD ASR'!$C:$C,TABLERO!I25,'BD ASR'!$G:$G,TABLERO!$I$3)/24,IF($O$3="HORA",SUMIFS('BD ASR'!$S:$S,'BD ASR'!$C:$C,TABLERO!I25,'BD ASR'!$G:$G,TABLERO!$I$3)/192,SUMIFS('BD ASR'!$S:$S,'BD ASR'!$C:$C,TABLERO!I25,'BD ASR'!$G:$G,TABLERO!$I$3))))</f>
        <v>119998.97426470589</v>
      </c>
      <c r="T25" s="332">
        <f>IF($L$3="CANTIDAD","No Aplica",K25/IF($O$3="DIA",SUMIFS('BD ASR'!$U:$U,'BD ASR'!$C:$C,TABLERO!I25,'BD ASR'!$G:$G,TABLERO!$I$3)/24,IF($O$3="HORA",SUMIFS('BD ASR'!$U:$U,'BD ASR'!$C:$C,TABLERO!I25,'BD ASR'!$G:$G,TABLERO!$I$3)/192,SUMIFS('BD ASR'!$U:$U,'BD ASR'!$C:$C,TABLERO!I25,'BD ASR'!$G:$G,TABLERO!$I$3))))</f>
        <v>143199.83575581395</v>
      </c>
      <c r="U25" s="242"/>
      <c r="V25" s="219"/>
      <c r="W25" s="219"/>
      <c r="X25" s="219"/>
      <c r="Y25" s="219"/>
      <c r="Z25" s="219"/>
      <c r="AA25" s="219"/>
      <c r="AB25" s="219"/>
      <c r="AC25" s="219"/>
      <c r="AD25" s="219"/>
      <c r="AE25" s="219"/>
      <c r="AF25" s="219"/>
      <c r="AG25" s="219"/>
      <c r="AH25" s="219"/>
      <c r="AI25" s="219"/>
      <c r="AJ25" s="235"/>
      <c r="AK25" s="235"/>
    </row>
    <row r="26" spans="1:37" ht="6" customHeight="1" x14ac:dyDescent="0.25">
      <c r="A26" s="219"/>
      <c r="B26" s="324"/>
      <c r="C26" s="322"/>
      <c r="D26" s="322"/>
      <c r="E26" s="322"/>
      <c r="F26" s="242"/>
      <c r="G26" s="219"/>
      <c r="H26" s="312"/>
      <c r="I26" s="242"/>
      <c r="J26" s="242"/>
      <c r="K26" s="242"/>
      <c r="L26" s="242"/>
      <c r="M26" s="242"/>
      <c r="N26" s="242"/>
      <c r="O26" s="242"/>
      <c r="P26" s="242"/>
      <c r="Q26" s="242"/>
      <c r="R26" s="242"/>
      <c r="S26" s="242"/>
      <c r="T26" s="242"/>
      <c r="U26" s="242"/>
      <c r="V26" s="219"/>
      <c r="W26" s="219"/>
      <c r="X26" s="219"/>
      <c r="Y26" s="219"/>
      <c r="Z26" s="219"/>
      <c r="AA26" s="219"/>
      <c r="AB26" s="219"/>
      <c r="AC26" s="219"/>
      <c r="AD26" s="219"/>
      <c r="AE26" s="219"/>
      <c r="AF26" s="219"/>
      <c r="AG26" s="219"/>
      <c r="AH26" s="219"/>
      <c r="AI26" s="219"/>
      <c r="AJ26" s="235"/>
      <c r="AK26" s="235"/>
    </row>
    <row r="27" spans="1:37" ht="9" customHeight="1" x14ac:dyDescent="0.25">
      <c r="A27" s="219"/>
      <c r="B27" s="324"/>
      <c r="C27" s="322"/>
      <c r="D27" s="322"/>
      <c r="E27" s="322"/>
      <c r="F27" s="242"/>
      <c r="G27" s="219"/>
      <c r="H27" s="319"/>
      <c r="I27" s="219"/>
      <c r="J27" s="219"/>
      <c r="K27" s="219"/>
      <c r="L27" s="219"/>
      <c r="M27" s="219"/>
      <c r="N27" s="219"/>
      <c r="O27" s="219"/>
      <c r="P27" s="219"/>
      <c r="Q27" s="219"/>
      <c r="R27" s="219"/>
      <c r="S27" s="219"/>
      <c r="T27" s="219"/>
      <c r="U27" s="219"/>
      <c r="V27" s="219"/>
      <c r="W27" s="219"/>
      <c r="X27" s="219"/>
      <c r="Y27" s="219"/>
      <c r="Z27" s="219"/>
      <c r="AA27" s="219"/>
      <c r="AB27" s="219"/>
      <c r="AC27" s="219"/>
      <c r="AD27" s="219"/>
      <c r="AE27" s="219"/>
      <c r="AF27" s="219"/>
      <c r="AG27" s="219"/>
      <c r="AH27" s="219"/>
      <c r="AI27" s="219"/>
      <c r="AJ27" s="235"/>
      <c r="AK27" s="235"/>
    </row>
    <row r="28" spans="1:37" ht="15" customHeight="1" x14ac:dyDescent="0.25">
      <c r="A28" s="219"/>
      <c r="B28" s="324"/>
      <c r="C28" s="322"/>
      <c r="D28" s="322"/>
      <c r="E28" s="322"/>
      <c r="F28" s="242"/>
      <c r="G28" s="219"/>
      <c r="H28" s="325"/>
      <c r="I28" s="323" t="s">
        <v>493</v>
      </c>
      <c r="J28" s="323"/>
      <c r="K28" s="323"/>
      <c r="L28" s="323"/>
      <c r="M28" s="325"/>
      <c r="N28" s="360" t="s">
        <v>496</v>
      </c>
      <c r="O28" s="360"/>
      <c r="P28" s="360"/>
      <c r="Q28" s="360"/>
      <c r="R28" s="360"/>
      <c r="S28" s="360"/>
      <c r="T28" s="360"/>
      <c r="U28" s="325"/>
      <c r="V28" s="219"/>
      <c r="W28" s="219"/>
      <c r="X28" s="219"/>
      <c r="Y28" s="219"/>
      <c r="Z28" s="219"/>
      <c r="AA28" s="219"/>
      <c r="AB28" s="219"/>
      <c r="AC28" s="219"/>
      <c r="AD28" s="219"/>
      <c r="AE28" s="219"/>
      <c r="AF28" s="219"/>
      <c r="AG28" s="219"/>
      <c r="AH28" s="219"/>
      <c r="AI28" s="219"/>
      <c r="AJ28" s="235"/>
      <c r="AK28" s="235"/>
    </row>
    <row r="29" spans="1:37" ht="15" customHeight="1" x14ac:dyDescent="0.25">
      <c r="A29" s="219"/>
      <c r="B29" s="324"/>
      <c r="C29" s="322"/>
      <c r="D29" s="322"/>
      <c r="E29" s="322"/>
      <c r="F29" s="242"/>
      <c r="G29" s="219"/>
      <c r="H29" s="325"/>
      <c r="I29" s="317" t="s">
        <v>495</v>
      </c>
      <c r="J29" s="317" t="s">
        <v>494</v>
      </c>
      <c r="K29" s="317" t="s">
        <v>441</v>
      </c>
      <c r="L29" s="317" t="s">
        <v>492</v>
      </c>
      <c r="M29" s="242"/>
      <c r="N29" s="344" t="s">
        <v>497</v>
      </c>
      <c r="O29" s="361" t="s">
        <v>494</v>
      </c>
      <c r="P29" s="359" t="s">
        <v>500</v>
      </c>
      <c r="Q29" s="328"/>
      <c r="R29" s="344" t="s">
        <v>499</v>
      </c>
      <c r="S29" s="359" t="s">
        <v>494</v>
      </c>
      <c r="T29" s="358" t="s">
        <v>498</v>
      </c>
      <c r="U29" s="242"/>
      <c r="V29" s="219"/>
      <c r="W29" s="219"/>
      <c r="X29" s="219"/>
      <c r="Y29" s="219"/>
      <c r="Z29" s="219"/>
      <c r="AA29" s="219"/>
      <c r="AB29" s="219"/>
      <c r="AC29" s="219"/>
      <c r="AD29" s="219"/>
      <c r="AE29" s="219"/>
      <c r="AF29" s="219"/>
      <c r="AG29" s="219"/>
      <c r="AH29" s="219"/>
      <c r="AI29" s="219"/>
      <c r="AJ29" s="235"/>
      <c r="AK29" s="235"/>
    </row>
    <row r="30" spans="1:37" ht="15" customHeight="1" x14ac:dyDescent="0.25">
      <c r="A30" s="219"/>
      <c r="B30" s="324"/>
      <c r="C30" s="322"/>
      <c r="D30" s="322"/>
      <c r="E30" s="322"/>
      <c r="F30" s="242"/>
      <c r="G30" s="219"/>
      <c r="H30" s="325"/>
      <c r="I30" s="317">
        <f>+I31-1</f>
        <v>2018</v>
      </c>
      <c r="J30" s="321">
        <f>(SUMIFS('BD ASR'!T:T,'BD ASR'!C:C,TABLERO!I30,'BD ASR'!G:G,TABLERO!I3)/COUNTIFS('BD ASR'!G:G,TABLERO!$I$3,'BD ASR'!C:C,TABLERO!I30))*3</f>
        <v>32362669.5</v>
      </c>
      <c r="K30" s="321">
        <f>+(SUMIFS('BD ASR'!S:S,'BD ASR'!C:C,TABLERO!I30,'BD ASR'!G:G,TABLERO!I3)/COUNTIFS('BD ASR'!G:G,TABLERO!$I$3,'BD ASR'!C:C,TABLERO!I30))*3</f>
        <v>300.75</v>
      </c>
      <c r="L30" s="321">
        <f>+J30/K30</f>
        <v>107606.54862842892</v>
      </c>
      <c r="M30" s="242"/>
      <c r="N30" s="344"/>
      <c r="O30" s="361"/>
      <c r="P30" s="359"/>
      <c r="Q30" s="329"/>
      <c r="R30" s="344"/>
      <c r="S30" s="359"/>
      <c r="T30" s="358"/>
      <c r="U30" s="242"/>
      <c r="V30" s="219"/>
      <c r="W30" s="219"/>
      <c r="X30" s="219"/>
      <c r="Y30" s="219"/>
      <c r="Z30" s="219"/>
      <c r="AA30" s="219"/>
      <c r="AB30" s="219"/>
      <c r="AC30" s="219"/>
      <c r="AD30" s="219"/>
      <c r="AE30" s="219"/>
      <c r="AF30" s="219"/>
      <c r="AG30" s="219"/>
      <c r="AH30" s="219"/>
      <c r="AI30" s="219"/>
      <c r="AJ30" s="235"/>
      <c r="AK30" s="235"/>
    </row>
    <row r="31" spans="1:37" ht="15" customHeight="1" x14ac:dyDescent="0.25">
      <c r="A31" s="219"/>
      <c r="B31" s="324"/>
      <c r="C31" s="322"/>
      <c r="D31" s="322"/>
      <c r="E31" s="322"/>
      <c r="F31" s="242"/>
      <c r="G31" s="219"/>
      <c r="H31" s="325"/>
      <c r="I31" s="317">
        <f>+T3</f>
        <v>2019</v>
      </c>
      <c r="J31" s="320">
        <f>(SUMIFS('BD ASR'!T:T,'BD ASR'!C:C,TABLERO!I31,'BD ASR'!G:G,TABLERO!I3)/COUNTIFS('BD ASR'!G:G,TABLERO!$I$3,'BD ASR'!C:C,TABLERO!I31))*3</f>
        <v>32639721</v>
      </c>
      <c r="K31" s="331">
        <f>+(SUMIFS('BD ASR'!S:S,'BD ASR'!C:C,TABLERO!I31,'BD ASR'!G:G,TABLERO!I3)/COUNTIFS('BD ASR'!G:G,TABLERO!$I$3,'BD ASR'!C:C,TABLERO!I31))*3</f>
        <v>272</v>
      </c>
      <c r="L31" s="331">
        <f>+J31/K31</f>
        <v>119998.97426470589</v>
      </c>
      <c r="M31" s="242"/>
      <c r="N31" s="344"/>
      <c r="O31" s="333">
        <f>+$J$30*105%</f>
        <v>33980802.975000001</v>
      </c>
      <c r="P31" s="334">
        <f>IF((O31/L31-K31)&lt;0,0,((O31/L31-K31)))</f>
        <v>11.175778653255009</v>
      </c>
      <c r="Q31" s="329"/>
      <c r="R31" s="344"/>
      <c r="S31" s="334">
        <f>+J30*110%</f>
        <v>35598936.450000003</v>
      </c>
      <c r="T31" s="335">
        <f>IF((S31/L31-K31)&lt;0,0,(S31/L31-K31))</f>
        <v>24.660339541505266</v>
      </c>
      <c r="U31" s="242"/>
      <c r="V31" s="219"/>
      <c r="W31" s="219"/>
      <c r="X31" s="219"/>
      <c r="Y31" s="219"/>
      <c r="Z31" s="219"/>
      <c r="AA31" s="219"/>
      <c r="AB31" s="219"/>
      <c r="AC31" s="219"/>
      <c r="AD31" s="219"/>
      <c r="AE31" s="219"/>
      <c r="AF31" s="219"/>
      <c r="AG31" s="219"/>
      <c r="AH31" s="219"/>
      <c r="AI31" s="219"/>
      <c r="AJ31" s="235"/>
      <c r="AK31" s="235"/>
    </row>
    <row r="32" spans="1:37" ht="15.75" x14ac:dyDescent="0.25">
      <c r="A32" s="219"/>
      <c r="B32" s="324"/>
      <c r="C32" s="322"/>
      <c r="D32" s="322"/>
      <c r="E32" s="322"/>
      <c r="F32" s="242"/>
      <c r="G32" s="219">
        <v>0</v>
      </c>
      <c r="H32" s="325">
        <v>0</v>
      </c>
      <c r="M32" s="242"/>
      <c r="N32" s="357" t="str">
        <f>"Para Cumplir el reto del 5% debe vender $"&amp;TEXT(O31,"0.0")&amp;" en monturas y si mantiene su ticket actual: $"&amp;TEXT(L31,"0.0")&amp;" deberá vender "&amp;TEXT((K31+P31),"0.0")&amp;" monturas en el trimestre; lo que significa "&amp;TEXT(P31,"0.0")&amp;" monturas adicionales."</f>
        <v>Para Cumplir el reto del 5% debe vender $33.980.803 en monturas y si mantiene su ticket actual: $119.999 deberá vender 283 monturas en el trimestre; lo que significa 11 monturas adicionales.</v>
      </c>
      <c r="O32" s="357"/>
      <c r="P32" s="357"/>
      <c r="Q32" s="329"/>
      <c r="R32" s="357" t="str">
        <f>"Para Cumplir el reto del 10% debe vender $"&amp;TEXT(S31,"0.0")&amp;" en monturas y si mantiene su ticket actual: $"&amp;TEXT(L31,"0.0")&amp;" deberá vender "&amp;TEXT((K31+T31),"0.0")&amp;" monturas en el trimestre; lo que significa "&amp;TEXT(T31,"0.0")&amp;" monturas adicionales."</f>
        <v>Para Cumplir el reto del 10% debe vender $35.598.936 en monturas y si mantiene su ticket actual: $119.999 deberá vender 297 monturas en el trimestre; lo que significa 25 monturas adicionales.</v>
      </c>
      <c r="S32" s="357"/>
      <c r="T32" s="357"/>
      <c r="U32" s="242"/>
      <c r="V32" s="219"/>
      <c r="W32" s="219"/>
      <c r="X32" s="219"/>
      <c r="Y32" s="219"/>
      <c r="Z32" s="219"/>
      <c r="AA32" s="219"/>
      <c r="AB32" s="219"/>
      <c r="AC32" s="219"/>
      <c r="AD32" s="219"/>
      <c r="AE32" s="219"/>
      <c r="AF32" s="219"/>
      <c r="AG32" s="219"/>
      <c r="AH32" s="219"/>
      <c r="AI32" s="219"/>
      <c r="AJ32" s="235"/>
      <c r="AK32" s="235"/>
    </row>
    <row r="33" spans="1:37" ht="15" customHeight="1" x14ac:dyDescent="0.25">
      <c r="A33" s="219"/>
      <c r="B33" s="324"/>
      <c r="C33" s="322"/>
      <c r="D33" s="322"/>
      <c r="E33" s="322"/>
      <c r="F33" s="242"/>
      <c r="G33" s="219">
        <v>3</v>
      </c>
      <c r="H33" s="325"/>
      <c r="I33" s="317" t="str">
        <f>+"TRIMESTRE 1_"&amp;$I$31</f>
        <v>TRIMESTRE 1_2019</v>
      </c>
      <c r="J33" s="321">
        <f>+SUMIFS('BD ASR'!$T:$T,'BD ASR'!$A:$A,"&lt;="&amp;TABLERO!G33,'BD ASR'!$A:$A,"&gt;"&amp;TABLERO!G32,'BD ASR'!$C:$C,TABLERO!$I$31,'BD ASR'!$G:$G,TABLERO!$I$3)</f>
        <v>32639721</v>
      </c>
      <c r="K33" s="321">
        <f>+SUMIFS('BD ASR'!$S:$S,'BD ASR'!$A:$A,"&lt;="&amp;TABLERO!G33,'BD ASR'!$A:$A,"&gt;"&amp;TABLERO!G32,'BD ASR'!$C:$C,TABLERO!$I$31,'BD ASR'!$G:$G,TABLERO!$I$3)</f>
        <v>272</v>
      </c>
      <c r="L33" s="321">
        <f>IFERROR(J33/K33,0)</f>
        <v>119998.97426470589</v>
      </c>
      <c r="M33" s="242"/>
      <c r="N33" s="357"/>
      <c r="O33" s="357"/>
      <c r="P33" s="357"/>
      <c r="Q33" s="329"/>
      <c r="R33" s="357"/>
      <c r="S33" s="357"/>
      <c r="T33" s="357"/>
      <c r="U33" s="242"/>
      <c r="V33" s="219"/>
      <c r="W33" s="219"/>
      <c r="X33" s="219"/>
      <c r="Y33" s="219"/>
      <c r="Z33" s="219"/>
      <c r="AA33" s="219"/>
      <c r="AB33" s="219"/>
      <c r="AC33" s="219"/>
      <c r="AD33" s="219"/>
      <c r="AE33" s="219"/>
      <c r="AF33" s="219"/>
      <c r="AG33" s="219"/>
      <c r="AH33" s="219"/>
      <c r="AI33" s="219"/>
      <c r="AJ33" s="235"/>
      <c r="AK33" s="235"/>
    </row>
    <row r="34" spans="1:37" ht="15" customHeight="1" x14ac:dyDescent="0.25">
      <c r="A34" s="219"/>
      <c r="B34" s="324"/>
      <c r="C34" s="322"/>
      <c r="D34" s="322"/>
      <c r="E34" s="322"/>
      <c r="F34" s="242"/>
      <c r="G34" s="219">
        <v>6</v>
      </c>
      <c r="H34" s="325"/>
      <c r="I34" s="318" t="str">
        <f>+"TRIMESTRE 2_"&amp;$I$31</f>
        <v>TRIMESTRE 2_2019</v>
      </c>
      <c r="J34" s="320">
        <f>+SUMIFS('BD ASR'!$T:$T,'BD ASR'!$A:$A,"&lt;="&amp;TABLERO!G34,'BD ASR'!$A:$A,"&gt;"&amp;TABLERO!G33,'BD ASR'!$C:$C,TABLERO!$I$31,'BD ASR'!$G:$G,TABLERO!$I$3)</f>
        <v>0</v>
      </c>
      <c r="K34" s="320">
        <f>+SUMIFS('BD ASR'!$S:$S,'BD ASR'!$A:$A,"&lt;="&amp;TABLERO!G34,'BD ASR'!$A:$A,"&gt;"&amp;TABLERO!G33,'BD ASR'!$C:$C,TABLERO!$I$31,'BD ASR'!$G:$G,TABLERO!$I$3)</f>
        <v>0</v>
      </c>
      <c r="L34" s="320">
        <f t="shared" ref="L34:L36" si="12">IFERROR(J34/K34,0)</f>
        <v>0</v>
      </c>
      <c r="M34" s="242"/>
      <c r="N34" s="357"/>
      <c r="O34" s="357"/>
      <c r="P34" s="357"/>
      <c r="Q34" s="329"/>
      <c r="R34" s="357"/>
      <c r="S34" s="357"/>
      <c r="T34" s="357"/>
      <c r="U34" s="242"/>
      <c r="V34" s="219"/>
      <c r="W34" s="219"/>
      <c r="X34" s="219"/>
      <c r="Y34" s="219"/>
      <c r="Z34" s="219"/>
      <c r="AA34" s="219"/>
      <c r="AB34" s="219"/>
      <c r="AC34" s="219"/>
      <c r="AD34" s="219"/>
      <c r="AE34" s="219"/>
      <c r="AF34" s="219"/>
      <c r="AG34" s="219"/>
      <c r="AH34" s="219"/>
      <c r="AI34" s="219"/>
      <c r="AJ34" s="235"/>
      <c r="AK34" s="235"/>
    </row>
    <row r="35" spans="1:37" ht="15" customHeight="1" x14ac:dyDescent="0.25">
      <c r="A35" s="219"/>
      <c r="B35" s="324"/>
      <c r="C35" s="322"/>
      <c r="D35" s="322"/>
      <c r="E35" s="322"/>
      <c r="F35" s="242"/>
      <c r="G35" s="219">
        <v>9</v>
      </c>
      <c r="H35" s="325"/>
      <c r="I35" s="318" t="str">
        <f>+"TRIMESTRE 3_"&amp;$I$31</f>
        <v>TRIMESTRE 3_2019</v>
      </c>
      <c r="J35" s="321">
        <f>+SUMIFS('BD ASR'!$T:$T,'BD ASR'!$A:$A,"&lt;="&amp;TABLERO!G35,'BD ASR'!$A:$A,"&gt;"&amp;TABLERO!G34,'BD ASR'!$C:$C,TABLERO!$I$31,'BD ASR'!$G:$G,TABLERO!$I$3)</f>
        <v>0</v>
      </c>
      <c r="K35" s="321">
        <f>+SUMIFS('BD ASR'!$S:$S,'BD ASR'!$A:$A,"&lt;="&amp;TABLERO!G35,'BD ASR'!$A:$A,"&gt;"&amp;TABLERO!G34,'BD ASR'!$C:$C,TABLERO!$I$31,'BD ASR'!$G:$G,TABLERO!$I$3)</f>
        <v>0</v>
      </c>
      <c r="L35" s="321">
        <f t="shared" si="12"/>
        <v>0</v>
      </c>
      <c r="M35" s="242"/>
      <c r="N35" s="357"/>
      <c r="O35" s="357"/>
      <c r="P35" s="357"/>
      <c r="Q35" s="329"/>
      <c r="R35" s="357"/>
      <c r="S35" s="357"/>
      <c r="T35" s="357"/>
      <c r="U35" s="242"/>
      <c r="V35" s="219"/>
      <c r="W35" s="219"/>
      <c r="X35" s="219"/>
      <c r="Y35" s="219"/>
      <c r="Z35" s="219"/>
      <c r="AA35" s="219"/>
      <c r="AB35" s="219"/>
      <c r="AC35" s="219"/>
      <c r="AD35" s="219"/>
      <c r="AE35" s="219"/>
      <c r="AF35" s="219"/>
      <c r="AG35" s="219"/>
      <c r="AH35" s="219"/>
      <c r="AI35" s="219"/>
      <c r="AJ35" s="235"/>
      <c r="AK35" s="235"/>
    </row>
    <row r="36" spans="1:37" x14ac:dyDescent="0.25">
      <c r="A36" s="219"/>
      <c r="B36" s="324"/>
      <c r="C36" s="219"/>
      <c r="D36" s="219"/>
      <c r="E36" s="219"/>
      <c r="F36" s="242"/>
      <c r="G36" s="219">
        <v>12</v>
      </c>
      <c r="H36" s="325"/>
      <c r="I36" s="318" t="str">
        <f>+"TRIMESTRE 4_"&amp;$I$31</f>
        <v>TRIMESTRE 4_2019</v>
      </c>
      <c r="J36" s="320">
        <f>+SUMIFS('BD ASR'!$T:$T,'BD ASR'!$A:$A,"&lt;="&amp;TABLERO!G36,'BD ASR'!$A:$A,"&gt;"&amp;TABLERO!G35,'BD ASR'!$C:$C,TABLERO!$I$31,'BD ASR'!$G:$G,TABLERO!$I$3)</f>
        <v>0</v>
      </c>
      <c r="K36" s="320">
        <f>+SUMIFS('BD ASR'!$S:$S,'BD ASR'!$A:$A,"&lt;="&amp;TABLERO!G36,'BD ASR'!$A:$A,"&gt;"&amp;TABLERO!G35,'BD ASR'!$C:$C,TABLERO!$I$31,'BD ASR'!$G:$G,TABLERO!$I$3)</f>
        <v>0</v>
      </c>
      <c r="L36" s="320">
        <f t="shared" si="12"/>
        <v>0</v>
      </c>
      <c r="M36" s="242"/>
      <c r="N36" s="357"/>
      <c r="O36" s="357"/>
      <c r="P36" s="357"/>
      <c r="Q36" s="329"/>
      <c r="R36" s="357"/>
      <c r="S36" s="357"/>
      <c r="T36" s="357"/>
      <c r="U36" s="242"/>
      <c r="V36" s="219"/>
      <c r="W36" s="219"/>
      <c r="X36" s="219"/>
      <c r="Y36" s="219"/>
      <c r="Z36" s="219"/>
      <c r="AA36" s="219"/>
      <c r="AB36" s="219"/>
      <c r="AC36" s="219"/>
      <c r="AD36" s="219"/>
      <c r="AE36" s="219"/>
      <c r="AF36" s="219"/>
      <c r="AG36" s="219"/>
      <c r="AH36" s="219"/>
      <c r="AI36" s="219"/>
      <c r="AJ36" s="235"/>
      <c r="AK36" s="235"/>
    </row>
    <row r="37" spans="1:37" x14ac:dyDescent="0.25">
      <c r="A37" s="219"/>
      <c r="B37" s="324"/>
      <c r="C37" s="242"/>
      <c r="D37" s="242"/>
      <c r="E37" s="242"/>
      <c r="F37" s="242"/>
      <c r="G37" s="219"/>
      <c r="H37" s="325"/>
      <c r="M37" s="242"/>
      <c r="N37" s="330"/>
      <c r="O37" s="330"/>
      <c r="P37" s="330"/>
      <c r="Q37" s="329"/>
      <c r="R37" s="242"/>
      <c r="S37" s="242"/>
      <c r="T37" s="242"/>
      <c r="U37" s="242"/>
      <c r="V37" s="219"/>
      <c r="W37" s="219"/>
      <c r="X37" s="219"/>
      <c r="Y37" s="219"/>
      <c r="Z37" s="219"/>
      <c r="AA37" s="219"/>
      <c r="AB37" s="219"/>
      <c r="AC37" s="219"/>
      <c r="AD37" s="219"/>
      <c r="AE37" s="219"/>
      <c r="AF37" s="219"/>
      <c r="AG37" s="219"/>
      <c r="AH37" s="219"/>
      <c r="AI37" s="219"/>
      <c r="AJ37" s="235"/>
      <c r="AK37" s="235"/>
    </row>
    <row r="38" spans="1:37" x14ac:dyDescent="0.25">
      <c r="A38" s="219"/>
      <c r="B38" s="219"/>
      <c r="C38" s="219"/>
      <c r="D38" s="219"/>
      <c r="E38" s="219"/>
      <c r="F38" s="219"/>
      <c r="G38" s="219">
        <v>12</v>
      </c>
      <c r="H38" s="219"/>
      <c r="I38" s="219"/>
      <c r="J38" s="219"/>
      <c r="K38" s="219"/>
      <c r="L38" s="219"/>
      <c r="M38" s="219"/>
      <c r="N38" s="326"/>
      <c r="O38" s="326"/>
      <c r="P38" s="327"/>
      <c r="Q38" s="219"/>
      <c r="R38" s="219"/>
      <c r="S38" s="219"/>
      <c r="T38" s="219"/>
      <c r="U38" s="219"/>
      <c r="V38" s="219"/>
      <c r="W38" s="219"/>
      <c r="X38" s="219"/>
      <c r="Y38" s="219"/>
      <c r="Z38" s="219"/>
      <c r="AA38" s="219"/>
      <c r="AB38" s="219"/>
      <c r="AC38" s="219"/>
      <c r="AD38" s="219"/>
      <c r="AE38" s="219"/>
      <c r="AF38" s="219"/>
      <c r="AG38" s="219"/>
      <c r="AH38" s="219"/>
      <c r="AI38" s="219"/>
      <c r="AJ38" s="235"/>
      <c r="AK38" s="235"/>
    </row>
    <row r="39" spans="1:37" x14ac:dyDescent="0.25">
      <c r="A39" s="219"/>
      <c r="B39" s="219"/>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c r="AB39" s="219"/>
      <c r="AC39" s="219"/>
      <c r="AD39" s="219"/>
      <c r="AE39" s="219"/>
      <c r="AF39" s="219"/>
      <c r="AG39" s="219"/>
      <c r="AH39" s="219"/>
      <c r="AI39" s="219"/>
      <c r="AJ39" s="235"/>
      <c r="AK39" s="235"/>
    </row>
    <row r="40" spans="1:37" x14ac:dyDescent="0.25">
      <c r="A40" s="219"/>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c r="AF40" s="219"/>
      <c r="AG40" s="219"/>
      <c r="AH40" s="219"/>
      <c r="AI40" s="219"/>
      <c r="AJ40" s="235"/>
      <c r="AK40" s="235"/>
    </row>
    <row r="41" spans="1:37" x14ac:dyDescent="0.25">
      <c r="A41" s="233"/>
      <c r="B41" s="233"/>
    </row>
    <row r="42" spans="1:37" x14ac:dyDescent="0.25">
      <c r="A42" s="233"/>
      <c r="B42" s="233"/>
    </row>
    <row r="43" spans="1:37" x14ac:dyDescent="0.25">
      <c r="A43" s="233"/>
      <c r="B43" s="233"/>
    </row>
    <row r="44" spans="1:37" x14ac:dyDescent="0.25">
      <c r="A44" s="233"/>
      <c r="B44" s="233"/>
    </row>
    <row r="45" spans="1:37" x14ac:dyDescent="0.25">
      <c r="A45" s="233"/>
      <c r="B45" s="233"/>
    </row>
    <row r="46" spans="1:37" x14ac:dyDescent="0.25">
      <c r="A46" s="233"/>
      <c r="B46" s="233"/>
    </row>
    <row r="47" spans="1:37" x14ac:dyDescent="0.25">
      <c r="A47" s="233"/>
      <c r="B47" s="233"/>
    </row>
    <row r="48" spans="1:37" x14ac:dyDescent="0.25">
      <c r="A48" s="233"/>
      <c r="B48" s="233"/>
    </row>
    <row r="49" spans="1:2" x14ac:dyDescent="0.25">
      <c r="A49" s="233"/>
      <c r="B49" s="233"/>
    </row>
    <row r="50" spans="1:2" x14ac:dyDescent="0.25">
      <c r="A50" s="233"/>
      <c r="B50" s="233"/>
    </row>
  </sheetData>
  <mergeCells count="25">
    <mergeCell ref="N32:P36"/>
    <mergeCell ref="R32:T36"/>
    <mergeCell ref="T29:T30"/>
    <mergeCell ref="S29:S30"/>
    <mergeCell ref="N28:T28"/>
    <mergeCell ref="N29:N31"/>
    <mergeCell ref="O29:O30"/>
    <mergeCell ref="P29:P30"/>
    <mergeCell ref="R29:R31"/>
    <mergeCell ref="I2:J2"/>
    <mergeCell ref="N5:P5"/>
    <mergeCell ref="R5:T5"/>
    <mergeCell ref="W3:AC3"/>
    <mergeCell ref="I22:T22"/>
    <mergeCell ref="J5:L5"/>
    <mergeCell ref="X5:Y5"/>
    <mergeCell ref="AA5:AB5"/>
    <mergeCell ref="I3:J3"/>
    <mergeCell ref="N23:N25"/>
    <mergeCell ref="R23:R25"/>
    <mergeCell ref="AF14:AH14"/>
    <mergeCell ref="R3:S3"/>
    <mergeCell ref="R2:T2"/>
    <mergeCell ref="AF6:AH7"/>
    <mergeCell ref="AF9:AH9"/>
  </mergeCells>
  <conditionalFormatting sqref="N7:O18 R7:S18 J7:K18">
    <cfRule type="expression" dxfId="24" priority="9">
      <formula>$L$3&lt;&gt;"VALOR"</formula>
    </cfRule>
  </conditionalFormatting>
  <conditionalFormatting sqref="J19:K19">
    <cfRule type="expression" dxfId="23" priority="6">
      <formula>$L$3&lt;&gt;"VALOR"</formula>
    </cfRule>
  </conditionalFormatting>
  <conditionalFormatting sqref="N19">
    <cfRule type="expression" dxfId="22" priority="3">
      <formula>$L$3&lt;&gt;"VALOR"</formula>
    </cfRule>
  </conditionalFormatting>
  <conditionalFormatting sqref="O19">
    <cfRule type="expression" dxfId="21" priority="2">
      <formula>$L$3&lt;&gt;"VALOR"</formula>
    </cfRule>
  </conditionalFormatting>
  <conditionalFormatting sqref="S24:T25">
    <cfRule type="expression" dxfId="20" priority="1">
      <formula>$L$3&lt;&gt;"VALOR"</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Back!$Q$2:$Q$13</xm:f>
          </x14:formula1>
          <xm:sqref>R3</xm:sqref>
        </x14:dataValidation>
        <x14:dataValidation type="list" allowBlank="1" showInputMessage="1" showErrorMessage="1">
          <x14:formula1>
            <xm:f>Back!$Z$2:$Z$4</xm:f>
          </x14:formula1>
          <xm:sqref>T3</xm:sqref>
        </x14:dataValidation>
        <x14:dataValidation type="list" allowBlank="1" showInputMessage="1" showErrorMessage="1">
          <x14:formula1>
            <xm:f>Back!$AB$2:$AB$3</xm:f>
          </x14:formula1>
          <xm:sqref>L3</xm:sqref>
        </x14:dataValidation>
        <x14:dataValidation type="list" allowBlank="1" showInputMessage="1" showErrorMessage="1">
          <x14:formula1>
            <xm:f>Back!$AD$2:$AD$4</xm:f>
          </x14:formula1>
          <xm:sqref>O3</xm:sqref>
        </x14:dataValidation>
      </x14:dataValidation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dimension ref="B2:BG53"/>
  <sheetViews>
    <sheetView showGridLines="0" tabSelected="1" zoomScale="85" zoomScaleNormal="85" workbookViewId="0"/>
  </sheetViews>
  <sheetFormatPr baseColWidth="10" defaultRowHeight="15" x14ac:dyDescent="0.25"/>
  <cols>
    <col min="1" max="1" width="4.42578125" customWidth="1"/>
    <col min="2" max="2" width="3.140625" bestFit="1" customWidth="1"/>
    <col min="3" max="3" width="9.7109375" bestFit="1" customWidth="1"/>
    <col min="4" max="4" width="8.28515625" bestFit="1" customWidth="1"/>
    <col min="5" max="5" width="14" customWidth="1"/>
    <col min="13" max="13" width="9.85546875" bestFit="1" customWidth="1"/>
    <col min="14" max="14" width="11.5703125" bestFit="1" customWidth="1"/>
    <col min="15" max="15" width="11.85546875" bestFit="1" customWidth="1"/>
    <col min="16" max="17" width="12.7109375" bestFit="1" customWidth="1"/>
    <col min="18" max="18" width="7.7109375" bestFit="1" customWidth="1"/>
    <col min="20" max="20" width="3.42578125" customWidth="1"/>
    <col min="23" max="23" width="10.28515625" bestFit="1" customWidth="1"/>
    <col min="24" max="24" width="7.7109375" bestFit="1" customWidth="1"/>
    <col min="25" max="25" width="6.7109375" bestFit="1" customWidth="1"/>
    <col min="26" max="26" width="10.28515625" bestFit="1" customWidth="1"/>
    <col min="27" max="27" width="9.28515625" bestFit="1" customWidth="1"/>
    <col min="28" max="28" width="7.7109375" bestFit="1" customWidth="1"/>
    <col min="29" max="29" width="3.42578125" customWidth="1"/>
    <col min="30" max="30" width="7.85546875" customWidth="1"/>
    <col min="31" max="31" width="3.7109375" customWidth="1"/>
    <col min="32" max="32" width="2.85546875" customWidth="1"/>
    <col min="33" max="33" width="16.42578125" bestFit="1" customWidth="1"/>
    <col min="34" max="34" width="10.28515625" bestFit="1" customWidth="1"/>
    <col min="35" max="35" width="7.7109375" bestFit="1" customWidth="1"/>
    <col min="36" max="36" width="10.28515625" bestFit="1" customWidth="1"/>
    <col min="37" max="37" width="9.28515625" bestFit="1" customWidth="1"/>
    <col min="38" max="38" width="2.28515625" customWidth="1"/>
    <col min="39" max="39" width="4.28515625" customWidth="1"/>
    <col min="40" max="40" width="2" customWidth="1"/>
    <col min="41" max="41" width="3.85546875" customWidth="1"/>
    <col min="42" max="42" width="2" customWidth="1"/>
    <col min="43" max="43" width="12.7109375" bestFit="1" customWidth="1"/>
    <col min="44" max="44" width="10.28515625" bestFit="1" customWidth="1"/>
    <col min="45" max="45" width="7.7109375" bestFit="1" customWidth="1"/>
    <col min="46" max="46" width="6.7109375" bestFit="1" customWidth="1"/>
    <col min="47" max="47" width="10.28515625" bestFit="1" customWidth="1"/>
    <col min="48" max="48" width="9.28515625" bestFit="1" customWidth="1"/>
    <col min="49" max="49" width="7.7109375" bestFit="1" customWidth="1"/>
    <col min="51" max="51" width="3.5703125" customWidth="1"/>
    <col min="52" max="52" width="3" customWidth="1"/>
    <col min="53" max="53" width="16.42578125" bestFit="1" customWidth="1"/>
    <col min="54" max="54" width="10.28515625" bestFit="1" customWidth="1"/>
    <col min="55" max="55" width="7.7109375" bestFit="1" customWidth="1"/>
    <col min="56" max="56" width="10.28515625" bestFit="1" customWidth="1"/>
    <col min="57" max="57" width="9.28515625" bestFit="1" customWidth="1"/>
    <col min="58" max="58" width="3.7109375" customWidth="1"/>
    <col min="59" max="59" width="4.5703125" customWidth="1"/>
  </cols>
  <sheetData>
    <row r="2" spans="2:59" ht="24" thickBot="1" x14ac:dyDescent="0.4">
      <c r="C2" s="186"/>
    </row>
    <row r="3" spans="2:59" ht="15.75" thickBot="1" x14ac:dyDescent="0.3">
      <c r="N3" s="418" t="str">
        <f>+TD_Tablero!C3</f>
        <v>IPS Pto De Vista Centro</v>
      </c>
      <c r="O3" s="419"/>
      <c r="P3" s="75">
        <v>2018</v>
      </c>
      <c r="Q3" s="76">
        <v>2019</v>
      </c>
      <c r="U3" s="418" t="s">
        <v>379</v>
      </c>
      <c r="V3" s="419"/>
      <c r="W3" s="419"/>
      <c r="X3" s="419"/>
      <c r="Y3" s="419"/>
      <c r="Z3" s="419"/>
      <c r="AA3" s="419"/>
      <c r="AB3" s="420"/>
      <c r="AE3" s="127"/>
      <c r="AF3" s="128"/>
      <c r="AG3" s="112"/>
      <c r="AH3" s="112"/>
      <c r="AI3" s="112"/>
      <c r="AJ3" s="112"/>
      <c r="AK3" s="112"/>
      <c r="AL3" s="112"/>
      <c r="AM3" s="129"/>
      <c r="AQ3" s="392" t="s">
        <v>422</v>
      </c>
      <c r="AR3" s="393"/>
      <c r="AS3" s="393"/>
      <c r="AT3" s="393"/>
      <c r="AU3" s="394">
        <v>57000001</v>
      </c>
      <c r="AV3" s="394"/>
      <c r="AW3" s="395"/>
      <c r="AY3" s="131"/>
      <c r="AZ3" s="112"/>
      <c r="BA3" s="112"/>
      <c r="BB3" s="112"/>
      <c r="BC3" s="112"/>
      <c r="BD3" s="112"/>
      <c r="BE3" s="112"/>
      <c r="BF3" s="112"/>
      <c r="BG3" s="129"/>
    </row>
    <row r="4" spans="2:59" x14ac:dyDescent="0.25">
      <c r="N4" s="429" t="s">
        <v>358</v>
      </c>
      <c r="O4" s="430"/>
      <c r="P4" s="77">
        <f>+IFERROR(VLOOKUP($N$3,'Sábana Ppto'!B:H,4,0),"--")</f>
        <v>42000000</v>
      </c>
      <c r="Q4" s="78">
        <f>+VLOOKUP($N$3,'Sábana Ppto'!K:R,4,0)</f>
        <v>44000000</v>
      </c>
      <c r="U4" s="413">
        <v>2019</v>
      </c>
      <c r="V4" s="390"/>
      <c r="W4" s="390" t="s">
        <v>367</v>
      </c>
      <c r="X4" s="390"/>
      <c r="Y4" s="390"/>
      <c r="Z4" s="390" t="s">
        <v>371</v>
      </c>
      <c r="AA4" s="390"/>
      <c r="AB4" s="400"/>
      <c r="AE4" s="130"/>
      <c r="AF4" s="131"/>
      <c r="AG4" s="112"/>
      <c r="AH4" s="112"/>
      <c r="AI4" s="112"/>
      <c r="AJ4" s="112"/>
      <c r="AK4" s="112"/>
      <c r="AL4" s="129"/>
      <c r="AM4" s="132"/>
      <c r="AQ4" s="302" t="s">
        <v>423</v>
      </c>
      <c r="AR4" s="396">
        <f>+P27</f>
        <v>0.25448903041167642</v>
      </c>
      <c r="AS4" s="396"/>
      <c r="AT4" s="396"/>
      <c r="AU4" s="397">
        <f>+P28</f>
        <v>0.74551096958832352</v>
      </c>
      <c r="AV4" s="397"/>
      <c r="AW4" s="398"/>
      <c r="AY4" s="130"/>
      <c r="AZ4" s="131"/>
      <c r="BA4" s="112"/>
      <c r="BB4" s="112"/>
      <c r="BC4" s="112"/>
      <c r="BD4" s="112"/>
      <c r="BE4" s="112"/>
      <c r="BF4" s="129"/>
      <c r="BG4" s="132"/>
    </row>
    <row r="5" spans="2:59" x14ac:dyDescent="0.25">
      <c r="N5" s="429" t="s">
        <v>359</v>
      </c>
      <c r="O5" s="430"/>
      <c r="P5" s="77">
        <f>+IFERROR(VLOOKUP($N$3,'Sábana Ppto'!B:H,3,0),"--")</f>
        <v>1750000</v>
      </c>
      <c r="Q5" s="78">
        <f>+VLOOKUP($N$3,'Sábana Ppto'!K:R,3,0)</f>
        <v>1833333.3333333333</v>
      </c>
      <c r="U5" s="413"/>
      <c r="V5" s="390"/>
      <c r="W5" s="93" t="s">
        <v>335</v>
      </c>
      <c r="X5" s="93" t="s">
        <v>365</v>
      </c>
      <c r="Y5" s="93" t="s">
        <v>366</v>
      </c>
      <c r="Z5" s="93" t="s">
        <v>335</v>
      </c>
      <c r="AA5" s="93" t="s">
        <v>365</v>
      </c>
      <c r="AB5" s="94" t="s">
        <v>366</v>
      </c>
      <c r="AE5" s="130"/>
      <c r="AF5" s="130"/>
      <c r="AG5" s="109" t="s">
        <v>397</v>
      </c>
      <c r="AH5" s="109" t="s">
        <v>369</v>
      </c>
      <c r="AI5" s="109" t="s">
        <v>368</v>
      </c>
      <c r="AJ5" s="390" t="s">
        <v>364</v>
      </c>
      <c r="AK5" s="390"/>
      <c r="AL5" s="133"/>
      <c r="AM5" s="132"/>
      <c r="AQ5" s="399">
        <v>2019</v>
      </c>
      <c r="AR5" s="390" t="s">
        <v>367</v>
      </c>
      <c r="AS5" s="390"/>
      <c r="AT5" s="390"/>
      <c r="AU5" s="390" t="s">
        <v>371</v>
      </c>
      <c r="AV5" s="390"/>
      <c r="AW5" s="400"/>
      <c r="AY5" s="130"/>
      <c r="AZ5" s="130"/>
      <c r="BA5" s="109" t="s">
        <v>397</v>
      </c>
      <c r="BB5" s="109" t="s">
        <v>369</v>
      </c>
      <c r="BC5" s="109" t="s">
        <v>368</v>
      </c>
      <c r="BD5" s="390" t="s">
        <v>364</v>
      </c>
      <c r="BE5" s="390"/>
      <c r="BF5" s="116"/>
      <c r="BG5" s="116"/>
    </row>
    <row r="6" spans="2:59" x14ac:dyDescent="0.25">
      <c r="N6" s="431" t="s">
        <v>360</v>
      </c>
      <c r="O6" s="432"/>
      <c r="P6" s="77">
        <f>+IFERROR(P5/8,"--")</f>
        <v>218750</v>
      </c>
      <c r="Q6" s="78">
        <f>+Q5/8</f>
        <v>229166.66666666666</v>
      </c>
      <c r="U6" s="414" t="s">
        <v>380</v>
      </c>
      <c r="V6" s="415"/>
      <c r="W6" s="95">
        <f>+Q4*P27</f>
        <v>11197517.338113762</v>
      </c>
      <c r="X6" s="77">
        <f>+W6/24</f>
        <v>466563.22242140677</v>
      </c>
      <c r="Y6" s="77">
        <f>+X6/8</f>
        <v>58320.402802675846</v>
      </c>
      <c r="Z6" s="95">
        <f>+Q4*$P$28</f>
        <v>32802482.661886234</v>
      </c>
      <c r="AA6" s="77">
        <f>+Z6/24</f>
        <v>1366770.1109119265</v>
      </c>
      <c r="AB6" s="78">
        <f>+AA6/8</f>
        <v>170846.26386399081</v>
      </c>
      <c r="AE6" s="130"/>
      <c r="AF6" s="130"/>
      <c r="AG6" s="108" t="s">
        <v>398</v>
      </c>
      <c r="AH6" s="134">
        <v>22</v>
      </c>
      <c r="AI6" s="135">
        <v>300000</v>
      </c>
      <c r="AJ6" s="380">
        <f>+AH6*AI6</f>
        <v>6600000</v>
      </c>
      <c r="AK6" s="380"/>
      <c r="AL6" s="136"/>
      <c r="AM6" s="132"/>
      <c r="AQ6" s="399"/>
      <c r="AR6" s="93" t="s">
        <v>335</v>
      </c>
      <c r="AS6" s="93" t="s">
        <v>365</v>
      </c>
      <c r="AT6" s="93" t="s">
        <v>366</v>
      </c>
      <c r="AU6" s="93" t="s">
        <v>335</v>
      </c>
      <c r="AV6" s="93" t="s">
        <v>365</v>
      </c>
      <c r="AW6" s="94" t="s">
        <v>366</v>
      </c>
      <c r="AY6" s="130"/>
      <c r="AZ6" s="130"/>
      <c r="BA6" s="108" t="s">
        <v>398</v>
      </c>
      <c r="BB6" s="134">
        <v>42</v>
      </c>
      <c r="BC6" s="135">
        <v>300000</v>
      </c>
      <c r="BD6" s="380">
        <f>+BB6*BC6</f>
        <v>12600000</v>
      </c>
      <c r="BE6" s="380"/>
      <c r="BF6" s="117"/>
      <c r="BG6" s="117"/>
    </row>
    <row r="7" spans="2:59" x14ac:dyDescent="0.25">
      <c r="N7" s="429" t="s">
        <v>361</v>
      </c>
      <c r="O7" s="430"/>
      <c r="P7" s="77">
        <f>+IFERROR(VLOOKUP($N$3,'Sábana Ppto'!B:H,5,0),"--")</f>
        <v>3528000000</v>
      </c>
      <c r="Q7" s="78">
        <f>+VLOOKUP($N$3,'Sábana Ppto'!K:R,6,0)</f>
        <v>3696000000</v>
      </c>
      <c r="U7" s="414" t="s">
        <v>381</v>
      </c>
      <c r="V7" s="415"/>
      <c r="W7" s="77">
        <f>+$P$15</f>
        <v>10325256.25</v>
      </c>
      <c r="X7" s="77">
        <f>+W7/24</f>
        <v>430219.01041666669</v>
      </c>
      <c r="Y7" s="77">
        <f t="shared" ref="Y7:Y10" si="0">+X7/8</f>
        <v>53777.376302083336</v>
      </c>
      <c r="Z7" s="77">
        <f>+$P$18</f>
        <v>30247244</v>
      </c>
      <c r="AA7" s="77">
        <f>+Z7/24</f>
        <v>1260301.8333333333</v>
      </c>
      <c r="AB7" s="78">
        <f t="shared" ref="AB7:AB10" si="1">+AA7/8</f>
        <v>157537.72916666666</v>
      </c>
      <c r="AE7" s="130"/>
      <c r="AF7" s="130"/>
      <c r="AG7" s="108" t="s">
        <v>399</v>
      </c>
      <c r="AH7" s="135">
        <v>38</v>
      </c>
      <c r="AI7" s="135">
        <v>120000</v>
      </c>
      <c r="AJ7" s="380">
        <f>+AH7*AI7</f>
        <v>4560000</v>
      </c>
      <c r="AK7" s="380"/>
      <c r="AL7" s="136"/>
      <c r="AM7" s="132"/>
      <c r="AQ7" s="300" t="s">
        <v>380</v>
      </c>
      <c r="AR7" s="95">
        <f>+AR4*AU3</f>
        <v>14505874.987954587</v>
      </c>
      <c r="AS7" s="77">
        <f>+AR7/24</f>
        <v>604411.45783144108</v>
      </c>
      <c r="AT7" s="77">
        <f>+AS7/8</f>
        <v>75551.432228930134</v>
      </c>
      <c r="AU7" s="95">
        <f>+AU3*AU4</f>
        <v>42494126.012045413</v>
      </c>
      <c r="AV7" s="77">
        <f>+AU7/24</f>
        <v>1770588.5838352256</v>
      </c>
      <c r="AW7" s="78">
        <f>+AV7/8</f>
        <v>221323.57297940319</v>
      </c>
      <c r="AY7" s="130"/>
      <c r="AZ7" s="130"/>
      <c r="BA7" s="108" t="s">
        <v>399</v>
      </c>
      <c r="BB7" s="135">
        <v>50</v>
      </c>
      <c r="BC7" s="135">
        <v>120000</v>
      </c>
      <c r="BD7" s="380">
        <f>+BB7*BC7</f>
        <v>6000000</v>
      </c>
      <c r="BE7" s="380"/>
      <c r="BF7" s="117"/>
      <c r="BG7" s="117"/>
    </row>
    <row r="8" spans="2:59" x14ac:dyDescent="0.25">
      <c r="B8" s="66" t="s">
        <v>347</v>
      </c>
      <c r="C8" s="67" t="s">
        <v>234</v>
      </c>
      <c r="D8" s="66" t="s">
        <v>346</v>
      </c>
      <c r="N8" s="429" t="s">
        <v>362</v>
      </c>
      <c r="O8" s="430"/>
      <c r="P8" s="77">
        <f>+IFERROR(VLOOKUP($N$3,'Sábana Ppto'!B:H,6,0),"--")</f>
        <v>4596172782.99086</v>
      </c>
      <c r="Q8" s="78">
        <f>+VLOOKUP($N$3,'Sábana Ppto'!K:R,7,0)</f>
        <v>4900549327.4413834</v>
      </c>
      <c r="U8" s="414" t="s">
        <v>369</v>
      </c>
      <c r="V8" s="415"/>
      <c r="W8" s="96">
        <f>IF(P14&gt;=Q4,P16,(W6/O17))</f>
        <v>94.25</v>
      </c>
      <c r="X8" s="97">
        <f>+W8/24</f>
        <v>3.9270833333333335</v>
      </c>
      <c r="Y8" s="97">
        <f t="shared" si="0"/>
        <v>0.49088541666666669</v>
      </c>
      <c r="Z8" s="96">
        <f>IF(P14&gt;Q4,P19,(Z6/O20))</f>
        <v>227.66666666666666</v>
      </c>
      <c r="AA8" s="96">
        <f>+Z8/24</f>
        <v>9.4861111111111107</v>
      </c>
      <c r="AB8" s="98">
        <f t="shared" si="1"/>
        <v>1.1857638888888888</v>
      </c>
      <c r="AE8" s="130"/>
      <c r="AF8" s="130"/>
      <c r="AG8" s="108" t="s">
        <v>400</v>
      </c>
      <c r="AH8" s="134">
        <v>10</v>
      </c>
      <c r="AI8" s="135">
        <v>90000</v>
      </c>
      <c r="AJ8" s="380">
        <f>+AH8*AI8</f>
        <v>900000</v>
      </c>
      <c r="AK8" s="380"/>
      <c r="AL8" s="136"/>
      <c r="AM8" s="132"/>
      <c r="AQ8" s="300" t="s">
        <v>381</v>
      </c>
      <c r="AR8" s="77">
        <f>+P15</f>
        <v>10325256.25</v>
      </c>
      <c r="AS8" s="77">
        <f>+AR8/24</f>
        <v>430219.01041666669</v>
      </c>
      <c r="AT8" s="77">
        <f>+AS8/8</f>
        <v>53777.376302083336</v>
      </c>
      <c r="AU8" s="77">
        <f>+P18</f>
        <v>30247244</v>
      </c>
      <c r="AV8" s="77">
        <f>+AU8/24</f>
        <v>1260301.8333333333</v>
      </c>
      <c r="AW8" s="78">
        <f>+AV8/8</f>
        <v>157537.72916666666</v>
      </c>
      <c r="AY8" s="130"/>
      <c r="AZ8" s="130"/>
      <c r="BA8" s="108" t="s">
        <v>400</v>
      </c>
      <c r="BB8" s="134">
        <v>20</v>
      </c>
      <c r="BC8" s="135">
        <v>90000</v>
      </c>
      <c r="BD8" s="380">
        <f>+BB8*BC8</f>
        <v>1800000</v>
      </c>
      <c r="BE8" s="380"/>
      <c r="BF8" s="117"/>
      <c r="BG8" s="117"/>
    </row>
    <row r="9" spans="2:59" x14ac:dyDescent="0.25">
      <c r="B9" s="64">
        <v>1</v>
      </c>
      <c r="C9" s="64" t="str">
        <f>TD_Tablero!B8</f>
        <v>2018 ABR</v>
      </c>
      <c r="D9" s="65">
        <f>IFERROR(TD_Tablero!C8/TD_Tablero!D8,0)</f>
        <v>1.2785378333333333</v>
      </c>
      <c r="N9" s="429" t="s">
        <v>363</v>
      </c>
      <c r="O9" s="430"/>
      <c r="P9" s="79">
        <f>+IFERROR(VLOOKUP($N$3,'Sábana Ppto'!B:H,2,0),"--")</f>
        <v>7</v>
      </c>
      <c r="Q9" s="80">
        <f>+VLOOKUP($N$3,'Sábana Ppto'!K:R,2,0)</f>
        <v>7</v>
      </c>
      <c r="U9" s="414" t="s">
        <v>382</v>
      </c>
      <c r="V9" s="415"/>
      <c r="W9" s="99">
        <f>+$P$16</f>
        <v>94.25</v>
      </c>
      <c r="X9" s="100">
        <f>+W9/24</f>
        <v>3.9270833333333335</v>
      </c>
      <c r="Y9" s="100">
        <f t="shared" si="0"/>
        <v>0.49088541666666669</v>
      </c>
      <c r="Z9" s="99">
        <f>+$P$19</f>
        <v>227.66666666666666</v>
      </c>
      <c r="AA9" s="100">
        <f>+Z9/24</f>
        <v>9.4861111111111107</v>
      </c>
      <c r="AB9" s="101">
        <f t="shared" si="1"/>
        <v>1.1857638888888888</v>
      </c>
      <c r="AE9" s="130"/>
      <c r="AF9" s="130"/>
      <c r="AG9" s="110" t="s">
        <v>401</v>
      </c>
      <c r="AH9" s="95">
        <f>SUM(AH6:AH8)</f>
        <v>70</v>
      </c>
      <c r="AI9" s="95">
        <f>+AVERAGE(AI6:AI8)</f>
        <v>170000</v>
      </c>
      <c r="AJ9" s="379">
        <f>+IF((AJ8+AJ7+AJ6)&gt;W6,(AJ6+AJ7+AJ8),((AJ6+AJ7+AJ8)-W6))</f>
        <v>12060000</v>
      </c>
      <c r="AK9" s="379"/>
      <c r="AL9" s="118"/>
      <c r="AM9" s="132"/>
      <c r="AQ9" s="300" t="s">
        <v>369</v>
      </c>
      <c r="AR9" s="96">
        <f>+AR7/$O$17</f>
        <v>132.41111741073931</v>
      </c>
      <c r="AS9" s="97">
        <f>+AR9/24</f>
        <v>5.5171298921141378</v>
      </c>
      <c r="AT9" s="97">
        <f>+AS9/8</f>
        <v>0.68964123651426723</v>
      </c>
      <c r="AU9" s="96">
        <f>+AU7/$O$20</f>
        <v>319.8471907746594</v>
      </c>
      <c r="AV9" s="96">
        <f>+AU9/24</f>
        <v>13.326966282277475</v>
      </c>
      <c r="AW9" s="98">
        <f>+AV9/8</f>
        <v>1.6658707852846844</v>
      </c>
      <c r="AY9" s="130"/>
      <c r="AZ9" s="130"/>
      <c r="BA9" s="110" t="s">
        <v>424</v>
      </c>
      <c r="BB9" s="95">
        <f>SUM(BB6:BB8)</f>
        <v>112</v>
      </c>
      <c r="BC9" s="95">
        <f>+AVERAGE(BC6:BC8)</f>
        <v>170000</v>
      </c>
      <c r="BD9" s="379">
        <f>+IF((SUM(BD6:BD8))&gt;AR7,(SUM(BD6:BD8)),(SUM(BD6:BD8))-AR7)</f>
        <v>20400000</v>
      </c>
      <c r="BE9" s="379"/>
      <c r="BF9" s="118"/>
      <c r="BG9" s="118"/>
    </row>
    <row r="10" spans="2:59" ht="15.75" thickBot="1" x14ac:dyDescent="0.3">
      <c r="B10" s="64">
        <v>2</v>
      </c>
      <c r="C10" s="64" t="str">
        <f>TD_Tablero!B9</f>
        <v>2018 MAY</v>
      </c>
      <c r="D10" s="65">
        <f>IFERROR(TD_Tablero!C9/TD_Tablero!D9,0)</f>
        <v>2.909502806122449</v>
      </c>
      <c r="N10" s="437" t="s">
        <v>355</v>
      </c>
      <c r="O10" s="444"/>
      <c r="P10" s="81">
        <f>+IFERROR(VLOOKUP($N$3,'Sábana Ppto'!B:H,7,0),"--")</f>
        <v>0.2518183065733498</v>
      </c>
      <c r="Q10" s="82"/>
      <c r="U10" s="421" t="s">
        <v>383</v>
      </c>
      <c r="V10" s="422"/>
      <c r="W10" s="102">
        <f>+W8-W9</f>
        <v>0</v>
      </c>
      <c r="X10" s="103">
        <f>+W10/24</f>
        <v>0</v>
      </c>
      <c r="Y10" s="103">
        <f t="shared" si="0"/>
        <v>0</v>
      </c>
      <c r="Z10" s="102">
        <f>+Z8-Z9</f>
        <v>0</v>
      </c>
      <c r="AA10" s="103">
        <f>+Z10/24</f>
        <v>0</v>
      </c>
      <c r="AB10" s="104">
        <f t="shared" si="1"/>
        <v>0</v>
      </c>
      <c r="AE10" s="130"/>
      <c r="AF10" s="130"/>
      <c r="AG10" s="137"/>
      <c r="AH10" s="138"/>
      <c r="AI10" s="138"/>
      <c r="AJ10" s="139"/>
      <c r="AK10" s="139"/>
      <c r="AL10" s="118"/>
      <c r="AM10" s="132"/>
      <c r="AQ10" s="300" t="s">
        <v>382</v>
      </c>
      <c r="AR10" s="99">
        <f>+$P$16</f>
        <v>94.25</v>
      </c>
      <c r="AS10" s="100">
        <f>+AR10/24</f>
        <v>3.9270833333333335</v>
      </c>
      <c r="AT10" s="100">
        <f>+AS10/8</f>
        <v>0.49088541666666669</v>
      </c>
      <c r="AU10" s="99">
        <f>+$P$19</f>
        <v>227.66666666666666</v>
      </c>
      <c r="AV10" s="100">
        <f>+AU10/24</f>
        <v>9.4861111111111107</v>
      </c>
      <c r="AW10" s="101">
        <f>+AV10/8</f>
        <v>1.1857638888888888</v>
      </c>
      <c r="AY10" s="130"/>
      <c r="AZ10" s="130"/>
      <c r="BA10" s="121"/>
      <c r="BB10" s="121"/>
      <c r="BC10" s="121"/>
      <c r="BD10" s="121"/>
      <c r="BE10" s="121"/>
      <c r="BF10" s="123"/>
      <c r="BG10" s="123"/>
    </row>
    <row r="11" spans="2:59" ht="15.75" thickBot="1" x14ac:dyDescent="0.3">
      <c r="B11" s="64">
        <v>3</v>
      </c>
      <c r="C11" s="64" t="str">
        <f>TD_Tablero!B10</f>
        <v>2018 JUN</v>
      </c>
      <c r="D11" s="65">
        <f>IFERROR(TD_Tablero!C10/TD_Tablero!D10,0)</f>
        <v>1.0575346190476191</v>
      </c>
      <c r="AE11" s="130"/>
      <c r="AF11" s="130"/>
      <c r="AG11" s="390" t="s">
        <v>402</v>
      </c>
      <c r="AH11" s="390"/>
      <c r="AI11" s="390"/>
      <c r="AJ11" s="390"/>
      <c r="AK11" s="390"/>
      <c r="AL11" s="133"/>
      <c r="AM11" s="132"/>
      <c r="AQ11" s="301" t="s">
        <v>383</v>
      </c>
      <c r="AR11" s="102">
        <f>+AR9-AR10</f>
        <v>38.161117410739308</v>
      </c>
      <c r="AS11" s="103">
        <f>+AR11/24</f>
        <v>1.5900465587808046</v>
      </c>
      <c r="AT11" s="103">
        <f>+AS11/8</f>
        <v>0.19875581984760057</v>
      </c>
      <c r="AU11" s="102">
        <f>+AU9-AU10</f>
        <v>92.180524107992738</v>
      </c>
      <c r="AV11" s="103">
        <f>+AU11/24</f>
        <v>3.8408551711663641</v>
      </c>
      <c r="AW11" s="104">
        <f>+AV11/8</f>
        <v>0.48010689639579551</v>
      </c>
      <c r="AY11" s="130"/>
      <c r="AZ11" s="130"/>
      <c r="BA11" s="390" t="s">
        <v>402</v>
      </c>
      <c r="BB11" s="390"/>
      <c r="BC11" s="390"/>
      <c r="BD11" s="390"/>
      <c r="BE11" s="390"/>
      <c r="BF11" s="116"/>
      <c r="BG11" s="116"/>
    </row>
    <row r="12" spans="2:59" ht="15.75" thickBot="1" x14ac:dyDescent="0.3">
      <c r="B12" s="64">
        <v>4</v>
      </c>
      <c r="C12" s="64" t="str">
        <f>TD_Tablero!B11</f>
        <v>2018 JUL</v>
      </c>
      <c r="D12" s="65">
        <f>IFERROR(TD_Tablero!C11/TD_Tablero!D11,0)</f>
        <v>1.2645369047619048</v>
      </c>
      <c r="M12" s="445" t="str">
        <f>TD_Tablero!C5</f>
        <v>Claudia Maria Blandon Arenas</v>
      </c>
      <c r="N12" s="446"/>
      <c r="O12" s="446"/>
      <c r="P12" s="446"/>
      <c r="Q12" s="446"/>
      <c r="R12" s="447"/>
      <c r="U12" s="423" t="s">
        <v>384</v>
      </c>
      <c r="V12" s="424"/>
      <c r="W12" s="425">
        <f>+$O$17</f>
        <v>109551.79045092838</v>
      </c>
      <c r="X12" s="426"/>
      <c r="Y12" s="427"/>
      <c r="Z12" s="425">
        <f>$O$20</f>
        <v>132857.58711566619</v>
      </c>
      <c r="AA12" s="426"/>
      <c r="AB12" s="428"/>
      <c r="AE12" s="130"/>
      <c r="AF12" s="130"/>
      <c r="AG12" s="110" t="s">
        <v>403</v>
      </c>
      <c r="AH12" s="367">
        <v>304</v>
      </c>
      <c r="AI12" s="367"/>
      <c r="AJ12" s="391" t="s">
        <v>364</v>
      </c>
      <c r="AK12" s="391"/>
      <c r="AL12" s="140"/>
      <c r="AM12" s="132"/>
      <c r="AQ12" s="170"/>
      <c r="AR12" s="170"/>
      <c r="AS12" s="170"/>
      <c r="AT12" s="170"/>
      <c r="AU12" s="170"/>
      <c r="AV12" s="170"/>
      <c r="AW12" s="170"/>
      <c r="AY12" s="130"/>
      <c r="AZ12" s="130"/>
      <c r="BA12" s="110" t="s">
        <v>403</v>
      </c>
      <c r="BB12" s="367">
        <v>263</v>
      </c>
      <c r="BC12" s="367"/>
      <c r="BD12" s="391" t="s">
        <v>364</v>
      </c>
      <c r="BE12" s="391"/>
      <c r="BF12" s="140"/>
      <c r="BG12" s="140"/>
    </row>
    <row r="13" spans="2:59" ht="15.75" thickBot="1" x14ac:dyDescent="0.3">
      <c r="B13" s="64">
        <v>5</v>
      </c>
      <c r="C13" s="64" t="str">
        <f>TD_Tablero!B12</f>
        <v>2018 AGO</v>
      </c>
      <c r="D13" s="65">
        <f>IFERROR(TD_Tablero!C12/TD_Tablero!D12,0)</f>
        <v>1.1466505714285715</v>
      </c>
      <c r="M13" s="448" t="str">
        <f>+TD_Tablero!B8&amp;"-" &amp; VLOOKUP(COUNTA(TD_Tablero!B8:B19),TD_Tablero!A8:B19,2,0)</f>
        <v>2018 ABR-2019 MAR</v>
      </c>
      <c r="N13" s="449"/>
      <c r="O13" s="83" t="s">
        <v>364</v>
      </c>
      <c r="P13" s="83" t="s">
        <v>335</v>
      </c>
      <c r="Q13" s="83" t="s">
        <v>365</v>
      </c>
      <c r="R13" s="84" t="s">
        <v>366</v>
      </c>
      <c r="AE13" s="130"/>
      <c r="AF13" s="130"/>
      <c r="AG13" s="110" t="s">
        <v>404</v>
      </c>
      <c r="AH13" s="367">
        <v>110000</v>
      </c>
      <c r="AI13" s="367"/>
      <c r="AJ13" s="379">
        <f>+IF((AH13*AH12)&gt;Z6,(AH13*AH12),(AH13*AH12)-Z6)</f>
        <v>33440000</v>
      </c>
      <c r="AK13" s="379"/>
      <c r="AL13" s="141"/>
      <c r="AM13" s="132"/>
      <c r="AQ13" s="303" t="s">
        <v>384</v>
      </c>
      <c r="AR13" s="388">
        <f>+$O$17</f>
        <v>109551.79045092838</v>
      </c>
      <c r="AS13" s="388"/>
      <c r="AT13" s="388"/>
      <c r="AU13" s="388">
        <f>+O20</f>
        <v>132857.58711566619</v>
      </c>
      <c r="AV13" s="388"/>
      <c r="AW13" s="389"/>
      <c r="AY13" s="130"/>
      <c r="AZ13" s="130"/>
      <c r="BA13" s="110" t="s">
        <v>404</v>
      </c>
      <c r="BB13" s="367">
        <v>160000</v>
      </c>
      <c r="BC13" s="367"/>
      <c r="BD13" s="379">
        <f>+IF((BB13*BB12)&gt;AU7,(BB13*BB12),(BB13*BB12)-AU7)</f>
        <v>-414126.01204541326</v>
      </c>
      <c r="BE13" s="379"/>
      <c r="BF13" s="118"/>
      <c r="BG13" s="118"/>
    </row>
    <row r="14" spans="2:59" ht="15.75" thickBot="1" x14ac:dyDescent="0.3">
      <c r="B14" s="64">
        <v>6</v>
      </c>
      <c r="C14" s="64" t="str">
        <f>TD_Tablero!B13</f>
        <v>2018 SEP</v>
      </c>
      <c r="D14" s="65">
        <f>IFERROR(TD_Tablero!C13/TD_Tablero!D13,0)</f>
        <v>1.1393393333333333</v>
      </c>
      <c r="M14" s="450" t="s">
        <v>461</v>
      </c>
      <c r="N14" s="451"/>
      <c r="O14" s="85">
        <f>SUM(TD_Tablero!C8:C19)</f>
        <v>573379474</v>
      </c>
      <c r="P14" s="85">
        <f>O14/12</f>
        <v>47781622.833333336</v>
      </c>
      <c r="Q14" s="85">
        <f>+P14/24</f>
        <v>1990900.951388889</v>
      </c>
      <c r="R14" s="86">
        <f>+Q14/8</f>
        <v>248862.61892361112</v>
      </c>
      <c r="T14" s="111"/>
      <c r="U14" s="112"/>
      <c r="V14" s="112"/>
      <c r="W14" s="112"/>
      <c r="X14" s="112"/>
      <c r="Y14" s="112"/>
      <c r="Z14" s="112"/>
      <c r="AA14" s="112"/>
      <c r="AB14" s="112"/>
      <c r="AC14" s="113"/>
      <c r="AE14" s="130"/>
      <c r="AF14" s="130"/>
      <c r="AG14" s="137"/>
      <c r="AH14" s="137"/>
      <c r="AI14" s="137"/>
      <c r="AJ14" s="137"/>
      <c r="AK14" s="137"/>
      <c r="AL14" s="141"/>
      <c r="AM14" s="132"/>
      <c r="AY14" s="130"/>
      <c r="AZ14" s="130"/>
      <c r="BA14" s="137"/>
      <c r="BB14" s="137"/>
      <c r="BC14" s="137"/>
      <c r="BD14" s="137"/>
      <c r="BE14" s="137"/>
      <c r="BF14" s="118"/>
      <c r="BG14" s="118"/>
    </row>
    <row r="15" spans="2:59" x14ac:dyDescent="0.25">
      <c r="B15" s="64">
        <v>7</v>
      </c>
      <c r="C15" s="64" t="str">
        <f>TD_Tablero!B14</f>
        <v>2018 OCT</v>
      </c>
      <c r="D15" s="65">
        <f>IFERROR(TD_Tablero!C14/TD_Tablero!D14,0)</f>
        <v>1.1668862935985016</v>
      </c>
      <c r="M15" s="436" t="s">
        <v>367</v>
      </c>
      <c r="N15" s="87" t="s">
        <v>368</v>
      </c>
      <c r="O15" s="88">
        <f>SUM(TD_Tablero!F8:F19)</f>
        <v>123903075</v>
      </c>
      <c r="P15" s="77">
        <f>O15/12</f>
        <v>10325256.25</v>
      </c>
      <c r="Q15" s="88">
        <f>+P15/24</f>
        <v>430219.01041666669</v>
      </c>
      <c r="R15" s="89">
        <f>+Q15/8</f>
        <v>53777.376302083336</v>
      </c>
      <c r="T15" s="114"/>
      <c r="U15" s="410" t="s">
        <v>395</v>
      </c>
      <c r="V15" s="411"/>
      <c r="W15" s="411"/>
      <c r="X15" s="411"/>
      <c r="Y15" s="411"/>
      <c r="Z15" s="411"/>
      <c r="AA15" s="411"/>
      <c r="AB15" s="412"/>
      <c r="AC15" s="115"/>
      <c r="AE15" s="130"/>
      <c r="AF15" s="130"/>
      <c r="AG15" s="372" t="s">
        <v>405</v>
      </c>
      <c r="AH15" s="373"/>
      <c r="AI15" s="374"/>
      <c r="AJ15" s="379">
        <f>+AJ13+AJ8+AJ7+AJ6</f>
        <v>45500000</v>
      </c>
      <c r="AK15" s="379"/>
      <c r="AL15" s="117"/>
      <c r="AM15" s="132"/>
      <c r="AY15" s="130"/>
      <c r="AZ15" s="130"/>
      <c r="BA15" s="372" t="s">
        <v>405</v>
      </c>
      <c r="BB15" s="373"/>
      <c r="BC15" s="374"/>
      <c r="BD15" s="379">
        <f>+(BB13*BB12)+BD8+BD7+BD6</f>
        <v>62480000</v>
      </c>
      <c r="BE15" s="379"/>
      <c r="BF15" s="118"/>
      <c r="BG15" s="118"/>
    </row>
    <row r="16" spans="2:59" ht="15.75" thickBot="1" x14ac:dyDescent="0.3">
      <c r="B16" s="64">
        <v>8</v>
      </c>
      <c r="C16" s="64" t="str">
        <f>TD_Tablero!B15</f>
        <v>2018 NOV</v>
      </c>
      <c r="D16" s="65">
        <f>IFERROR(TD_Tablero!C15/TD_Tablero!D15,0)</f>
        <v>1.132716883116883</v>
      </c>
      <c r="M16" s="429"/>
      <c r="N16" s="90" t="s">
        <v>369</v>
      </c>
      <c r="O16" s="77">
        <f>SUM(TD_Tablero!E8:E19)</f>
        <v>1131</v>
      </c>
      <c r="P16" s="77">
        <f>O16/12</f>
        <v>94.25</v>
      </c>
      <c r="Q16" s="77">
        <f>+P16/24</f>
        <v>3.9270833333333335</v>
      </c>
      <c r="R16" s="80">
        <f>+Q16/8</f>
        <v>0.49088541666666669</v>
      </c>
      <c r="T16" s="114"/>
      <c r="U16" s="413">
        <v>2019</v>
      </c>
      <c r="V16" s="390"/>
      <c r="W16" s="390" t="s">
        <v>367</v>
      </c>
      <c r="X16" s="390"/>
      <c r="Y16" s="390"/>
      <c r="Z16" s="390" t="s">
        <v>371</v>
      </c>
      <c r="AA16" s="390"/>
      <c r="AB16" s="400"/>
      <c r="AC16" s="116"/>
      <c r="AE16" s="130"/>
      <c r="AF16" s="142"/>
      <c r="AG16" s="125"/>
      <c r="AH16" s="125"/>
      <c r="AI16" s="125"/>
      <c r="AJ16" s="125"/>
      <c r="AK16" s="125"/>
      <c r="AL16" s="143"/>
      <c r="AM16" s="132"/>
      <c r="AY16" s="130"/>
      <c r="AZ16" s="142"/>
      <c r="BA16" s="171"/>
      <c r="BB16" s="171"/>
      <c r="BC16" s="171"/>
      <c r="BD16" s="171"/>
      <c r="BE16" s="171"/>
      <c r="BF16" s="143"/>
      <c r="BG16" s="118"/>
    </row>
    <row r="17" spans="2:59" ht="15.75" thickBot="1" x14ac:dyDescent="0.3">
      <c r="B17" s="64">
        <v>9</v>
      </c>
      <c r="C17" s="64" t="str">
        <f>TD_Tablero!B16</f>
        <v>2018 DIC</v>
      </c>
      <c r="D17" s="65">
        <f>IFERROR(TD_Tablero!C16/TD_Tablero!D16,0)</f>
        <v>1.1463949316770186</v>
      </c>
      <c r="M17" s="437"/>
      <c r="N17" s="91" t="s">
        <v>370</v>
      </c>
      <c r="O17" s="438">
        <f>+O15/O16</f>
        <v>109551.79045092838</v>
      </c>
      <c r="P17" s="439"/>
      <c r="Q17" s="439"/>
      <c r="R17" s="440"/>
      <c r="T17" s="114"/>
      <c r="U17" s="413"/>
      <c r="V17" s="390"/>
      <c r="W17" s="93" t="s">
        <v>335</v>
      </c>
      <c r="X17" s="93" t="s">
        <v>365</v>
      </c>
      <c r="Y17" s="93" t="s">
        <v>366</v>
      </c>
      <c r="Z17" s="93" t="s">
        <v>335</v>
      </c>
      <c r="AA17" s="93" t="s">
        <v>365</v>
      </c>
      <c r="AB17" s="94" t="s">
        <v>366</v>
      </c>
      <c r="AC17" s="116"/>
      <c r="AE17" s="130"/>
      <c r="AF17" s="121"/>
      <c r="AG17" s="121"/>
      <c r="AH17" s="121"/>
      <c r="AI17" s="121"/>
      <c r="AJ17" s="121"/>
      <c r="AK17" s="121"/>
      <c r="AL17" s="139"/>
      <c r="AM17" s="132"/>
      <c r="AY17" s="130"/>
      <c r="AZ17" s="121"/>
      <c r="BA17" s="154"/>
      <c r="BB17" s="154"/>
      <c r="BC17" s="154"/>
      <c r="BD17" s="154"/>
      <c r="BE17" s="154"/>
      <c r="BF17" s="139"/>
      <c r="BG17" s="118"/>
    </row>
    <row r="18" spans="2:59" x14ac:dyDescent="0.25">
      <c r="B18" s="64">
        <v>10</v>
      </c>
      <c r="C18" s="64" t="str">
        <f>TD_Tablero!B17</f>
        <v>2019 ENE</v>
      </c>
      <c r="D18" s="65">
        <f>IFERROR(TD_Tablero!C17/TD_Tablero!D17,0)</f>
        <v>1.2915442687747036</v>
      </c>
      <c r="M18" s="436" t="s">
        <v>371</v>
      </c>
      <c r="N18" s="87" t="s">
        <v>368</v>
      </c>
      <c r="O18" s="88">
        <f>SUM(TD_Tablero!H8:H19)</f>
        <v>362966928</v>
      </c>
      <c r="P18" s="77">
        <f t="shared" ref="P18:P22" si="2">O18/12</f>
        <v>30247244</v>
      </c>
      <c r="Q18" s="88">
        <f t="shared" ref="Q18:Q19" si="3">+P18/24</f>
        <v>1260301.8333333333</v>
      </c>
      <c r="R18" s="89">
        <f t="shared" ref="R18:R22" si="4">+Q18/8</f>
        <v>157537.72916666666</v>
      </c>
      <c r="T18" s="114"/>
      <c r="U18" s="414" t="s">
        <v>380</v>
      </c>
      <c r="V18" s="415"/>
      <c r="W18" s="77">
        <f>IF(P14&gt;=Q4,P14*P27,Q4*P27)</f>
        <v>12159898.86635142</v>
      </c>
      <c r="X18" s="77">
        <f>+W18/24</f>
        <v>506662.45276464248</v>
      </c>
      <c r="Y18" s="77">
        <f>+X18/8</f>
        <v>63332.80659558031</v>
      </c>
      <c r="Z18" s="77">
        <f>IF(P14&gt;=Q4,P14*P28,Q4*P28)</f>
        <v>35621723.96698191</v>
      </c>
      <c r="AA18" s="77">
        <f>+Z18/24</f>
        <v>1484238.4986242463</v>
      </c>
      <c r="AB18" s="78">
        <f>+AA18/8</f>
        <v>185529.81232803079</v>
      </c>
      <c r="AC18" s="117"/>
      <c r="AE18" s="144"/>
      <c r="AF18" s="145"/>
      <c r="AG18" s="146"/>
      <c r="AH18" s="147"/>
      <c r="AI18" s="147"/>
      <c r="AJ18" s="148"/>
      <c r="AK18" s="148"/>
      <c r="AL18" s="149"/>
      <c r="AM18" s="132"/>
      <c r="AY18" s="172"/>
      <c r="AZ18" s="173"/>
      <c r="BA18" s="146"/>
      <c r="BB18" s="147"/>
      <c r="BC18" s="147"/>
      <c r="BD18" s="174"/>
      <c r="BE18" s="174"/>
      <c r="BF18" s="149"/>
      <c r="BG18" s="175"/>
    </row>
    <row r="19" spans="2:59" x14ac:dyDescent="0.25">
      <c r="B19" s="64">
        <v>11</v>
      </c>
      <c r="C19" s="64" t="str">
        <f>TD_Tablero!B18</f>
        <v>2019 FEB</v>
      </c>
      <c r="D19" s="65">
        <f>IFERROR(TD_Tablero!C18/TD_Tablero!D18,0)</f>
        <v>1.1231419090909092</v>
      </c>
      <c r="M19" s="429"/>
      <c r="N19" s="90" t="s">
        <v>369</v>
      </c>
      <c r="O19" s="77">
        <f>SUM(TD_Tablero!G8:G19)</f>
        <v>2732</v>
      </c>
      <c r="P19" s="77">
        <f t="shared" si="2"/>
        <v>227.66666666666666</v>
      </c>
      <c r="Q19" s="77">
        <f t="shared" si="3"/>
        <v>9.4861111111111107</v>
      </c>
      <c r="R19" s="80">
        <f t="shared" si="4"/>
        <v>1.1857638888888888</v>
      </c>
      <c r="T19" s="114"/>
      <c r="U19" s="414" t="s">
        <v>381</v>
      </c>
      <c r="V19" s="415"/>
      <c r="W19" s="77">
        <f>+$P$15</f>
        <v>10325256.25</v>
      </c>
      <c r="X19" s="77">
        <f>+W19/24</f>
        <v>430219.01041666669</v>
      </c>
      <c r="Y19" s="77">
        <f t="shared" ref="Y19" si="5">+X19/8</f>
        <v>53777.376302083336</v>
      </c>
      <c r="Z19" s="77">
        <f>+$P$18</f>
        <v>30247244</v>
      </c>
      <c r="AA19" s="77">
        <f>+Z19/24</f>
        <v>1260301.8333333333</v>
      </c>
      <c r="AB19" s="78">
        <f t="shared" ref="AB19" si="6">+AA19/8</f>
        <v>157537.72916666666</v>
      </c>
      <c r="AC19" s="117"/>
      <c r="AE19" s="144"/>
      <c r="AF19" s="144"/>
      <c r="AG19" s="150" t="s">
        <v>406</v>
      </c>
      <c r="AH19" s="372" t="s">
        <v>407</v>
      </c>
      <c r="AI19" s="373"/>
      <c r="AJ19" s="373"/>
      <c r="AK19" s="374"/>
      <c r="AL19" s="116"/>
      <c r="AM19" s="132"/>
      <c r="AY19" s="130"/>
      <c r="AZ19" s="130"/>
      <c r="BA19" s="93" t="s">
        <v>406</v>
      </c>
      <c r="BB19" s="372" t="s">
        <v>407</v>
      </c>
      <c r="BC19" s="373"/>
      <c r="BD19" s="373"/>
      <c r="BE19" s="374"/>
      <c r="BF19" s="116"/>
      <c r="BG19" s="116"/>
    </row>
    <row r="20" spans="2:59" ht="15.75" thickBot="1" x14ac:dyDescent="0.3">
      <c r="B20" s="64">
        <v>12</v>
      </c>
      <c r="C20" s="64" t="str">
        <f>TD_Tablero!B19</f>
        <v>2019 MAR</v>
      </c>
      <c r="D20" s="65">
        <f>IFERROR(TD_Tablero!C19/TD_Tablero!D19,0)</f>
        <v>1.3924611471861472</v>
      </c>
      <c r="M20" s="437"/>
      <c r="N20" s="91" t="s">
        <v>370</v>
      </c>
      <c r="O20" s="438">
        <f>+(O18/O19)</f>
        <v>132857.58711566619</v>
      </c>
      <c r="P20" s="439"/>
      <c r="Q20" s="439"/>
      <c r="R20" s="440"/>
      <c r="T20" s="114"/>
      <c r="U20" s="414" t="s">
        <v>369</v>
      </c>
      <c r="V20" s="415"/>
      <c r="W20" s="96">
        <f>+W18/O17</f>
        <v>110.99680631690099</v>
      </c>
      <c r="X20" s="97">
        <f>+W20/24</f>
        <v>4.6248669298708744</v>
      </c>
      <c r="Y20" s="97">
        <f>+X20/8</f>
        <v>0.57810836623385931</v>
      </c>
      <c r="Z20" s="96">
        <f>+Z18/O20</f>
        <v>268.11960641712949</v>
      </c>
      <c r="AA20" s="96">
        <f>+Z20/24</f>
        <v>11.171650267380395</v>
      </c>
      <c r="AB20" s="98">
        <f>+AA20/8</f>
        <v>1.3964562834225493</v>
      </c>
      <c r="AC20" s="118"/>
      <c r="AE20" s="130"/>
      <c r="AF20" s="130"/>
      <c r="AG20" s="381">
        <v>8</v>
      </c>
      <c r="AH20" s="380">
        <v>220000</v>
      </c>
      <c r="AI20" s="380"/>
      <c r="AJ20" s="380">
        <v>144600</v>
      </c>
      <c r="AK20" s="380"/>
      <c r="AL20" s="116"/>
      <c r="AM20" s="132"/>
      <c r="AY20" s="130"/>
      <c r="AZ20" s="130"/>
      <c r="BA20" s="381">
        <v>5</v>
      </c>
      <c r="BB20" s="386" t="s">
        <v>425</v>
      </c>
      <c r="BC20" s="387"/>
      <c r="BD20" s="386" t="s">
        <v>426</v>
      </c>
      <c r="BE20" s="387"/>
      <c r="BF20" s="116"/>
      <c r="BG20" s="116"/>
    </row>
    <row r="21" spans="2:59" x14ac:dyDescent="0.25">
      <c r="B21" s="66">
        <v>13</v>
      </c>
      <c r="C21" s="66">
        <f>TD_Tablero!B20</f>
        <v>0</v>
      </c>
      <c r="D21" s="68">
        <f>IFERROR(TD_Tablero!C20/TD_Tablero!D20,0)</f>
        <v>0</v>
      </c>
      <c r="M21" s="441" t="s">
        <v>372</v>
      </c>
      <c r="N21" s="87" t="s">
        <v>368</v>
      </c>
      <c r="O21" s="88">
        <f>SUM(TD_Tablero!J8:J19)</f>
        <v>139367872</v>
      </c>
      <c r="P21" s="77">
        <f t="shared" si="2"/>
        <v>11613989.333333334</v>
      </c>
      <c r="Q21" s="88">
        <f>+P21/24</f>
        <v>483916.22222222225</v>
      </c>
      <c r="R21" s="89">
        <f t="shared" si="4"/>
        <v>60489.527777777781</v>
      </c>
      <c r="T21" s="119"/>
      <c r="U21" s="414" t="s">
        <v>382</v>
      </c>
      <c r="V21" s="415"/>
      <c r="W21" s="99">
        <f>+$P$16</f>
        <v>94.25</v>
      </c>
      <c r="X21" s="100">
        <f>+W21/24</f>
        <v>3.9270833333333335</v>
      </c>
      <c r="Y21" s="100">
        <f>+X21/8</f>
        <v>0.49088541666666669</v>
      </c>
      <c r="Z21" s="99">
        <f>+$P$19</f>
        <v>227.66666666666666</v>
      </c>
      <c r="AA21" s="100">
        <f>+Z21/24</f>
        <v>9.4861111111111107</v>
      </c>
      <c r="AB21" s="101">
        <f>+AA21/8</f>
        <v>1.1857638888888888</v>
      </c>
      <c r="AC21" s="120"/>
      <c r="AE21" s="130"/>
      <c r="AF21" s="130"/>
      <c r="AG21" s="382"/>
      <c r="AH21" s="383" t="s">
        <v>408</v>
      </c>
      <c r="AI21" s="383"/>
      <c r="AJ21" s="383" t="s">
        <v>409</v>
      </c>
      <c r="AK21" s="383"/>
      <c r="AL21" s="116"/>
      <c r="AM21" s="132"/>
      <c r="AY21" s="130"/>
      <c r="AZ21" s="130"/>
      <c r="BA21" s="382"/>
      <c r="BB21" s="365">
        <v>110000</v>
      </c>
      <c r="BC21" s="366"/>
      <c r="BD21" s="367">
        <v>240000</v>
      </c>
      <c r="BE21" s="367"/>
      <c r="BF21" s="116"/>
      <c r="BG21" s="116"/>
    </row>
    <row r="22" spans="2:59" ht="15.75" thickBot="1" x14ac:dyDescent="0.3">
      <c r="M22" s="442"/>
      <c r="N22" s="90" t="s">
        <v>369</v>
      </c>
      <c r="O22" s="77">
        <f>SUM(TD_Tablero!I8:I19)</f>
        <v>1412</v>
      </c>
      <c r="P22" s="77">
        <f t="shared" si="2"/>
        <v>117.66666666666667</v>
      </c>
      <c r="Q22" s="77">
        <f>+P22/24</f>
        <v>4.9027777777777777</v>
      </c>
      <c r="R22" s="80">
        <f t="shared" si="4"/>
        <v>0.61284722222222221</v>
      </c>
      <c r="T22" s="114"/>
      <c r="U22" s="421" t="s">
        <v>383</v>
      </c>
      <c r="V22" s="422"/>
      <c r="W22" s="102">
        <f>W20-W21</f>
        <v>16.746806316900987</v>
      </c>
      <c r="X22" s="103">
        <f>+W22/24</f>
        <v>0.69778359653754107</v>
      </c>
      <c r="Y22" s="103">
        <f>+X22/8</f>
        <v>8.7222949567192634E-2</v>
      </c>
      <c r="Z22" s="102">
        <f>+Z20-Z21</f>
        <v>40.452939750462832</v>
      </c>
      <c r="AA22" s="103">
        <f>+Z22/24</f>
        <v>1.6855391562692847</v>
      </c>
      <c r="AB22" s="104">
        <f>+AA22/8</f>
        <v>0.21069239453366059</v>
      </c>
      <c r="AC22" s="120"/>
      <c r="AE22" s="144"/>
      <c r="AF22" s="144"/>
      <c r="AG22" s="151" t="s">
        <v>410</v>
      </c>
      <c r="AH22" s="380">
        <f>$AG$20*$AH$20</f>
        <v>1760000</v>
      </c>
      <c r="AI22" s="380"/>
      <c r="AJ22" s="380">
        <f>$AG$20*$AJ$20</f>
        <v>1156800</v>
      </c>
      <c r="AK22" s="380"/>
      <c r="AL22" s="117"/>
      <c r="AM22" s="132"/>
      <c r="AY22" s="130"/>
      <c r="AZ22" s="130"/>
      <c r="BA22" s="110" t="s">
        <v>410</v>
      </c>
      <c r="BB22" s="368">
        <f>+BD21*BA20</f>
        <v>1200000</v>
      </c>
      <c r="BC22" s="384"/>
      <c r="BD22" s="384"/>
      <c r="BE22" s="369"/>
      <c r="BF22" s="117"/>
      <c r="BG22" s="117"/>
    </row>
    <row r="23" spans="2:59" ht="15.75" thickBot="1" x14ac:dyDescent="0.3">
      <c r="M23" s="443"/>
      <c r="N23" s="91" t="s">
        <v>370</v>
      </c>
      <c r="O23" s="438">
        <f>+O21/O22</f>
        <v>98702.45892351275</v>
      </c>
      <c r="P23" s="439"/>
      <c r="Q23" s="439"/>
      <c r="R23" s="440"/>
      <c r="T23" s="114"/>
      <c r="U23" s="121"/>
      <c r="V23" s="122"/>
      <c r="W23" s="121"/>
      <c r="X23" s="121"/>
      <c r="Y23" s="121"/>
      <c r="Z23" s="121"/>
      <c r="AA23" s="121"/>
      <c r="AB23" s="121"/>
      <c r="AC23" s="123"/>
      <c r="AE23" s="130"/>
      <c r="AF23" s="130"/>
      <c r="AG23" s="110" t="s">
        <v>411</v>
      </c>
      <c r="AH23" s="368">
        <f>60000*$AG$20</f>
        <v>480000</v>
      </c>
      <c r="AI23" s="369"/>
      <c r="AJ23" s="368">
        <f>60000*$AG$20</f>
        <v>480000</v>
      </c>
      <c r="AK23" s="369"/>
      <c r="AL23" s="117"/>
      <c r="AM23" s="132"/>
      <c r="AY23" s="130"/>
      <c r="AZ23" s="130"/>
      <c r="BA23" s="110" t="s">
        <v>411</v>
      </c>
      <c r="BB23" s="368">
        <f>+BB21*BA20</f>
        <v>550000</v>
      </c>
      <c r="BC23" s="384"/>
      <c r="BD23" s="384"/>
      <c r="BE23" s="369"/>
      <c r="BF23" s="117"/>
      <c r="BG23" s="117"/>
    </row>
    <row r="24" spans="2:59" ht="15.75" thickBot="1" x14ac:dyDescent="0.3">
      <c r="T24" s="114"/>
      <c r="U24" s="401" t="s">
        <v>396</v>
      </c>
      <c r="V24" s="402"/>
      <c r="W24" s="402"/>
      <c r="X24" s="402"/>
      <c r="Y24" s="402"/>
      <c r="Z24" s="402"/>
      <c r="AA24" s="402"/>
      <c r="AB24" s="403"/>
      <c r="AC24" s="123"/>
      <c r="AE24" s="130"/>
      <c r="AF24" s="130"/>
      <c r="AG24" s="110" t="s">
        <v>412</v>
      </c>
      <c r="AH24" s="380">
        <f>+AH23+AH22</f>
        <v>2240000</v>
      </c>
      <c r="AI24" s="380"/>
      <c r="AJ24" s="380">
        <f>+AJ23+AJ22</f>
        <v>1636800</v>
      </c>
      <c r="AK24" s="380"/>
      <c r="AL24" s="117"/>
      <c r="AM24" s="132"/>
      <c r="AY24" s="130"/>
      <c r="AZ24" s="130"/>
      <c r="BA24" s="110" t="s">
        <v>412</v>
      </c>
      <c r="BB24" s="368">
        <f>+BB23+BB22</f>
        <v>1750000</v>
      </c>
      <c r="BC24" s="384"/>
      <c r="BD24" s="384"/>
      <c r="BE24" s="369"/>
      <c r="BF24" s="117"/>
      <c r="BG24" s="117"/>
    </row>
    <row r="25" spans="2:59" ht="15.75" thickBot="1" x14ac:dyDescent="0.3">
      <c r="M25" s="307"/>
      <c r="N25" s="433" t="s">
        <v>485</v>
      </c>
      <c r="O25" s="434"/>
      <c r="P25" s="434"/>
      <c r="Q25" s="435"/>
      <c r="T25" s="114"/>
      <c r="U25" s="404"/>
      <c r="V25" s="405"/>
      <c r="W25" s="405"/>
      <c r="X25" s="405"/>
      <c r="Y25" s="405"/>
      <c r="Z25" s="405"/>
      <c r="AA25" s="405"/>
      <c r="AB25" s="406"/>
      <c r="AC25" s="123"/>
      <c r="AE25" s="130"/>
      <c r="AF25" s="130"/>
      <c r="AG25" s="93" t="s">
        <v>335</v>
      </c>
      <c r="AH25" s="379">
        <f>+AH24*24</f>
        <v>53760000</v>
      </c>
      <c r="AI25" s="379"/>
      <c r="AJ25" s="379">
        <f>+AJ24*24</f>
        <v>39283200</v>
      </c>
      <c r="AK25" s="379"/>
      <c r="AL25" s="117"/>
      <c r="AM25" s="132"/>
      <c r="AY25" s="130"/>
      <c r="AZ25" s="130"/>
      <c r="BA25" s="93" t="s">
        <v>335</v>
      </c>
      <c r="BB25" s="377">
        <f>+BB24*24</f>
        <v>42000000</v>
      </c>
      <c r="BC25" s="385"/>
      <c r="BD25" s="385"/>
      <c r="BE25" s="378"/>
      <c r="BF25" s="117"/>
      <c r="BG25" s="117"/>
    </row>
    <row r="26" spans="2:59" ht="15.75" thickBot="1" x14ac:dyDescent="0.3">
      <c r="M26" s="307"/>
      <c r="N26" s="416" t="s">
        <v>385</v>
      </c>
      <c r="O26" s="417"/>
      <c r="P26" s="180" t="s">
        <v>386</v>
      </c>
      <c r="Q26" s="181" t="s">
        <v>387</v>
      </c>
      <c r="R26" s="185"/>
      <c r="T26" s="114"/>
      <c r="U26" s="404"/>
      <c r="V26" s="405"/>
      <c r="W26" s="405"/>
      <c r="X26" s="405"/>
      <c r="Y26" s="405"/>
      <c r="Z26" s="405"/>
      <c r="AA26" s="405"/>
      <c r="AB26" s="406"/>
      <c r="AC26" s="123"/>
      <c r="AE26" s="130"/>
      <c r="AF26" s="130"/>
      <c r="AG26" s="121"/>
      <c r="AH26" s="152"/>
      <c r="AI26" s="152"/>
      <c r="AJ26" s="152"/>
      <c r="AK26" s="152"/>
      <c r="AL26" s="153"/>
      <c r="AM26" s="132"/>
      <c r="AY26" s="130"/>
      <c r="AZ26" s="130"/>
      <c r="BA26" s="121"/>
      <c r="BB26" s="152"/>
      <c r="BC26" s="152"/>
      <c r="BD26" s="152"/>
      <c r="BE26" s="152"/>
      <c r="BF26" s="153"/>
      <c r="BG26" s="153"/>
    </row>
    <row r="27" spans="2:59" ht="15.75" thickBot="1" x14ac:dyDescent="0.3">
      <c r="M27" s="307"/>
      <c r="N27" s="364" t="s">
        <v>429</v>
      </c>
      <c r="O27" s="182" t="s">
        <v>388</v>
      </c>
      <c r="P27" s="178">
        <f>$O$15/($O$18+$O$15)</f>
        <v>0.25448903041167642</v>
      </c>
      <c r="Q27" s="179">
        <f>+TD_Tablero!D37/(TD_Tablero!D37+TD_Tablero!F37)</f>
        <v>0.2557282999853806</v>
      </c>
      <c r="T27" s="114"/>
      <c r="U27" s="407"/>
      <c r="V27" s="408"/>
      <c r="W27" s="408"/>
      <c r="X27" s="408"/>
      <c r="Y27" s="408"/>
      <c r="Z27" s="408"/>
      <c r="AA27" s="408"/>
      <c r="AB27" s="409"/>
      <c r="AC27" s="123"/>
      <c r="AE27" s="130"/>
      <c r="AF27" s="130"/>
      <c r="AG27" s="150" t="s">
        <v>406</v>
      </c>
      <c r="AH27" s="383" t="s">
        <v>413</v>
      </c>
      <c r="AI27" s="383"/>
      <c r="AJ27" s="383"/>
      <c r="AK27" s="383"/>
      <c r="AL27" s="116"/>
      <c r="AM27" s="132"/>
      <c r="AY27" s="130"/>
      <c r="AZ27" s="130"/>
      <c r="BA27" s="150" t="s">
        <v>406</v>
      </c>
      <c r="BB27" s="383" t="s">
        <v>413</v>
      </c>
      <c r="BC27" s="383"/>
      <c r="BD27" s="383"/>
      <c r="BE27" s="383"/>
      <c r="BF27" s="116"/>
      <c r="BG27" s="116"/>
    </row>
    <row r="28" spans="2:59" ht="15.75" thickBot="1" x14ac:dyDescent="0.3">
      <c r="M28" s="307"/>
      <c r="N28" s="363"/>
      <c r="O28" s="183" t="s">
        <v>389</v>
      </c>
      <c r="P28" s="81">
        <f>$O$18/($O$18+$O$15)</f>
        <v>0.74551096958832352</v>
      </c>
      <c r="Q28" s="107">
        <f>+TD_Tablero!F37/(TD_Tablero!F37+TD_Tablero!D37)</f>
        <v>0.7442717000146194</v>
      </c>
      <c r="T28" s="124"/>
      <c r="U28" s="125"/>
      <c r="V28" s="125"/>
      <c r="W28" s="125"/>
      <c r="X28" s="125"/>
      <c r="Y28" s="125"/>
      <c r="Z28" s="125"/>
      <c r="AA28" s="125"/>
      <c r="AB28" s="125"/>
      <c r="AC28" s="126"/>
      <c r="AE28" s="130"/>
      <c r="AF28" s="130"/>
      <c r="AG28" s="381">
        <v>1</v>
      </c>
      <c r="AH28" s="380">
        <v>73000</v>
      </c>
      <c r="AI28" s="380"/>
      <c r="AJ28" s="380">
        <v>133600</v>
      </c>
      <c r="AK28" s="380"/>
      <c r="AL28" s="116"/>
      <c r="AM28" s="132"/>
      <c r="AY28" s="130"/>
      <c r="AZ28" s="130"/>
      <c r="BA28" s="381">
        <v>3</v>
      </c>
      <c r="BB28" s="380">
        <v>73000</v>
      </c>
      <c r="BC28" s="380"/>
      <c r="BD28" s="380">
        <v>133600</v>
      </c>
      <c r="BE28" s="380"/>
      <c r="BF28" s="116"/>
      <c r="BG28" s="116"/>
    </row>
    <row r="29" spans="2:59" x14ac:dyDescent="0.25">
      <c r="M29" s="307"/>
      <c r="N29" s="362" t="s">
        <v>369</v>
      </c>
      <c r="O29" s="184" t="s">
        <v>388</v>
      </c>
      <c r="P29" s="105">
        <f>$O$16/($O$19+$O$16)</f>
        <v>0.29277763396324102</v>
      </c>
      <c r="Q29" s="106">
        <f>TD_Tablero!C37/(TD_Tablero!C37+TD_Tablero!E37)</f>
        <v>0.28214283556570546</v>
      </c>
      <c r="AE29" s="130"/>
      <c r="AF29" s="130"/>
      <c r="AG29" s="382"/>
      <c r="AH29" s="383" t="s">
        <v>414</v>
      </c>
      <c r="AI29" s="383"/>
      <c r="AJ29" s="383" t="s">
        <v>415</v>
      </c>
      <c r="AK29" s="383"/>
      <c r="AL29" s="116"/>
      <c r="AM29" s="132"/>
      <c r="AY29" s="130"/>
      <c r="AZ29" s="130"/>
      <c r="BA29" s="382"/>
      <c r="BB29" s="383" t="s">
        <v>414</v>
      </c>
      <c r="BC29" s="383"/>
      <c r="BD29" s="383" t="s">
        <v>415</v>
      </c>
      <c r="BE29" s="383"/>
      <c r="BF29" s="116"/>
      <c r="BG29" s="116"/>
    </row>
    <row r="30" spans="2:59" ht="15.75" thickBot="1" x14ac:dyDescent="0.3">
      <c r="N30" s="363"/>
      <c r="O30" s="183" t="s">
        <v>389</v>
      </c>
      <c r="P30" s="81">
        <f>$O$19/($O$19+$O$16)</f>
        <v>0.70722236603675903</v>
      </c>
      <c r="Q30" s="107">
        <f>TD_Tablero!E37/(TD_Tablero!E37+TD_Tablero!C37)</f>
        <v>0.71785716443429459</v>
      </c>
      <c r="AE30" s="130"/>
      <c r="AF30" s="130"/>
      <c r="AG30" s="151" t="s">
        <v>410</v>
      </c>
      <c r="AH30" s="368">
        <f>$AG$28*$AH$28</f>
        <v>73000</v>
      </c>
      <c r="AI30" s="369"/>
      <c r="AJ30" s="368">
        <f>$AG$28*$AJ$28</f>
        <v>133600</v>
      </c>
      <c r="AK30" s="369"/>
      <c r="AL30" s="117"/>
      <c r="AM30" s="132"/>
      <c r="AY30" s="130"/>
      <c r="AZ30" s="130"/>
      <c r="BA30" s="151" t="s">
        <v>410</v>
      </c>
      <c r="BB30" s="368">
        <f>$BA$28*$BB$28</f>
        <v>219000</v>
      </c>
      <c r="BC30" s="369"/>
      <c r="BD30" s="368">
        <f>$BA$28*$BD$28</f>
        <v>400800</v>
      </c>
      <c r="BE30" s="369"/>
      <c r="BF30" s="117"/>
      <c r="BG30" s="117"/>
    </row>
    <row r="31" spans="2:59" x14ac:dyDescent="0.25">
      <c r="AE31" s="130"/>
      <c r="AF31" s="130"/>
      <c r="AG31" s="110" t="s">
        <v>411</v>
      </c>
      <c r="AH31" s="368">
        <f>75000*$AG$28</f>
        <v>75000</v>
      </c>
      <c r="AI31" s="384"/>
      <c r="AJ31" s="384"/>
      <c r="AK31" s="369"/>
      <c r="AL31" s="117"/>
      <c r="AM31" s="132"/>
      <c r="AY31" s="130"/>
      <c r="AZ31" s="130"/>
      <c r="BA31" s="110" t="s">
        <v>411</v>
      </c>
      <c r="BB31" s="380">
        <f>75000*$BA$28</f>
        <v>225000</v>
      </c>
      <c r="BC31" s="380"/>
      <c r="BD31" s="380"/>
      <c r="BE31" s="380"/>
      <c r="BF31" s="117"/>
      <c r="BG31" s="117"/>
    </row>
    <row r="32" spans="2:59" x14ac:dyDescent="0.25">
      <c r="AE32" s="130"/>
      <c r="AF32" s="130"/>
      <c r="AG32" s="110" t="s">
        <v>412</v>
      </c>
      <c r="AH32" s="368">
        <f>+AH31+AH30</f>
        <v>148000</v>
      </c>
      <c r="AI32" s="369"/>
      <c r="AJ32" s="368">
        <f>+AH31+AJ30</f>
        <v>208600</v>
      </c>
      <c r="AK32" s="369"/>
      <c r="AL32" s="117"/>
      <c r="AM32" s="132"/>
      <c r="AY32" s="130"/>
      <c r="AZ32" s="130"/>
      <c r="BA32" s="110" t="s">
        <v>412</v>
      </c>
      <c r="BB32" s="380">
        <f>+BB31+BB30</f>
        <v>444000</v>
      </c>
      <c r="BC32" s="380"/>
      <c r="BD32" s="380">
        <f>+BB31+BD30</f>
        <v>625800</v>
      </c>
      <c r="BE32" s="380"/>
      <c r="BF32" s="117"/>
      <c r="BG32" s="117"/>
    </row>
    <row r="33" spans="31:59" x14ac:dyDescent="0.25">
      <c r="AE33" s="130"/>
      <c r="AF33" s="130"/>
      <c r="AG33" s="93" t="s">
        <v>335</v>
      </c>
      <c r="AH33" s="377">
        <f>+AH32*24</f>
        <v>3552000</v>
      </c>
      <c r="AI33" s="378"/>
      <c r="AJ33" s="377">
        <f>+AJ32*24</f>
        <v>5006400</v>
      </c>
      <c r="AK33" s="378"/>
      <c r="AL33" s="117"/>
      <c r="AM33" s="132"/>
      <c r="AY33" s="130"/>
      <c r="AZ33" s="130"/>
      <c r="BA33" s="93" t="s">
        <v>335</v>
      </c>
      <c r="BB33" s="377">
        <f>+BB32*24</f>
        <v>10656000</v>
      </c>
      <c r="BC33" s="378"/>
      <c r="BD33" s="379">
        <f>+BD32*24</f>
        <v>15019200</v>
      </c>
      <c r="BE33" s="379"/>
      <c r="BF33" s="117"/>
      <c r="BG33" s="117"/>
    </row>
    <row r="34" spans="31:59" x14ac:dyDescent="0.25">
      <c r="AE34" s="130"/>
      <c r="AF34" s="130"/>
      <c r="AG34" s="154"/>
      <c r="AH34" s="139"/>
      <c r="AI34" s="139"/>
      <c r="AJ34" s="139"/>
      <c r="AK34" s="139"/>
      <c r="AL34" s="117"/>
      <c r="AM34" s="132"/>
      <c r="AY34" s="130"/>
      <c r="AZ34" s="130"/>
      <c r="BA34" s="154"/>
      <c r="BB34" s="139"/>
      <c r="BC34" s="139"/>
      <c r="BD34" s="139"/>
      <c r="BE34" s="139"/>
      <c r="BF34" s="117"/>
      <c r="BG34" s="117"/>
    </row>
    <row r="35" spans="31:59" x14ac:dyDescent="0.25">
      <c r="AE35" s="130"/>
      <c r="AF35" s="130"/>
      <c r="AG35" s="372" t="s">
        <v>416</v>
      </c>
      <c r="AH35" s="373"/>
      <c r="AI35" s="374"/>
      <c r="AJ35" s="372" t="s">
        <v>417</v>
      </c>
      <c r="AK35" s="374"/>
      <c r="AL35" s="117"/>
      <c r="AM35" s="132"/>
      <c r="AY35" s="130"/>
      <c r="AZ35" s="130"/>
      <c r="BA35" s="372" t="s">
        <v>416</v>
      </c>
      <c r="BB35" s="373"/>
      <c r="BC35" s="374"/>
      <c r="BD35" s="372" t="s">
        <v>417</v>
      </c>
      <c r="BE35" s="374"/>
      <c r="BF35" s="117"/>
      <c r="BG35" s="117"/>
    </row>
    <row r="36" spans="31:59" x14ac:dyDescent="0.25">
      <c r="AE36" s="130"/>
      <c r="AF36" s="130"/>
      <c r="AG36" s="375" t="str">
        <f>+$AG$20&amp;" Lumin"&amp;" + "&amp;$AG$28&amp;" Blue Protect"</f>
        <v>8 Lumin + 1 Blue Protect</v>
      </c>
      <c r="AH36" s="375"/>
      <c r="AI36" s="375"/>
      <c r="AJ36" s="376">
        <f>+AH25+AH33</f>
        <v>57312000</v>
      </c>
      <c r="AK36" s="376"/>
      <c r="AL36" s="117"/>
      <c r="AM36" s="132"/>
      <c r="AY36" s="130"/>
      <c r="AZ36" s="130"/>
      <c r="BA36" s="375" t="str">
        <f>+$BD$20&amp;" Lumin"&amp;" + "&amp;$BD$28&amp;" Blue Protect"</f>
        <v>Prom. Par de Lentes Lumin + 133600 Blue Protect</v>
      </c>
      <c r="BB36" s="375"/>
      <c r="BC36" s="375"/>
      <c r="BD36" s="376">
        <f>+BB25+BB33</f>
        <v>52656000</v>
      </c>
      <c r="BE36" s="376"/>
      <c r="BF36" s="117"/>
      <c r="BG36" s="117"/>
    </row>
    <row r="37" spans="31:59" x14ac:dyDescent="0.25">
      <c r="AE37" s="130"/>
      <c r="AF37" s="130"/>
      <c r="AG37" s="375" t="str">
        <f>+$AG$20&amp;" Bifocal"&amp;" + "&amp;$AG$28&amp;" Futurex"</f>
        <v>8 Bifocal + 1 Futurex</v>
      </c>
      <c r="AH37" s="375"/>
      <c r="AI37" s="375"/>
      <c r="AJ37" s="376">
        <f>+AJ25+AJ33</f>
        <v>44289600</v>
      </c>
      <c r="AK37" s="376"/>
      <c r="AL37" s="117"/>
      <c r="AM37" s="132"/>
      <c r="AY37" s="130"/>
      <c r="AZ37" s="130"/>
      <c r="BA37" s="375" t="str">
        <f>+$BD$20&amp;" Bifocal"&amp;" + "&amp;$BD$28&amp;" Futurex"</f>
        <v>Prom. Par de Lentes Bifocal + 133600 Futurex</v>
      </c>
      <c r="BB37" s="375"/>
      <c r="BC37" s="375"/>
      <c r="BD37" s="376">
        <f>+BB25+BD33</f>
        <v>57019200</v>
      </c>
      <c r="BE37" s="376"/>
      <c r="BF37" s="117"/>
      <c r="BG37" s="117"/>
    </row>
    <row r="38" spans="31:59" x14ac:dyDescent="0.25">
      <c r="AE38" s="130"/>
      <c r="AF38" s="130"/>
      <c r="AG38" s="375" t="str">
        <f>+$AG$20&amp;" Lumin"&amp;" + "&amp;$AG$28&amp;" Futurex"</f>
        <v>8 Lumin + 1 Futurex</v>
      </c>
      <c r="AH38" s="375"/>
      <c r="AI38" s="375"/>
      <c r="AJ38" s="376">
        <f>+AH25+AJ33</f>
        <v>58766400</v>
      </c>
      <c r="AK38" s="376"/>
      <c r="AL38" s="117"/>
      <c r="AM38" s="132"/>
      <c r="AY38" s="130"/>
      <c r="AZ38" s="130"/>
      <c r="BA38" s="375" t="str">
        <f>+$BD$20&amp;" Lumin"&amp;" + "&amp;$BD$28&amp;" Futurex"</f>
        <v>Prom. Par de Lentes Lumin + 133600 Futurex</v>
      </c>
      <c r="BB38" s="375"/>
      <c r="BC38" s="375"/>
      <c r="BD38" s="376">
        <f>+BB25+BD33</f>
        <v>57019200</v>
      </c>
      <c r="BE38" s="376"/>
      <c r="BF38" s="117"/>
      <c r="BG38" s="117"/>
    </row>
    <row r="39" spans="31:59" x14ac:dyDescent="0.25">
      <c r="AE39" s="130"/>
      <c r="AF39" s="130"/>
      <c r="AG39" s="375" t="str">
        <f>+$AG$20&amp;" Bifocal"&amp;" + "&amp;$AG$28&amp;" Blue Protect"</f>
        <v>8 Bifocal + 1 Blue Protect</v>
      </c>
      <c r="AH39" s="375"/>
      <c r="AI39" s="375"/>
      <c r="AJ39" s="376">
        <f>+AJ25+AH33</f>
        <v>42835200</v>
      </c>
      <c r="AK39" s="376"/>
      <c r="AL39" s="117"/>
      <c r="AM39" s="132"/>
      <c r="AY39" s="130"/>
      <c r="AZ39" s="130"/>
      <c r="BA39" s="375" t="str">
        <f>+$BD$20&amp;" Bifocal"&amp;" + "&amp;$BD$28&amp;" Blue Protect"</f>
        <v>Prom. Par de Lentes Bifocal + 133600 Blue Protect</v>
      </c>
      <c r="BB39" s="375"/>
      <c r="BC39" s="375"/>
      <c r="BD39" s="376">
        <f>+BB25+BB33</f>
        <v>52656000</v>
      </c>
      <c r="BE39" s="376"/>
      <c r="BF39" s="117"/>
      <c r="BG39" s="117"/>
    </row>
    <row r="40" spans="31:59" ht="15.75" thickBot="1" x14ac:dyDescent="0.3">
      <c r="AE40" s="130"/>
      <c r="AF40" s="142"/>
      <c r="AG40" s="155"/>
      <c r="AH40" s="155"/>
      <c r="AI40" s="155"/>
      <c r="AJ40" s="155"/>
      <c r="AK40" s="155"/>
      <c r="AL40" s="156"/>
      <c r="AM40" s="132"/>
      <c r="AY40" s="130"/>
      <c r="AZ40" s="142"/>
      <c r="BA40" s="171"/>
      <c r="BB40" s="171"/>
      <c r="BC40" s="171"/>
      <c r="BD40" s="171"/>
      <c r="BE40" s="171"/>
      <c r="BF40" s="156"/>
      <c r="BG40" s="117"/>
    </row>
    <row r="41" spans="31:59" ht="15.75" thickBot="1" x14ac:dyDescent="0.3">
      <c r="AE41" s="157"/>
      <c r="AF41" s="158"/>
      <c r="AG41" s="158"/>
      <c r="AH41" s="158"/>
      <c r="AI41" s="158"/>
      <c r="AJ41" s="158"/>
      <c r="AK41" s="158"/>
      <c r="AL41" s="158"/>
      <c r="AM41" s="159"/>
      <c r="AY41" s="130"/>
      <c r="AZ41" s="121"/>
      <c r="BA41" s="121"/>
      <c r="BB41" s="121"/>
      <c r="BC41" s="121"/>
      <c r="BD41" s="121"/>
      <c r="BE41" s="121"/>
      <c r="BF41" s="176"/>
      <c r="BG41" s="123"/>
    </row>
    <row r="42" spans="31:59" x14ac:dyDescent="0.25">
      <c r="AE42" s="130"/>
      <c r="AF42" s="131"/>
      <c r="AG42" s="160"/>
      <c r="AH42" s="128"/>
      <c r="AI42" s="128"/>
      <c r="AJ42" s="128"/>
      <c r="AK42" s="128"/>
      <c r="AL42" s="161"/>
      <c r="AM42" s="132"/>
      <c r="AY42" s="130"/>
      <c r="AZ42" s="131"/>
      <c r="BA42" s="112"/>
      <c r="BB42" s="112"/>
      <c r="BC42" s="112"/>
      <c r="BD42" s="112"/>
      <c r="BE42" s="112"/>
      <c r="BF42" s="113"/>
      <c r="BG42" s="123"/>
    </row>
    <row r="43" spans="31:59" x14ac:dyDescent="0.25">
      <c r="AE43" s="130"/>
      <c r="AF43" s="130"/>
      <c r="AG43" s="110" t="str">
        <f>+U12</f>
        <v>Prom. Venta</v>
      </c>
      <c r="AH43" s="368">
        <f>+W12</f>
        <v>109551.79045092838</v>
      </c>
      <c r="AI43" s="369"/>
      <c r="AJ43" s="368">
        <f>+Z12</f>
        <v>132857.58711566619</v>
      </c>
      <c r="AK43" s="369"/>
      <c r="AL43" s="162"/>
      <c r="AM43" s="132"/>
      <c r="AY43" s="130"/>
      <c r="AZ43" s="130"/>
      <c r="BA43" s="110" t="str">
        <f>+AQ13</f>
        <v>Prom. Venta</v>
      </c>
      <c r="BB43" s="368">
        <f>+AR13</f>
        <v>109551.79045092838</v>
      </c>
      <c r="BC43" s="369"/>
      <c r="BD43" s="368">
        <f>+AU13</f>
        <v>132857.58711566619</v>
      </c>
      <c r="BE43" s="369"/>
      <c r="BF43" s="123"/>
      <c r="BG43" s="123"/>
    </row>
    <row r="44" spans="31:59" x14ac:dyDescent="0.25">
      <c r="AE44" s="130"/>
      <c r="AF44" s="130"/>
      <c r="AG44" s="163"/>
      <c r="AH44" s="152"/>
      <c r="AI44" s="152"/>
      <c r="AJ44" s="152"/>
      <c r="AK44" s="152"/>
      <c r="AL44" s="162"/>
      <c r="AM44" s="132"/>
      <c r="AY44" s="130"/>
      <c r="AZ44" s="130"/>
      <c r="BA44" s="121"/>
      <c r="BB44" s="121"/>
      <c r="BC44" s="121"/>
      <c r="BD44" s="121"/>
      <c r="BE44" s="121"/>
      <c r="BF44" s="123"/>
      <c r="BG44" s="123"/>
    </row>
    <row r="45" spans="31:59" x14ac:dyDescent="0.25">
      <c r="AE45" s="130"/>
      <c r="AF45" s="130"/>
      <c r="AG45" s="370" t="s">
        <v>418</v>
      </c>
      <c r="AH45" s="372" t="s">
        <v>367</v>
      </c>
      <c r="AI45" s="373"/>
      <c r="AJ45" s="372" t="s">
        <v>371</v>
      </c>
      <c r="AK45" s="374"/>
      <c r="AL45" s="162"/>
      <c r="AM45" s="132"/>
      <c r="AY45" s="130"/>
      <c r="AZ45" s="130"/>
      <c r="BA45" s="370" t="s">
        <v>418</v>
      </c>
      <c r="BB45" s="372" t="s">
        <v>367</v>
      </c>
      <c r="BC45" s="373"/>
      <c r="BD45" s="372" t="s">
        <v>371</v>
      </c>
      <c r="BE45" s="374"/>
      <c r="BF45" s="132"/>
      <c r="BG45" s="123"/>
    </row>
    <row r="46" spans="31:59" x14ac:dyDescent="0.25">
      <c r="AE46" s="130"/>
      <c r="AF46" s="130"/>
      <c r="AG46" s="371"/>
      <c r="AH46" s="93" t="s">
        <v>335</v>
      </c>
      <c r="AI46" s="93" t="s">
        <v>365</v>
      </c>
      <c r="AJ46" s="164" t="s">
        <v>335</v>
      </c>
      <c r="AK46" s="164" t="s">
        <v>365</v>
      </c>
      <c r="AL46" s="162"/>
      <c r="AM46" s="132"/>
      <c r="AY46" s="130"/>
      <c r="AZ46" s="130"/>
      <c r="BA46" s="371"/>
      <c r="BB46" s="93" t="s">
        <v>335</v>
      </c>
      <c r="BC46" s="93" t="s">
        <v>365</v>
      </c>
      <c r="BD46" s="164" t="s">
        <v>335</v>
      </c>
      <c r="BE46" s="164" t="s">
        <v>365</v>
      </c>
      <c r="BF46" s="132"/>
      <c r="BG46" s="132"/>
    </row>
    <row r="47" spans="31:59" x14ac:dyDescent="0.25">
      <c r="AE47" s="130"/>
      <c r="AF47" s="130"/>
      <c r="AG47" s="110" t="s">
        <v>370</v>
      </c>
      <c r="AH47" s="365">
        <v>130000</v>
      </c>
      <c r="AI47" s="366"/>
      <c r="AJ47" s="367">
        <v>118000</v>
      </c>
      <c r="AK47" s="367"/>
      <c r="AL47" s="162"/>
      <c r="AM47" s="132"/>
      <c r="AY47" s="130"/>
      <c r="AZ47" s="130"/>
      <c r="BA47" s="110" t="s">
        <v>370</v>
      </c>
      <c r="BB47" s="365">
        <v>120000</v>
      </c>
      <c r="BC47" s="366"/>
      <c r="BD47" s="367">
        <v>115000</v>
      </c>
      <c r="BE47" s="367"/>
      <c r="BF47" s="132"/>
      <c r="BG47" s="132"/>
    </row>
    <row r="48" spans="31:59" x14ac:dyDescent="0.25">
      <c r="AE48" s="165"/>
      <c r="AF48" s="130"/>
      <c r="AG48" s="110" t="s">
        <v>419</v>
      </c>
      <c r="AH48" s="77">
        <f>+W6</f>
        <v>11197517.338113762</v>
      </c>
      <c r="AI48" s="77">
        <f>+AH48/24</f>
        <v>466563.22242140677</v>
      </c>
      <c r="AJ48" s="77">
        <f>+Z6</f>
        <v>32802482.661886234</v>
      </c>
      <c r="AK48" s="77">
        <f>+AJ48/24</f>
        <v>1366770.1109119265</v>
      </c>
      <c r="AL48" s="132"/>
      <c r="AM48" s="132"/>
      <c r="AY48" s="130"/>
      <c r="AZ48" s="130"/>
      <c r="BA48" s="110" t="s">
        <v>427</v>
      </c>
      <c r="BB48" s="77">
        <f>+AR7</f>
        <v>14505874.987954587</v>
      </c>
      <c r="BC48" s="77">
        <f>+BB48/24</f>
        <v>604411.45783144108</v>
      </c>
      <c r="BD48" s="77">
        <f>+AU7</f>
        <v>42494126.012045413</v>
      </c>
      <c r="BE48" s="77">
        <f>+BD48/24</f>
        <v>1770588.5838352256</v>
      </c>
      <c r="BF48" s="132"/>
      <c r="BG48" s="132"/>
    </row>
    <row r="49" spans="31:59" x14ac:dyDescent="0.25">
      <c r="AE49" s="165"/>
      <c r="AF49" s="165"/>
      <c r="AG49" s="110" t="s">
        <v>420</v>
      </c>
      <c r="AH49" s="96">
        <f>+AH48/AH47</f>
        <v>86.134748754721244</v>
      </c>
      <c r="AI49" s="96">
        <f>+AH49/24</f>
        <v>3.5889478647800517</v>
      </c>
      <c r="AJ49" s="96">
        <f>+AJ48/AJ47</f>
        <v>277.98714120242573</v>
      </c>
      <c r="AK49" s="96">
        <f>+AJ49/24</f>
        <v>11.582797550101072</v>
      </c>
      <c r="AL49" s="132"/>
      <c r="AM49" s="132"/>
      <c r="AY49" s="130"/>
      <c r="AZ49" s="130"/>
      <c r="BA49" s="110" t="s">
        <v>428</v>
      </c>
      <c r="BB49" s="96">
        <f>+BB48/BB47</f>
        <v>120.88229156628822</v>
      </c>
      <c r="BC49" s="96">
        <f>+BB49/24</f>
        <v>5.0367621485953427</v>
      </c>
      <c r="BD49" s="96">
        <f>+BD48/BD47</f>
        <v>369.51413923517748</v>
      </c>
      <c r="BE49" s="96">
        <f>+BD49/24</f>
        <v>15.396422468132394</v>
      </c>
      <c r="BF49" s="132"/>
      <c r="BG49" s="132"/>
    </row>
    <row r="50" spans="31:59" x14ac:dyDescent="0.25">
      <c r="AE50" s="166"/>
      <c r="AF50" s="165"/>
      <c r="AG50" s="110" t="s">
        <v>382</v>
      </c>
      <c r="AH50" s="167">
        <f>+$P$16</f>
        <v>94.25</v>
      </c>
      <c r="AI50" s="167">
        <f>+AH50/24</f>
        <v>3.9270833333333335</v>
      </c>
      <c r="AJ50" s="167">
        <f>+$P$19</f>
        <v>227.66666666666666</v>
      </c>
      <c r="AK50" s="167">
        <f>+AJ50/24</f>
        <v>9.4861111111111107</v>
      </c>
      <c r="AL50" s="132"/>
      <c r="AM50" s="132"/>
      <c r="AY50" s="130"/>
      <c r="AZ50" s="130"/>
      <c r="BA50" s="110" t="s">
        <v>382</v>
      </c>
      <c r="BB50" s="167">
        <f>+$P$16</f>
        <v>94.25</v>
      </c>
      <c r="BC50" s="167">
        <f t="shared" ref="BC50" si="7">+BB50/24</f>
        <v>3.9270833333333335</v>
      </c>
      <c r="BD50" s="167">
        <f>+$P$19</f>
        <v>227.66666666666666</v>
      </c>
      <c r="BE50" s="167">
        <f>+BD50/24</f>
        <v>9.4861111111111107</v>
      </c>
      <c r="BF50" s="132"/>
      <c r="BG50" s="132"/>
    </row>
    <row r="51" spans="31:59" x14ac:dyDescent="0.25">
      <c r="AE51" s="130"/>
      <c r="AF51" s="166"/>
      <c r="AG51" s="110" t="s">
        <v>421</v>
      </c>
      <c r="AH51" s="168">
        <f>+AH49-AH50</f>
        <v>-8.1152512452787562</v>
      </c>
      <c r="AI51" s="168">
        <f>+AI49-AI50</f>
        <v>-0.3381354685532818</v>
      </c>
      <c r="AJ51" s="168">
        <f t="shared" ref="AJ51:AK51" si="8">+AJ49-AJ50</f>
        <v>50.320474535759075</v>
      </c>
      <c r="AK51" s="168">
        <f t="shared" si="8"/>
        <v>2.0966864389899609</v>
      </c>
      <c r="AL51" s="132"/>
      <c r="AM51" s="132"/>
      <c r="AY51" s="130"/>
      <c r="AZ51" s="130"/>
      <c r="BA51" s="110" t="s">
        <v>421</v>
      </c>
      <c r="BB51" s="168">
        <f>+BB49-BB50</f>
        <v>26.632291566288217</v>
      </c>
      <c r="BC51" s="168">
        <f>+BB51/24</f>
        <v>1.109678815262009</v>
      </c>
      <c r="BD51" s="168">
        <f>+BD49-BD50</f>
        <v>141.84747256851082</v>
      </c>
      <c r="BE51" s="168">
        <f>+BD51/24</f>
        <v>5.9103113570212846</v>
      </c>
      <c r="BF51" s="132"/>
      <c r="BG51" s="132"/>
    </row>
    <row r="52" spans="31:59" ht="15.75" thickBot="1" x14ac:dyDescent="0.3">
      <c r="AE52" s="130"/>
      <c r="AF52" s="142"/>
      <c r="AG52" s="125"/>
      <c r="AH52" s="125"/>
      <c r="AI52" s="125"/>
      <c r="AJ52" s="125"/>
      <c r="AK52" s="125"/>
      <c r="AL52" s="169"/>
      <c r="AM52" s="132"/>
      <c r="AY52" s="130"/>
      <c r="AZ52" s="142"/>
      <c r="BA52" s="125"/>
      <c r="BB52" s="125"/>
      <c r="BC52" s="125"/>
      <c r="BD52" s="125"/>
      <c r="BE52" s="125"/>
      <c r="BF52" s="169"/>
      <c r="BG52" s="132"/>
    </row>
    <row r="53" spans="31:59" ht="15.75" thickBot="1" x14ac:dyDescent="0.3">
      <c r="AE53" s="142"/>
      <c r="AF53" s="125"/>
      <c r="AG53" s="125"/>
      <c r="AH53" s="125"/>
      <c r="AI53" s="125"/>
      <c r="AJ53" s="125"/>
      <c r="AK53" s="125"/>
      <c r="AL53" s="125"/>
      <c r="AM53" s="169"/>
      <c r="AY53" s="142"/>
      <c r="AZ53" s="125"/>
      <c r="BA53" s="125"/>
      <c r="BB53" s="125"/>
      <c r="BC53" s="125"/>
      <c r="BD53" s="125"/>
      <c r="BE53" s="125"/>
      <c r="BF53" s="125"/>
      <c r="BG53" s="169"/>
    </row>
  </sheetData>
  <mergeCells count="160">
    <mergeCell ref="N25:Q25"/>
    <mergeCell ref="M18:M20"/>
    <mergeCell ref="O20:R20"/>
    <mergeCell ref="M21:M23"/>
    <mergeCell ref="O23:R23"/>
    <mergeCell ref="N10:O10"/>
    <mergeCell ref="M12:R12"/>
    <mergeCell ref="M13:N13"/>
    <mergeCell ref="M14:N14"/>
    <mergeCell ref="M15:M17"/>
    <mergeCell ref="O17:R17"/>
    <mergeCell ref="N26:O26"/>
    <mergeCell ref="U3:AB3"/>
    <mergeCell ref="U4:V5"/>
    <mergeCell ref="W4:Y4"/>
    <mergeCell ref="U6:V6"/>
    <mergeCell ref="U7:V7"/>
    <mergeCell ref="U8:V8"/>
    <mergeCell ref="U9:V9"/>
    <mergeCell ref="U10:V10"/>
    <mergeCell ref="U12:V12"/>
    <mergeCell ref="W12:Y12"/>
    <mergeCell ref="Z4:AB4"/>
    <mergeCell ref="Z12:AB12"/>
    <mergeCell ref="N3:O3"/>
    <mergeCell ref="N4:O4"/>
    <mergeCell ref="N5:O5"/>
    <mergeCell ref="N6:O6"/>
    <mergeCell ref="N7:O7"/>
    <mergeCell ref="N8:O8"/>
    <mergeCell ref="N9:O9"/>
    <mergeCell ref="U19:V19"/>
    <mergeCell ref="U20:V20"/>
    <mergeCell ref="U21:V21"/>
    <mergeCell ref="U22:V22"/>
    <mergeCell ref="U24:AB27"/>
    <mergeCell ref="U15:AB15"/>
    <mergeCell ref="U16:V17"/>
    <mergeCell ref="W16:Y16"/>
    <mergeCell ref="Z16:AB16"/>
    <mergeCell ref="U18:V18"/>
    <mergeCell ref="AG11:AK11"/>
    <mergeCell ref="AH12:AI12"/>
    <mergeCell ref="AJ12:AK12"/>
    <mergeCell ref="AH13:AI13"/>
    <mergeCell ref="AJ13:AK13"/>
    <mergeCell ref="AH24:AI24"/>
    <mergeCell ref="AJ24:AK24"/>
    <mergeCell ref="AJ5:AK5"/>
    <mergeCell ref="AJ6:AK6"/>
    <mergeCell ref="AJ7:AK7"/>
    <mergeCell ref="AJ8:AK8"/>
    <mergeCell ref="AJ9:AK9"/>
    <mergeCell ref="AH22:AI22"/>
    <mergeCell ref="AJ22:AK22"/>
    <mergeCell ref="AH23:AI23"/>
    <mergeCell ref="AJ23:AK23"/>
    <mergeCell ref="AG15:AI15"/>
    <mergeCell ref="AJ15:AK15"/>
    <mergeCell ref="AH19:AK19"/>
    <mergeCell ref="AG20:AG21"/>
    <mergeCell ref="AH20:AI20"/>
    <mergeCell ref="AJ20:AK20"/>
    <mergeCell ref="AH21:AI21"/>
    <mergeCell ref="AJ21:AK21"/>
    <mergeCell ref="AG39:AI39"/>
    <mergeCell ref="AJ39:AK39"/>
    <mergeCell ref="AH30:AI30"/>
    <mergeCell ref="AJ30:AK30"/>
    <mergeCell ref="AH31:AK31"/>
    <mergeCell ref="AH32:AI32"/>
    <mergeCell ref="AJ32:AK32"/>
    <mergeCell ref="AH25:AI25"/>
    <mergeCell ref="AJ25:AK25"/>
    <mergeCell ref="AH27:AK27"/>
    <mergeCell ref="AG28:AG29"/>
    <mergeCell ref="AH28:AI28"/>
    <mergeCell ref="AJ28:AK28"/>
    <mergeCell ref="AH29:AI29"/>
    <mergeCell ref="AJ29:AK29"/>
    <mergeCell ref="AH47:AI47"/>
    <mergeCell ref="AJ47:AK47"/>
    <mergeCell ref="AQ3:AT3"/>
    <mergeCell ref="AU3:AW3"/>
    <mergeCell ref="AR4:AT4"/>
    <mergeCell ref="AU4:AW4"/>
    <mergeCell ref="AQ5:AQ6"/>
    <mergeCell ref="AR5:AT5"/>
    <mergeCell ref="AU5:AW5"/>
    <mergeCell ref="AH43:AI43"/>
    <mergeCell ref="AJ43:AK43"/>
    <mergeCell ref="AH33:AI33"/>
    <mergeCell ref="AJ33:AK33"/>
    <mergeCell ref="AG35:AI35"/>
    <mergeCell ref="AJ35:AK35"/>
    <mergeCell ref="AG36:AI36"/>
    <mergeCell ref="AJ36:AK36"/>
    <mergeCell ref="AG45:AG46"/>
    <mergeCell ref="AH45:AI45"/>
    <mergeCell ref="AJ45:AK45"/>
    <mergeCell ref="AG37:AI37"/>
    <mergeCell ref="AJ37:AK37"/>
    <mergeCell ref="AG38:AI38"/>
    <mergeCell ref="AJ38:AK38"/>
    <mergeCell ref="BD5:BE5"/>
    <mergeCell ref="BD6:BE6"/>
    <mergeCell ref="BD7:BE7"/>
    <mergeCell ref="BD8:BE8"/>
    <mergeCell ref="BD9:BE9"/>
    <mergeCell ref="BA11:BE11"/>
    <mergeCell ref="BB12:BC12"/>
    <mergeCell ref="BD12:BE12"/>
    <mergeCell ref="BB13:BC13"/>
    <mergeCell ref="BD13:BE13"/>
    <mergeCell ref="BA15:BC15"/>
    <mergeCell ref="BD15:BE15"/>
    <mergeCell ref="BB19:BE19"/>
    <mergeCell ref="BA20:BA21"/>
    <mergeCell ref="BB20:BC20"/>
    <mergeCell ref="BD20:BE20"/>
    <mergeCell ref="BB21:BC21"/>
    <mergeCell ref="BD21:BE21"/>
    <mergeCell ref="AR13:AT13"/>
    <mergeCell ref="AU13:AW13"/>
    <mergeCell ref="BB32:BC32"/>
    <mergeCell ref="BD32:BE32"/>
    <mergeCell ref="BA28:BA29"/>
    <mergeCell ref="BB28:BC28"/>
    <mergeCell ref="BD28:BE28"/>
    <mergeCell ref="BB29:BC29"/>
    <mergeCell ref="BD29:BE29"/>
    <mergeCell ref="BB22:BE22"/>
    <mergeCell ref="BB23:BE23"/>
    <mergeCell ref="BB24:BE24"/>
    <mergeCell ref="BB25:BE25"/>
    <mergeCell ref="BB27:BE27"/>
    <mergeCell ref="N29:N30"/>
    <mergeCell ref="N27:N28"/>
    <mergeCell ref="BB47:BC47"/>
    <mergeCell ref="BD47:BE47"/>
    <mergeCell ref="BB43:BC43"/>
    <mergeCell ref="BD43:BE43"/>
    <mergeCell ref="BA45:BA46"/>
    <mergeCell ref="BB45:BC45"/>
    <mergeCell ref="BD45:BE45"/>
    <mergeCell ref="BA37:BC37"/>
    <mergeCell ref="BD37:BE37"/>
    <mergeCell ref="BA38:BC38"/>
    <mergeCell ref="BD38:BE38"/>
    <mergeCell ref="BA39:BC39"/>
    <mergeCell ref="BD39:BE39"/>
    <mergeCell ref="BB33:BC33"/>
    <mergeCell ref="BD33:BE33"/>
    <mergeCell ref="BA35:BC35"/>
    <mergeCell ref="BD35:BE35"/>
    <mergeCell ref="BA36:BC36"/>
    <mergeCell ref="BD36:BE36"/>
    <mergeCell ref="BB30:BC30"/>
    <mergeCell ref="BD30:BE30"/>
    <mergeCell ref="BB31:BE31"/>
  </mergeCells>
  <conditionalFormatting sqref="AJ10:AL10 AL14 AJ9 AL9 AL16:AL17">
    <cfRule type="expression" dxfId="19" priority="19">
      <formula>AJ9&lt;0</formula>
    </cfRule>
  </conditionalFormatting>
  <conditionalFormatting sqref="AJ13 AL13">
    <cfRule type="expression" dxfId="18" priority="18">
      <formula>AJ13&lt;0</formula>
    </cfRule>
  </conditionalFormatting>
  <conditionalFormatting sqref="AH13">
    <cfRule type="expression" dxfId="17" priority="20">
      <formula>$AK$13&lt;$AC$12</formula>
    </cfRule>
  </conditionalFormatting>
  <conditionalFormatting sqref="AJ36:AJ39">
    <cfRule type="expression" dxfId="16" priority="17">
      <formula>AJ36&lt;$Q$4</formula>
    </cfRule>
  </conditionalFormatting>
  <conditionalFormatting sqref="AJ15">
    <cfRule type="expression" dxfId="15" priority="16">
      <formula>$AM$15&lt;$T$4</formula>
    </cfRule>
  </conditionalFormatting>
  <conditionalFormatting sqref="AH51 AJ51">
    <cfRule type="expression" dxfId="14" priority="15">
      <formula>AH51&lt;0</formula>
    </cfRule>
  </conditionalFormatting>
  <conditionalFormatting sqref="AI51">
    <cfRule type="expression" dxfId="13" priority="14">
      <formula>AI51&lt;0</formula>
    </cfRule>
  </conditionalFormatting>
  <conditionalFormatting sqref="AK51">
    <cfRule type="expression" dxfId="12" priority="13">
      <formula>AK51&lt;0</formula>
    </cfRule>
  </conditionalFormatting>
  <conditionalFormatting sqref="BF14:BG17">
    <cfRule type="expression" dxfId="11" priority="7">
      <formula>BF14&lt;0</formula>
    </cfRule>
  </conditionalFormatting>
  <conditionalFormatting sqref="BD9 BF9:BG9">
    <cfRule type="expression" dxfId="10" priority="6">
      <formula>BD9&lt;0</formula>
    </cfRule>
  </conditionalFormatting>
  <conditionalFormatting sqref="BD13 BF13:BG13">
    <cfRule type="expression" dxfId="9" priority="5">
      <formula>BD13&lt;0</formula>
    </cfRule>
  </conditionalFormatting>
  <conditionalFormatting sqref="BB51 BD51">
    <cfRule type="expression" dxfId="8" priority="4">
      <formula>BB51&lt;0</formula>
    </cfRule>
  </conditionalFormatting>
  <conditionalFormatting sqref="BC51">
    <cfRule type="expression" dxfId="7" priority="3">
      <formula>BC51&lt;0</formula>
    </cfRule>
  </conditionalFormatting>
  <conditionalFormatting sqref="BE51">
    <cfRule type="expression" dxfId="6" priority="2">
      <formula>BE51&lt;0</formula>
    </cfRule>
  </conditionalFormatting>
  <conditionalFormatting sqref="BD36:BD39">
    <cfRule type="expression" dxfId="5" priority="8">
      <formula>BD36&lt;$AU$3</formula>
    </cfRule>
  </conditionalFormatting>
  <conditionalFormatting sqref="BD15">
    <cfRule type="expression" dxfId="4" priority="9">
      <formula>$BG$15&lt;$AX$3</formula>
    </cfRule>
  </conditionalFormatting>
  <conditionalFormatting sqref="BB13">
    <cfRule type="expression" dxfId="3" priority="10">
      <formula>$BE$13&lt;$R$20</formula>
    </cfRule>
  </conditionalFormatting>
  <conditionalFormatting sqref="BB47 AH47">
    <cfRule type="expression" dxfId="2" priority="11">
      <formula>$BE$47&lt;$R$17</formula>
    </cfRule>
  </conditionalFormatting>
  <conditionalFormatting sqref="BD47 AJ47">
    <cfRule type="expression" dxfId="1" priority="12">
      <formula>$BG$47&lt;$R$20</formula>
    </cfRule>
  </conditionalFormatting>
  <conditionalFormatting sqref="BD21">
    <cfRule type="expression" dxfId="0" priority="1">
      <formula>$BE$13&lt;$R$20</formula>
    </cfRule>
  </conditionalFormatting>
  <dataValidations count="3">
    <dataValidation type="list" allowBlank="1" showInputMessage="1" showErrorMessage="1" sqref="BC6">
      <formula1>$W$2:$W$29</formula1>
    </dataValidation>
    <dataValidation type="list" allowBlank="1" showInputMessage="1" showErrorMessage="1" sqref="BC7">
      <formula1>$X$2:$X$10</formula1>
    </dataValidation>
    <dataValidation type="list" allowBlank="1" showInputMessage="1" showErrorMessage="1" sqref="BC8">
      <formula1>$Y$2:$Y$11</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Back!$U$2:$U$29</xm:f>
          </x14:formula1>
          <xm:sqref>AI6</xm:sqref>
        </x14:dataValidation>
        <x14:dataValidation type="list" allowBlank="1" showInputMessage="1" showErrorMessage="1">
          <x14:formula1>
            <xm:f>Back!$V$2:$V$10</xm:f>
          </x14:formula1>
          <xm:sqref>AI7</xm:sqref>
        </x14:dataValidation>
        <x14:dataValidation type="list" allowBlank="1" showInputMessage="1" showErrorMessage="1">
          <x14:formula1>
            <xm:f>Back!$W$2:$W$11</xm:f>
          </x14:formula1>
          <xm:sqref>AI8</xm:sqref>
        </x14:dataValidation>
      </x14:dataValidation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06580B2-ED39-4080-9944-E0564CADB27C}">
  <ds:schemaRefs/>
</ds:datastoreItem>
</file>

<file path=customXml/itemProps2.xml><?xml version="1.0" encoding="utf-8"?>
<ds:datastoreItem xmlns:ds="http://schemas.openxmlformats.org/officeDocument/2006/customXml" ds:itemID="{E3A2A995-B816-436C-BBC6-04E6395999BE}">
  <ds:schemaRefs/>
</ds:datastoreItem>
</file>

<file path=customXml/itemProps3.xml><?xml version="1.0" encoding="utf-8"?>
<ds:datastoreItem xmlns:ds="http://schemas.openxmlformats.org/officeDocument/2006/customXml" ds:itemID="{E4FE773D-C977-41BC-AA88-4E2AF87F5CE6}">
  <ds:schemaRefs/>
</ds:datastoreItem>
</file>

<file path=customXml/itemProps4.xml><?xml version="1.0" encoding="utf-8"?>
<ds:datastoreItem xmlns:ds="http://schemas.openxmlformats.org/officeDocument/2006/customXml" ds:itemID="{D1A10085-B398-4C93-BF7A-F418F2CDCA09}">
  <ds:schemaRefs/>
</ds:datastoreItem>
</file>

<file path=customXml/itemProps5.xml><?xml version="1.0" encoding="utf-8"?>
<ds:datastoreItem xmlns:ds="http://schemas.openxmlformats.org/officeDocument/2006/customXml" ds:itemID="{CCB31D75-F640-488A-BFB0-D28928B4C35F}">
  <ds:schemaRefs/>
</ds:datastoreItem>
</file>

<file path=customXml/itemProps6.xml><?xml version="1.0" encoding="utf-8"?>
<ds:datastoreItem xmlns:ds="http://schemas.openxmlformats.org/officeDocument/2006/customXml" ds:itemID="{9AFCFB61-5379-42B5-8376-77BF57578D0D}">
  <ds:schemaRefs/>
</ds:datastoreItem>
</file>

<file path=customXml/itemProps7.xml><?xml version="1.0" encoding="utf-8"?>
<ds:datastoreItem xmlns:ds="http://schemas.openxmlformats.org/officeDocument/2006/customXml" ds:itemID="{F89B3183-1BC8-4920-BA06-7007044A0D68}">
  <ds:schemaRefs/>
</ds:datastoreItem>
</file>

<file path=customXml/itemProps8.xml><?xml version="1.0" encoding="utf-8"?>
<ds:datastoreItem xmlns:ds="http://schemas.openxmlformats.org/officeDocument/2006/customXml" ds:itemID="{7E9E4017-BDA0-4DBF-ABA1-F0ED01E02FE0}">
  <ds:schemaRefs/>
</ds:datastoreItem>
</file>

<file path=customXml/itemProps9.xml><?xml version="1.0" encoding="utf-8"?>
<ds:datastoreItem xmlns:ds="http://schemas.openxmlformats.org/officeDocument/2006/customXml" ds:itemID="{DB0A332D-147A-4DA5-BDE3-2C59A55C5EE9}">
  <ds:schemaRefs/>
</ds:datastoreItem>
</file>

<file path=customXml/itemProps10.xml><?xml version="1.0" encoding="utf-8"?>
<ds:datastoreItem xmlns:ds="http://schemas.openxmlformats.org/officeDocument/2006/customXml" ds:itemID="{23DE2EE8-A21B-4EE2-B0ED-47FE11BB5E20}">
  <ds:schemaRefs/>
</ds:datastoreItem>
</file>

<file path=customXml/itemProps11.xml><?xml version="1.0" encoding="utf-8"?>
<ds:datastoreItem xmlns:ds="http://schemas.openxmlformats.org/officeDocument/2006/customXml" ds:itemID="{2D035E0B-6E76-4277-82D9-ED39B8D44567}">
  <ds:schemaRefs/>
</ds:datastoreItem>
</file>

<file path=customXml/itemProps12.xml><?xml version="1.0" encoding="utf-8"?>
<ds:datastoreItem xmlns:ds="http://schemas.openxmlformats.org/officeDocument/2006/customXml" ds:itemID="{5A59B728-9B83-4265-9783-C99A4C3508F6}">
  <ds:schemaRefs/>
</ds:datastoreItem>
</file>

<file path=customXml/itemProps13.xml><?xml version="1.0" encoding="utf-8"?>
<ds:datastoreItem xmlns:ds="http://schemas.openxmlformats.org/officeDocument/2006/customXml" ds:itemID="{BDB3C9ED-8B20-4B7E-939F-D1E2DAF909B6}">
  <ds:schemaRefs/>
</ds:datastoreItem>
</file>

<file path=customXml/itemProps14.xml><?xml version="1.0" encoding="utf-8"?>
<ds:datastoreItem xmlns:ds="http://schemas.openxmlformats.org/officeDocument/2006/customXml" ds:itemID="{DD3FB28B-4498-4DE7-862C-F3D910D20414}">
  <ds:schemaRefs/>
</ds:datastoreItem>
</file>

<file path=customXml/itemProps15.xml><?xml version="1.0" encoding="utf-8"?>
<ds:datastoreItem xmlns:ds="http://schemas.openxmlformats.org/officeDocument/2006/customXml" ds:itemID="{CA8EF4EB-95A6-46FC-8F2E-C91F7FE46C5C}">
  <ds:schemaRefs/>
</ds:datastoreItem>
</file>

<file path=customXml/itemProps16.xml><?xml version="1.0" encoding="utf-8"?>
<ds:datastoreItem xmlns:ds="http://schemas.openxmlformats.org/officeDocument/2006/customXml" ds:itemID="{F11FF571-2248-4156-8169-07DB341F2A61}">
  <ds:schemaRefs/>
</ds:datastoreItem>
</file>

<file path=customXml/itemProps17.xml><?xml version="1.0" encoding="utf-8"?>
<ds:datastoreItem xmlns:ds="http://schemas.openxmlformats.org/officeDocument/2006/customXml" ds:itemID="{434C463C-4784-4E34-ACCD-B4E21E9F9D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Seguimiento ASR New</vt:lpstr>
      <vt:lpstr>Sábana Ppto</vt:lpstr>
      <vt:lpstr>BD IPS</vt:lpstr>
      <vt:lpstr>BD ASR</vt:lpstr>
      <vt:lpstr>TD Cumpl</vt:lpstr>
      <vt:lpstr>Tres meses</vt:lpstr>
      <vt:lpstr>Back</vt:lpstr>
      <vt:lpstr>TD_Tablero</vt:lpstr>
      <vt:lpstr>Corte Año Móvil</vt:lpstr>
      <vt:lpstr>TABLERO</vt:lpstr>
      <vt:lpstr>INICIO</vt:lpstr>
    </vt:vector>
  </TitlesOfParts>
  <Company>Suramericana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Lopez Gallego</dc:creator>
  <cp:lastModifiedBy>Laura Estefania Bolivar Guerra</cp:lastModifiedBy>
  <cp:lastPrinted>2016-12-05T19:02:13Z</cp:lastPrinted>
  <dcterms:created xsi:type="dcterms:W3CDTF">2015-01-13T15:47:41Z</dcterms:created>
  <dcterms:modified xsi:type="dcterms:W3CDTF">2019-05-01T02:36:01Z</dcterms:modified>
</cp:coreProperties>
</file>