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R\"/>
    </mc:Choice>
  </mc:AlternateContent>
  <xr:revisionPtr revIDLastSave="0" documentId="8_{182F26D9-6E86-446E-80E0-DD06D5F2F827}" xr6:coauthVersionLast="47" xr6:coauthVersionMax="47" xr10:uidLastSave="{00000000-0000-0000-0000-000000000000}"/>
  <bookViews>
    <workbookView xWindow="-110" yWindow="-110" windowWidth="19420" windowHeight="10300" activeTab="5" xr2:uid="{738FD6AD-7FE2-46D9-A0B9-F367889BEF9B}"/>
  </bookViews>
  <sheets>
    <sheet name="ID" sheetId="3" r:id="rId1"/>
    <sheet name="תרשים1" sheetId="4" state="hidden" r:id="rId2"/>
    <sheet name="DATA" sheetId="1" r:id="rId3"/>
    <sheet name="Admin" sheetId="2" state="hidden" r:id="rId4"/>
    <sheet name="תשובות" sheetId="11" r:id="rId5"/>
    <sheet name="גרפים" sheetId="12" r:id="rId6"/>
    <sheet name="Data (2)" sheetId="5" state="hidden" r:id="rId7"/>
  </sheets>
  <definedNames>
    <definedName name="A0">Admin!$B$3</definedName>
    <definedName name="avg">Admin!$B$8</definedName>
    <definedName name="ID">ID!$B$2</definedName>
    <definedName name="Months">Admin!$P$2:$AA$2</definedName>
    <definedName name="RefNum">Admin!$B$1</definedName>
    <definedName name="Seasonality">Admin!$B$5</definedName>
    <definedName name="SeasonalityTable">Admin!$P$3:$AA$13</definedName>
    <definedName name="Std">Admin!$B$6</definedName>
    <definedName name="Trend">Admin!$B$4</definedName>
  </definedNames>
  <calcPr calcId="191029"/>
  <pivotCaches>
    <pivotCache cacheId="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B14" i="2" l="1"/>
  <c r="C2" i="5" l="1"/>
  <c r="B2" i="5" s="1"/>
  <c r="C3" i="5"/>
  <c r="B3" i="5" s="1"/>
  <c r="C4" i="5"/>
  <c r="B4" i="5" s="1"/>
  <c r="C5" i="5"/>
  <c r="B5" i="5" s="1"/>
  <c r="C6" i="5"/>
  <c r="B6" i="5" s="1"/>
  <c r="C7" i="5"/>
  <c r="B7" i="5" s="1"/>
  <c r="C8" i="5"/>
  <c r="B8" i="5" s="1"/>
  <c r="C9" i="5"/>
  <c r="B9" i="5" s="1"/>
  <c r="C10" i="5"/>
  <c r="B10" i="5" s="1"/>
  <c r="C11" i="5"/>
  <c r="B11" i="5" s="1"/>
  <c r="C12" i="5"/>
  <c r="B12" i="5" s="1"/>
  <c r="C13" i="5"/>
  <c r="B13" i="5" s="1"/>
  <c r="C14" i="5"/>
  <c r="B14" i="5" s="1"/>
  <c r="C15" i="5"/>
  <c r="B15" i="5" s="1"/>
  <c r="C16" i="5"/>
  <c r="B16" i="5" s="1"/>
  <c r="C17" i="5"/>
  <c r="B17" i="5" s="1"/>
  <c r="C18" i="5"/>
  <c r="B18" i="5" s="1"/>
  <c r="C19" i="5"/>
  <c r="B19" i="5" s="1"/>
  <c r="C20" i="5"/>
  <c r="B20" i="5" s="1"/>
  <c r="C21" i="5"/>
  <c r="B21" i="5" s="1"/>
  <c r="C22" i="5"/>
  <c r="B22" i="5" s="1"/>
  <c r="C23" i="5"/>
  <c r="B23" i="5" s="1"/>
  <c r="C24" i="5"/>
  <c r="B24" i="5" s="1"/>
  <c r="C121" i="5"/>
  <c r="B121" i="5" s="1"/>
  <c r="C120" i="5"/>
  <c r="B120" i="5" s="1"/>
  <c r="C119" i="5"/>
  <c r="B119" i="5" s="1"/>
  <c r="C118" i="5"/>
  <c r="B118" i="5" s="1"/>
  <c r="C117" i="5"/>
  <c r="B117" i="5" s="1"/>
  <c r="C116" i="5"/>
  <c r="B116" i="5" s="1"/>
  <c r="C115" i="5"/>
  <c r="B115" i="5" s="1"/>
  <c r="C114" i="5"/>
  <c r="B114" i="5" s="1"/>
  <c r="C113" i="5"/>
  <c r="B113" i="5" s="1"/>
  <c r="C112" i="5"/>
  <c r="B112" i="5" s="1"/>
  <c r="C111" i="5"/>
  <c r="B111" i="5" s="1"/>
  <c r="C110" i="5"/>
  <c r="B110" i="5" s="1"/>
  <c r="C109" i="5"/>
  <c r="B109" i="5" s="1"/>
  <c r="C108" i="5"/>
  <c r="B108" i="5" s="1"/>
  <c r="C107" i="5"/>
  <c r="B107" i="5" s="1"/>
  <c r="C106" i="5"/>
  <c r="B106" i="5" s="1"/>
  <c r="C105" i="5"/>
  <c r="B105" i="5" s="1"/>
  <c r="C104" i="5"/>
  <c r="B104" i="5" s="1"/>
  <c r="C103" i="5"/>
  <c r="B103" i="5" s="1"/>
  <c r="C102" i="5"/>
  <c r="B102" i="5" s="1"/>
  <c r="C101" i="5"/>
  <c r="B101" i="5" s="1"/>
  <c r="C100" i="5"/>
  <c r="B100" i="5" s="1"/>
  <c r="C99" i="5"/>
  <c r="B99" i="5" s="1"/>
  <c r="C98" i="5"/>
  <c r="B98" i="5" s="1"/>
  <c r="C97" i="5"/>
  <c r="B97" i="5" s="1"/>
  <c r="C96" i="5"/>
  <c r="B96" i="5" s="1"/>
  <c r="C95" i="5"/>
  <c r="B95" i="5" s="1"/>
  <c r="C94" i="5"/>
  <c r="B94" i="5" s="1"/>
  <c r="C93" i="5"/>
  <c r="B93" i="5" s="1"/>
  <c r="C92" i="5"/>
  <c r="B92" i="5" s="1"/>
  <c r="C91" i="5"/>
  <c r="B91" i="5" s="1"/>
  <c r="C90" i="5"/>
  <c r="B90" i="5" s="1"/>
  <c r="C89" i="5"/>
  <c r="B89" i="5" s="1"/>
  <c r="C88" i="5"/>
  <c r="B88" i="5" s="1"/>
  <c r="C87" i="5"/>
  <c r="B87" i="5" s="1"/>
  <c r="C86" i="5"/>
  <c r="B86" i="5" s="1"/>
  <c r="C85" i="5"/>
  <c r="B85" i="5" s="1"/>
  <c r="C84" i="5"/>
  <c r="B84" i="5" s="1"/>
  <c r="C83" i="5"/>
  <c r="B83" i="5" s="1"/>
  <c r="C82" i="5"/>
  <c r="B82" i="5" s="1"/>
  <c r="C81" i="5"/>
  <c r="B81" i="5" s="1"/>
  <c r="C80" i="5"/>
  <c r="B80" i="5" s="1"/>
  <c r="C79" i="5"/>
  <c r="B79" i="5" s="1"/>
  <c r="C78" i="5"/>
  <c r="B78" i="5" s="1"/>
  <c r="C77" i="5"/>
  <c r="B77" i="5" s="1"/>
  <c r="C76" i="5"/>
  <c r="B76" i="5" s="1"/>
  <c r="C75" i="5"/>
  <c r="B75" i="5" s="1"/>
  <c r="C74" i="5"/>
  <c r="B74" i="5" s="1"/>
  <c r="C73" i="5"/>
  <c r="B73" i="5" s="1"/>
  <c r="C72" i="5"/>
  <c r="B72" i="5" s="1"/>
  <c r="C71" i="5"/>
  <c r="B71" i="5" s="1"/>
  <c r="C70" i="5"/>
  <c r="B70" i="5" s="1"/>
  <c r="C69" i="5"/>
  <c r="B69" i="5" s="1"/>
  <c r="C68" i="5"/>
  <c r="B68" i="5" s="1"/>
  <c r="C67" i="5"/>
  <c r="B67" i="5" s="1"/>
  <c r="C66" i="5"/>
  <c r="B66" i="5" s="1"/>
  <c r="C65" i="5"/>
  <c r="B65" i="5" s="1"/>
  <c r="C64" i="5"/>
  <c r="B64" i="5" s="1"/>
  <c r="C63" i="5"/>
  <c r="B63" i="5" s="1"/>
  <c r="C62" i="5"/>
  <c r="B62" i="5" s="1"/>
  <c r="C61" i="5"/>
  <c r="B61" i="5" s="1"/>
  <c r="C60" i="5"/>
  <c r="B60" i="5" s="1"/>
  <c r="C59" i="5"/>
  <c r="B59" i="5" s="1"/>
  <c r="C58" i="5"/>
  <c r="B58" i="5" s="1"/>
  <c r="C57" i="5"/>
  <c r="B57" i="5" s="1"/>
  <c r="C56" i="5"/>
  <c r="B56" i="5" s="1"/>
  <c r="C55" i="5"/>
  <c r="B55" i="5" s="1"/>
  <c r="C54" i="5"/>
  <c r="B54" i="5" s="1"/>
  <c r="C53" i="5"/>
  <c r="B53" i="5" s="1"/>
  <c r="C52" i="5"/>
  <c r="B52" i="5" s="1"/>
  <c r="C51" i="5"/>
  <c r="B51" i="5" s="1"/>
  <c r="C50" i="5"/>
  <c r="B50" i="5" s="1"/>
  <c r="C49" i="5"/>
  <c r="B49" i="5" s="1"/>
  <c r="C48" i="5"/>
  <c r="B48" i="5" s="1"/>
  <c r="C47" i="5"/>
  <c r="B47" i="5" s="1"/>
  <c r="C46" i="5"/>
  <c r="B46" i="5" s="1"/>
  <c r="C45" i="5"/>
  <c r="B45" i="5" s="1"/>
  <c r="C44" i="5"/>
  <c r="B44" i="5" s="1"/>
  <c r="C43" i="5"/>
  <c r="B43" i="5" s="1"/>
  <c r="C42" i="5"/>
  <c r="B42" i="5" s="1"/>
  <c r="C41" i="5"/>
  <c r="B41" i="5" s="1"/>
  <c r="C40" i="5"/>
  <c r="B40" i="5" s="1"/>
  <c r="C39" i="5"/>
  <c r="B39" i="5" s="1"/>
  <c r="C38" i="5"/>
  <c r="B38" i="5" s="1"/>
  <c r="C37" i="5"/>
  <c r="B37" i="5" s="1"/>
  <c r="C36" i="5"/>
  <c r="B36" i="5" s="1"/>
  <c r="C35" i="5"/>
  <c r="B35" i="5" s="1"/>
  <c r="C34" i="5"/>
  <c r="B34" i="5" s="1"/>
  <c r="C33" i="5"/>
  <c r="B33" i="5" s="1"/>
  <c r="C32" i="5"/>
  <c r="B32" i="5" s="1"/>
  <c r="C31" i="5"/>
  <c r="B31" i="5" s="1"/>
  <c r="C30" i="5"/>
  <c r="B30" i="5" s="1"/>
  <c r="C29" i="5"/>
  <c r="B29" i="5" s="1"/>
  <c r="C28" i="5"/>
  <c r="B28" i="5" s="1"/>
  <c r="C27" i="5"/>
  <c r="B27" i="5" s="1"/>
  <c r="C26" i="5"/>
  <c r="B26" i="5" s="1"/>
  <c r="C25" i="5"/>
  <c r="B25" i="5" s="1"/>
  <c r="AC4" i="2"/>
  <c r="AC5" i="2"/>
  <c r="AC6" i="2"/>
  <c r="AC7" i="2"/>
  <c r="AC8" i="2"/>
  <c r="AC9" i="2"/>
  <c r="AC10" i="2"/>
  <c r="AC11" i="2"/>
  <c r="AC12" i="2"/>
  <c r="AC13" i="2"/>
  <c r="AC3" i="2"/>
  <c r="B1" i="2" l="1"/>
  <c r="S18" i="2"/>
  <c r="Q18" i="2"/>
  <c r="P18" i="2"/>
  <c r="R18" i="2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2" i="1"/>
  <c r="Z21" i="2"/>
  <c r="S25" i="2"/>
  <c r="AA22" i="2"/>
  <c r="T19" i="2"/>
  <c r="P21" i="2"/>
  <c r="R26" i="2"/>
  <c r="V18" i="2"/>
  <c r="Q24" i="2"/>
  <c r="AA20" i="2"/>
  <c r="Q27" i="2"/>
  <c r="R27" i="2"/>
  <c r="T24" i="2"/>
  <c r="V22" i="2"/>
  <c r="X27" i="2"/>
  <c r="U22" i="2"/>
  <c r="U26" i="2"/>
  <c r="W27" i="2"/>
  <c r="R22" i="2"/>
  <c r="T20" i="2"/>
  <c r="Z18" i="2"/>
  <c r="W22" i="2"/>
  <c r="Y25" i="2"/>
  <c r="V25" i="2"/>
  <c r="Q22" i="2"/>
  <c r="S27" i="2"/>
  <c r="X20" i="2"/>
  <c r="S20" i="2"/>
  <c r="W23" i="2"/>
  <c r="S24" i="2"/>
  <c r="T18" i="2"/>
  <c r="W20" i="2"/>
  <c r="T25" i="2"/>
  <c r="AA25" i="2"/>
  <c r="T23" i="2"/>
  <c r="R19" i="2"/>
  <c r="Y19" i="2"/>
  <c r="U18" i="2"/>
  <c r="W26" i="2"/>
  <c r="AA19" i="2"/>
  <c r="Z24" i="2"/>
  <c r="S19" i="2"/>
  <c r="T27" i="2"/>
  <c r="V26" i="2"/>
  <c r="Y21" i="2"/>
  <c r="S21" i="2"/>
  <c r="Z20" i="2"/>
  <c r="T22" i="2"/>
  <c r="X23" i="2"/>
  <c r="P24" i="2"/>
  <c r="Z23" i="2"/>
  <c r="Q19" i="2"/>
  <c r="X18" i="2"/>
  <c r="W25" i="2"/>
  <c r="V24" i="2"/>
  <c r="U21" i="2"/>
  <c r="R24" i="2"/>
  <c r="V23" i="2"/>
  <c r="AA26" i="2"/>
  <c r="R21" i="2"/>
  <c r="AA23" i="2"/>
  <c r="T21" i="2"/>
  <c r="R23" i="2"/>
  <c r="Y22" i="2"/>
  <c r="X26" i="2"/>
  <c r="AA21" i="2"/>
  <c r="X22" i="2"/>
  <c r="Z26" i="2"/>
  <c r="P23" i="2"/>
  <c r="U25" i="2"/>
  <c r="V20" i="2"/>
  <c r="Z19" i="2"/>
  <c r="S23" i="2"/>
  <c r="S26" i="2"/>
  <c r="Q20" i="2"/>
  <c r="P25" i="2"/>
  <c r="AA27" i="2"/>
  <c r="V27" i="2"/>
  <c r="Y27" i="2"/>
  <c r="P19" i="2"/>
  <c r="P20" i="2"/>
  <c r="T26" i="2"/>
  <c r="Z27" i="2"/>
  <c r="Q23" i="2"/>
  <c r="S22" i="2"/>
  <c r="R25" i="2"/>
  <c r="AA24" i="2"/>
  <c r="U19" i="2"/>
  <c r="X19" i="2"/>
  <c r="U24" i="2"/>
  <c r="W21" i="2"/>
  <c r="W19" i="2"/>
  <c r="R20" i="2"/>
  <c r="V21" i="2"/>
  <c r="P27" i="2"/>
  <c r="Q25" i="2"/>
  <c r="U27" i="2"/>
  <c r="U23" i="2"/>
  <c r="Y18" i="2"/>
  <c r="V19" i="2"/>
  <c r="Y26" i="2"/>
  <c r="Z25" i="2"/>
  <c r="P26" i="2"/>
  <c r="X21" i="2"/>
  <c r="Q26" i="2"/>
  <c r="AA18" i="2"/>
  <c r="X25" i="2"/>
  <c r="W18" i="2"/>
  <c r="Z22" i="2"/>
  <c r="X24" i="2"/>
  <c r="Q21" i="2"/>
  <c r="Y20" i="2"/>
  <c r="W24" i="2"/>
  <c r="Y24" i="2"/>
  <c r="Y23" i="2"/>
  <c r="U20" i="2"/>
  <c r="P22" i="2"/>
  <c r="T30" i="2" l="1"/>
  <c r="X30" i="2"/>
  <c r="Z30" i="2"/>
  <c r="S30" i="2"/>
  <c r="AA30" i="2"/>
  <c r="W30" i="2"/>
  <c r="U30" i="2"/>
  <c r="Y30" i="2"/>
  <c r="Q30" i="2"/>
  <c r="V30" i="2"/>
  <c r="R30" i="2"/>
  <c r="P30" i="2"/>
  <c r="AB6" i="2"/>
  <c r="AB10" i="2"/>
  <c r="A1" i="2"/>
  <c r="F2" i="2"/>
  <c r="D15" i="2"/>
  <c r="D27" i="2" s="1"/>
  <c r="D39" i="2" s="1"/>
  <c r="D51" i="2" s="1"/>
  <c r="D63" i="2" s="1"/>
  <c r="D75" i="2" s="1"/>
  <c r="D87" i="2" s="1"/>
  <c r="D99" i="2" s="1"/>
  <c r="D111" i="2" s="1"/>
  <c r="D16" i="2"/>
  <c r="D28" i="2" s="1"/>
  <c r="D40" i="2" s="1"/>
  <c r="D52" i="2" s="1"/>
  <c r="D64" i="2" s="1"/>
  <c r="D76" i="2" s="1"/>
  <c r="D88" i="2" s="1"/>
  <c r="D100" i="2" s="1"/>
  <c r="D112" i="2" s="1"/>
  <c r="D17" i="2"/>
  <c r="D29" i="2" s="1"/>
  <c r="D41" i="2" s="1"/>
  <c r="D53" i="2" s="1"/>
  <c r="D65" i="2" s="1"/>
  <c r="D77" i="2" s="1"/>
  <c r="D89" i="2" s="1"/>
  <c r="D101" i="2" s="1"/>
  <c r="D113" i="2" s="1"/>
  <c r="D18" i="2"/>
  <c r="D30" i="2" s="1"/>
  <c r="D42" i="2" s="1"/>
  <c r="D54" i="2" s="1"/>
  <c r="D66" i="2" s="1"/>
  <c r="D78" i="2" s="1"/>
  <c r="D90" i="2" s="1"/>
  <c r="D102" i="2" s="1"/>
  <c r="D114" i="2" s="1"/>
  <c r="D19" i="2"/>
  <c r="D31" i="2" s="1"/>
  <c r="D43" i="2" s="1"/>
  <c r="D55" i="2" s="1"/>
  <c r="D67" i="2" s="1"/>
  <c r="D79" i="2" s="1"/>
  <c r="D91" i="2" s="1"/>
  <c r="D103" i="2" s="1"/>
  <c r="D115" i="2" s="1"/>
  <c r="D20" i="2"/>
  <c r="D32" i="2" s="1"/>
  <c r="D44" i="2" s="1"/>
  <c r="D56" i="2" s="1"/>
  <c r="D68" i="2" s="1"/>
  <c r="D80" i="2" s="1"/>
  <c r="D92" i="2" s="1"/>
  <c r="D104" i="2" s="1"/>
  <c r="D116" i="2" s="1"/>
  <c r="D21" i="2"/>
  <c r="D33" i="2" s="1"/>
  <c r="D45" i="2" s="1"/>
  <c r="D57" i="2" s="1"/>
  <c r="D69" i="2" s="1"/>
  <c r="D81" i="2" s="1"/>
  <c r="D93" i="2" s="1"/>
  <c r="D105" i="2" s="1"/>
  <c r="D117" i="2" s="1"/>
  <c r="D22" i="2"/>
  <c r="D34" i="2" s="1"/>
  <c r="D46" i="2" s="1"/>
  <c r="D58" i="2" s="1"/>
  <c r="D70" i="2" s="1"/>
  <c r="D82" i="2" s="1"/>
  <c r="D94" i="2" s="1"/>
  <c r="D106" i="2" s="1"/>
  <c r="D118" i="2" s="1"/>
  <c r="D23" i="2"/>
  <c r="D35" i="2" s="1"/>
  <c r="D47" i="2" s="1"/>
  <c r="D59" i="2" s="1"/>
  <c r="D71" i="2" s="1"/>
  <c r="D83" i="2" s="1"/>
  <c r="D95" i="2" s="1"/>
  <c r="D107" i="2" s="1"/>
  <c r="D119" i="2" s="1"/>
  <c r="D24" i="2"/>
  <c r="D36" i="2" s="1"/>
  <c r="D48" i="2" s="1"/>
  <c r="D60" i="2" s="1"/>
  <c r="D72" i="2" s="1"/>
  <c r="D84" i="2" s="1"/>
  <c r="D96" i="2" s="1"/>
  <c r="D108" i="2" s="1"/>
  <c r="D120" i="2" s="1"/>
  <c r="D25" i="2"/>
  <c r="D37" i="2" s="1"/>
  <c r="D14" i="2"/>
  <c r="D26" i="2" s="1"/>
  <c r="D38" i="2" s="1"/>
  <c r="D50" i="2" s="1"/>
  <c r="D62" i="2" s="1"/>
  <c r="D74" i="2" s="1"/>
  <c r="D86" i="2" s="1"/>
  <c r="D98" i="2" s="1"/>
  <c r="D110" i="2" s="1"/>
  <c r="AB30" i="2" l="1"/>
  <c r="P32" i="2" s="1"/>
  <c r="AB9" i="2"/>
  <c r="AB12" i="2"/>
  <c r="AB11" i="2"/>
  <c r="AB8" i="2"/>
  <c r="AB4" i="2"/>
  <c r="AB13" i="2"/>
  <c r="AB5" i="2"/>
  <c r="AB7" i="2"/>
  <c r="AB3" i="2"/>
  <c r="D49" i="2"/>
  <c r="B5" i="2"/>
  <c r="U32" i="2" l="1"/>
  <c r="Y32" i="2"/>
  <c r="Y34" i="2" s="1"/>
  <c r="Q32" i="2"/>
  <c r="Q34" i="2" s="1"/>
  <c r="R32" i="2"/>
  <c r="R34" i="2" s="1"/>
  <c r="S32" i="2"/>
  <c r="S34" i="2" s="1"/>
  <c r="V32" i="2"/>
  <c r="V34" i="2" s="1"/>
  <c r="W32" i="2"/>
  <c r="W34" i="2" s="1"/>
  <c r="Z32" i="2"/>
  <c r="Z34" i="2" s="1"/>
  <c r="T32" i="2"/>
  <c r="T34" i="2" s="1"/>
  <c r="X32" i="2"/>
  <c r="X34" i="2" s="1"/>
  <c r="AA32" i="2"/>
  <c r="AA34" i="2" s="1"/>
  <c r="P34" i="2"/>
  <c r="U34" i="2"/>
  <c r="B3" i="2"/>
  <c r="D61" i="2"/>
  <c r="B4" i="2" l="1"/>
  <c r="AB34" i="2"/>
  <c r="D73" i="2"/>
  <c r="B6" i="2" l="1"/>
  <c r="B10" i="2" s="1"/>
  <c r="B21" i="2"/>
  <c r="H16" i="2"/>
  <c r="H11" i="2"/>
  <c r="H65" i="2"/>
  <c r="H120" i="2"/>
  <c r="H67" i="2"/>
  <c r="H100" i="2"/>
  <c r="H95" i="2"/>
  <c r="H109" i="2"/>
  <c r="H45" i="2"/>
  <c r="H80" i="2"/>
  <c r="H118" i="2"/>
  <c r="H76" i="2"/>
  <c r="H71" i="2"/>
  <c r="H97" i="2"/>
  <c r="H33" i="2"/>
  <c r="H56" i="2"/>
  <c r="H58" i="2"/>
  <c r="H36" i="2"/>
  <c r="H35" i="2"/>
  <c r="H77" i="2"/>
  <c r="H13" i="2"/>
  <c r="H12" i="2"/>
  <c r="B20" i="2"/>
  <c r="H68" i="2"/>
  <c r="H8" i="2"/>
  <c r="H63" i="2"/>
  <c r="H7" i="2"/>
  <c r="H93" i="2"/>
  <c r="H61" i="2"/>
  <c r="H29" i="2"/>
  <c r="H112" i="2"/>
  <c r="H48" i="2"/>
  <c r="H99" i="2"/>
  <c r="H31" i="2"/>
  <c r="H90" i="2"/>
  <c r="H26" i="2"/>
  <c r="H107" i="2"/>
  <c r="H43" i="2"/>
  <c r="H106" i="2"/>
  <c r="H42" i="2"/>
  <c r="H108" i="2"/>
  <c r="H44" i="2"/>
  <c r="H103" i="2"/>
  <c r="H39" i="2"/>
  <c r="H113" i="2"/>
  <c r="H81" i="2"/>
  <c r="H49" i="2"/>
  <c r="H17" i="2"/>
  <c r="H88" i="2"/>
  <c r="H20" i="2"/>
  <c r="H75" i="2"/>
  <c r="H3" i="2"/>
  <c r="H74" i="2"/>
  <c r="H10" i="2"/>
  <c r="H102" i="2"/>
  <c r="H86" i="2"/>
  <c r="H70" i="2"/>
  <c r="H54" i="2"/>
  <c r="H38" i="2"/>
  <c r="H22" i="2"/>
  <c r="H6" i="2"/>
  <c r="H116" i="2"/>
  <c r="H84" i="2"/>
  <c r="H52" i="2"/>
  <c r="H24" i="2"/>
  <c r="H111" i="2"/>
  <c r="H79" i="2"/>
  <c r="H47" i="2"/>
  <c r="H23" i="2"/>
  <c r="H117" i="2"/>
  <c r="H101" i="2"/>
  <c r="H85" i="2"/>
  <c r="H69" i="2"/>
  <c r="H53" i="2"/>
  <c r="H37" i="2"/>
  <c r="H21" i="2"/>
  <c r="H5" i="2"/>
  <c r="H96" i="2"/>
  <c r="H64" i="2"/>
  <c r="H32" i="2"/>
  <c r="H115" i="2"/>
  <c r="H83" i="2"/>
  <c r="H51" i="2"/>
  <c r="H15" i="2"/>
  <c r="H110" i="2"/>
  <c r="H94" i="2"/>
  <c r="H78" i="2"/>
  <c r="H62" i="2"/>
  <c r="H46" i="2"/>
  <c r="H30" i="2"/>
  <c r="H14" i="2"/>
  <c r="H92" i="2"/>
  <c r="H60" i="2"/>
  <c r="H28" i="2"/>
  <c r="H119" i="2"/>
  <c r="H87" i="2"/>
  <c r="H55" i="2"/>
  <c r="H27" i="2"/>
  <c r="H121" i="2"/>
  <c r="H105" i="2"/>
  <c r="H89" i="2"/>
  <c r="H73" i="2"/>
  <c r="H57" i="2"/>
  <c r="H41" i="2"/>
  <c r="H25" i="2"/>
  <c r="H9" i="2"/>
  <c r="H104" i="2"/>
  <c r="H72" i="2"/>
  <c r="H40" i="2"/>
  <c r="H4" i="2"/>
  <c r="H91" i="2"/>
  <c r="H59" i="2"/>
  <c r="H19" i="2"/>
  <c r="H114" i="2"/>
  <c r="H98" i="2"/>
  <c r="H82" i="2"/>
  <c r="H66" i="2"/>
  <c r="H50" i="2"/>
  <c r="H34" i="2"/>
  <c r="H18" i="2"/>
  <c r="H2" i="2"/>
  <c r="B8" i="2"/>
  <c r="B15" i="2" s="1"/>
  <c r="B16" i="2" s="1"/>
  <c r="B17" i="2" s="1"/>
  <c r="D85" i="2"/>
  <c r="G38" i="2" l="1"/>
  <c r="I38" i="2" s="1"/>
  <c r="G85" i="2"/>
  <c r="I85" i="2" s="1"/>
  <c r="G82" i="2"/>
  <c r="I82" i="2" s="1"/>
  <c r="G30" i="2"/>
  <c r="I30" i="2" s="1"/>
  <c r="G80" i="2"/>
  <c r="I80" i="2" s="1"/>
  <c r="G111" i="2"/>
  <c r="I111" i="2" s="1"/>
  <c r="G105" i="2"/>
  <c r="I105" i="2" s="1"/>
  <c r="G79" i="2"/>
  <c r="I79" i="2" s="1"/>
  <c r="G74" i="2"/>
  <c r="G76" i="2"/>
  <c r="I76" i="2" s="1"/>
  <c r="G107" i="2"/>
  <c r="I107" i="2" s="1"/>
  <c r="G83" i="2"/>
  <c r="I83" i="2" s="1"/>
  <c r="G14" i="2"/>
  <c r="I14" i="2" s="1"/>
  <c r="G7" i="2"/>
  <c r="I7" i="2" s="1"/>
  <c r="G57" i="2"/>
  <c r="I57" i="2" s="1"/>
  <c r="G91" i="2"/>
  <c r="I91" i="2" s="1"/>
  <c r="G104" i="2"/>
  <c r="I104" i="2" s="1"/>
  <c r="G99" i="2"/>
  <c r="I99" i="2" s="1"/>
  <c r="G94" i="2"/>
  <c r="I94" i="2" s="1"/>
  <c r="G34" i="2"/>
  <c r="I34" i="2" s="1"/>
  <c r="G10" i="2"/>
  <c r="I10" i="2" s="1"/>
  <c r="G60" i="2"/>
  <c r="I60" i="2" s="1"/>
  <c r="G5" i="2"/>
  <c r="I5" i="2" s="1"/>
  <c r="G9" i="2"/>
  <c r="I9" i="2" s="1"/>
  <c r="G84" i="2"/>
  <c r="I84" i="2" s="1"/>
  <c r="G24" i="2"/>
  <c r="I24" i="2" s="1"/>
  <c r="G63" i="2"/>
  <c r="I63" i="2" s="1"/>
  <c r="G59" i="2"/>
  <c r="I59" i="2" s="1"/>
  <c r="G4" i="2"/>
  <c r="I4" i="2" s="1"/>
  <c r="G8" i="2"/>
  <c r="I8" i="2" s="1"/>
  <c r="G92" i="2"/>
  <c r="I92" i="2" s="1"/>
  <c r="G65" i="2"/>
  <c r="I65" i="2" s="1"/>
  <c r="G16" i="2"/>
  <c r="I16" i="2" s="1"/>
  <c r="G11" i="2"/>
  <c r="I11" i="2" s="1"/>
  <c r="G70" i="2"/>
  <c r="I70" i="2" s="1"/>
  <c r="G55" i="2"/>
  <c r="I55" i="2" s="1"/>
  <c r="G49" i="2"/>
  <c r="I49" i="2" s="1"/>
  <c r="G67" i="2"/>
  <c r="I67" i="2" s="1"/>
  <c r="G118" i="2"/>
  <c r="I118" i="2" s="1"/>
  <c r="G120" i="2"/>
  <c r="I120" i="2" s="1"/>
  <c r="G95" i="2"/>
  <c r="I95" i="2" s="1"/>
  <c r="G26" i="2"/>
  <c r="I26" i="2" s="1"/>
  <c r="G109" i="2"/>
  <c r="I109" i="2" s="1"/>
  <c r="G116" i="2"/>
  <c r="I116" i="2" s="1"/>
  <c r="G71" i="2"/>
  <c r="I71" i="2" s="1"/>
  <c r="G18" i="2"/>
  <c r="I18" i="2" s="1"/>
  <c r="G101" i="2"/>
  <c r="I101" i="2" s="1"/>
  <c r="G40" i="2"/>
  <c r="I40" i="2" s="1"/>
  <c r="G47" i="2"/>
  <c r="I47" i="2" s="1"/>
  <c r="G32" i="2"/>
  <c r="I32" i="2" s="1"/>
  <c r="G100" i="2"/>
  <c r="I100" i="2" s="1"/>
  <c r="G3" i="2"/>
  <c r="I3" i="2" s="1"/>
  <c r="G103" i="2"/>
  <c r="I103" i="2" s="1"/>
  <c r="G89" i="2"/>
  <c r="I89" i="2" s="1"/>
  <c r="G19" i="2"/>
  <c r="I19" i="2" s="1"/>
  <c r="G69" i="2"/>
  <c r="I69" i="2" s="1"/>
  <c r="G62" i="2"/>
  <c r="I62" i="2" s="1"/>
  <c r="G93" i="2"/>
  <c r="I93" i="2" s="1"/>
  <c r="G33" i="2"/>
  <c r="I33" i="2" s="1"/>
  <c r="G61" i="2"/>
  <c r="I61" i="2" s="1"/>
  <c r="G35" i="2"/>
  <c r="I35" i="2" s="1"/>
  <c r="G66" i="2"/>
  <c r="I66" i="2" s="1"/>
  <c r="G6" i="2"/>
  <c r="I6" i="2" s="1"/>
  <c r="G17" i="2"/>
  <c r="I17" i="2" s="1"/>
  <c r="G115" i="2"/>
  <c r="I115" i="2" s="1"/>
  <c r="G108" i="2"/>
  <c r="I108" i="2" s="1"/>
  <c r="G39" i="2"/>
  <c r="I39" i="2" s="1"/>
  <c r="G114" i="2"/>
  <c r="I114" i="2" s="1"/>
  <c r="G77" i="2"/>
  <c r="I77" i="2" s="1"/>
  <c r="G45" i="2"/>
  <c r="I45" i="2" s="1"/>
  <c r="G12" i="2"/>
  <c r="I12" i="2" s="1"/>
  <c r="G96" i="2"/>
  <c r="I96" i="2" s="1"/>
  <c r="G64" i="2"/>
  <c r="I64" i="2" s="1"/>
  <c r="G42" i="2"/>
  <c r="I42" i="2" s="1"/>
  <c r="G106" i="2"/>
  <c r="I106" i="2" s="1"/>
  <c r="G22" i="2"/>
  <c r="I22" i="2" s="1"/>
  <c r="G102" i="2"/>
  <c r="I102" i="2" s="1"/>
  <c r="G78" i="2"/>
  <c r="I78" i="2" s="1"/>
  <c r="G110" i="2"/>
  <c r="I110" i="2" s="1"/>
  <c r="G31" i="2"/>
  <c r="I31" i="2" s="1"/>
  <c r="G25" i="2"/>
  <c r="I25" i="2" s="1"/>
  <c r="G119" i="2"/>
  <c r="I119" i="2" s="1"/>
  <c r="G36" i="2"/>
  <c r="I36" i="2" s="1"/>
  <c r="G50" i="2"/>
  <c r="I50" i="2" s="1"/>
  <c r="G72" i="2"/>
  <c r="I72" i="2" s="1"/>
  <c r="G112" i="2"/>
  <c r="I112" i="2" s="1"/>
  <c r="G52" i="2"/>
  <c r="I52" i="2" s="1"/>
  <c r="G28" i="2"/>
  <c r="I28" i="2" s="1"/>
  <c r="G87" i="2"/>
  <c r="I87" i="2" s="1"/>
  <c r="G86" i="2"/>
  <c r="I86" i="2" s="1"/>
  <c r="G97" i="2"/>
  <c r="I97" i="2" s="1"/>
  <c r="G54" i="2"/>
  <c r="I54" i="2" s="1"/>
  <c r="G51" i="2"/>
  <c r="I51" i="2" s="1"/>
  <c r="G27" i="2"/>
  <c r="I27" i="2" s="1"/>
  <c r="G58" i="2"/>
  <c r="I58" i="2" s="1"/>
  <c r="G98" i="2"/>
  <c r="I98" i="2" s="1"/>
  <c r="G53" i="2"/>
  <c r="I53" i="2" s="1"/>
  <c r="G20" i="2"/>
  <c r="I20" i="2" s="1"/>
  <c r="G73" i="2"/>
  <c r="I73" i="2" s="1"/>
  <c r="G117" i="2"/>
  <c r="I117" i="2" s="1"/>
  <c r="G29" i="2"/>
  <c r="I29" i="2" s="1"/>
  <c r="G88" i="2"/>
  <c r="I88" i="2" s="1"/>
  <c r="G81" i="2"/>
  <c r="I81" i="2" s="1"/>
  <c r="G68" i="2"/>
  <c r="I68" i="2" s="1"/>
  <c r="G121" i="2"/>
  <c r="I121" i="2" s="1"/>
  <c r="G41" i="2"/>
  <c r="I41" i="2" s="1"/>
  <c r="G37" i="2"/>
  <c r="I37" i="2" s="1"/>
  <c r="G13" i="2"/>
  <c r="I13" i="2" s="1"/>
  <c r="G44" i="2"/>
  <c r="I44" i="2" s="1"/>
  <c r="G75" i="2"/>
  <c r="I75" i="2" s="1"/>
  <c r="G15" i="2"/>
  <c r="I15" i="2" s="1"/>
  <c r="G43" i="2"/>
  <c r="I43" i="2" s="1"/>
  <c r="G56" i="2"/>
  <c r="I56" i="2" s="1"/>
  <c r="G48" i="2"/>
  <c r="I48" i="2" s="1"/>
  <c r="G23" i="2"/>
  <c r="I23" i="2" s="1"/>
  <c r="G46" i="2"/>
  <c r="I46" i="2" s="1"/>
  <c r="G113" i="2"/>
  <c r="I113" i="2" s="1"/>
  <c r="G90" i="2"/>
  <c r="I90" i="2" s="1"/>
  <c r="G21" i="2"/>
  <c r="I21" i="2" s="1"/>
  <c r="G2" i="2"/>
  <c r="I2" i="2" s="1"/>
  <c r="I74" i="2"/>
  <c r="B25" i="2"/>
  <c r="B24" i="2"/>
  <c r="B23" i="2"/>
  <c r="B22" i="2"/>
  <c r="D97" i="2"/>
  <c r="D109" i="2" l="1"/>
  <c r="D121" i="2" l="1"/>
</calcChain>
</file>

<file path=xl/sharedStrings.xml><?xml version="1.0" encoding="utf-8"?>
<sst xmlns="http://schemas.openxmlformats.org/spreadsheetml/2006/main" count="351" uniqueCount="65">
  <si>
    <t>A0</t>
  </si>
  <si>
    <t>Trend</t>
  </si>
  <si>
    <t>Year</t>
  </si>
  <si>
    <t>Month</t>
  </si>
  <si>
    <t>Demand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</si>
  <si>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</si>
  <si>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</si>
  <si>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</si>
  <si>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</si>
  <si>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</si>
  <si>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</si>
  <si>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</si>
  <si>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</si>
  <si>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</si>
  <si>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</si>
  <si>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</si>
  <si>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</si>
  <si>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סכום של Demand</t>
  </si>
  <si>
    <t>Std</t>
  </si>
  <si>
    <t>Rand</t>
  </si>
  <si>
    <t>Avg</t>
  </si>
  <si>
    <t>Seasonality</t>
  </si>
  <si>
    <t>סה"כ</t>
  </si>
  <si>
    <t xml:space="preserve">רשום בתא הסמוך B2 את מספר תעודת הזהות שלך : </t>
  </si>
  <si>
    <t>Season</t>
  </si>
  <si>
    <t>t</t>
  </si>
  <si>
    <t>S</t>
  </si>
  <si>
    <t>varReg</t>
  </si>
  <si>
    <t>varSeas</t>
  </si>
  <si>
    <t>varTot</t>
  </si>
  <si>
    <t>rSsqare</t>
  </si>
  <si>
    <t>est</t>
  </si>
  <si>
    <t>dif</t>
  </si>
  <si>
    <t>A120</t>
  </si>
  <si>
    <t>T120</t>
  </si>
  <si>
    <t>est20</t>
  </si>
  <si>
    <t>est2</t>
  </si>
  <si>
    <t>est3</t>
  </si>
  <si>
    <t>est4</t>
  </si>
  <si>
    <t>שאלה</t>
  </si>
  <si>
    <t>סעיף</t>
  </si>
  <si>
    <t>תשובה</t>
  </si>
  <si>
    <t>ניקוד</t>
  </si>
  <si>
    <t>סוג נתון</t>
  </si>
  <si>
    <t>מספר שלם</t>
  </si>
  <si>
    <t>מחרוזת</t>
  </si>
  <si>
    <t>מספר עשרוני</t>
  </si>
  <si>
    <t>א</t>
  </si>
  <si>
    <t>ב</t>
  </si>
  <si>
    <t>ג</t>
  </si>
  <si>
    <t>ה</t>
  </si>
  <si>
    <t>ד</t>
  </si>
  <si>
    <t>גדל/קטן</t>
  </si>
  <si>
    <t>נקודות</t>
  </si>
  <si>
    <t>3א</t>
  </si>
  <si>
    <t>3ב</t>
  </si>
  <si>
    <t>4א</t>
  </si>
  <si>
    <t>4ב</t>
  </si>
  <si>
    <t>5ד</t>
  </si>
  <si>
    <t>7ו</t>
  </si>
  <si>
    <t>9א</t>
  </si>
  <si>
    <t>9ה</t>
  </si>
  <si>
    <t xml:space="preserve"> Time-Series</t>
  </si>
  <si>
    <t>15 - str©</t>
  </si>
  <si>
    <t>גדל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</si>
</sst>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000"/>
    <numFmt numFmtId="165" formatCode="0.00000"/>
    <numFmt numFmtId="166" formatCode="0.0"/>
  </numFmts>
  <fonts count="5" x14ac:knownFonts="1">
    <font>
      <sz val="11"/>
      <color theme="1"/>
      <name val="Arial"/>
      <family val="2"/>
      <charset val="177"/>
      <scheme val="minor"/>
    </font>
    <font>
      <b/>
      <sz val="12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  <font>
      <b/>
      <sz val="14"/>
      <color theme="1"/>
      <name val="Arial"/>
      <family val="2"/>
      <scheme val="minor"/>
    </font>
    <font>
      <sz val="11"/>
      <color rgb="FF9C5700"/>
      <name val="Arial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42">
    <xf numFmtId="0" fontId="0" fillId="0" borderId="0" xfId="0"/>
    <xf numFmtId="0" fontId="0" fillId="0" borderId="0" xfId="0" pivotButton="1"/>
    <xf numFmtId="164" fontId="0" fillId="0" borderId="0" xfId="0" applyNumberForma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2" fontId="0" fillId="0" borderId="0" xfId="0" applyNumberFormat="1"/>
    <xf numFmtId="43" fontId="0" fillId="0" borderId="0" xfId="1" applyFont="1"/>
    <xf numFmtId="165" fontId="0" fillId="0" borderId="0" xfId="0" applyNumberFormat="1"/>
    <xf numFmtId="166" fontId="0" fillId="0" borderId="0" xfId="0" applyNumberFormat="1"/>
    <xf numFmtId="0" fontId="4" fillId="2" borderId="2" xfId="2" applyBorder="1" applyAlignment="1">
      <alignment horizontal="center"/>
    </xf>
    <xf numFmtId="0" fontId="4" fillId="3" borderId="3" xfId="2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2" xfId="0" applyFont="1" applyBorder="1"/>
    <xf numFmtId="0" fontId="3" fillId="0" borderId="9" xfId="0" applyFont="1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3" borderId="2" xfId="0" applyFill="1" applyBorder="1" applyProtection="1">
      <protection locked="0"/>
    </xf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0" fillId="0" borderId="16" xfId="0" applyBorder="1"/>
    <xf numFmtId="0" fontId="0" fillId="0" borderId="17" xfId="0" applyBorder="1"/>
    <xf numFmtId="0" fontId="0" fillId="0" borderId="14" xfId="0" applyBorder="1"/>
    <xf numFmtId="0" fontId="0" fillId="0" borderId="15" xfId="0" applyBorder="1"/>
    <xf numFmtId="0" fontId="3" fillId="0" borderId="0" xfId="0" applyFont="1"/>
    <xf numFmtId="0" fontId="3" fillId="3" borderId="18" xfId="0" applyFont="1" applyFill="1" applyBorder="1" applyProtection="1">
      <protection locked="0"/>
    </xf>
    <xf numFmtId="0" fontId="0" fillId="3" borderId="18" xfId="0" applyFill="1" applyBorder="1" applyProtection="1">
      <protection locked="0"/>
    </xf>
    <xf numFmtId="0" fontId="0" fillId="0" borderId="0" xfId="0" applyNumberFormat="1"/>
    <xf numFmtId="0" fontId="0" fillId="0" borderId="0" xfId="0" applyProtection="1">
      <protection locked="0"/>
    </xf>
  </cellXfs>
  <cellStyles count="3">
    <cellStyle name="Comma" xfId="1" builtinId="3"/>
    <cellStyle name="Normal" xfId="0" builtinId="0"/>
    <cellStyle name="ניטראלי" xfId="2" builtinId="28"/>
  </cellStyles>
  <dxfs count="7">
    <dxf>
      <numFmt numFmtId="2" formatCode="0.0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46396408185104"/>
                  <c:y val="0.194359208830097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yVal>
            <c:numRef>
              <c:f>DATA!$A$2:$A$121</c:f>
              <c:numCache>
                <c:formatCode>General</c:formatCode>
                <c:ptCount val="120"/>
                <c:pt idx="0">
                  <c:v>199</c:v>
                </c:pt>
                <c:pt idx="1">
                  <c:v>170</c:v>
                </c:pt>
                <c:pt idx="2">
                  <c:v>186</c:v>
                </c:pt>
                <c:pt idx="3">
                  <c:v>198</c:v>
                </c:pt>
                <c:pt idx="4">
                  <c:v>190</c:v>
                </c:pt>
                <c:pt idx="5">
                  <c:v>167</c:v>
                </c:pt>
                <c:pt idx="6">
                  <c:v>204</c:v>
                </c:pt>
                <c:pt idx="7">
                  <c:v>220</c:v>
                </c:pt>
                <c:pt idx="8">
                  <c:v>172</c:v>
                </c:pt>
                <c:pt idx="9">
                  <c:v>206</c:v>
                </c:pt>
                <c:pt idx="10">
                  <c:v>190</c:v>
                </c:pt>
                <c:pt idx="11">
                  <c:v>201</c:v>
                </c:pt>
                <c:pt idx="12">
                  <c:v>204</c:v>
                </c:pt>
                <c:pt idx="13">
                  <c:v>177</c:v>
                </c:pt>
                <c:pt idx="14">
                  <c:v>193</c:v>
                </c:pt>
                <c:pt idx="15">
                  <c:v>205</c:v>
                </c:pt>
                <c:pt idx="16">
                  <c:v>199</c:v>
                </c:pt>
                <c:pt idx="17">
                  <c:v>172</c:v>
                </c:pt>
                <c:pt idx="18">
                  <c:v>212</c:v>
                </c:pt>
                <c:pt idx="19">
                  <c:v>227</c:v>
                </c:pt>
                <c:pt idx="20">
                  <c:v>177</c:v>
                </c:pt>
                <c:pt idx="21">
                  <c:v>212</c:v>
                </c:pt>
                <c:pt idx="22">
                  <c:v>194</c:v>
                </c:pt>
                <c:pt idx="23">
                  <c:v>208</c:v>
                </c:pt>
                <c:pt idx="24">
                  <c:v>212</c:v>
                </c:pt>
                <c:pt idx="25">
                  <c:v>184</c:v>
                </c:pt>
                <c:pt idx="26">
                  <c:v>199</c:v>
                </c:pt>
                <c:pt idx="27">
                  <c:v>211</c:v>
                </c:pt>
                <c:pt idx="28">
                  <c:v>204</c:v>
                </c:pt>
                <c:pt idx="29">
                  <c:v>178</c:v>
                </c:pt>
                <c:pt idx="30">
                  <c:v>222</c:v>
                </c:pt>
                <c:pt idx="31">
                  <c:v>234</c:v>
                </c:pt>
                <c:pt idx="32">
                  <c:v>184</c:v>
                </c:pt>
                <c:pt idx="33">
                  <c:v>219</c:v>
                </c:pt>
                <c:pt idx="34">
                  <c:v>202</c:v>
                </c:pt>
                <c:pt idx="35">
                  <c:v>214</c:v>
                </c:pt>
                <c:pt idx="36">
                  <c:v>218</c:v>
                </c:pt>
                <c:pt idx="37">
                  <c:v>188</c:v>
                </c:pt>
                <c:pt idx="38">
                  <c:v>204</c:v>
                </c:pt>
                <c:pt idx="39">
                  <c:v>218</c:v>
                </c:pt>
                <c:pt idx="40">
                  <c:v>211</c:v>
                </c:pt>
                <c:pt idx="41">
                  <c:v>185</c:v>
                </c:pt>
                <c:pt idx="42">
                  <c:v>227</c:v>
                </c:pt>
                <c:pt idx="43">
                  <c:v>243</c:v>
                </c:pt>
                <c:pt idx="44">
                  <c:v>189</c:v>
                </c:pt>
                <c:pt idx="45">
                  <c:v>226</c:v>
                </c:pt>
                <c:pt idx="46">
                  <c:v>208</c:v>
                </c:pt>
                <c:pt idx="47">
                  <c:v>220</c:v>
                </c:pt>
                <c:pt idx="48">
                  <c:v>226</c:v>
                </c:pt>
                <c:pt idx="49">
                  <c:v>195</c:v>
                </c:pt>
                <c:pt idx="50">
                  <c:v>212</c:v>
                </c:pt>
                <c:pt idx="51">
                  <c:v>226</c:v>
                </c:pt>
                <c:pt idx="52">
                  <c:v>219</c:v>
                </c:pt>
                <c:pt idx="53">
                  <c:v>189</c:v>
                </c:pt>
                <c:pt idx="54">
                  <c:v>233</c:v>
                </c:pt>
                <c:pt idx="55">
                  <c:v>251</c:v>
                </c:pt>
                <c:pt idx="56">
                  <c:v>195</c:v>
                </c:pt>
                <c:pt idx="57">
                  <c:v>234</c:v>
                </c:pt>
                <c:pt idx="58">
                  <c:v>214</c:v>
                </c:pt>
                <c:pt idx="59">
                  <c:v>228</c:v>
                </c:pt>
                <c:pt idx="60">
                  <c:v>232</c:v>
                </c:pt>
                <c:pt idx="61">
                  <c:v>200</c:v>
                </c:pt>
                <c:pt idx="62">
                  <c:v>219</c:v>
                </c:pt>
                <c:pt idx="63">
                  <c:v>234</c:v>
                </c:pt>
                <c:pt idx="64">
                  <c:v>223</c:v>
                </c:pt>
                <c:pt idx="65">
                  <c:v>196</c:v>
                </c:pt>
                <c:pt idx="66">
                  <c:v>242</c:v>
                </c:pt>
                <c:pt idx="67">
                  <c:v>259</c:v>
                </c:pt>
                <c:pt idx="68">
                  <c:v>201</c:v>
                </c:pt>
                <c:pt idx="69">
                  <c:v>241</c:v>
                </c:pt>
                <c:pt idx="70">
                  <c:v>222</c:v>
                </c:pt>
                <c:pt idx="71">
                  <c:v>235</c:v>
                </c:pt>
                <c:pt idx="72">
                  <c:v>239</c:v>
                </c:pt>
                <c:pt idx="73">
                  <c:v>206</c:v>
                </c:pt>
                <c:pt idx="74">
                  <c:v>224</c:v>
                </c:pt>
                <c:pt idx="75">
                  <c:v>241</c:v>
                </c:pt>
                <c:pt idx="76">
                  <c:v>231</c:v>
                </c:pt>
                <c:pt idx="77">
                  <c:v>201</c:v>
                </c:pt>
                <c:pt idx="78">
                  <c:v>249</c:v>
                </c:pt>
                <c:pt idx="79">
                  <c:v>266</c:v>
                </c:pt>
                <c:pt idx="80">
                  <c:v>209</c:v>
                </c:pt>
                <c:pt idx="81">
                  <c:v>250</c:v>
                </c:pt>
                <c:pt idx="82">
                  <c:v>228</c:v>
                </c:pt>
                <c:pt idx="83">
                  <c:v>243</c:v>
                </c:pt>
                <c:pt idx="84">
                  <c:v>248</c:v>
                </c:pt>
                <c:pt idx="85">
                  <c:v>213</c:v>
                </c:pt>
                <c:pt idx="86">
                  <c:v>231</c:v>
                </c:pt>
                <c:pt idx="87">
                  <c:v>248</c:v>
                </c:pt>
                <c:pt idx="88">
                  <c:v>238</c:v>
                </c:pt>
                <c:pt idx="89">
                  <c:v>207</c:v>
                </c:pt>
                <c:pt idx="90">
                  <c:v>256</c:v>
                </c:pt>
                <c:pt idx="91">
                  <c:v>272</c:v>
                </c:pt>
                <c:pt idx="92">
                  <c:v>214</c:v>
                </c:pt>
                <c:pt idx="93">
                  <c:v>256</c:v>
                </c:pt>
                <c:pt idx="94">
                  <c:v>234</c:v>
                </c:pt>
                <c:pt idx="95">
                  <c:v>249</c:v>
                </c:pt>
                <c:pt idx="96">
                  <c:v>254</c:v>
                </c:pt>
                <c:pt idx="97">
                  <c:v>218</c:v>
                </c:pt>
                <c:pt idx="98">
                  <c:v>239</c:v>
                </c:pt>
                <c:pt idx="99">
                  <c:v>253</c:v>
                </c:pt>
                <c:pt idx="100">
                  <c:v>243</c:v>
                </c:pt>
                <c:pt idx="101">
                  <c:v>213</c:v>
                </c:pt>
                <c:pt idx="102">
                  <c:v>263</c:v>
                </c:pt>
                <c:pt idx="103">
                  <c:v>281</c:v>
                </c:pt>
                <c:pt idx="104">
                  <c:v>220</c:v>
                </c:pt>
                <c:pt idx="105">
                  <c:v>261</c:v>
                </c:pt>
                <c:pt idx="106">
                  <c:v>240</c:v>
                </c:pt>
                <c:pt idx="107">
                  <c:v>256</c:v>
                </c:pt>
                <c:pt idx="108">
                  <c:v>261</c:v>
                </c:pt>
                <c:pt idx="109">
                  <c:v>224</c:v>
                </c:pt>
                <c:pt idx="110">
                  <c:v>245</c:v>
                </c:pt>
                <c:pt idx="111">
                  <c:v>260</c:v>
                </c:pt>
                <c:pt idx="112">
                  <c:v>252</c:v>
                </c:pt>
                <c:pt idx="113">
                  <c:v>220</c:v>
                </c:pt>
                <c:pt idx="114">
                  <c:v>271</c:v>
                </c:pt>
                <c:pt idx="115">
                  <c:v>289</c:v>
                </c:pt>
                <c:pt idx="116">
                  <c:v>225</c:v>
                </c:pt>
                <c:pt idx="117">
                  <c:v>269</c:v>
                </c:pt>
                <c:pt idx="118">
                  <c:v>247</c:v>
                </c:pt>
                <c:pt idx="119">
                  <c:v>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4-41B6-8635-310E4DE32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371976"/>
        <c:axId val="298372304"/>
      </c:scatterChart>
      <c:valAx>
        <c:axId val="298371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98372304"/>
        <c:crosses val="autoZero"/>
        <c:crossBetween val="midCat"/>
      </c:valAx>
      <c:valAx>
        <c:axId val="29837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98371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40A507-E18C-48FA-B198-4349D8712D90}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111" cy="6058370"/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AFB099FF-2FE2-4AAE-88C7-3F10E80120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35</xdr:row>
      <xdr:rowOff>0</xdr:rowOff>
    </xdr:from>
    <xdr:to>
      <xdr:col>5</xdr:col>
      <xdr:colOff>304800</xdr:colOff>
      <xdr:row>36</xdr:row>
      <xdr:rowOff>76200</xdr:rowOff>
    </xdr:to>
    <xdr:sp macro="" textlink="">
      <xdr:nvSpPr>
        <xdr:cNvPr id="6145" name="AutoShape 1">
          <a:extLst>
            <a:ext uri="{FF2B5EF4-FFF2-40B4-BE49-F238E27FC236}">
              <a16:creationId xmlns:a16="http://schemas.microsoft.com/office/drawing/2014/main" id="{A0E8DCD9-E191-AEB6-4C7B-481FAB4A6D91}"/>
            </a:ext>
          </a:extLst>
        </xdr:cNvPr>
        <xdr:cNvSpPr>
          <a:spLocks noChangeAspect="1" noChangeArrowheads="1"/>
        </xdr:cNvSpPr>
      </xdr:nvSpPr>
      <xdr:spPr bwMode="auto">
        <a:xfrm>
          <a:off x="2766786" y="7937500"/>
          <a:ext cx="304800" cy="3029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304800</xdr:colOff>
      <xdr:row>36</xdr:row>
      <xdr:rowOff>76200</xdr:rowOff>
    </xdr:to>
    <xdr:sp macro="" textlink="">
      <xdr:nvSpPr>
        <xdr:cNvPr id="6149" name="AutoShape 5">
          <a:extLst>
            <a:ext uri="{FF2B5EF4-FFF2-40B4-BE49-F238E27FC236}">
              <a16:creationId xmlns:a16="http://schemas.microsoft.com/office/drawing/2014/main" id="{8C45B25C-E492-9A8F-B722-BE4D144E8DF3}"/>
            </a:ext>
          </a:extLst>
        </xdr:cNvPr>
        <xdr:cNvSpPr>
          <a:spLocks noChangeAspect="1" noChangeArrowheads="1"/>
        </xdr:cNvSpPr>
      </xdr:nvSpPr>
      <xdr:spPr bwMode="auto">
        <a:xfrm>
          <a:off x="2762250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254000</xdr:colOff>
      <xdr:row>13</xdr:row>
      <xdr:rowOff>63502</xdr:rowOff>
    </xdr:from>
    <xdr:to>
      <xdr:col>5</xdr:col>
      <xdr:colOff>388097</xdr:colOff>
      <xdr:row>20</xdr:row>
      <xdr:rowOff>108858</xdr:rowOff>
    </xdr:to>
    <xdr:pic>
      <xdr:nvPicPr>
        <xdr:cNvPr id="2" name="תמונה 1">
          <a:extLst>
            <a:ext uri="{FF2B5EF4-FFF2-40B4-BE49-F238E27FC236}">
              <a16:creationId xmlns:a16="http://schemas.microsoft.com/office/drawing/2014/main" id="{07D0C592-D706-0F4E-9E47-F9335D7F4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929" y="3011716"/>
          <a:ext cx="2782954" cy="1632856"/>
        </a:xfrm>
        <a:prstGeom prst="rect">
          <a:avLst/>
        </a:prstGeom>
      </xdr:spPr>
    </xdr:pic>
    <xdr:clientData/>
  </xdr:twoCellAnchor>
  <xdr:twoCellAnchor editAs="oneCell">
    <xdr:from>
      <xdr:col>0</xdr:col>
      <xdr:colOff>27214</xdr:colOff>
      <xdr:row>3</xdr:row>
      <xdr:rowOff>181429</xdr:rowOff>
    </xdr:from>
    <xdr:to>
      <xdr:col>5</xdr:col>
      <xdr:colOff>379530</xdr:colOff>
      <xdr:row>10</xdr:row>
      <xdr:rowOff>81643</xdr:rowOff>
    </xdr:to>
    <xdr:pic>
      <xdr:nvPicPr>
        <xdr:cNvPr id="11" name="תמונה 10">
          <a:extLst>
            <a:ext uri="{FF2B5EF4-FFF2-40B4-BE49-F238E27FC236}">
              <a16:creationId xmlns:a16="http://schemas.microsoft.com/office/drawing/2014/main" id="{B0DED811-EFC8-3645-36A5-0FFF256AC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214" y="861786"/>
          <a:ext cx="3119102" cy="1487714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22</xdr:row>
      <xdr:rowOff>63499</xdr:rowOff>
    </xdr:from>
    <xdr:to>
      <xdr:col>5</xdr:col>
      <xdr:colOff>362857</xdr:colOff>
      <xdr:row>28</xdr:row>
      <xdr:rowOff>32618</xdr:rowOff>
    </xdr:to>
    <xdr:pic>
      <xdr:nvPicPr>
        <xdr:cNvPr id="13" name="תמונה 12">
          <a:extLst>
            <a:ext uri="{FF2B5EF4-FFF2-40B4-BE49-F238E27FC236}">
              <a16:creationId xmlns:a16="http://schemas.microsoft.com/office/drawing/2014/main" id="{FD511800-B041-E14E-9699-7A16B2B69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1429" y="5052785"/>
          <a:ext cx="2948214" cy="1329833"/>
        </a:xfrm>
        <a:prstGeom prst="rect">
          <a:avLst/>
        </a:prstGeom>
      </xdr:spPr>
    </xdr:pic>
    <xdr:clientData/>
  </xdr:twoCellAnchor>
  <xdr:twoCellAnchor editAs="oneCell">
    <xdr:from>
      <xdr:col>0</xdr:col>
      <xdr:colOff>90715</xdr:colOff>
      <xdr:row>29</xdr:row>
      <xdr:rowOff>26234</xdr:rowOff>
    </xdr:from>
    <xdr:to>
      <xdr:col>5</xdr:col>
      <xdr:colOff>489859</xdr:colOff>
      <xdr:row>35</xdr:row>
      <xdr:rowOff>34570</xdr:rowOff>
    </xdr:to>
    <xdr:pic>
      <xdr:nvPicPr>
        <xdr:cNvPr id="14" name="תמונה 13">
          <a:extLst>
            <a:ext uri="{FF2B5EF4-FFF2-40B4-BE49-F238E27FC236}">
              <a16:creationId xmlns:a16="http://schemas.microsoft.com/office/drawing/2014/main" id="{709D85C6-C98F-4A2F-48CB-43A181B0D2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715" y="6603020"/>
          <a:ext cx="3165930" cy="1369050"/>
        </a:xfrm>
        <a:prstGeom prst="rect">
          <a:avLst/>
        </a:prstGeom>
      </xdr:spPr>
    </xdr:pic>
    <xdr:clientData/>
  </xdr:twoCellAnchor>
  <xdr:twoCellAnchor editAs="oneCell">
    <xdr:from>
      <xdr:col>1</xdr:col>
      <xdr:colOff>212968</xdr:colOff>
      <xdr:row>56</xdr:row>
      <xdr:rowOff>90717</xdr:rowOff>
    </xdr:from>
    <xdr:to>
      <xdr:col>5</xdr:col>
      <xdr:colOff>446008</xdr:colOff>
      <xdr:row>65</xdr:row>
      <xdr:rowOff>154214</xdr:rowOff>
    </xdr:to>
    <xdr:pic>
      <xdr:nvPicPr>
        <xdr:cNvPr id="16" name="תמונה 15">
          <a:extLst>
            <a:ext uri="{FF2B5EF4-FFF2-40B4-BE49-F238E27FC236}">
              <a16:creationId xmlns:a16="http://schemas.microsoft.com/office/drawing/2014/main" id="{E81456D6-7269-3F75-305C-9FD301323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0897" y="12019646"/>
          <a:ext cx="2881897" cy="1696354"/>
        </a:xfrm>
        <a:prstGeom prst="rect">
          <a:avLst/>
        </a:prstGeom>
      </xdr:spPr>
    </xdr:pic>
    <xdr:clientData/>
  </xdr:twoCellAnchor>
  <xdr:twoCellAnchor editAs="oneCell">
    <xdr:from>
      <xdr:col>1</xdr:col>
      <xdr:colOff>108857</xdr:colOff>
      <xdr:row>67</xdr:row>
      <xdr:rowOff>108857</xdr:rowOff>
    </xdr:from>
    <xdr:to>
      <xdr:col>5</xdr:col>
      <xdr:colOff>324235</xdr:colOff>
      <xdr:row>76</xdr:row>
      <xdr:rowOff>111109</xdr:rowOff>
    </xdr:to>
    <xdr:pic>
      <xdr:nvPicPr>
        <xdr:cNvPr id="17" name="תמונה 16">
          <a:extLst>
            <a:ext uri="{FF2B5EF4-FFF2-40B4-BE49-F238E27FC236}">
              <a16:creationId xmlns:a16="http://schemas.microsoft.com/office/drawing/2014/main" id="{6999F829-C471-9A58-5968-6501A4169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6786" y="13353143"/>
          <a:ext cx="2864235" cy="163510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אוריאל כהנא" refreshedDate="45326.580715856478" createdVersion="6" refreshedVersion="8" minRefreshableVersion="3" recordCount="120" xr:uid="{3670ABC6-6E0B-4280-9C74-CC71BA33445C}">
  <cacheSource type="worksheet">
    <worksheetSource name="טבלה1"/>
  </cacheSource>
  <cacheFields count="6">
    <cacheField name="Year" numFmtId="0">
      <sharedItems containsSemiMixedTypes="0" containsString="0" containsNumber="1" containsInteger="1" minValue="2008" maxValue="2022" count="15">
        <n v="2013"/>
        <n v="2014"/>
        <n v="2015"/>
        <n v="2016"/>
        <n v="2017"/>
        <n v="2018"/>
        <n v="2019"/>
        <n v="2020"/>
        <n v="2021"/>
        <n v="2022"/>
        <n v="2012" u="1"/>
        <n v="2008" u="1"/>
        <n v="2011" u="1"/>
        <n v="2009" u="1"/>
        <n v="2010" u="1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and" numFmtId="165">
      <sharedItems containsSemiMixedTypes="0" containsString="0" containsNumber="1" minValue="2.5521430837596393E-2" maxValue="0.99931513751791312"/>
    </cacheField>
    <cacheField name="Demand" numFmtId="0">
      <sharedItems containsSemiMixedTypes="0" containsString="0" containsNumber="1" containsInteger="1" minValue="167" maxValue="289"/>
    </cacheField>
    <cacheField name="est" numFmtId="0">
      <sharedItems containsSemiMixedTypes="0" containsString="0" containsNumber="1" minValue="166.48320000000001" maxValue="288.37439999999998"/>
    </cacheField>
    <cacheField name="dif" numFmtId="0">
      <sharedItems containsSemiMixedTypes="0" containsString="0" containsNumber="1" minValue="-1.6432000000000073" maxValue="2.26479999999997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n v="0.9724114557896294"/>
    <n v="199"/>
    <n v="197.988"/>
    <n v="1.0120000000000005"/>
  </r>
  <r>
    <x v="0"/>
    <x v="1"/>
    <n v="0.58782209888648584"/>
    <n v="170"/>
    <n v="170.208"/>
    <n v="-0.20799999999999841"/>
  </r>
  <r>
    <x v="0"/>
    <x v="2"/>
    <n v="0.35959654460523893"/>
    <n v="186"/>
    <n v="185.88640000000001"/>
    <n v="0.11359999999999104"/>
  </r>
  <r>
    <x v="0"/>
    <x v="3"/>
    <n v="0.44066333658498791"/>
    <n v="198"/>
    <n v="197.84960000000001"/>
    <n v="0.15039999999999054"/>
  </r>
  <r>
    <x v="0"/>
    <x v="4"/>
    <n v="0.2367634092769878"/>
    <n v="190"/>
    <n v="190.8"/>
    <n v="-0.80000000000001137"/>
  </r>
  <r>
    <x v="0"/>
    <x v="5"/>
    <n v="0.94775224955224935"/>
    <n v="167"/>
    <n v="166.48320000000001"/>
    <n v="0.51679999999998927"/>
  </r>
  <r>
    <x v="0"/>
    <x v="6"/>
    <n v="6.8336969409575454E-2"/>
    <n v="204"/>
    <n v="205.3544"/>
    <n v="-1.3543999999999983"/>
  </r>
  <r>
    <x v="0"/>
    <x v="7"/>
    <n v="0.63650057925237591"/>
    <n v="220"/>
    <n v="219.42719999999997"/>
    <n v="0.57280000000002929"/>
  </r>
  <r>
    <x v="0"/>
    <x v="8"/>
    <n v="0.48490446710395507"/>
    <n v="172"/>
    <n v="171.8056"/>
    <n v="0.19440000000000168"/>
  </r>
  <r>
    <x v="0"/>
    <x v="9"/>
    <n v="0.6890996054109757"/>
    <n v="206"/>
    <n v="205.21600000000001"/>
    <n v="0.78399999999999181"/>
  </r>
  <r>
    <x v="0"/>
    <x v="10"/>
    <n v="0.99773348073368939"/>
    <n v="190"/>
    <n v="188.33519999999999"/>
    <n v="1.6648000000000138"/>
  </r>
  <r>
    <x v="0"/>
    <x v="11"/>
    <n v="0.87584265059682431"/>
    <n v="201"/>
    <n v="200.5616"/>
    <n v="0.43840000000000146"/>
  </r>
  <r>
    <x v="1"/>
    <x v="0"/>
    <n v="5.0807914739865678E-2"/>
    <n v="204"/>
    <n v="205.04400000000001"/>
    <n v="-1.0440000000000111"/>
  </r>
  <r>
    <x v="1"/>
    <x v="1"/>
    <n v="0.75232098295082117"/>
    <n v="177"/>
    <n v="176.256"/>
    <n v="0.74399999999999977"/>
  </r>
  <r>
    <x v="1"/>
    <x v="2"/>
    <n v="0.80722122359321735"/>
    <n v="193"/>
    <n v="192.47200000000001"/>
    <n v="0.52799999999999159"/>
  </r>
  <r>
    <x v="1"/>
    <x v="3"/>
    <n v="0.65287405505146012"/>
    <n v="205"/>
    <n v="204.83840000000001"/>
    <n v="0.16159999999999286"/>
  </r>
  <r>
    <x v="1"/>
    <x v="4"/>
    <n v="0.99392803091302184"/>
    <n v="199"/>
    <n v="197.52"/>
    <n v="1.4799999999999898"/>
  </r>
  <r>
    <x v="1"/>
    <x v="5"/>
    <n v="0.49203093472460846"/>
    <n v="172"/>
    <n v="172.3296"/>
    <n v="-0.32959999999999923"/>
  </r>
  <r>
    <x v="1"/>
    <x v="6"/>
    <n v="0.41636137756430081"/>
    <n v="212"/>
    <n v="212.54480000000001"/>
    <n v="-0.54480000000000928"/>
  </r>
  <r>
    <x v="1"/>
    <x v="7"/>
    <n v="0.2673610908539843"/>
    <n v="227"/>
    <n v="227.08799999999997"/>
    <n v="-8.7999999999965439E-2"/>
  </r>
  <r>
    <x v="1"/>
    <x v="8"/>
    <n v="3.8564141726817658E-2"/>
    <n v="177"/>
    <n v="177.78639999999999"/>
    <n v="-0.78639999999998622"/>
  </r>
  <r>
    <x v="1"/>
    <x v="9"/>
    <n v="0.51970631256352828"/>
    <n v="212"/>
    <n v="212.33920000000001"/>
    <n v="-0.33920000000000528"/>
  </r>
  <r>
    <x v="1"/>
    <x v="10"/>
    <n v="8.6527706534375248E-2"/>
    <n v="194"/>
    <n v="194.8536"/>
    <n v="-0.85360000000000014"/>
  </r>
  <r>
    <x v="1"/>
    <x v="11"/>
    <n v="0.65639107771368299"/>
    <n v="208"/>
    <n v="207.48320000000001"/>
    <n v="0.51679999999998927"/>
  </r>
  <r>
    <x v="2"/>
    <x v="0"/>
    <n v="0.41563588390097406"/>
    <n v="212"/>
    <n v="212.10000000000002"/>
    <n v="-0.10000000000002274"/>
  </r>
  <r>
    <x v="2"/>
    <x v="1"/>
    <n v="0.98418246110426799"/>
    <n v="184"/>
    <n v="182.304"/>
    <n v="1.695999999999998"/>
  </r>
  <r>
    <x v="2"/>
    <x v="2"/>
    <n v="0.25991671464762367"/>
    <n v="199"/>
    <n v="199.05760000000001"/>
    <n v="-5.7600000000007867E-2"/>
  </r>
  <r>
    <x v="2"/>
    <x v="3"/>
    <n v="0.29039902224865577"/>
    <n v="211"/>
    <n v="211.8272"/>
    <n v="-0.82720000000000482"/>
  </r>
  <r>
    <x v="2"/>
    <x v="4"/>
    <n v="0.20443790049398614"/>
    <n v="204"/>
    <n v="204.24"/>
    <n v="-0.24000000000000909"/>
  </r>
  <r>
    <x v="2"/>
    <x v="5"/>
    <n v="0.30886699549550967"/>
    <n v="178"/>
    <n v="178.17600000000002"/>
    <n v="-0.17600000000001614"/>
  </r>
  <r>
    <x v="2"/>
    <x v="6"/>
    <n v="0.99931513751791312"/>
    <n v="222"/>
    <n v="219.73520000000002"/>
    <n v="2.2647999999999797"/>
  </r>
  <r>
    <x v="2"/>
    <x v="7"/>
    <n v="0.27463670738432033"/>
    <n v="234"/>
    <n v="234.74879999999999"/>
    <n v="-0.74879999999998859"/>
  </r>
  <r>
    <x v="2"/>
    <x v="8"/>
    <n v="0.80111899176586776"/>
    <n v="184"/>
    <n v="183.7672"/>
    <n v="0.23279999999999745"/>
  </r>
  <r>
    <x v="2"/>
    <x v="9"/>
    <n v="0.27428895254503383"/>
    <n v="219"/>
    <n v="219.4624"/>
    <n v="-0.46240000000000236"/>
  </r>
  <r>
    <x v="2"/>
    <x v="10"/>
    <n v="0.93732713252859889"/>
    <n v="202"/>
    <n v="201.37199999999999"/>
    <n v="0.62800000000001432"/>
  </r>
  <r>
    <x v="2"/>
    <x v="11"/>
    <n v="0.19504000012122791"/>
    <n v="214"/>
    <n v="214.40479999999999"/>
    <n v="-0.4047999999999945"/>
  </r>
  <r>
    <x v="3"/>
    <x v="0"/>
    <n v="0.15360607908503143"/>
    <n v="218"/>
    <n v="219.15600000000001"/>
    <n v="-1.1560000000000059"/>
  </r>
  <r>
    <x v="3"/>
    <x v="1"/>
    <n v="0.12422162550301885"/>
    <n v="188"/>
    <n v="188.352"/>
    <n v="-0.35200000000000387"/>
  </r>
  <r>
    <x v="3"/>
    <x v="2"/>
    <n v="4.4694726775151739E-2"/>
    <n v="204"/>
    <n v="205.64320000000001"/>
    <n v="-1.6432000000000073"/>
  </r>
  <r>
    <x v="3"/>
    <x v="3"/>
    <n v="6.9094018147565106E-2"/>
    <n v="218"/>
    <n v="218.816"/>
    <n v="-0.8160000000000025"/>
  </r>
  <r>
    <x v="3"/>
    <x v="4"/>
    <n v="0.4204656660757391"/>
    <n v="211"/>
    <n v="210.96"/>
    <n v="3.9999999999992042E-2"/>
  </r>
  <r>
    <x v="3"/>
    <x v="5"/>
    <n v="0.85111670199596978"/>
    <n v="185"/>
    <n v="184.0224"/>
    <n v="0.97759999999999536"/>
  </r>
  <r>
    <x v="3"/>
    <x v="6"/>
    <n v="0.46594548161641502"/>
    <n v="227"/>
    <n v="226.92560000000003"/>
    <n v="7.4399999999968713E-2"/>
  </r>
  <r>
    <x v="3"/>
    <x v="7"/>
    <n v="0.62472679801318642"/>
    <n v="243"/>
    <n v="242.40959999999995"/>
    <n v="0.59040000000004511"/>
  </r>
  <r>
    <x v="3"/>
    <x v="8"/>
    <n v="0.20982902448306451"/>
    <n v="189"/>
    <n v="189.74799999999999"/>
    <n v="-0.74799999999999045"/>
  </r>
  <r>
    <x v="3"/>
    <x v="9"/>
    <n v="0.25745088958965801"/>
    <n v="226"/>
    <n v="226.5856"/>
    <n v="-0.58559999999999945"/>
  </r>
  <r>
    <x v="3"/>
    <x v="10"/>
    <n v="0.42673526266090356"/>
    <n v="208"/>
    <n v="207.8904"/>
    <n v="0.10960000000000036"/>
  </r>
  <r>
    <x v="3"/>
    <x v="11"/>
    <n v="7.4437618557355201E-2"/>
    <n v="220"/>
    <n v="221.32640000000001"/>
    <n v="-1.3264000000000067"/>
  </r>
  <r>
    <x v="4"/>
    <x v="0"/>
    <n v="0.25470954161961401"/>
    <n v="226"/>
    <n v="226.21200000000002"/>
    <n v="-0.21200000000001751"/>
  </r>
  <r>
    <x v="4"/>
    <x v="1"/>
    <n v="0.817949363434744"/>
    <n v="195"/>
    <n v="194.4"/>
    <n v="0.59999999999999432"/>
  </r>
  <r>
    <x v="4"/>
    <x v="2"/>
    <n v="0.31255312293522985"/>
    <n v="212"/>
    <n v="212.22880000000001"/>
    <n v="-0.22880000000000678"/>
  </r>
  <r>
    <x v="4"/>
    <x v="3"/>
    <n v="0.79399905487889766"/>
    <n v="226"/>
    <n v="225.8048"/>
    <n v="0.19519999999999982"/>
  </r>
  <r>
    <x v="4"/>
    <x v="4"/>
    <n v="0.95603767486221525"/>
    <n v="219"/>
    <n v="217.68"/>
    <n v="1.3199999999999932"/>
  </r>
  <r>
    <x v="4"/>
    <x v="5"/>
    <n v="0.15859027627485967"/>
    <n v="189"/>
    <n v="189.86879999999999"/>
    <n v="-0.86879999999999313"/>
  </r>
  <r>
    <x v="4"/>
    <x v="6"/>
    <n v="0.20464024857890206"/>
    <n v="233"/>
    <n v="234.11600000000001"/>
    <n v="-1.1160000000000139"/>
  </r>
  <r>
    <x v="4"/>
    <x v="7"/>
    <n v="0.80240312784685863"/>
    <n v="251"/>
    <n v="250.07040000000001"/>
    <n v="0.92959999999999354"/>
  </r>
  <r>
    <x v="4"/>
    <x v="8"/>
    <n v="4.6764158831335001E-2"/>
    <n v="195"/>
    <n v="195.72880000000001"/>
    <n v="-0.72880000000000678"/>
  </r>
  <r>
    <x v="4"/>
    <x v="9"/>
    <n v="0.61231093455668006"/>
    <n v="234"/>
    <n v="233.70880000000002"/>
    <n v="0.29119999999997503"/>
  </r>
  <r>
    <x v="4"/>
    <x v="10"/>
    <n v="0.13334758722627638"/>
    <n v="214"/>
    <n v="214.40880000000001"/>
    <n v="-0.4088000000000136"/>
  </r>
  <r>
    <x v="4"/>
    <x v="11"/>
    <n v="0.30217711778334544"/>
    <n v="228"/>
    <n v="228.24799999999999"/>
    <n v="-0.24799999999999045"/>
  </r>
  <r>
    <x v="5"/>
    <x v="0"/>
    <n v="7.4027490983749722E-2"/>
    <n v="232"/>
    <n v="233.268"/>
    <n v="-1.2680000000000007"/>
  </r>
  <r>
    <x v="5"/>
    <x v="1"/>
    <n v="9.3943636161419319E-2"/>
    <n v="200"/>
    <n v="200.44800000000001"/>
    <n v="-0.4480000000000075"/>
  </r>
  <r>
    <x v="5"/>
    <x v="2"/>
    <n v="0.60514988928125502"/>
    <n v="219"/>
    <n v="218.81440000000001"/>
    <n v="0.18559999999999377"/>
  </r>
  <r>
    <x v="5"/>
    <x v="3"/>
    <n v="0.977254641815688"/>
    <n v="234"/>
    <n v="232.7936"/>
    <n v="1.2064000000000021"/>
  </r>
  <r>
    <x v="5"/>
    <x v="4"/>
    <n v="2.5521430837596393E-2"/>
    <n v="223"/>
    <n v="224.4"/>
    <n v="-1.4000000000000057"/>
  </r>
  <r>
    <x v="5"/>
    <x v="5"/>
    <n v="0.55361633527742904"/>
    <n v="196"/>
    <n v="195.71520000000001"/>
    <n v="0.28479999999998995"/>
  </r>
  <r>
    <x v="5"/>
    <x v="6"/>
    <n v="0.67618057114999153"/>
    <n v="242"/>
    <n v="241.30640000000002"/>
    <n v="0.69359999999997513"/>
  </r>
  <r>
    <x v="5"/>
    <x v="7"/>
    <n v="0.83623329075046016"/>
    <n v="259"/>
    <n v="257.7312"/>
    <n v="1.2687999999999988"/>
  </r>
  <r>
    <x v="5"/>
    <x v="8"/>
    <n v="9.2135289942093412E-2"/>
    <n v="201"/>
    <n v="201.70959999999999"/>
    <n v="-0.70959999999999468"/>
  </r>
  <r>
    <x v="5"/>
    <x v="9"/>
    <n v="0.715637903816709"/>
    <n v="241"/>
    <n v="240.83199999999999"/>
    <n v="0.16800000000000637"/>
  </r>
  <r>
    <x v="5"/>
    <x v="10"/>
    <n v="0.81503721988954403"/>
    <n v="222"/>
    <n v="220.9272"/>
    <n v="1.0728000000000009"/>
  </r>
  <r>
    <x v="5"/>
    <x v="11"/>
    <n v="0.3614017766439056"/>
    <n v="235"/>
    <n v="235.1696"/>
    <n v="-0.16960000000000264"/>
  </r>
  <r>
    <x v="6"/>
    <x v="0"/>
    <n v="6.771589833944891E-2"/>
    <n v="239"/>
    <n v="240.32400000000001"/>
    <n v="-1.3240000000000123"/>
  </r>
  <r>
    <x v="6"/>
    <x v="1"/>
    <n v="0.28166896559565546"/>
    <n v="206"/>
    <n v="206.49600000000001"/>
    <n v="-0.49600000000000932"/>
  </r>
  <r>
    <x v="6"/>
    <x v="2"/>
    <n v="4.4541461534884808E-2"/>
    <n v="224"/>
    <n v="225.4"/>
    <n v="-1.4000000000000057"/>
  </r>
  <r>
    <x v="6"/>
    <x v="3"/>
    <n v="0.98843665350758492"/>
    <n v="241"/>
    <n v="239.78240000000002"/>
    <n v="1.217599999999976"/>
  </r>
  <r>
    <x v="6"/>
    <x v="4"/>
    <n v="0.67891128039924808"/>
    <n v="231"/>
    <n v="231.12"/>
    <n v="-0.12000000000000455"/>
  </r>
  <r>
    <x v="6"/>
    <x v="5"/>
    <n v="0.17203912867286819"/>
    <n v="201"/>
    <n v="201.5616"/>
    <n v="-0.56159999999999854"/>
  </r>
  <r>
    <x v="6"/>
    <x v="6"/>
    <n v="0.62362702542902881"/>
    <n v="249"/>
    <n v="248.49680000000004"/>
    <n v="0.50319999999996412"/>
  </r>
  <r>
    <x v="6"/>
    <x v="7"/>
    <n v="0.64096940913482159"/>
    <n v="266"/>
    <n v="265.392"/>
    <n v="0.60800000000000409"/>
  </r>
  <r>
    <x v="6"/>
    <x v="8"/>
    <n v="0.91431574805280069"/>
    <n v="209"/>
    <n v="207.69040000000001"/>
    <n v="1.309599999999989"/>
  </r>
  <r>
    <x v="6"/>
    <x v="9"/>
    <n v="0.98713528248854987"/>
    <n v="250"/>
    <n v="247.95520000000002"/>
    <n v="2.0447999999999809"/>
  </r>
  <r>
    <x v="6"/>
    <x v="10"/>
    <n v="0.64633675059160411"/>
    <n v="228"/>
    <n v="227.44560000000001"/>
    <n v="0.5543999999999869"/>
  </r>
  <r>
    <x v="6"/>
    <x v="11"/>
    <n v="0.93548856844301043"/>
    <n v="243"/>
    <n v="242.09120000000001"/>
    <n v="0.90879999999998518"/>
  </r>
  <r>
    <x v="7"/>
    <x v="0"/>
    <n v="0.87113276522663874"/>
    <n v="248"/>
    <n v="247.38"/>
    <n v="0.62000000000000455"/>
  </r>
  <r>
    <x v="7"/>
    <x v="1"/>
    <n v="0.81752477973152538"/>
    <n v="213"/>
    <n v="212.54400000000001"/>
    <n v="0.45599999999998886"/>
  </r>
  <r>
    <x v="7"/>
    <x v="2"/>
    <n v="0.10700532146681307"/>
    <n v="231"/>
    <n v="231.98560000000001"/>
    <n v="-0.98560000000000514"/>
  </r>
  <r>
    <x v="7"/>
    <x v="3"/>
    <n v="0.98436407673857584"/>
    <n v="248"/>
    <n v="246.77120000000002"/>
    <n v="1.2287999999999784"/>
  </r>
  <r>
    <x v="7"/>
    <x v="4"/>
    <n v="0.75211074270789036"/>
    <n v="238"/>
    <n v="237.84"/>
    <n v="0.15999999999999659"/>
  </r>
  <r>
    <x v="7"/>
    <x v="5"/>
    <n v="0.38168844150284154"/>
    <n v="207"/>
    <n v="207.40800000000002"/>
    <n v="-0.40800000000001546"/>
  </r>
  <r>
    <x v="7"/>
    <x v="6"/>
    <n v="0.66264465059900013"/>
    <n v="256"/>
    <n v="255.68720000000002"/>
    <n v="0.31279999999998154"/>
  </r>
  <r>
    <x v="7"/>
    <x v="7"/>
    <n v="0.1142890810149858"/>
    <n v="272"/>
    <n v="273.05279999999999"/>
    <n v="-1.0527999999999906"/>
  </r>
  <r>
    <x v="7"/>
    <x v="8"/>
    <n v="0.82375570023753919"/>
    <n v="214"/>
    <n v="213.67120000000003"/>
    <n v="0.32879999999997267"/>
  </r>
  <r>
    <x v="7"/>
    <x v="9"/>
    <n v="0.80200756263477435"/>
    <n v="256"/>
    <n v="255.07840000000002"/>
    <n v="0.92159999999998377"/>
  </r>
  <r>
    <x v="7"/>
    <x v="10"/>
    <n v="0.6196730033886898"/>
    <n v="234"/>
    <n v="233.96399999999997"/>
    <n v="3.6000000000029786E-2"/>
  </r>
  <r>
    <x v="7"/>
    <x v="11"/>
    <n v="0.25779823365005616"/>
    <n v="249"/>
    <n v="249.0128"/>
    <n v="-1.279999999999859E-2"/>
  </r>
  <r>
    <x v="8"/>
    <x v="0"/>
    <n v="0.11244264303717943"/>
    <n v="254"/>
    <n v="254.43600000000001"/>
    <n v="-0.43600000000000705"/>
  </r>
  <r>
    <x v="8"/>
    <x v="1"/>
    <n v="0.36449621733645854"/>
    <n v="218"/>
    <n v="218.59200000000001"/>
    <n v="-0.59200000000001296"/>
  </r>
  <r>
    <x v="8"/>
    <x v="2"/>
    <n v="0.51385050142789879"/>
    <n v="239"/>
    <n v="238.5712"/>
    <n v="0.42879999999999541"/>
  </r>
  <r>
    <x v="8"/>
    <x v="3"/>
    <n v="0.16849545489977336"/>
    <n v="253"/>
    <n v="253.76000000000002"/>
    <n v="-0.76000000000001933"/>
  </r>
  <r>
    <x v="8"/>
    <x v="4"/>
    <n v="5.5857768328935076E-2"/>
    <n v="243"/>
    <n v="244.56"/>
    <n v="-1.5600000000000023"/>
  </r>
  <r>
    <x v="8"/>
    <x v="5"/>
    <n v="0.14811234692092123"/>
    <n v="213"/>
    <n v="213.2544"/>
    <n v="-0.25440000000000396"/>
  </r>
  <r>
    <x v="8"/>
    <x v="6"/>
    <n v="0.38008643314532309"/>
    <n v="263"/>
    <n v="262.87760000000003"/>
    <n v="0.12239999999997053"/>
  </r>
  <r>
    <x v="8"/>
    <x v="7"/>
    <n v="0.77717554196223482"/>
    <n v="281"/>
    <n v="280.71359999999999"/>
    <n v="0.28640000000001464"/>
  </r>
  <r>
    <x v="8"/>
    <x v="8"/>
    <n v="0.47655748084378236"/>
    <n v="220"/>
    <n v="219.65200000000002"/>
    <n v="0.34799999999998477"/>
  </r>
  <r>
    <x v="8"/>
    <x v="9"/>
    <n v="0.14575557353574875"/>
    <n v="261"/>
    <n v="262.20160000000004"/>
    <n v="-1.2016000000000417"/>
  </r>
  <r>
    <x v="8"/>
    <x v="10"/>
    <n v="0.11257494188651906"/>
    <n v="240"/>
    <n v="240.48240000000001"/>
    <n v="-0.4824000000000126"/>
  </r>
  <r>
    <x v="8"/>
    <x v="11"/>
    <n v="0.47422813231582617"/>
    <n v="256"/>
    <n v="255.93440000000004"/>
    <n v="6.5599999999960801E-2"/>
  </r>
  <r>
    <x v="9"/>
    <x v="0"/>
    <n v="0.25455755451302853"/>
    <n v="261"/>
    <n v="261.49200000000002"/>
    <n v="-0.49200000000001864"/>
  </r>
  <r>
    <x v="9"/>
    <x v="1"/>
    <n v="0.11469899431197361"/>
    <n v="224"/>
    <n v="224.64000000000001"/>
    <n v="-0.64000000000001478"/>
  </r>
  <r>
    <x v="9"/>
    <x v="2"/>
    <n v="0.31460378881898154"/>
    <n v="245"/>
    <n v="245.1568"/>
    <n v="-0.15680000000000405"/>
  </r>
  <r>
    <x v="9"/>
    <x v="3"/>
    <n v="0.19887868864990443"/>
    <n v="260"/>
    <n v="260.74880000000002"/>
    <n v="-0.74880000000001701"/>
  </r>
  <r>
    <x v="9"/>
    <x v="4"/>
    <n v="0.69551648708090075"/>
    <n v="252"/>
    <n v="251.28"/>
    <n v="0.71999999999999886"/>
  </r>
  <r>
    <x v="9"/>
    <x v="5"/>
    <n v="0.88124012773212568"/>
    <n v="220"/>
    <n v="219.10079999999999"/>
    <n v="0.89920000000000755"/>
  </r>
  <r>
    <x v="9"/>
    <x v="6"/>
    <n v="0.76713032000555959"/>
    <n v="271"/>
    <n v="270.06800000000004"/>
    <n v="0.93199999999995953"/>
  </r>
  <r>
    <x v="9"/>
    <x v="7"/>
    <n v="0.59011237590563737"/>
    <n v="289"/>
    <n v="288.37439999999998"/>
    <n v="0.62560000000001992"/>
  </r>
  <r>
    <x v="9"/>
    <x v="8"/>
    <n v="9.6740723059714373E-2"/>
    <n v="225"/>
    <n v="225.6328"/>
    <n v="-0.63280000000000314"/>
  </r>
  <r>
    <x v="9"/>
    <x v="9"/>
    <n v="0.59125306935800892"/>
    <n v="269"/>
    <n v="269.32480000000004"/>
    <n v="-0.32480000000003884"/>
  </r>
  <r>
    <x v="9"/>
    <x v="10"/>
    <n v="0.33400712541824928"/>
    <n v="247"/>
    <n v="247.00079999999997"/>
    <n v="-7.9999999996971383E-4"/>
  </r>
  <r>
    <x v="9"/>
    <x v="11"/>
    <n v="0.63144273447894206"/>
    <n v="263"/>
    <n v="262.85599999999999"/>
    <n v="0.144000000000005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31022A-A309-4ACC-89FF-BE00C05BB48A}" name="PivotTable1" cacheId="5" applyNumberFormats="0" applyBorderFormats="0" applyFontFormats="0" applyPatternFormats="0" applyAlignmentFormats="0" applyWidthHeightFormats="1" dataCaption="ערכים" updatedVersion="8" minRefreshableVersion="3" useAutoFormatting="1" rowGrandTotals="0" itemPrintTitles="1" createdVersion="6" indent="0" compact="0" compactData="0" gridDropZones="1" multipleFieldFilters="0">
  <location ref="K2:M123" firstHeaderRow="2" firstDataRow="2" firstDataCol="2"/>
  <pivotFields count="6">
    <pivotField axis="axisRow" compact="0" outline="0" showAll="0" defaultSubtotal="0">
      <items count="15">
        <item m="1" x="11"/>
        <item m="1" x="13"/>
        <item m="1" x="14"/>
        <item m="1" x="12"/>
        <item m="1" x="10"/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compact="0" outline="0" showAll="0"/>
    <pivotField dataField="1" compact="0" outline="0" showAll="0"/>
    <pivotField compact="0" outline="0" showAll="0"/>
    <pivotField compact="0" outline="0" showAll="0"/>
  </pivotFields>
  <rowFields count="2">
    <field x="0"/>
    <field x="1"/>
  </rowFields>
  <rowItems count="120"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rowItems>
  <colItems count="1">
    <i/>
  </colItems>
  <dataFields count="1">
    <dataField name="סכום של Deman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0C2F9F-686E-4022-9A3F-BB66E8DBB881}" name="טבלה1" displayName="טבלה1" ref="D1:I121" totalsRowShown="0" headerRowDxfId="6">
  <tableColumns count="6">
    <tableColumn id="1" xr3:uid="{B26AFED5-42C8-4ED6-9FE1-C1B55A3973A5}" name="Year"/>
    <tableColumn id="2" xr3:uid="{42B84206-BDD1-4E4B-939E-7E10B59592C7}" name="Month"/>
    <tableColumn id="4" xr3:uid="{FCB8DFFC-4CAD-43C0-9AFE-F4613667D923}" name="Rand" dataDxfId="5">
      <calculatedColumnFormula>RAND()</calculatedColumnFormula>
    </tableColumn>
    <tableColumn id="3" xr3:uid="{A20779AE-C9C1-4CDD-9B02-C060B894EEFB}" name="Demand" dataDxfId="4">
      <calculatedColumnFormula>IF($A$1=0,"",ROUND(_xlfn.NORM.INV(טבלה1[[#This Row],[Rand]],A0+Trend*(ROW()-1),Std)*INDEX(SeasonalityTable,Seasonality,MATCH(טבלה1[[#This Row],[Month]],Months,0)),0))</calculatedColumnFormula>
    </tableColumn>
    <tableColumn id="5" xr3:uid="{58766E25-71BB-44C7-9CBA-7ED94B828AC8}" name="est" dataDxfId="3">
      <calculatedColumnFormula>(A0+(ROW()-1)*Trend)*INDEX(SeasonalityTable,Seasonality,MOD(ROW()-2,12)+1)</calculatedColumnFormula>
    </tableColumn>
    <tableColumn id="6" xr3:uid="{6BE36883-1AD6-4C63-8425-3D748FDE385C}" name="dif" dataDxfId="2">
      <calculatedColumnFormula>טבלה1[[#This Row],[Demand]]-טבלה1[[#This Row],[est]]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EA6052-9C4B-45AE-B6DB-4BD60477AAA7}" name="טבלה2" displayName="טבלה2" ref="A1:D121" totalsRowShown="0" headerRowDxfId="1">
  <tableColumns count="4">
    <tableColumn id="1" xr3:uid="{64B62397-5F65-49C5-8DE9-EAB1D6315742}" name="t"/>
    <tableColumn id="3" xr3:uid="{1619FF93-4253-4538-8442-74C638498BC2}" name="Season" dataDxfId="0">
      <calculatedColumnFormula>טבלה2[[#This Row],[Demand]]/טבלה2[[#This Row],[S]]*(טבלה2[[#This Row],[S]]-1)</calculatedColumnFormula>
    </tableColumn>
    <tableColumn id="2" xr3:uid="{6CB7705D-2E4A-45FD-88C7-C4DF144F295D}" name="Demand">
      <calculatedColumnFormula>Admin!M4</calculatedColumnFormula>
    </tableColumn>
    <tableColumn id="4" xr3:uid="{400C698E-F0CC-41A0-8B56-F3DF51763AFF}" name="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12E5A-B8F3-4EFF-8B12-D5655A3A9C05}">
  <dimension ref="B1:C2"/>
  <sheetViews>
    <sheetView showGridLines="0" workbookViewId="0">
      <selection activeCell="B2" sqref="B2"/>
    </sheetView>
  </sheetViews>
  <sheetFormatPr defaultRowHeight="14" x14ac:dyDescent="0.3"/>
  <cols>
    <col min="1" max="1" width="9.4140625" customWidth="1"/>
    <col min="2" max="2" width="13.08203125" customWidth="1"/>
  </cols>
  <sheetData>
    <row r="1" spans="2:3" ht="14.5" thickBot="1" x14ac:dyDescent="0.35"/>
    <row r="2" spans="2:3" ht="16" thickBot="1" x14ac:dyDescent="0.35">
      <c r="B2" s="4">
        <v>209087048</v>
      </c>
      <c r="C2" s="3" t="s">
        <v>23</v>
      </c>
    </row>
  </sheetData>
  <sheetProtection algorithmName="SHA-512" hashValue="q08j5DrP2zQtphsFJnUlcZZF4CucPJ66mwQU8lMFsmuz3rzvueuAYTlUpbd/VzgpnkcfJHfBM0vtjQqGQy4fmw==" saltValue="gSOayxzhUvWBK5mES5woB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C2F0D-AB3D-4065-8729-BAD2FAC61F63}">
  <dimension ref="A1:A121"/>
  <sheetViews>
    <sheetView workbookViewId="0">
      <selection activeCell="F24" sqref="F24"/>
    </sheetView>
  </sheetViews>
  <sheetFormatPr defaultRowHeight="14" x14ac:dyDescent="0.3"/>
  <cols>
    <col min="1" max="1" width="7.58203125" bestFit="1" customWidth="1"/>
  </cols>
  <sheetData>
    <row r="1" spans="1:1" x14ac:dyDescent="0.3">
      <c r="A1" t="s">
        <v>4</v>
      </c>
    </row>
    <row r="2" spans="1:1" x14ac:dyDescent="0.3">
      <c r="A2">
        <f>Admin!M4</f>
        <v>199</v>
      </c>
    </row>
    <row r="3" spans="1:1" x14ac:dyDescent="0.3">
      <c r="A3">
        <f>Admin!M5</f>
        <v>170</v>
      </c>
    </row>
    <row r="4" spans="1:1" x14ac:dyDescent="0.3">
      <c r="A4">
        <f>Admin!M6</f>
        <v>186</v>
      </c>
    </row>
    <row r="5" spans="1:1" x14ac:dyDescent="0.3">
      <c r="A5">
        <f>Admin!M7</f>
        <v>198</v>
      </c>
    </row>
    <row r="6" spans="1:1" x14ac:dyDescent="0.3">
      <c r="A6">
        <f>Admin!M8</f>
        <v>190</v>
      </c>
    </row>
    <row r="7" spans="1:1" x14ac:dyDescent="0.3">
      <c r="A7">
        <f>Admin!M9</f>
        <v>167</v>
      </c>
    </row>
    <row r="8" spans="1:1" x14ac:dyDescent="0.3">
      <c r="A8">
        <f>Admin!M10</f>
        <v>204</v>
      </c>
    </row>
    <row r="9" spans="1:1" x14ac:dyDescent="0.3">
      <c r="A9">
        <f>Admin!M11</f>
        <v>220</v>
      </c>
    </row>
    <row r="10" spans="1:1" x14ac:dyDescent="0.3">
      <c r="A10">
        <f>Admin!M12</f>
        <v>172</v>
      </c>
    </row>
    <row r="11" spans="1:1" x14ac:dyDescent="0.3">
      <c r="A11">
        <f>Admin!M13</f>
        <v>206</v>
      </c>
    </row>
    <row r="12" spans="1:1" x14ac:dyDescent="0.3">
      <c r="A12">
        <f>Admin!M14</f>
        <v>190</v>
      </c>
    </row>
    <row r="13" spans="1:1" x14ac:dyDescent="0.3">
      <c r="A13">
        <f>Admin!M15</f>
        <v>201</v>
      </c>
    </row>
    <row r="14" spans="1:1" x14ac:dyDescent="0.3">
      <c r="A14">
        <f>Admin!M16</f>
        <v>204</v>
      </c>
    </row>
    <row r="15" spans="1:1" x14ac:dyDescent="0.3">
      <c r="A15">
        <f>Admin!M17</f>
        <v>177</v>
      </c>
    </row>
    <row r="16" spans="1:1" x14ac:dyDescent="0.3">
      <c r="A16">
        <f>Admin!M18</f>
        <v>193</v>
      </c>
    </row>
    <row r="17" spans="1:1" x14ac:dyDescent="0.3">
      <c r="A17">
        <f>Admin!M19</f>
        <v>205</v>
      </c>
    </row>
    <row r="18" spans="1:1" x14ac:dyDescent="0.3">
      <c r="A18">
        <f>Admin!M20</f>
        <v>199</v>
      </c>
    </row>
    <row r="19" spans="1:1" x14ac:dyDescent="0.3">
      <c r="A19">
        <f>Admin!M21</f>
        <v>172</v>
      </c>
    </row>
    <row r="20" spans="1:1" x14ac:dyDescent="0.3">
      <c r="A20">
        <f>Admin!M22</f>
        <v>212</v>
      </c>
    </row>
    <row r="21" spans="1:1" x14ac:dyDescent="0.3">
      <c r="A21">
        <f>Admin!M23</f>
        <v>227</v>
      </c>
    </row>
    <row r="22" spans="1:1" x14ac:dyDescent="0.3">
      <c r="A22">
        <f>Admin!M24</f>
        <v>177</v>
      </c>
    </row>
    <row r="23" spans="1:1" x14ac:dyDescent="0.3">
      <c r="A23">
        <f>Admin!M25</f>
        <v>212</v>
      </c>
    </row>
    <row r="24" spans="1:1" x14ac:dyDescent="0.3">
      <c r="A24">
        <f>Admin!M26</f>
        <v>194</v>
      </c>
    </row>
    <row r="25" spans="1:1" x14ac:dyDescent="0.3">
      <c r="A25">
        <f>Admin!M27</f>
        <v>208</v>
      </c>
    </row>
    <row r="26" spans="1:1" x14ac:dyDescent="0.3">
      <c r="A26">
        <f>Admin!M28</f>
        <v>212</v>
      </c>
    </row>
    <row r="27" spans="1:1" x14ac:dyDescent="0.3">
      <c r="A27">
        <f>Admin!M29</f>
        <v>184</v>
      </c>
    </row>
    <row r="28" spans="1:1" x14ac:dyDescent="0.3">
      <c r="A28">
        <f>Admin!M30</f>
        <v>199</v>
      </c>
    </row>
    <row r="29" spans="1:1" x14ac:dyDescent="0.3">
      <c r="A29">
        <f>Admin!M31</f>
        <v>211</v>
      </c>
    </row>
    <row r="30" spans="1:1" x14ac:dyDescent="0.3">
      <c r="A30">
        <f>Admin!M32</f>
        <v>204</v>
      </c>
    </row>
    <row r="31" spans="1:1" x14ac:dyDescent="0.3">
      <c r="A31">
        <f>Admin!M33</f>
        <v>178</v>
      </c>
    </row>
    <row r="32" spans="1:1" x14ac:dyDescent="0.3">
      <c r="A32">
        <f>Admin!M34</f>
        <v>222</v>
      </c>
    </row>
    <row r="33" spans="1:1" x14ac:dyDescent="0.3">
      <c r="A33">
        <f>Admin!M35</f>
        <v>234</v>
      </c>
    </row>
    <row r="34" spans="1:1" x14ac:dyDescent="0.3">
      <c r="A34">
        <f>Admin!M36</f>
        <v>184</v>
      </c>
    </row>
    <row r="35" spans="1:1" x14ac:dyDescent="0.3">
      <c r="A35">
        <f>Admin!M37</f>
        <v>219</v>
      </c>
    </row>
    <row r="36" spans="1:1" x14ac:dyDescent="0.3">
      <c r="A36">
        <f>Admin!M38</f>
        <v>202</v>
      </c>
    </row>
    <row r="37" spans="1:1" x14ac:dyDescent="0.3">
      <c r="A37">
        <f>Admin!M39</f>
        <v>214</v>
      </c>
    </row>
    <row r="38" spans="1:1" x14ac:dyDescent="0.3">
      <c r="A38">
        <f>Admin!M40</f>
        <v>218</v>
      </c>
    </row>
    <row r="39" spans="1:1" x14ac:dyDescent="0.3">
      <c r="A39">
        <f>Admin!M41</f>
        <v>188</v>
      </c>
    </row>
    <row r="40" spans="1:1" x14ac:dyDescent="0.3">
      <c r="A40">
        <f>Admin!M42</f>
        <v>204</v>
      </c>
    </row>
    <row r="41" spans="1:1" x14ac:dyDescent="0.3">
      <c r="A41">
        <f>Admin!M43</f>
        <v>218</v>
      </c>
    </row>
    <row r="42" spans="1:1" x14ac:dyDescent="0.3">
      <c r="A42">
        <f>Admin!M44</f>
        <v>211</v>
      </c>
    </row>
    <row r="43" spans="1:1" x14ac:dyDescent="0.3">
      <c r="A43">
        <f>Admin!M45</f>
        <v>185</v>
      </c>
    </row>
    <row r="44" spans="1:1" x14ac:dyDescent="0.3">
      <c r="A44">
        <f>Admin!M46</f>
        <v>227</v>
      </c>
    </row>
    <row r="45" spans="1:1" x14ac:dyDescent="0.3">
      <c r="A45">
        <f>Admin!M47</f>
        <v>243</v>
      </c>
    </row>
    <row r="46" spans="1:1" x14ac:dyDescent="0.3">
      <c r="A46">
        <f>Admin!M48</f>
        <v>189</v>
      </c>
    </row>
    <row r="47" spans="1:1" x14ac:dyDescent="0.3">
      <c r="A47">
        <f>Admin!M49</f>
        <v>226</v>
      </c>
    </row>
    <row r="48" spans="1:1" x14ac:dyDescent="0.3">
      <c r="A48">
        <f>Admin!M50</f>
        <v>208</v>
      </c>
    </row>
    <row r="49" spans="1:1" x14ac:dyDescent="0.3">
      <c r="A49">
        <f>Admin!M51</f>
        <v>220</v>
      </c>
    </row>
    <row r="50" spans="1:1" x14ac:dyDescent="0.3">
      <c r="A50">
        <f>Admin!M52</f>
        <v>226</v>
      </c>
    </row>
    <row r="51" spans="1:1" x14ac:dyDescent="0.3">
      <c r="A51">
        <f>Admin!M53</f>
        <v>195</v>
      </c>
    </row>
    <row r="52" spans="1:1" x14ac:dyDescent="0.3">
      <c r="A52">
        <f>Admin!M54</f>
        <v>212</v>
      </c>
    </row>
    <row r="53" spans="1:1" x14ac:dyDescent="0.3">
      <c r="A53">
        <f>Admin!M55</f>
        <v>226</v>
      </c>
    </row>
    <row r="54" spans="1:1" x14ac:dyDescent="0.3">
      <c r="A54">
        <f>Admin!M56</f>
        <v>219</v>
      </c>
    </row>
    <row r="55" spans="1:1" x14ac:dyDescent="0.3">
      <c r="A55">
        <f>Admin!M57</f>
        <v>189</v>
      </c>
    </row>
    <row r="56" spans="1:1" x14ac:dyDescent="0.3">
      <c r="A56">
        <f>Admin!M58</f>
        <v>233</v>
      </c>
    </row>
    <row r="57" spans="1:1" x14ac:dyDescent="0.3">
      <c r="A57">
        <f>Admin!M59</f>
        <v>251</v>
      </c>
    </row>
    <row r="58" spans="1:1" x14ac:dyDescent="0.3">
      <c r="A58">
        <f>Admin!M60</f>
        <v>195</v>
      </c>
    </row>
    <row r="59" spans="1:1" x14ac:dyDescent="0.3">
      <c r="A59">
        <f>Admin!M61</f>
        <v>234</v>
      </c>
    </row>
    <row r="60" spans="1:1" x14ac:dyDescent="0.3">
      <c r="A60">
        <f>Admin!M62</f>
        <v>214</v>
      </c>
    </row>
    <row r="61" spans="1:1" x14ac:dyDescent="0.3">
      <c r="A61">
        <f>Admin!M63</f>
        <v>228</v>
      </c>
    </row>
    <row r="62" spans="1:1" x14ac:dyDescent="0.3">
      <c r="A62">
        <f>Admin!M64</f>
        <v>232</v>
      </c>
    </row>
    <row r="63" spans="1:1" x14ac:dyDescent="0.3">
      <c r="A63">
        <f>Admin!M65</f>
        <v>200</v>
      </c>
    </row>
    <row r="64" spans="1:1" x14ac:dyDescent="0.3">
      <c r="A64">
        <f>Admin!M66</f>
        <v>219</v>
      </c>
    </row>
    <row r="65" spans="1:1" x14ac:dyDescent="0.3">
      <c r="A65">
        <f>Admin!M67</f>
        <v>234</v>
      </c>
    </row>
    <row r="66" spans="1:1" x14ac:dyDescent="0.3">
      <c r="A66">
        <f>Admin!M68</f>
        <v>223</v>
      </c>
    </row>
    <row r="67" spans="1:1" x14ac:dyDescent="0.3">
      <c r="A67">
        <f>Admin!M69</f>
        <v>196</v>
      </c>
    </row>
    <row r="68" spans="1:1" x14ac:dyDescent="0.3">
      <c r="A68">
        <f>Admin!M70</f>
        <v>242</v>
      </c>
    </row>
    <row r="69" spans="1:1" x14ac:dyDescent="0.3">
      <c r="A69">
        <f>Admin!M71</f>
        <v>259</v>
      </c>
    </row>
    <row r="70" spans="1:1" x14ac:dyDescent="0.3">
      <c r="A70">
        <f>Admin!M72</f>
        <v>201</v>
      </c>
    </row>
    <row r="71" spans="1:1" x14ac:dyDescent="0.3">
      <c r="A71">
        <f>Admin!M73</f>
        <v>241</v>
      </c>
    </row>
    <row r="72" spans="1:1" x14ac:dyDescent="0.3">
      <c r="A72">
        <f>Admin!M74</f>
        <v>222</v>
      </c>
    </row>
    <row r="73" spans="1:1" x14ac:dyDescent="0.3">
      <c r="A73">
        <f>Admin!M75</f>
        <v>235</v>
      </c>
    </row>
    <row r="74" spans="1:1" x14ac:dyDescent="0.3">
      <c r="A74">
        <f>Admin!M76</f>
        <v>239</v>
      </c>
    </row>
    <row r="75" spans="1:1" x14ac:dyDescent="0.3">
      <c r="A75">
        <f>Admin!M77</f>
        <v>206</v>
      </c>
    </row>
    <row r="76" spans="1:1" x14ac:dyDescent="0.3">
      <c r="A76">
        <f>Admin!M78</f>
        <v>224</v>
      </c>
    </row>
    <row r="77" spans="1:1" x14ac:dyDescent="0.3">
      <c r="A77">
        <f>Admin!M79</f>
        <v>241</v>
      </c>
    </row>
    <row r="78" spans="1:1" x14ac:dyDescent="0.3">
      <c r="A78">
        <f>Admin!M80</f>
        <v>231</v>
      </c>
    </row>
    <row r="79" spans="1:1" x14ac:dyDescent="0.3">
      <c r="A79">
        <f>Admin!M81</f>
        <v>201</v>
      </c>
    </row>
    <row r="80" spans="1:1" x14ac:dyDescent="0.3">
      <c r="A80">
        <f>Admin!M82</f>
        <v>249</v>
      </c>
    </row>
    <row r="81" spans="1:1" x14ac:dyDescent="0.3">
      <c r="A81">
        <f>Admin!M83</f>
        <v>266</v>
      </c>
    </row>
    <row r="82" spans="1:1" x14ac:dyDescent="0.3">
      <c r="A82">
        <f>Admin!M84</f>
        <v>209</v>
      </c>
    </row>
    <row r="83" spans="1:1" x14ac:dyDescent="0.3">
      <c r="A83">
        <f>Admin!M85</f>
        <v>250</v>
      </c>
    </row>
    <row r="84" spans="1:1" x14ac:dyDescent="0.3">
      <c r="A84">
        <f>Admin!M86</f>
        <v>228</v>
      </c>
    </row>
    <row r="85" spans="1:1" x14ac:dyDescent="0.3">
      <c r="A85">
        <f>Admin!M87</f>
        <v>243</v>
      </c>
    </row>
    <row r="86" spans="1:1" x14ac:dyDescent="0.3">
      <c r="A86">
        <f>Admin!M88</f>
        <v>248</v>
      </c>
    </row>
    <row r="87" spans="1:1" x14ac:dyDescent="0.3">
      <c r="A87">
        <f>Admin!M89</f>
        <v>213</v>
      </c>
    </row>
    <row r="88" spans="1:1" x14ac:dyDescent="0.3">
      <c r="A88">
        <f>Admin!M90</f>
        <v>231</v>
      </c>
    </row>
    <row r="89" spans="1:1" x14ac:dyDescent="0.3">
      <c r="A89">
        <f>Admin!M91</f>
        <v>248</v>
      </c>
    </row>
    <row r="90" spans="1:1" x14ac:dyDescent="0.3">
      <c r="A90">
        <f>Admin!M92</f>
        <v>238</v>
      </c>
    </row>
    <row r="91" spans="1:1" x14ac:dyDescent="0.3">
      <c r="A91">
        <f>Admin!M93</f>
        <v>207</v>
      </c>
    </row>
    <row r="92" spans="1:1" x14ac:dyDescent="0.3">
      <c r="A92">
        <f>Admin!M94</f>
        <v>256</v>
      </c>
    </row>
    <row r="93" spans="1:1" x14ac:dyDescent="0.3">
      <c r="A93">
        <f>Admin!M95</f>
        <v>272</v>
      </c>
    </row>
    <row r="94" spans="1:1" x14ac:dyDescent="0.3">
      <c r="A94">
        <f>Admin!M96</f>
        <v>214</v>
      </c>
    </row>
    <row r="95" spans="1:1" x14ac:dyDescent="0.3">
      <c r="A95">
        <f>Admin!M97</f>
        <v>256</v>
      </c>
    </row>
    <row r="96" spans="1:1" x14ac:dyDescent="0.3">
      <c r="A96">
        <f>Admin!M98</f>
        <v>234</v>
      </c>
    </row>
    <row r="97" spans="1:1" x14ac:dyDescent="0.3">
      <c r="A97">
        <f>Admin!M99</f>
        <v>249</v>
      </c>
    </row>
    <row r="98" spans="1:1" x14ac:dyDescent="0.3">
      <c r="A98">
        <f>Admin!M100</f>
        <v>254</v>
      </c>
    </row>
    <row r="99" spans="1:1" x14ac:dyDescent="0.3">
      <c r="A99">
        <f>Admin!M101</f>
        <v>218</v>
      </c>
    </row>
    <row r="100" spans="1:1" x14ac:dyDescent="0.3">
      <c r="A100">
        <f>Admin!M102</f>
        <v>239</v>
      </c>
    </row>
    <row r="101" spans="1:1" x14ac:dyDescent="0.3">
      <c r="A101">
        <f>Admin!M103</f>
        <v>253</v>
      </c>
    </row>
    <row r="102" spans="1:1" x14ac:dyDescent="0.3">
      <c r="A102">
        <f>Admin!M104</f>
        <v>243</v>
      </c>
    </row>
    <row r="103" spans="1:1" x14ac:dyDescent="0.3">
      <c r="A103">
        <f>Admin!M105</f>
        <v>213</v>
      </c>
    </row>
    <row r="104" spans="1:1" x14ac:dyDescent="0.3">
      <c r="A104">
        <f>Admin!M106</f>
        <v>263</v>
      </c>
    </row>
    <row r="105" spans="1:1" x14ac:dyDescent="0.3">
      <c r="A105">
        <f>Admin!M107</f>
        <v>281</v>
      </c>
    </row>
    <row r="106" spans="1:1" x14ac:dyDescent="0.3">
      <c r="A106">
        <f>Admin!M108</f>
        <v>220</v>
      </c>
    </row>
    <row r="107" spans="1:1" x14ac:dyDescent="0.3">
      <c r="A107">
        <f>Admin!M109</f>
        <v>261</v>
      </c>
    </row>
    <row r="108" spans="1:1" x14ac:dyDescent="0.3">
      <c r="A108">
        <f>Admin!M110</f>
        <v>240</v>
      </c>
    </row>
    <row r="109" spans="1:1" x14ac:dyDescent="0.3">
      <c r="A109">
        <f>Admin!M111</f>
        <v>256</v>
      </c>
    </row>
    <row r="110" spans="1:1" x14ac:dyDescent="0.3">
      <c r="A110">
        <f>Admin!M112</f>
        <v>261</v>
      </c>
    </row>
    <row r="111" spans="1:1" x14ac:dyDescent="0.3">
      <c r="A111">
        <f>Admin!M113</f>
        <v>224</v>
      </c>
    </row>
    <row r="112" spans="1:1" x14ac:dyDescent="0.3">
      <c r="A112">
        <f>Admin!M114</f>
        <v>245</v>
      </c>
    </row>
    <row r="113" spans="1:1" x14ac:dyDescent="0.3">
      <c r="A113">
        <f>Admin!M115</f>
        <v>260</v>
      </c>
    </row>
    <row r="114" spans="1:1" x14ac:dyDescent="0.3">
      <c r="A114">
        <f>Admin!M116</f>
        <v>252</v>
      </c>
    </row>
    <row r="115" spans="1:1" x14ac:dyDescent="0.3">
      <c r="A115">
        <f>Admin!M117</f>
        <v>220</v>
      </c>
    </row>
    <row r="116" spans="1:1" x14ac:dyDescent="0.3">
      <c r="A116">
        <f>Admin!M118</f>
        <v>271</v>
      </c>
    </row>
    <row r="117" spans="1:1" x14ac:dyDescent="0.3">
      <c r="A117">
        <f>Admin!M119</f>
        <v>289</v>
      </c>
    </row>
    <row r="118" spans="1:1" x14ac:dyDescent="0.3">
      <c r="A118">
        <f>Admin!M120</f>
        <v>225</v>
      </c>
    </row>
    <row r="119" spans="1:1" x14ac:dyDescent="0.3">
      <c r="A119">
        <f>Admin!M121</f>
        <v>269</v>
      </c>
    </row>
    <row r="120" spans="1:1" x14ac:dyDescent="0.3">
      <c r="A120">
        <f>Admin!M122</f>
        <v>247</v>
      </c>
    </row>
    <row r="121" spans="1:1" x14ac:dyDescent="0.3">
      <c r="A121">
        <f>Admin!M123</f>
        <v>263</v>
      </c>
    </row>
  </sheetData>
  <sheetProtection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EF255-BDF9-4421-936D-D783669B3F22}">
  <dimension ref="A1:AC123"/>
  <sheetViews>
    <sheetView topLeftCell="A19" workbookViewId="0">
      <selection activeCell="A21" sqref="A21"/>
    </sheetView>
  </sheetViews>
  <sheetFormatPr defaultRowHeight="14" x14ac:dyDescent="0.3"/>
  <cols>
    <col min="1" max="2" width="9.9140625" bestFit="1" customWidth="1"/>
    <col min="3" max="3" width="3.08203125" customWidth="1"/>
    <col min="4" max="4" width="5" bestFit="1" customWidth="1"/>
    <col min="5" max="5" width="9.58203125" bestFit="1" customWidth="1"/>
    <col min="6" max="6" width="7.4140625" bestFit="1" customWidth="1"/>
    <col min="7" max="8" width="6.9140625" customWidth="1"/>
    <col min="9" max="9" width="8.58203125" customWidth="1"/>
    <col min="10" max="10" width="3" customWidth="1"/>
    <col min="11" max="11" width="7.4140625" customWidth="1"/>
    <col min="12" max="12" width="9.58203125" bestFit="1" customWidth="1"/>
    <col min="13" max="13" width="4.83203125" bestFit="1" customWidth="1"/>
    <col min="14" max="14" width="4.33203125" customWidth="1"/>
    <col min="15" max="15" width="4.9140625" bestFit="1" customWidth="1"/>
    <col min="16" max="27" width="7.4140625" customWidth="1"/>
    <col min="28" max="28" width="8" customWidth="1"/>
  </cols>
  <sheetData>
    <row r="1" spans="1:29" x14ac:dyDescent="0.3">
      <c r="A1">
        <f>ID</f>
        <v>209087048</v>
      </c>
      <c r="B1">
        <f>ID+MOD(ID*1,10000)*2</f>
        <v>209101144</v>
      </c>
      <c r="D1" s="5" t="s">
        <v>2</v>
      </c>
      <c r="E1" s="5" t="s">
        <v>3</v>
      </c>
      <c r="F1" s="5" t="s">
        <v>19</v>
      </c>
      <c r="G1" s="5" t="s">
        <v>4</v>
      </c>
      <c r="H1" s="5" t="s">
        <v>31</v>
      </c>
      <c r="I1" s="5" t="s">
        <v>32</v>
      </c>
    </row>
    <row r="2" spans="1:29" x14ac:dyDescent="0.3">
      <c r="D2">
        <v>2013</v>
      </c>
      <c r="E2" t="s">
        <v>13</v>
      </c>
      <c r="F2" s="8">
        <f t="shared" ref="F2:F65" ca="1" si="0">RAND()</f>
        <v>0.49439336455924221</v>
      </c>
      <c r="G2">
        <f ca="1">IF($A$1=0,"",ROUND(_xlfn.NORM.INV(טבלה1[[#This Row],[Rand]],A0+Trend*(ROW()-1),Std)*INDEX(SeasonalityTable,Seasonality,MATCH(טבלה1[[#This Row],[Month]],Months,0)),0))</f>
        <v>198</v>
      </c>
      <c r="H2">
        <f t="shared" ref="H2:H33" si="1">(A0+(ROW()-1)*Trend)*INDEX(SeasonalityTable,Seasonality,MOD(ROW()-2,12)+1)</f>
        <v>197.988</v>
      </c>
      <c r="I2">
        <f ca="1">טבלה1[[#This Row],[Demand]]-טבלה1[[#This Row],[est]]</f>
        <v>1.2000000000000455E-2</v>
      </c>
      <c r="K2" s="1" t="s">
        <v>17</v>
      </c>
      <c r="P2" t="s">
        <v>13</v>
      </c>
      <c r="Q2" t="s">
        <v>14</v>
      </c>
      <c r="R2" t="s">
        <v>15</v>
      </c>
      <c r="S2" t="s">
        <v>16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A2" t="s">
        <v>12</v>
      </c>
      <c r="AB2" t="s">
        <v>20</v>
      </c>
      <c r="AC2" t="s">
        <v>18</v>
      </c>
    </row>
    <row r="3" spans="1:29" x14ac:dyDescent="0.3">
      <c r="A3" t="s">
        <v>0</v>
      </c>
      <c r="B3">
        <f>MOD(RefNum,17)*23+IF(ISODD(ID),573,73)</f>
        <v>188</v>
      </c>
      <c r="D3">
        <v>2013</v>
      </c>
      <c r="E3" t="s">
        <v>14</v>
      </c>
      <c r="F3" s="8">
        <f t="shared" ca="1" si="0"/>
        <v>0.68060072657024928</v>
      </c>
      <c r="G3">
        <f ca="1">IF($A$1=0,"",ROUND(_xlfn.NORM.INV(טבלה1[[#This Row],[Rand]],A0+Trend*(ROW()-1),Std)*INDEX(SeasonalityTable,Seasonality,MATCH(טבלה1[[#This Row],[Month]],Months,0)),0))</f>
        <v>171</v>
      </c>
      <c r="H3">
        <f t="shared" si="1"/>
        <v>170.208</v>
      </c>
      <c r="I3">
        <f ca="1">טבלה1[[#This Row],[Demand]]-טבלה1[[#This Row],[est]]</f>
        <v>0.79200000000000159</v>
      </c>
      <c r="K3" s="1" t="s">
        <v>2</v>
      </c>
      <c r="L3" s="1" t="s">
        <v>3</v>
      </c>
      <c r="M3" t="s">
        <v>22</v>
      </c>
      <c r="O3">
        <v>1</v>
      </c>
      <c r="P3">
        <v>1.1299999999999999</v>
      </c>
      <c r="Q3">
        <v>0.86</v>
      </c>
      <c r="R3">
        <v>1.1499999999999999</v>
      </c>
      <c r="S3">
        <v>0.86</v>
      </c>
      <c r="T3">
        <v>1.1000000000000001</v>
      </c>
      <c r="U3">
        <v>0.9</v>
      </c>
      <c r="V3">
        <v>1.02</v>
      </c>
      <c r="W3">
        <v>1.1499999999999999</v>
      </c>
      <c r="X3">
        <v>0.85</v>
      </c>
      <c r="Y3">
        <v>1.05</v>
      </c>
      <c r="Z3">
        <v>0.89</v>
      </c>
      <c r="AA3">
        <v>1.04</v>
      </c>
      <c r="AB3">
        <f>AVERAGE(P3:AA3)</f>
        <v>1</v>
      </c>
      <c r="AC3">
        <f>_xlfn.STDEV.P(P3:AA3)</f>
        <v>0.11554220008291288</v>
      </c>
    </row>
    <row r="4" spans="1:29" x14ac:dyDescent="0.3">
      <c r="A4" t="s">
        <v>1</v>
      </c>
      <c r="B4">
        <f>IF(ISODD(ID),-ROUND((0.0015+MOD(RefNum,7)*0.0005)*A0,2),ROUND((0.003+MOD(RefNum,7)*0.0015)*A0,2))</f>
        <v>0.56000000000000005</v>
      </c>
      <c r="D4">
        <v>2013</v>
      </c>
      <c r="E4" t="s">
        <v>15</v>
      </c>
      <c r="F4" s="8">
        <f t="shared" ca="1" si="0"/>
        <v>0.81126741102438205</v>
      </c>
      <c r="G4">
        <f ca="1">IF($A$1=0,"",ROUND(_xlfn.NORM.INV(טבלה1[[#This Row],[Rand]],A0+Trend*(ROW()-1),Std)*INDEX(SeasonalityTable,Seasonality,MATCH(טבלה1[[#This Row],[Month]],Months,0)),0))</f>
        <v>186</v>
      </c>
      <c r="H4">
        <f t="shared" si="1"/>
        <v>185.88640000000001</v>
      </c>
      <c r="I4">
        <f ca="1">טבלה1[[#This Row],[Demand]]-טבלה1[[#This Row],[est]]</f>
        <v>0.11359999999999104</v>
      </c>
      <c r="K4">
        <v>2013</v>
      </c>
      <c r="L4" t="s">
        <v>13</v>
      </c>
      <c r="M4" s="40">
        <v>199</v>
      </c>
      <c r="O4">
        <v>2</v>
      </c>
      <c r="P4">
        <v>1.1200000000000001</v>
      </c>
      <c r="Q4">
        <v>1.04</v>
      </c>
      <c r="R4">
        <v>0.92</v>
      </c>
      <c r="S4">
        <v>1.0900000000000001</v>
      </c>
      <c r="T4">
        <v>0.91</v>
      </c>
      <c r="U4">
        <v>0.92999999999999994</v>
      </c>
      <c r="V4">
        <v>1.01</v>
      </c>
      <c r="W4">
        <v>1.1299999999999999</v>
      </c>
      <c r="X4">
        <v>0.94</v>
      </c>
      <c r="Y4">
        <v>0.94</v>
      </c>
      <c r="Z4">
        <v>1.1100000000000001</v>
      </c>
      <c r="AA4">
        <v>0.86</v>
      </c>
      <c r="AB4">
        <f t="shared" ref="AB4:AB13" si="2">AVERAGE(P4:AA4)</f>
        <v>0.99999999999999967</v>
      </c>
      <c r="AC4">
        <f t="shared" ref="AC4:AC13" si="3">_xlfn.STDEV.P(P4:AA4)</f>
        <v>9.1012819609840326E-2</v>
      </c>
    </row>
    <row r="5" spans="1:29" x14ac:dyDescent="0.3">
      <c r="A5" t="s">
        <v>21</v>
      </c>
      <c r="B5">
        <f>MOD(RefNum,11)+1</f>
        <v>11</v>
      </c>
      <c r="D5">
        <v>2013</v>
      </c>
      <c r="E5" t="s">
        <v>16</v>
      </c>
      <c r="F5" s="8">
        <f t="shared" ca="1" si="0"/>
        <v>0.12340571869188477</v>
      </c>
      <c r="G5">
        <f ca="1">IF($A$1=0,"",ROUND(_xlfn.NORM.INV(טבלה1[[#This Row],[Rand]],A0+Trend*(ROW()-1),Std)*INDEX(SeasonalityTable,Seasonality,MATCH(טבלה1[[#This Row],[Month]],Months,0)),0))</f>
        <v>197</v>
      </c>
      <c r="H5">
        <f t="shared" si="1"/>
        <v>197.84960000000001</v>
      </c>
      <c r="I5">
        <f ca="1">טבלה1[[#This Row],[Demand]]-טבלה1[[#This Row],[est]]</f>
        <v>-0.84960000000000946</v>
      </c>
      <c r="L5" t="s">
        <v>14</v>
      </c>
      <c r="M5" s="40">
        <v>170</v>
      </c>
      <c r="O5">
        <v>3</v>
      </c>
      <c r="P5">
        <v>1.1200000000000001</v>
      </c>
      <c r="Q5">
        <v>0.96</v>
      </c>
      <c r="R5">
        <v>0.92</v>
      </c>
      <c r="S5">
        <v>0.87</v>
      </c>
      <c r="T5">
        <v>0.88</v>
      </c>
      <c r="U5">
        <v>1.0900000000000001</v>
      </c>
      <c r="V5">
        <v>1.06</v>
      </c>
      <c r="W5">
        <v>1.03</v>
      </c>
      <c r="X5">
        <v>0.99</v>
      </c>
      <c r="Y5">
        <v>0.98</v>
      </c>
      <c r="Z5">
        <v>0.98</v>
      </c>
      <c r="AA5">
        <v>1.1200000000000001</v>
      </c>
      <c r="AB5">
        <f t="shared" si="2"/>
        <v>1</v>
      </c>
      <c r="AC5">
        <f t="shared" si="3"/>
        <v>8.2462112512353247E-2</v>
      </c>
    </row>
    <row r="6" spans="1:29" x14ac:dyDescent="0.3">
      <c r="A6" t="s">
        <v>18</v>
      </c>
      <c r="B6" s="2">
        <f>IF(ISODD(ID),ABS(Trend/1.1),ABS(Trend/0.8))</f>
        <v>0.70000000000000007</v>
      </c>
      <c r="D6">
        <v>2013</v>
      </c>
      <c r="E6" t="s">
        <v>5</v>
      </c>
      <c r="F6" s="8">
        <f t="shared" ca="1" si="0"/>
        <v>0.19898456787639207</v>
      </c>
      <c r="G6">
        <f ca="1">IF($A$1=0,"",ROUND(_xlfn.NORM.INV(טבלה1[[#This Row],[Rand]],A0+Trend*(ROW()-1),Std)*INDEX(SeasonalityTable,Seasonality,MATCH(טבלה1[[#This Row],[Month]],Months,0)),0))</f>
        <v>190</v>
      </c>
      <c r="H6">
        <f t="shared" si="1"/>
        <v>190.8</v>
      </c>
      <c r="I6">
        <f ca="1">טבלה1[[#This Row],[Demand]]-טבלה1[[#This Row],[est]]</f>
        <v>-0.80000000000001137</v>
      </c>
      <c r="L6" t="s">
        <v>15</v>
      </c>
      <c r="M6" s="40">
        <v>186</v>
      </c>
      <c r="O6">
        <v>4</v>
      </c>
      <c r="P6">
        <v>0.96</v>
      </c>
      <c r="Q6">
        <v>1.1299999999999999</v>
      </c>
      <c r="R6">
        <v>1.04</v>
      </c>
      <c r="S6">
        <v>1.1400000000000001</v>
      </c>
      <c r="T6">
        <v>0.92999999999999994</v>
      </c>
      <c r="U6">
        <v>0.92</v>
      </c>
      <c r="V6">
        <v>1.08</v>
      </c>
      <c r="W6">
        <v>0.85</v>
      </c>
      <c r="X6">
        <v>0.88</v>
      </c>
      <c r="Y6">
        <v>1.1100000000000001</v>
      </c>
      <c r="Z6">
        <v>1.08</v>
      </c>
      <c r="AA6">
        <v>0.88</v>
      </c>
      <c r="AB6">
        <f t="shared" si="2"/>
        <v>1</v>
      </c>
      <c r="AC6">
        <f t="shared" si="3"/>
        <v>0.10295630140986985</v>
      </c>
    </row>
    <row r="7" spans="1:29" x14ac:dyDescent="0.3">
      <c r="D7">
        <v>2013</v>
      </c>
      <c r="E7" t="s">
        <v>6</v>
      </c>
      <c r="F7" s="8">
        <f t="shared" ca="1" si="0"/>
        <v>0.93231868103268956</v>
      </c>
      <c r="G7">
        <f ca="1">IF($A$1=0,"",ROUND(_xlfn.NORM.INV(טבלה1[[#This Row],[Rand]],A0+Trend*(ROW()-1),Std)*INDEX(SeasonalityTable,Seasonality,MATCH(טבלה1[[#This Row],[Month]],Months,0)),0))</f>
        <v>167</v>
      </c>
      <c r="H7">
        <f t="shared" si="1"/>
        <v>166.48320000000001</v>
      </c>
      <c r="I7">
        <f ca="1">טבלה1[[#This Row],[Demand]]-טבלה1[[#This Row],[est]]</f>
        <v>0.51679999999998927</v>
      </c>
      <c r="L7" t="s">
        <v>16</v>
      </c>
      <c r="M7" s="40">
        <v>198</v>
      </c>
      <c r="O7">
        <v>5</v>
      </c>
      <c r="P7">
        <v>1.07</v>
      </c>
      <c r="Q7">
        <v>1.04</v>
      </c>
      <c r="R7">
        <v>0.95</v>
      </c>
      <c r="S7">
        <v>1.02</v>
      </c>
      <c r="T7">
        <v>0.9</v>
      </c>
      <c r="U7">
        <v>1.0900000000000001</v>
      </c>
      <c r="V7">
        <v>1.1000000000000001</v>
      </c>
      <c r="W7">
        <v>0.92999999999999994</v>
      </c>
      <c r="X7">
        <v>1.1200000000000001</v>
      </c>
      <c r="Y7">
        <v>0.93</v>
      </c>
      <c r="Z7">
        <v>0.88</v>
      </c>
      <c r="AA7">
        <v>0.97</v>
      </c>
      <c r="AB7">
        <f t="shared" si="2"/>
        <v>1</v>
      </c>
      <c r="AC7">
        <f t="shared" si="3"/>
        <v>8.0104098937986146E-2</v>
      </c>
    </row>
    <row r="8" spans="1:29" x14ac:dyDescent="0.3">
      <c r="A8" t="s">
        <v>20</v>
      </c>
      <c r="B8">
        <f>A0+60.5*Trend</f>
        <v>221.88</v>
      </c>
      <c r="D8">
        <v>2013</v>
      </c>
      <c r="E8" t="s">
        <v>7</v>
      </c>
      <c r="F8" s="8">
        <f t="shared" ca="1" si="0"/>
        <v>0.85605591451655072</v>
      </c>
      <c r="G8">
        <f ca="1">IF($A$1=0,"",ROUND(_xlfn.NORM.INV(טבלה1[[#This Row],[Rand]],A0+Trend*(ROW()-1),Std)*INDEX(SeasonalityTable,Seasonality,MATCH(טבלה1[[#This Row],[Month]],Months,0)),0))</f>
        <v>206</v>
      </c>
      <c r="H8">
        <f t="shared" si="1"/>
        <v>205.3544</v>
      </c>
      <c r="I8">
        <f ca="1">טבלה1[[#This Row],[Demand]]-טבלה1[[#This Row],[est]]</f>
        <v>0.64560000000000173</v>
      </c>
      <c r="L8" t="s">
        <v>5</v>
      </c>
      <c r="M8" s="40">
        <v>190</v>
      </c>
      <c r="O8">
        <v>6</v>
      </c>
      <c r="P8">
        <v>0.88</v>
      </c>
      <c r="Q8">
        <v>0.99</v>
      </c>
      <c r="R8">
        <v>1.1200000000000001</v>
      </c>
      <c r="S8">
        <v>1.03</v>
      </c>
      <c r="T8">
        <v>0.91</v>
      </c>
      <c r="U8">
        <v>1.05</v>
      </c>
      <c r="V8">
        <v>0.92999999999999994</v>
      </c>
      <c r="W8">
        <v>1.1100000000000001</v>
      </c>
      <c r="X8">
        <v>0.95</v>
      </c>
      <c r="Y8">
        <v>1.08</v>
      </c>
      <c r="Z8">
        <v>0.91</v>
      </c>
      <c r="AA8">
        <v>1.04</v>
      </c>
      <c r="AB8">
        <f t="shared" si="2"/>
        <v>1</v>
      </c>
      <c r="AC8">
        <f t="shared" si="3"/>
        <v>7.958224257542218E-2</v>
      </c>
    </row>
    <row r="9" spans="1:29" x14ac:dyDescent="0.3">
      <c r="B9" s="2"/>
      <c r="D9">
        <v>2013</v>
      </c>
      <c r="E9" t="s">
        <v>8</v>
      </c>
      <c r="F9" s="8">
        <f t="shared" ca="1" si="0"/>
        <v>0.98229240554597763</v>
      </c>
      <c r="G9">
        <f ca="1">IF($A$1=0,"",ROUND(_xlfn.NORM.INV(טבלה1[[#This Row],[Rand]],A0+Trend*(ROW()-1),Std)*INDEX(SeasonalityTable,Seasonality,MATCH(טבלה1[[#This Row],[Month]],Months,0)),0))</f>
        <v>221</v>
      </c>
      <c r="H9">
        <f t="shared" si="1"/>
        <v>219.42719999999997</v>
      </c>
      <c r="I9">
        <f ca="1">טבלה1[[#This Row],[Demand]]-טבלה1[[#This Row],[est]]</f>
        <v>1.5728000000000293</v>
      </c>
      <c r="L9" t="s">
        <v>6</v>
      </c>
      <c r="M9" s="40">
        <v>167</v>
      </c>
      <c r="O9">
        <v>7</v>
      </c>
      <c r="P9">
        <v>1.05</v>
      </c>
      <c r="Q9">
        <v>1.1000000000000001</v>
      </c>
      <c r="R9">
        <v>0.93</v>
      </c>
      <c r="S9">
        <v>0.96</v>
      </c>
      <c r="T9">
        <v>1</v>
      </c>
      <c r="U9">
        <v>1.1400000000000001</v>
      </c>
      <c r="V9">
        <v>1.03</v>
      </c>
      <c r="W9">
        <v>1.1000000000000001</v>
      </c>
      <c r="X9">
        <v>0.86</v>
      </c>
      <c r="Y9">
        <v>0.94</v>
      </c>
      <c r="Z9">
        <v>0.89</v>
      </c>
      <c r="AA9">
        <v>1</v>
      </c>
      <c r="AB9">
        <f t="shared" si="2"/>
        <v>1.0000000000000002</v>
      </c>
      <c r="AC9">
        <f t="shared" si="3"/>
        <v>8.4063468086123305E-2</v>
      </c>
    </row>
    <row r="10" spans="1:29" x14ac:dyDescent="0.3">
      <c r="B10">
        <f>10*Std</f>
        <v>7.0000000000000009</v>
      </c>
      <c r="D10">
        <v>2013</v>
      </c>
      <c r="E10" t="s">
        <v>9</v>
      </c>
      <c r="F10" s="8">
        <f t="shared" ca="1" si="0"/>
        <v>0.65625716383501986</v>
      </c>
      <c r="G10">
        <f ca="1">IF($A$1=0,"",ROUND(_xlfn.NORM.INV(טבלה1[[#This Row],[Rand]],A0+Trend*(ROW()-1),Std)*INDEX(SeasonalityTable,Seasonality,MATCH(טבלה1[[#This Row],[Month]],Months,0)),0))</f>
        <v>172</v>
      </c>
      <c r="H10">
        <f t="shared" si="1"/>
        <v>171.8056</v>
      </c>
      <c r="I10">
        <f ca="1">טבלה1[[#This Row],[Demand]]-טבלה1[[#This Row],[est]]</f>
        <v>0.19440000000000168</v>
      </c>
      <c r="L10" t="s">
        <v>7</v>
      </c>
      <c r="M10" s="40">
        <v>204</v>
      </c>
      <c r="O10">
        <v>8</v>
      </c>
      <c r="P10">
        <v>1.03</v>
      </c>
      <c r="Q10">
        <v>0.87</v>
      </c>
      <c r="R10">
        <v>0.96</v>
      </c>
      <c r="S10">
        <v>1.0900000000000001</v>
      </c>
      <c r="T10">
        <v>1.08</v>
      </c>
      <c r="U10">
        <v>0.92999999999999994</v>
      </c>
      <c r="V10">
        <v>0.88</v>
      </c>
      <c r="W10">
        <v>1</v>
      </c>
      <c r="X10">
        <v>0.86</v>
      </c>
      <c r="Y10">
        <v>1.1000000000000001</v>
      </c>
      <c r="Z10">
        <v>1.05</v>
      </c>
      <c r="AA10">
        <v>1.1499999999999999</v>
      </c>
      <c r="AB10">
        <f t="shared" si="2"/>
        <v>1</v>
      </c>
      <c r="AC10">
        <f t="shared" si="3"/>
        <v>9.4780448054086225E-2</v>
      </c>
    </row>
    <row r="11" spans="1:29" x14ac:dyDescent="0.3">
      <c r="D11">
        <v>2013</v>
      </c>
      <c r="E11" t="s">
        <v>10</v>
      </c>
      <c r="F11" s="8">
        <f t="shared" ca="1" si="0"/>
        <v>0.88190598407736287</v>
      </c>
      <c r="G11">
        <f ca="1">IF($A$1=0,"",ROUND(_xlfn.NORM.INV(טבלה1[[#This Row],[Rand]],A0+Trend*(ROW()-1),Std)*INDEX(SeasonalityTable,Seasonality,MATCH(טבלה1[[#This Row],[Month]],Months,0)),0))</f>
        <v>206</v>
      </c>
      <c r="H11">
        <f t="shared" si="1"/>
        <v>205.21600000000001</v>
      </c>
      <c r="I11">
        <f ca="1">טבלה1[[#This Row],[Demand]]-טבלה1[[#This Row],[est]]</f>
        <v>0.78399999999999181</v>
      </c>
      <c r="L11" t="s">
        <v>8</v>
      </c>
      <c r="M11" s="40">
        <v>220</v>
      </c>
      <c r="O11">
        <v>9</v>
      </c>
      <c r="P11">
        <v>0.87</v>
      </c>
      <c r="Q11">
        <v>0.97</v>
      </c>
      <c r="R11">
        <v>1.06</v>
      </c>
      <c r="S11">
        <v>0.9</v>
      </c>
      <c r="T11">
        <v>1.0900000000000001</v>
      </c>
      <c r="U11">
        <v>1.02</v>
      </c>
      <c r="V11">
        <v>0.9</v>
      </c>
      <c r="W11">
        <v>1.04</v>
      </c>
      <c r="X11">
        <v>1.1299999999999999</v>
      </c>
      <c r="Y11">
        <v>0.85</v>
      </c>
      <c r="Z11">
        <v>1.06</v>
      </c>
      <c r="AA11">
        <v>1.1100000000000001</v>
      </c>
      <c r="AB11">
        <f t="shared" si="2"/>
        <v>1</v>
      </c>
      <c r="AC11">
        <f t="shared" si="3"/>
        <v>9.4251436770657962E-2</v>
      </c>
    </row>
    <row r="12" spans="1:29" x14ac:dyDescent="0.3">
      <c r="D12">
        <v>2013</v>
      </c>
      <c r="E12" t="s">
        <v>11</v>
      </c>
      <c r="F12" s="8">
        <f t="shared" ca="1" si="0"/>
        <v>0.40544369824928128</v>
      </c>
      <c r="G12">
        <f ca="1">IF($A$1=0,"",ROUND(_xlfn.NORM.INV(טבלה1[[#This Row],[Rand]],A0+Trend*(ROW()-1),Std)*INDEX(SeasonalityTable,Seasonality,MATCH(טבלה1[[#This Row],[Month]],Months,0)),0))</f>
        <v>188</v>
      </c>
      <c r="H12">
        <f t="shared" si="1"/>
        <v>188.33519999999999</v>
      </c>
      <c r="I12">
        <f ca="1">טבלה1[[#This Row],[Demand]]-טבלה1[[#This Row],[est]]</f>
        <v>-0.33519999999998618</v>
      </c>
      <c r="L12" t="s">
        <v>9</v>
      </c>
      <c r="M12" s="40">
        <v>172</v>
      </c>
      <c r="O12">
        <v>10</v>
      </c>
      <c r="P12">
        <v>1.05</v>
      </c>
      <c r="Q12">
        <v>0.87</v>
      </c>
      <c r="R12">
        <v>0.94</v>
      </c>
      <c r="S12">
        <v>1.1299999999999999</v>
      </c>
      <c r="T12">
        <v>0.91</v>
      </c>
      <c r="U12">
        <v>1.08</v>
      </c>
      <c r="V12">
        <v>1.1100000000000001</v>
      </c>
      <c r="W12">
        <v>0.87</v>
      </c>
      <c r="X12">
        <v>1.1400000000000001</v>
      </c>
      <c r="Y12">
        <v>1.04</v>
      </c>
      <c r="Z12">
        <v>0.98</v>
      </c>
      <c r="AA12">
        <v>0.88</v>
      </c>
      <c r="AB12">
        <f t="shared" si="2"/>
        <v>1.0000000000000002</v>
      </c>
      <c r="AC12">
        <f t="shared" si="3"/>
        <v>9.9749686716300051E-2</v>
      </c>
    </row>
    <row r="13" spans="1:29" x14ac:dyDescent="0.3">
      <c r="D13">
        <v>2013</v>
      </c>
      <c r="E13" t="s">
        <v>12</v>
      </c>
      <c r="F13" s="8">
        <f t="shared" ca="1" si="0"/>
        <v>2.5332545726523881E-2</v>
      </c>
      <c r="G13">
        <f ca="1">IF($A$1=0,"",ROUND(_xlfn.NORM.INV(טבלה1[[#This Row],[Rand]],A0+Trend*(ROW()-1),Std)*INDEX(SeasonalityTable,Seasonality,MATCH(טבלה1[[#This Row],[Month]],Months,0)),0))</f>
        <v>199</v>
      </c>
      <c r="H13">
        <f t="shared" si="1"/>
        <v>200.5616</v>
      </c>
      <c r="I13">
        <f ca="1">טבלה1[[#This Row],[Demand]]-טבלה1[[#This Row],[est]]</f>
        <v>-1.5615999999999985</v>
      </c>
      <c r="L13" t="s">
        <v>10</v>
      </c>
      <c r="M13" s="40">
        <v>206</v>
      </c>
      <c r="O13">
        <v>11</v>
      </c>
      <c r="P13">
        <v>1.05</v>
      </c>
      <c r="Q13">
        <v>0.9</v>
      </c>
      <c r="R13">
        <v>0.98</v>
      </c>
      <c r="S13">
        <v>1.04</v>
      </c>
      <c r="T13">
        <v>1</v>
      </c>
      <c r="U13">
        <v>0.87</v>
      </c>
      <c r="V13">
        <v>1.07</v>
      </c>
      <c r="W13">
        <v>1.1399999999999999</v>
      </c>
      <c r="X13">
        <v>0.89</v>
      </c>
      <c r="Y13">
        <v>1.06</v>
      </c>
      <c r="Z13">
        <v>0.97</v>
      </c>
      <c r="AA13">
        <v>1.03</v>
      </c>
      <c r="AB13">
        <f t="shared" si="2"/>
        <v>1.0000000000000002</v>
      </c>
      <c r="AC13">
        <f t="shared" si="3"/>
        <v>7.8209121377667098E-2</v>
      </c>
    </row>
    <row r="14" spans="1:29" x14ac:dyDescent="0.3">
      <c r="A14" t="s">
        <v>27</v>
      </c>
      <c r="B14" s="7">
        <f>(121*241/6-60.5^2)</f>
        <v>1199.916666666667</v>
      </c>
      <c r="D14">
        <f>D2+1</f>
        <v>2014</v>
      </c>
      <c r="E14" t="s">
        <v>13</v>
      </c>
      <c r="F14" s="8">
        <f t="shared" ca="1" si="0"/>
        <v>5.7570674215010609E-3</v>
      </c>
      <c r="G14">
        <f ca="1">IF($A$1=0,"",ROUND(_xlfn.NORM.INV(טבלה1[[#This Row],[Rand]],A0+Trend*(ROW()-1),Std)*INDEX(SeasonalityTable,Seasonality,MATCH(טבלה1[[#This Row],[Month]],Months,0)),0))</f>
        <v>203</v>
      </c>
      <c r="H14">
        <f t="shared" si="1"/>
        <v>205.04400000000001</v>
      </c>
      <c r="I14">
        <f ca="1">טבלה1[[#This Row],[Demand]]-טבלה1[[#This Row],[est]]</f>
        <v>-2.0440000000000111</v>
      </c>
      <c r="L14" t="s">
        <v>11</v>
      </c>
      <c r="M14" s="40">
        <v>190</v>
      </c>
    </row>
    <row r="15" spans="1:29" x14ac:dyDescent="0.3">
      <c r="A15" t="s">
        <v>28</v>
      </c>
      <c r="B15" s="7">
        <f>(INDEX($AC$3:$AC$13,Seasonality))^2*avg^2</f>
        <v>301.1279920799999</v>
      </c>
      <c r="D15">
        <f t="shared" ref="D15:D78" si="4">D3+1</f>
        <v>2014</v>
      </c>
      <c r="E15" t="s">
        <v>14</v>
      </c>
      <c r="F15" s="8">
        <f t="shared" ca="1" si="0"/>
        <v>0.35655381725339808</v>
      </c>
      <c r="G15">
        <f ca="1">IF($A$1=0,"",ROUND(_xlfn.NORM.INV(טבלה1[[#This Row],[Rand]],A0+Trend*(ROW()-1),Std)*INDEX(SeasonalityTable,Seasonality,MATCH(טבלה1[[#This Row],[Month]],Months,0)),0))</f>
        <v>176</v>
      </c>
      <c r="H15">
        <f t="shared" si="1"/>
        <v>176.256</v>
      </c>
      <c r="I15">
        <f ca="1">טבלה1[[#This Row],[Demand]]-טבלה1[[#This Row],[est]]</f>
        <v>-0.25600000000000023</v>
      </c>
      <c r="L15" t="s">
        <v>12</v>
      </c>
      <c r="M15" s="40">
        <v>201</v>
      </c>
    </row>
    <row r="16" spans="1:29" x14ac:dyDescent="0.3">
      <c r="A16" t="s">
        <v>29</v>
      </c>
      <c r="B16" s="7">
        <f>SUM(B14:B15)</f>
        <v>1501.0446587466668</v>
      </c>
      <c r="D16">
        <f t="shared" si="4"/>
        <v>2014</v>
      </c>
      <c r="E16" t="s">
        <v>15</v>
      </c>
      <c r="F16" s="8">
        <f t="shared" ca="1" si="0"/>
        <v>0.96765240621950499</v>
      </c>
      <c r="G16">
        <f ca="1">IF($A$1=0,"",ROUND(_xlfn.NORM.INV(טבלה1[[#This Row],[Rand]],A0+Trend*(ROW()-1),Std)*INDEX(SeasonalityTable,Seasonality,MATCH(טבלה1[[#This Row],[Month]],Months,0)),0))</f>
        <v>194</v>
      </c>
      <c r="H16">
        <f t="shared" si="1"/>
        <v>192.47200000000001</v>
      </c>
      <c r="I16">
        <f ca="1">טבלה1[[#This Row],[Demand]]-טבלה1[[#This Row],[est]]</f>
        <v>1.5279999999999916</v>
      </c>
      <c r="K16">
        <v>2014</v>
      </c>
      <c r="L16" t="s">
        <v>13</v>
      </c>
      <c r="M16" s="40">
        <v>204</v>
      </c>
    </row>
    <row r="17" spans="1:28" x14ac:dyDescent="0.3">
      <c r="A17" t="s">
        <v>30</v>
      </c>
      <c r="B17">
        <f>B14/B16</f>
        <v>0.79938771952898868</v>
      </c>
      <c r="D17">
        <f t="shared" si="4"/>
        <v>2014</v>
      </c>
      <c r="E17" t="s">
        <v>16</v>
      </c>
      <c r="F17" s="8">
        <f t="shared" ca="1" si="0"/>
        <v>0.28920467851386944</v>
      </c>
      <c r="G17">
        <f ca="1">IF($A$1=0,"",ROUND(_xlfn.NORM.INV(טבלה1[[#This Row],[Rand]],A0+Trend*(ROW()-1),Std)*INDEX(SeasonalityTable,Seasonality,MATCH(טבלה1[[#This Row],[Month]],Months,0)),0))</f>
        <v>204</v>
      </c>
      <c r="H17">
        <f t="shared" si="1"/>
        <v>204.83840000000001</v>
      </c>
      <c r="I17">
        <f ca="1">טבלה1[[#This Row],[Demand]]-טבלה1[[#This Row],[est]]</f>
        <v>-0.83840000000000714</v>
      </c>
      <c r="L17" t="s">
        <v>14</v>
      </c>
      <c r="M17" s="40">
        <v>177</v>
      </c>
      <c r="P17" t="s">
        <v>13</v>
      </c>
      <c r="Q17" t="s">
        <v>14</v>
      </c>
      <c r="R17" t="s">
        <v>15</v>
      </c>
      <c r="S17" t="s">
        <v>16</v>
      </c>
      <c r="T17" t="s">
        <v>5</v>
      </c>
      <c r="U17" t="s">
        <v>6</v>
      </c>
      <c r="V17" t="s">
        <v>7</v>
      </c>
      <c r="W17" t="s">
        <v>8</v>
      </c>
      <c r="X17" t="s">
        <v>9</v>
      </c>
      <c r="Y17" t="s">
        <v>10</v>
      </c>
      <c r="Z17" t="s">
        <v>11</v>
      </c>
      <c r="AA17" t="s">
        <v>12</v>
      </c>
    </row>
    <row r="18" spans="1:28" x14ac:dyDescent="0.3">
      <c r="D18">
        <f t="shared" si="4"/>
        <v>2014</v>
      </c>
      <c r="E18" t="s">
        <v>5</v>
      </c>
      <c r="F18" s="8">
        <f t="shared" ca="1" si="0"/>
        <v>0.46280753263251506</v>
      </c>
      <c r="G18">
        <f ca="1">IF($A$1=0,"",ROUND(_xlfn.NORM.INV(טבלה1[[#This Row],[Rand]],A0+Trend*(ROW()-1),Std)*INDEX(SeasonalityTable,Seasonality,MATCH(טבלה1[[#This Row],[Month]],Months,0)),0))</f>
        <v>197</v>
      </c>
      <c r="H18">
        <f t="shared" si="1"/>
        <v>197.52</v>
      </c>
      <c r="I18">
        <f ca="1">טבלה1[[#This Row],[Demand]]-טבלה1[[#This Row],[est]]</f>
        <v>-0.52000000000001023</v>
      </c>
      <c r="L18" t="s">
        <v>15</v>
      </c>
      <c r="M18" s="40">
        <v>193</v>
      </c>
      <c r="O18">
        <v>2012</v>
      </c>
      <c r="P18" t="e">
        <f t="shared" ref="P18:S18" si="5">GETPIVOTDATA("Demand",$K$2,"Year",$O18,"Month",P$17)</f>
        <v>#REF!</v>
      </c>
      <c r="Q18" t="e">
        <f t="shared" si="5"/>
        <v>#REF!</v>
      </c>
      <c r="R18" t="e">
        <f t="shared" si="5"/>
        <v>#REF!</v>
      </c>
      <c r="S18" t="e">
        <f t="shared" si="5"/>
        <v>#REF!</v>
      </c>
      <c r="T18" t="e">
        <f>GETPIVOTDATA("Demand",$K$2,"Year",$O18,"Month",T$17)</f>
        <v>#REF!</v>
      </c>
      <c r="U18" t="e">
        <f t="shared" ref="U18:AA19" si="6">GETPIVOTDATA("Demand",$K$2,"Year",$O18,"Month",U$17)</f>
        <v>#REF!</v>
      </c>
      <c r="V18" t="e">
        <f t="shared" si="6"/>
        <v>#REF!</v>
      </c>
      <c r="W18" t="e">
        <f t="shared" si="6"/>
        <v>#REF!</v>
      </c>
      <c r="X18" t="e">
        <f t="shared" si="6"/>
        <v>#REF!</v>
      </c>
      <c r="Y18" t="e">
        <f t="shared" si="6"/>
        <v>#REF!</v>
      </c>
      <c r="Z18" t="e">
        <f t="shared" si="6"/>
        <v>#REF!</v>
      </c>
      <c r="AA18" t="e">
        <f t="shared" si="6"/>
        <v>#REF!</v>
      </c>
    </row>
    <row r="19" spans="1:28" x14ac:dyDescent="0.3">
      <c r="D19">
        <f t="shared" si="4"/>
        <v>2014</v>
      </c>
      <c r="E19" t="s">
        <v>6</v>
      </c>
      <c r="F19" s="8">
        <f t="shared" ca="1" si="0"/>
        <v>0.89568709527239154</v>
      </c>
      <c r="G19">
        <f ca="1">IF($A$1=0,"",ROUND(_xlfn.NORM.INV(טבלה1[[#This Row],[Rand]],A0+Trend*(ROW()-1),Std)*INDEX(SeasonalityTable,Seasonality,MATCH(טבלה1[[#This Row],[Month]],Months,0)),0))</f>
        <v>173</v>
      </c>
      <c r="H19">
        <f t="shared" si="1"/>
        <v>172.3296</v>
      </c>
      <c r="I19">
        <f ca="1">טבלה1[[#This Row],[Demand]]-טבלה1[[#This Row],[est]]</f>
        <v>0.67040000000000077</v>
      </c>
      <c r="L19" t="s">
        <v>16</v>
      </c>
      <c r="M19" s="40">
        <v>205</v>
      </c>
      <c r="O19">
        <v>2013</v>
      </c>
      <c r="P19">
        <f t="shared" ref="P19:AA27" si="7">GETPIVOTDATA("Demand",$K$2,"Year",$O19,"Month",P$17)</f>
        <v>199</v>
      </c>
      <c r="Q19">
        <f t="shared" si="7"/>
        <v>170</v>
      </c>
      <c r="R19">
        <f t="shared" si="7"/>
        <v>186</v>
      </c>
      <c r="S19">
        <f t="shared" si="7"/>
        <v>198</v>
      </c>
      <c r="T19">
        <f>GETPIVOTDATA("Demand",$K$2,"Year",$O19,"Month",T$17)</f>
        <v>190</v>
      </c>
      <c r="U19">
        <f t="shared" si="6"/>
        <v>167</v>
      </c>
      <c r="V19">
        <f t="shared" si="6"/>
        <v>204</v>
      </c>
      <c r="W19">
        <f t="shared" si="6"/>
        <v>220</v>
      </c>
      <c r="X19">
        <f t="shared" si="6"/>
        <v>172</v>
      </c>
      <c r="Y19">
        <f t="shared" si="6"/>
        <v>206</v>
      </c>
      <c r="Z19">
        <f t="shared" si="6"/>
        <v>190</v>
      </c>
      <c r="AA19">
        <f t="shared" si="6"/>
        <v>201</v>
      </c>
    </row>
    <row r="20" spans="1:28" x14ac:dyDescent="0.3">
      <c r="A20" t="s">
        <v>33</v>
      </c>
      <c r="B20">
        <f>A0+120*Trend</f>
        <v>255.2</v>
      </c>
      <c r="D20">
        <f t="shared" si="4"/>
        <v>2014</v>
      </c>
      <c r="E20" t="s">
        <v>7</v>
      </c>
      <c r="F20" s="8">
        <f t="shared" ca="1" si="0"/>
        <v>0.88893902347104914</v>
      </c>
      <c r="G20">
        <f ca="1">IF($A$1=0,"",ROUND(_xlfn.NORM.INV(טבלה1[[#This Row],[Rand]],A0+Trend*(ROW()-1),Std)*INDEX(SeasonalityTable,Seasonality,MATCH(טבלה1[[#This Row],[Month]],Months,0)),0))</f>
        <v>213</v>
      </c>
      <c r="H20">
        <f t="shared" si="1"/>
        <v>212.54480000000001</v>
      </c>
      <c r="I20">
        <f ca="1">טבלה1[[#This Row],[Demand]]-טבלה1[[#This Row],[est]]</f>
        <v>0.45519999999999072</v>
      </c>
      <c r="L20" t="s">
        <v>5</v>
      </c>
      <c r="M20" s="40">
        <v>199</v>
      </c>
      <c r="O20">
        <v>2014</v>
      </c>
      <c r="P20">
        <f t="shared" si="7"/>
        <v>204</v>
      </c>
      <c r="Q20">
        <f t="shared" si="7"/>
        <v>177</v>
      </c>
      <c r="R20">
        <f t="shared" si="7"/>
        <v>193</v>
      </c>
      <c r="S20">
        <f t="shared" si="7"/>
        <v>205</v>
      </c>
      <c r="T20">
        <f t="shared" si="7"/>
        <v>199</v>
      </c>
      <c r="U20">
        <f t="shared" si="7"/>
        <v>172</v>
      </c>
      <c r="V20">
        <f t="shared" si="7"/>
        <v>212</v>
      </c>
      <c r="W20">
        <f t="shared" si="7"/>
        <v>227</v>
      </c>
      <c r="X20">
        <f t="shared" si="7"/>
        <v>177</v>
      </c>
      <c r="Y20">
        <f t="shared" si="7"/>
        <v>212</v>
      </c>
      <c r="Z20">
        <f t="shared" si="7"/>
        <v>194</v>
      </c>
      <c r="AA20">
        <f t="shared" si="7"/>
        <v>208</v>
      </c>
    </row>
    <row r="21" spans="1:28" x14ac:dyDescent="0.3">
      <c r="A21" t="s">
        <v>34</v>
      </c>
      <c r="B21">
        <f>Trend</f>
        <v>0.56000000000000005</v>
      </c>
      <c r="D21">
        <f t="shared" si="4"/>
        <v>2014</v>
      </c>
      <c r="E21" t="s">
        <v>8</v>
      </c>
      <c r="F21" s="8">
        <f t="shared" ca="1" si="0"/>
        <v>0.57127401173265679</v>
      </c>
      <c r="G21">
        <f ca="1">IF($A$1=0,"",ROUND(_xlfn.NORM.INV(טבלה1[[#This Row],[Rand]],A0+Trend*(ROW()-1),Std)*INDEX(SeasonalityTable,Seasonality,MATCH(טבלה1[[#This Row],[Month]],Months,0)),0))</f>
        <v>227</v>
      </c>
      <c r="H21">
        <f t="shared" si="1"/>
        <v>227.08799999999997</v>
      </c>
      <c r="I21">
        <f ca="1">טבלה1[[#This Row],[Demand]]-טבלה1[[#This Row],[est]]</f>
        <v>-8.7999999999965439E-2</v>
      </c>
      <c r="L21" t="s">
        <v>6</v>
      </c>
      <c r="M21" s="40">
        <v>172</v>
      </c>
      <c r="O21">
        <v>2015</v>
      </c>
      <c r="P21">
        <f t="shared" si="7"/>
        <v>212</v>
      </c>
      <c r="Q21">
        <f t="shared" si="7"/>
        <v>184</v>
      </c>
      <c r="R21">
        <f t="shared" si="7"/>
        <v>199</v>
      </c>
      <c r="S21">
        <f t="shared" si="7"/>
        <v>211</v>
      </c>
      <c r="T21">
        <f t="shared" si="7"/>
        <v>204</v>
      </c>
      <c r="U21">
        <f t="shared" si="7"/>
        <v>178</v>
      </c>
      <c r="V21">
        <f t="shared" si="7"/>
        <v>222</v>
      </c>
      <c r="W21">
        <f t="shared" si="7"/>
        <v>234</v>
      </c>
      <c r="X21">
        <f t="shared" si="7"/>
        <v>184</v>
      </c>
      <c r="Y21">
        <f t="shared" si="7"/>
        <v>219</v>
      </c>
      <c r="Z21">
        <f t="shared" si="7"/>
        <v>202</v>
      </c>
      <c r="AA21">
        <f t="shared" si="7"/>
        <v>214</v>
      </c>
    </row>
    <row r="22" spans="1:28" x14ac:dyDescent="0.3">
      <c r="A22" t="s">
        <v>35</v>
      </c>
      <c r="B22" s="9">
        <f>(B$20+20*B$21)*INDEX(SeasonalityTable,Seasonality,8)</f>
        <v>303.69599999999997</v>
      </c>
      <c r="D22">
        <f t="shared" si="4"/>
        <v>2014</v>
      </c>
      <c r="E22" t="s">
        <v>9</v>
      </c>
      <c r="F22" s="8">
        <f t="shared" ca="1" si="0"/>
        <v>0.51391148936807052</v>
      </c>
      <c r="G22">
        <f ca="1">IF($A$1=0,"",ROUND(_xlfn.NORM.INV(טבלה1[[#This Row],[Rand]],A0+Trend*(ROW()-1),Std)*INDEX(SeasonalityTable,Seasonality,MATCH(טבלה1[[#This Row],[Month]],Months,0)),0))</f>
        <v>178</v>
      </c>
      <c r="H22">
        <f t="shared" si="1"/>
        <v>177.78639999999999</v>
      </c>
      <c r="I22">
        <f ca="1">טבלה1[[#This Row],[Demand]]-טבלה1[[#This Row],[est]]</f>
        <v>0.21360000000001378</v>
      </c>
      <c r="L22" t="s">
        <v>7</v>
      </c>
      <c r="M22" s="40">
        <v>212</v>
      </c>
      <c r="O22">
        <v>2016</v>
      </c>
      <c r="P22">
        <f t="shared" si="7"/>
        <v>218</v>
      </c>
      <c r="Q22">
        <f t="shared" si="7"/>
        <v>188</v>
      </c>
      <c r="R22">
        <f t="shared" si="7"/>
        <v>204</v>
      </c>
      <c r="S22">
        <f t="shared" si="7"/>
        <v>218</v>
      </c>
      <c r="T22">
        <f t="shared" si="7"/>
        <v>211</v>
      </c>
      <c r="U22">
        <f t="shared" si="7"/>
        <v>185</v>
      </c>
      <c r="V22">
        <f t="shared" si="7"/>
        <v>227</v>
      </c>
      <c r="W22">
        <f t="shared" si="7"/>
        <v>243</v>
      </c>
      <c r="X22">
        <f t="shared" si="7"/>
        <v>189</v>
      </c>
      <c r="Y22">
        <f t="shared" si="7"/>
        <v>226</v>
      </c>
      <c r="Z22">
        <f t="shared" si="7"/>
        <v>208</v>
      </c>
      <c r="AA22">
        <f t="shared" si="7"/>
        <v>220</v>
      </c>
    </row>
    <row r="23" spans="1:28" x14ac:dyDescent="0.3">
      <c r="A23" t="s">
        <v>36</v>
      </c>
      <c r="B23" s="9">
        <f>(B$20+2*B$21)*INDEX(SeasonalityTable,Seasonality,2)</f>
        <v>230.68799999999999</v>
      </c>
      <c r="D23">
        <f t="shared" si="4"/>
        <v>2014</v>
      </c>
      <c r="E23" t="s">
        <v>10</v>
      </c>
      <c r="F23" s="8">
        <f t="shared" ca="1" si="0"/>
        <v>0.31655677575658281</v>
      </c>
      <c r="G23">
        <f ca="1">IF($A$1=0,"",ROUND(_xlfn.NORM.INV(טבלה1[[#This Row],[Rand]],A0+Trend*(ROW()-1),Std)*INDEX(SeasonalityTable,Seasonality,MATCH(טבלה1[[#This Row],[Month]],Months,0)),0))</f>
        <v>212</v>
      </c>
      <c r="H23">
        <f t="shared" si="1"/>
        <v>212.33920000000001</v>
      </c>
      <c r="I23">
        <f ca="1">טבלה1[[#This Row],[Demand]]-טבלה1[[#This Row],[est]]</f>
        <v>-0.33920000000000528</v>
      </c>
      <c r="L23" t="s">
        <v>8</v>
      </c>
      <c r="M23" s="40">
        <v>227</v>
      </c>
      <c r="O23">
        <v>2017</v>
      </c>
      <c r="P23">
        <f t="shared" si="7"/>
        <v>226</v>
      </c>
      <c r="Q23">
        <f t="shared" si="7"/>
        <v>195</v>
      </c>
      <c r="R23">
        <f t="shared" si="7"/>
        <v>212</v>
      </c>
      <c r="S23">
        <f t="shared" si="7"/>
        <v>226</v>
      </c>
      <c r="T23">
        <f t="shared" si="7"/>
        <v>219</v>
      </c>
      <c r="U23">
        <f t="shared" si="7"/>
        <v>189</v>
      </c>
      <c r="V23">
        <f t="shared" si="7"/>
        <v>233</v>
      </c>
      <c r="W23">
        <f t="shared" si="7"/>
        <v>251</v>
      </c>
      <c r="X23">
        <f t="shared" si="7"/>
        <v>195</v>
      </c>
      <c r="Y23">
        <f t="shared" si="7"/>
        <v>234</v>
      </c>
      <c r="Z23">
        <f t="shared" si="7"/>
        <v>214</v>
      </c>
      <c r="AA23">
        <f t="shared" si="7"/>
        <v>228</v>
      </c>
    </row>
    <row r="24" spans="1:28" x14ac:dyDescent="0.3">
      <c r="A24" t="s">
        <v>37</v>
      </c>
      <c r="B24" s="9">
        <f>(B$20+3*B$21)*INDEX(SeasonalityTable,Seasonality,3)</f>
        <v>251.7424</v>
      </c>
      <c r="D24">
        <f t="shared" si="4"/>
        <v>2014</v>
      </c>
      <c r="E24" t="s">
        <v>11</v>
      </c>
      <c r="F24" s="8">
        <f t="shared" ca="1" si="0"/>
        <v>0.71989459842881665</v>
      </c>
      <c r="G24">
        <f ca="1">IF($A$1=0,"",ROUND(_xlfn.NORM.INV(טבלה1[[#This Row],[Rand]],A0+Trend*(ROW()-1),Std)*INDEX(SeasonalityTable,Seasonality,MATCH(טבלה1[[#This Row],[Month]],Months,0)),0))</f>
        <v>195</v>
      </c>
      <c r="H24">
        <f t="shared" si="1"/>
        <v>194.8536</v>
      </c>
      <c r="I24">
        <f ca="1">טבלה1[[#This Row],[Demand]]-טבלה1[[#This Row],[est]]</f>
        <v>0.14639999999999986</v>
      </c>
      <c r="L24" t="s">
        <v>9</v>
      </c>
      <c r="M24" s="40">
        <v>177</v>
      </c>
      <c r="O24">
        <v>2018</v>
      </c>
      <c r="P24">
        <f t="shared" si="7"/>
        <v>232</v>
      </c>
      <c r="Q24">
        <f t="shared" si="7"/>
        <v>200</v>
      </c>
      <c r="R24">
        <f t="shared" si="7"/>
        <v>219</v>
      </c>
      <c r="S24">
        <f t="shared" si="7"/>
        <v>234</v>
      </c>
      <c r="T24">
        <f t="shared" si="7"/>
        <v>223</v>
      </c>
      <c r="U24">
        <f t="shared" si="7"/>
        <v>196</v>
      </c>
      <c r="V24">
        <f t="shared" si="7"/>
        <v>242</v>
      </c>
      <c r="W24">
        <f t="shared" si="7"/>
        <v>259</v>
      </c>
      <c r="X24">
        <f t="shared" si="7"/>
        <v>201</v>
      </c>
      <c r="Y24">
        <f t="shared" si="7"/>
        <v>241</v>
      </c>
      <c r="Z24">
        <f t="shared" si="7"/>
        <v>222</v>
      </c>
      <c r="AA24">
        <f t="shared" si="7"/>
        <v>235</v>
      </c>
    </row>
    <row r="25" spans="1:28" x14ac:dyDescent="0.3">
      <c r="A25" t="s">
        <v>38</v>
      </c>
      <c r="B25" s="9">
        <f>(B$20+4*B$21)*INDEX(SeasonalityTable,Seasonality,4)</f>
        <v>267.73759999999999</v>
      </c>
      <c r="D25">
        <f t="shared" si="4"/>
        <v>2014</v>
      </c>
      <c r="E25" t="s">
        <v>12</v>
      </c>
      <c r="F25" s="8">
        <f t="shared" ca="1" si="0"/>
        <v>0.82946505245270408</v>
      </c>
      <c r="G25">
        <f ca="1">IF($A$1=0,"",ROUND(_xlfn.NORM.INV(טבלה1[[#This Row],[Rand]],A0+Trend*(ROW()-1),Std)*INDEX(SeasonalityTable,Seasonality,MATCH(טבלה1[[#This Row],[Month]],Months,0)),0))</f>
        <v>208</v>
      </c>
      <c r="H25">
        <f t="shared" si="1"/>
        <v>207.48320000000001</v>
      </c>
      <c r="I25">
        <f ca="1">טבלה1[[#This Row],[Demand]]-טבלה1[[#This Row],[est]]</f>
        <v>0.51679999999998927</v>
      </c>
      <c r="L25" t="s">
        <v>10</v>
      </c>
      <c r="M25" s="40">
        <v>212</v>
      </c>
      <c r="O25">
        <v>2019</v>
      </c>
      <c r="P25">
        <f t="shared" si="7"/>
        <v>239</v>
      </c>
      <c r="Q25">
        <f t="shared" si="7"/>
        <v>206</v>
      </c>
      <c r="R25">
        <f t="shared" si="7"/>
        <v>224</v>
      </c>
      <c r="S25">
        <f t="shared" si="7"/>
        <v>241</v>
      </c>
      <c r="T25">
        <f t="shared" si="7"/>
        <v>231</v>
      </c>
      <c r="U25">
        <f t="shared" si="7"/>
        <v>201</v>
      </c>
      <c r="V25">
        <f t="shared" si="7"/>
        <v>249</v>
      </c>
      <c r="W25">
        <f t="shared" si="7"/>
        <v>266</v>
      </c>
      <c r="X25">
        <f t="shared" si="7"/>
        <v>209</v>
      </c>
      <c r="Y25">
        <f t="shared" si="7"/>
        <v>250</v>
      </c>
      <c r="Z25">
        <f t="shared" si="7"/>
        <v>228</v>
      </c>
      <c r="AA25">
        <f t="shared" si="7"/>
        <v>243</v>
      </c>
    </row>
    <row r="26" spans="1:28" x14ac:dyDescent="0.3">
      <c r="D26">
        <f t="shared" si="4"/>
        <v>2015</v>
      </c>
      <c r="E26" t="s">
        <v>13</v>
      </c>
      <c r="F26" s="8">
        <f t="shared" ca="1" si="0"/>
        <v>0.95661034290309399</v>
      </c>
      <c r="G26">
        <f ca="1">IF($A$1=0,"",ROUND(_xlfn.NORM.INV(טבלה1[[#This Row],[Rand]],A0+Trend*(ROW()-1),Std)*INDEX(SeasonalityTable,Seasonality,MATCH(טבלה1[[#This Row],[Month]],Months,0)),0))</f>
        <v>213</v>
      </c>
      <c r="H26">
        <f t="shared" si="1"/>
        <v>212.10000000000002</v>
      </c>
      <c r="I26">
        <f ca="1">טבלה1[[#This Row],[Demand]]-טבלה1[[#This Row],[est]]</f>
        <v>0.89999999999997726</v>
      </c>
      <c r="L26" t="s">
        <v>11</v>
      </c>
      <c r="M26" s="40">
        <v>194</v>
      </c>
      <c r="O26">
        <v>2020</v>
      </c>
      <c r="P26">
        <f t="shared" si="7"/>
        <v>248</v>
      </c>
      <c r="Q26">
        <f t="shared" si="7"/>
        <v>213</v>
      </c>
      <c r="R26">
        <f t="shared" si="7"/>
        <v>231</v>
      </c>
      <c r="S26">
        <f t="shared" si="7"/>
        <v>248</v>
      </c>
      <c r="T26">
        <f t="shared" si="7"/>
        <v>238</v>
      </c>
      <c r="U26">
        <f t="shared" si="7"/>
        <v>207</v>
      </c>
      <c r="V26">
        <f t="shared" si="7"/>
        <v>256</v>
      </c>
      <c r="W26">
        <f t="shared" si="7"/>
        <v>272</v>
      </c>
      <c r="X26">
        <f t="shared" si="7"/>
        <v>214</v>
      </c>
      <c r="Y26">
        <f t="shared" si="7"/>
        <v>256</v>
      </c>
      <c r="Z26">
        <f t="shared" si="7"/>
        <v>234</v>
      </c>
      <c r="AA26">
        <f t="shared" si="7"/>
        <v>249</v>
      </c>
    </row>
    <row r="27" spans="1:28" x14ac:dyDescent="0.3">
      <c r="D27">
        <f t="shared" si="4"/>
        <v>2015</v>
      </c>
      <c r="E27" t="s">
        <v>14</v>
      </c>
      <c r="F27" s="8">
        <f t="shared" ca="1" si="0"/>
        <v>0.31719711504973047</v>
      </c>
      <c r="G27">
        <f ca="1">IF($A$1=0,"",ROUND(_xlfn.NORM.INV(טבלה1[[#This Row],[Rand]],A0+Trend*(ROW()-1),Std)*INDEX(SeasonalityTable,Seasonality,MATCH(טבלה1[[#This Row],[Month]],Months,0)),0))</f>
        <v>182</v>
      </c>
      <c r="H27">
        <f t="shared" si="1"/>
        <v>182.304</v>
      </c>
      <c r="I27">
        <f ca="1">טבלה1[[#This Row],[Demand]]-טבלה1[[#This Row],[est]]</f>
        <v>-0.30400000000000205</v>
      </c>
      <c r="L27" t="s">
        <v>12</v>
      </c>
      <c r="M27" s="40">
        <v>208</v>
      </c>
      <c r="O27">
        <v>2021</v>
      </c>
      <c r="P27">
        <f t="shared" si="7"/>
        <v>254</v>
      </c>
      <c r="Q27">
        <f t="shared" si="7"/>
        <v>218</v>
      </c>
      <c r="R27">
        <f t="shared" si="7"/>
        <v>239</v>
      </c>
      <c r="S27">
        <f t="shared" si="7"/>
        <v>253</v>
      </c>
      <c r="T27">
        <f t="shared" si="7"/>
        <v>243</v>
      </c>
      <c r="U27">
        <f t="shared" si="7"/>
        <v>213</v>
      </c>
      <c r="V27">
        <f t="shared" si="7"/>
        <v>263</v>
      </c>
      <c r="W27">
        <f t="shared" si="7"/>
        <v>281</v>
      </c>
      <c r="X27">
        <f t="shared" si="7"/>
        <v>220</v>
      </c>
      <c r="Y27">
        <f t="shared" si="7"/>
        <v>261</v>
      </c>
      <c r="Z27">
        <f t="shared" si="7"/>
        <v>240</v>
      </c>
      <c r="AA27">
        <f t="shared" si="7"/>
        <v>256</v>
      </c>
    </row>
    <row r="28" spans="1:28" x14ac:dyDescent="0.3">
      <c r="D28">
        <f t="shared" si="4"/>
        <v>2015</v>
      </c>
      <c r="E28" t="s">
        <v>15</v>
      </c>
      <c r="F28" s="8">
        <f t="shared" ca="1" si="0"/>
        <v>0.43958091975420333</v>
      </c>
      <c r="G28">
        <f ca="1">IF($A$1=0,"",ROUND(_xlfn.NORM.INV(טבלה1[[#This Row],[Rand]],A0+Trend*(ROW()-1),Std)*INDEX(SeasonalityTable,Seasonality,MATCH(טבלה1[[#This Row],[Month]],Months,0)),0))</f>
        <v>199</v>
      </c>
      <c r="H28">
        <f t="shared" si="1"/>
        <v>199.05760000000001</v>
      </c>
      <c r="I28">
        <f ca="1">טבלה1[[#This Row],[Demand]]-טבלה1[[#This Row],[est]]</f>
        <v>-5.7600000000007867E-2</v>
      </c>
      <c r="K28">
        <v>2015</v>
      </c>
      <c r="L28" t="s">
        <v>13</v>
      </c>
      <c r="M28" s="40">
        <v>212</v>
      </c>
      <c r="O28">
        <v>2022</v>
      </c>
    </row>
    <row r="29" spans="1:28" x14ac:dyDescent="0.3">
      <c r="D29">
        <f t="shared" si="4"/>
        <v>2015</v>
      </c>
      <c r="E29" t="s">
        <v>16</v>
      </c>
      <c r="F29" s="8">
        <f t="shared" ca="1" si="0"/>
        <v>0.41387818848507196</v>
      </c>
      <c r="G29">
        <f ca="1">IF($A$1=0,"",ROUND(_xlfn.NORM.INV(טבלה1[[#This Row],[Rand]],A0+Trend*(ROW()-1),Std)*INDEX(SeasonalityTable,Seasonality,MATCH(טבלה1[[#This Row],[Month]],Months,0)),0))</f>
        <v>212</v>
      </c>
      <c r="H29">
        <f t="shared" si="1"/>
        <v>211.8272</v>
      </c>
      <c r="I29">
        <f ca="1">טבלה1[[#This Row],[Demand]]-טבלה1[[#This Row],[est]]</f>
        <v>0.17279999999999518</v>
      </c>
      <c r="L29" t="s">
        <v>14</v>
      </c>
      <c r="M29" s="40">
        <v>184</v>
      </c>
    </row>
    <row r="30" spans="1:28" x14ac:dyDescent="0.3">
      <c r="D30">
        <f t="shared" si="4"/>
        <v>2015</v>
      </c>
      <c r="E30" t="s">
        <v>5</v>
      </c>
      <c r="F30" s="8">
        <f t="shared" ca="1" si="0"/>
        <v>0.93203236211682083</v>
      </c>
      <c r="G30">
        <f ca="1">IF($A$1=0,"",ROUND(_xlfn.NORM.INV(טבלה1[[#This Row],[Rand]],A0+Trend*(ROW()-1),Std)*INDEX(SeasonalityTable,Seasonality,MATCH(טבלה1[[#This Row],[Month]],Months,0)),0))</f>
        <v>205</v>
      </c>
      <c r="H30">
        <f t="shared" si="1"/>
        <v>204.24</v>
      </c>
      <c r="I30">
        <f ca="1">טבלה1[[#This Row],[Demand]]-טבלה1[[#This Row],[est]]</f>
        <v>0.75999999999999091</v>
      </c>
      <c r="L30" t="s">
        <v>15</v>
      </c>
      <c r="M30" s="40">
        <v>199</v>
      </c>
      <c r="P30" t="e">
        <f>AVERAGE(P18:P28)</f>
        <v>#REF!</v>
      </c>
      <c r="Q30" t="e">
        <f t="shared" ref="Q30:AA30" si="8">AVERAGE(Q18:Q28)</f>
        <v>#REF!</v>
      </c>
      <c r="R30" t="e">
        <f t="shared" si="8"/>
        <v>#REF!</v>
      </c>
      <c r="S30" t="e">
        <f t="shared" si="8"/>
        <v>#REF!</v>
      </c>
      <c r="T30" t="e">
        <f t="shared" si="8"/>
        <v>#REF!</v>
      </c>
      <c r="U30" t="e">
        <f t="shared" si="8"/>
        <v>#REF!</v>
      </c>
      <c r="V30" t="e">
        <f t="shared" si="8"/>
        <v>#REF!</v>
      </c>
      <c r="W30" t="e">
        <f t="shared" si="8"/>
        <v>#REF!</v>
      </c>
      <c r="X30" t="e">
        <f t="shared" si="8"/>
        <v>#REF!</v>
      </c>
      <c r="Y30" t="e">
        <f t="shared" si="8"/>
        <v>#REF!</v>
      </c>
      <c r="Z30" t="e">
        <f t="shared" si="8"/>
        <v>#REF!</v>
      </c>
      <c r="AA30" t="e">
        <f t="shared" si="8"/>
        <v>#REF!</v>
      </c>
      <c r="AB30" t="e">
        <f>AVERAGE(P30:AA30)</f>
        <v>#REF!</v>
      </c>
    </row>
    <row r="31" spans="1:28" x14ac:dyDescent="0.3">
      <c r="D31">
        <f t="shared" si="4"/>
        <v>2015</v>
      </c>
      <c r="E31" t="s">
        <v>6</v>
      </c>
      <c r="F31" s="8">
        <f t="shared" ca="1" si="0"/>
        <v>0.29385374677102061</v>
      </c>
      <c r="G31">
        <f ca="1">IF($A$1=0,"",ROUND(_xlfn.NORM.INV(טבלה1[[#This Row],[Rand]],A0+Trend*(ROW()-1),Std)*INDEX(SeasonalityTable,Seasonality,MATCH(טבלה1[[#This Row],[Month]],Months,0)),0))</f>
        <v>178</v>
      </c>
      <c r="H31">
        <f t="shared" si="1"/>
        <v>178.17600000000002</v>
      </c>
      <c r="I31">
        <f ca="1">טבלה1[[#This Row],[Demand]]-טבלה1[[#This Row],[est]]</f>
        <v>-0.17600000000001614</v>
      </c>
      <c r="L31" t="s">
        <v>16</v>
      </c>
      <c r="M31" s="40">
        <v>211</v>
      </c>
    </row>
    <row r="32" spans="1:28" x14ac:dyDescent="0.3">
      <c r="D32">
        <f t="shared" si="4"/>
        <v>2015</v>
      </c>
      <c r="E32" t="s">
        <v>7</v>
      </c>
      <c r="F32" s="8">
        <f t="shared" ca="1" si="0"/>
        <v>0.43616126083441042</v>
      </c>
      <c r="G32">
        <f ca="1">IF($A$1=0,"",ROUND(_xlfn.NORM.INV(טבלה1[[#This Row],[Rand]],A0+Trend*(ROW()-1),Std)*INDEX(SeasonalityTable,Seasonality,MATCH(טבלה1[[#This Row],[Month]],Months,0)),0))</f>
        <v>220</v>
      </c>
      <c r="H32">
        <f t="shared" si="1"/>
        <v>219.73520000000002</v>
      </c>
      <c r="I32">
        <f ca="1">טבלה1[[#This Row],[Demand]]-טבלה1[[#This Row],[est]]</f>
        <v>0.26479999999997972</v>
      </c>
      <c r="L32" t="s">
        <v>5</v>
      </c>
      <c r="M32" s="40">
        <v>204</v>
      </c>
      <c r="P32" t="e">
        <f>P30/$AB30</f>
        <v>#REF!</v>
      </c>
      <c r="Q32" t="e">
        <f t="shared" ref="Q32:AA32" si="9">Q30/$AB30</f>
        <v>#REF!</v>
      </c>
      <c r="R32" t="e">
        <f t="shared" si="9"/>
        <v>#REF!</v>
      </c>
      <c r="S32" t="e">
        <f t="shared" si="9"/>
        <v>#REF!</v>
      </c>
      <c r="T32" t="e">
        <f t="shared" si="9"/>
        <v>#REF!</v>
      </c>
      <c r="U32" t="e">
        <f t="shared" si="9"/>
        <v>#REF!</v>
      </c>
      <c r="V32" t="e">
        <f t="shared" si="9"/>
        <v>#REF!</v>
      </c>
      <c r="W32" t="e">
        <f t="shared" si="9"/>
        <v>#REF!</v>
      </c>
      <c r="X32" t="e">
        <f t="shared" si="9"/>
        <v>#REF!</v>
      </c>
      <c r="Y32" t="e">
        <f t="shared" si="9"/>
        <v>#REF!</v>
      </c>
      <c r="Z32" t="e">
        <f t="shared" si="9"/>
        <v>#REF!</v>
      </c>
      <c r="AA32" t="e">
        <f t="shared" si="9"/>
        <v>#REF!</v>
      </c>
    </row>
    <row r="33" spans="4:28" x14ac:dyDescent="0.3">
      <c r="D33">
        <f t="shared" si="4"/>
        <v>2015</v>
      </c>
      <c r="E33" t="s">
        <v>8</v>
      </c>
      <c r="F33" s="8">
        <f t="shared" ca="1" si="0"/>
        <v>0.23535230401195972</v>
      </c>
      <c r="G33">
        <f ca="1">IF($A$1=0,"",ROUND(_xlfn.NORM.INV(טבלה1[[#This Row],[Rand]],A0+Trend*(ROW()-1),Std)*INDEX(SeasonalityTable,Seasonality,MATCH(טבלה1[[#This Row],[Month]],Months,0)),0))</f>
        <v>234</v>
      </c>
      <c r="H33">
        <f t="shared" si="1"/>
        <v>234.74879999999999</v>
      </c>
      <c r="I33">
        <f ca="1">טבלה1[[#This Row],[Demand]]-טבלה1[[#This Row],[est]]</f>
        <v>-0.74879999999998859</v>
      </c>
      <c r="L33" t="s">
        <v>6</v>
      </c>
      <c r="M33" s="40">
        <v>178</v>
      </c>
    </row>
    <row r="34" spans="4:28" x14ac:dyDescent="0.3">
      <c r="D34">
        <f t="shared" si="4"/>
        <v>2015</v>
      </c>
      <c r="E34" t="s">
        <v>9</v>
      </c>
      <c r="F34" s="8">
        <f t="shared" ca="1" si="0"/>
        <v>0.57356888217156188</v>
      </c>
      <c r="G34">
        <f ca="1">IF($A$1=0,"",ROUND(_xlfn.NORM.INV(טבלה1[[#This Row],[Rand]],A0+Trend*(ROW()-1),Std)*INDEX(SeasonalityTable,Seasonality,MATCH(טבלה1[[#This Row],[Month]],Months,0)),0))</f>
        <v>184</v>
      </c>
      <c r="H34">
        <f t="shared" ref="H34:H65" si="10">(A0+(ROW()-1)*Trend)*INDEX(SeasonalityTable,Seasonality,MOD(ROW()-2,12)+1)</f>
        <v>183.7672</v>
      </c>
      <c r="I34">
        <f ca="1">טבלה1[[#This Row],[Demand]]-טבלה1[[#This Row],[est]]</f>
        <v>0.23279999999999745</v>
      </c>
      <c r="L34" t="s">
        <v>7</v>
      </c>
      <c r="M34" s="40">
        <v>222</v>
      </c>
      <c r="P34" t="e">
        <f t="shared" ref="P34:AA34" si="11">INDEX(P3:P13,Seasonality)-P32</f>
        <v>#REF!</v>
      </c>
      <c r="Q34" t="e">
        <f t="shared" si="11"/>
        <v>#REF!</v>
      </c>
      <c r="R34" t="e">
        <f t="shared" si="11"/>
        <v>#REF!</v>
      </c>
      <c r="S34" t="e">
        <f t="shared" si="11"/>
        <v>#REF!</v>
      </c>
      <c r="T34" t="e">
        <f t="shared" si="11"/>
        <v>#REF!</v>
      </c>
      <c r="U34" t="e">
        <f t="shared" si="11"/>
        <v>#REF!</v>
      </c>
      <c r="V34" t="e">
        <f t="shared" si="11"/>
        <v>#REF!</v>
      </c>
      <c r="W34" t="e">
        <f t="shared" si="11"/>
        <v>#REF!</v>
      </c>
      <c r="X34" t="e">
        <f t="shared" si="11"/>
        <v>#REF!</v>
      </c>
      <c r="Y34" t="e">
        <f t="shared" si="11"/>
        <v>#REF!</v>
      </c>
      <c r="Z34" t="e">
        <f t="shared" si="11"/>
        <v>#REF!</v>
      </c>
      <c r="AA34" t="e">
        <f t="shared" si="11"/>
        <v>#REF!</v>
      </c>
      <c r="AB34" t="e">
        <f>_xlfn.STDEV.S(P34:AA34)</f>
        <v>#REF!</v>
      </c>
    </row>
    <row r="35" spans="4:28" x14ac:dyDescent="0.3">
      <c r="D35">
        <f t="shared" si="4"/>
        <v>2015</v>
      </c>
      <c r="E35" t="s">
        <v>10</v>
      </c>
      <c r="F35" s="8">
        <f t="shared" ca="1" si="0"/>
        <v>0.80621066680283482</v>
      </c>
      <c r="G35">
        <f ca="1">IF($A$1=0,"",ROUND(_xlfn.NORM.INV(טבלה1[[#This Row],[Rand]],A0+Trend*(ROW()-1),Std)*INDEX(SeasonalityTable,Seasonality,MATCH(טבלה1[[#This Row],[Month]],Months,0)),0))</f>
        <v>220</v>
      </c>
      <c r="H35">
        <f t="shared" si="10"/>
        <v>219.4624</v>
      </c>
      <c r="I35">
        <f ca="1">טבלה1[[#This Row],[Demand]]-טבלה1[[#This Row],[est]]</f>
        <v>0.53759999999999764</v>
      </c>
      <c r="L35" t="s">
        <v>8</v>
      </c>
      <c r="M35" s="40">
        <v>234</v>
      </c>
    </row>
    <row r="36" spans="4:28" x14ac:dyDescent="0.3">
      <c r="D36">
        <f t="shared" si="4"/>
        <v>2015</v>
      </c>
      <c r="E36" t="s">
        <v>11</v>
      </c>
      <c r="F36" s="8">
        <f t="shared" ca="1" si="0"/>
        <v>0.74227050770426872</v>
      </c>
      <c r="G36">
        <f ca="1">IF($A$1=0,"",ROUND(_xlfn.NORM.INV(טבלה1[[#This Row],[Rand]],A0+Trend*(ROW()-1),Std)*INDEX(SeasonalityTable,Seasonality,MATCH(טבלה1[[#This Row],[Month]],Months,0)),0))</f>
        <v>202</v>
      </c>
      <c r="H36">
        <f t="shared" si="10"/>
        <v>201.37199999999999</v>
      </c>
      <c r="I36">
        <f ca="1">טבלה1[[#This Row],[Demand]]-טבלה1[[#This Row],[est]]</f>
        <v>0.62800000000001432</v>
      </c>
      <c r="L36" t="s">
        <v>9</v>
      </c>
      <c r="M36" s="40">
        <v>184</v>
      </c>
    </row>
    <row r="37" spans="4:28" x14ac:dyDescent="0.3">
      <c r="D37">
        <f t="shared" si="4"/>
        <v>2015</v>
      </c>
      <c r="E37" t="s">
        <v>12</v>
      </c>
      <c r="F37" s="8">
        <f t="shared" ca="1" si="0"/>
        <v>0.97340314900281855</v>
      </c>
      <c r="G37">
        <f ca="1">IF($A$1=0,"",ROUND(_xlfn.NORM.INV(טבלה1[[#This Row],[Rand]],A0+Trend*(ROW()-1),Std)*INDEX(SeasonalityTable,Seasonality,MATCH(טבלה1[[#This Row],[Month]],Months,0)),0))</f>
        <v>216</v>
      </c>
      <c r="H37">
        <f t="shared" si="10"/>
        <v>214.40479999999999</v>
      </c>
      <c r="I37">
        <f ca="1">טבלה1[[#This Row],[Demand]]-טבלה1[[#This Row],[est]]</f>
        <v>1.5952000000000055</v>
      </c>
      <c r="L37" t="s">
        <v>10</v>
      </c>
      <c r="M37" s="40">
        <v>219</v>
      </c>
    </row>
    <row r="38" spans="4:28" x14ac:dyDescent="0.3">
      <c r="D38">
        <f t="shared" si="4"/>
        <v>2016</v>
      </c>
      <c r="E38" t="s">
        <v>13</v>
      </c>
      <c r="F38" s="8">
        <f t="shared" ca="1" si="0"/>
        <v>0.60204239983461438</v>
      </c>
      <c r="G38">
        <f ca="1">IF($A$1=0,"",ROUND(_xlfn.NORM.INV(טבלה1[[#This Row],[Rand]],A0+Trend*(ROW()-1),Std)*INDEX(SeasonalityTable,Seasonality,MATCH(טבלה1[[#This Row],[Month]],Months,0)),0))</f>
        <v>219</v>
      </c>
      <c r="H38">
        <f t="shared" si="10"/>
        <v>219.15600000000001</v>
      </c>
      <c r="I38">
        <f ca="1">טבלה1[[#This Row],[Demand]]-טבלה1[[#This Row],[est]]</f>
        <v>-0.15600000000000591</v>
      </c>
      <c r="L38" t="s">
        <v>11</v>
      </c>
      <c r="M38" s="40">
        <v>202</v>
      </c>
    </row>
    <row r="39" spans="4:28" x14ac:dyDescent="0.3">
      <c r="D39">
        <f t="shared" si="4"/>
        <v>2016</v>
      </c>
      <c r="E39" t="s">
        <v>14</v>
      </c>
      <c r="F39" s="8">
        <f t="shared" ca="1" si="0"/>
        <v>0.96947338578519926</v>
      </c>
      <c r="G39">
        <f ca="1">IF($A$1=0,"",ROUND(_xlfn.NORM.INV(טבלה1[[#This Row],[Rand]],A0+Trend*(ROW()-1),Std)*INDEX(SeasonalityTable,Seasonality,MATCH(טבלה1[[#This Row],[Month]],Months,0)),0))</f>
        <v>190</v>
      </c>
      <c r="H39">
        <f t="shared" si="10"/>
        <v>188.352</v>
      </c>
      <c r="I39">
        <f ca="1">טבלה1[[#This Row],[Demand]]-טבלה1[[#This Row],[est]]</f>
        <v>1.6479999999999961</v>
      </c>
      <c r="L39" t="s">
        <v>12</v>
      </c>
      <c r="M39" s="40">
        <v>214</v>
      </c>
    </row>
    <row r="40" spans="4:28" x14ac:dyDescent="0.3">
      <c r="D40">
        <f t="shared" si="4"/>
        <v>2016</v>
      </c>
      <c r="E40" t="s">
        <v>15</v>
      </c>
      <c r="F40" s="8">
        <f t="shared" ca="1" si="0"/>
        <v>0.25423739978874871</v>
      </c>
      <c r="G40">
        <f ca="1">IF($A$1=0,"",ROUND(_xlfn.NORM.INV(טבלה1[[#This Row],[Rand]],A0+Trend*(ROW()-1),Std)*INDEX(SeasonalityTable,Seasonality,MATCH(טבלה1[[#This Row],[Month]],Months,0)),0))</f>
        <v>205</v>
      </c>
      <c r="H40">
        <f t="shared" si="10"/>
        <v>205.64320000000001</v>
      </c>
      <c r="I40">
        <f ca="1">טבלה1[[#This Row],[Demand]]-טבלה1[[#This Row],[est]]</f>
        <v>-0.64320000000000732</v>
      </c>
      <c r="K40">
        <v>2016</v>
      </c>
      <c r="L40" t="s">
        <v>13</v>
      </c>
      <c r="M40" s="40">
        <v>218</v>
      </c>
    </row>
    <row r="41" spans="4:28" x14ac:dyDescent="0.3">
      <c r="D41">
        <f t="shared" si="4"/>
        <v>2016</v>
      </c>
      <c r="E41" t="s">
        <v>16</v>
      </c>
      <c r="F41" s="8">
        <f t="shared" ca="1" si="0"/>
        <v>0.71706209362307338</v>
      </c>
      <c r="G41">
        <f ca="1">IF($A$1=0,"",ROUND(_xlfn.NORM.INV(טבלה1[[#This Row],[Rand]],A0+Trend*(ROW()-1),Std)*INDEX(SeasonalityTable,Seasonality,MATCH(טבלה1[[#This Row],[Month]],Months,0)),0))</f>
        <v>219</v>
      </c>
      <c r="H41">
        <f t="shared" si="10"/>
        <v>218.816</v>
      </c>
      <c r="I41">
        <f ca="1">טבלה1[[#This Row],[Demand]]-טבלה1[[#This Row],[est]]</f>
        <v>0.1839999999999975</v>
      </c>
      <c r="L41" t="s">
        <v>14</v>
      </c>
      <c r="M41" s="40">
        <v>188</v>
      </c>
    </row>
    <row r="42" spans="4:28" x14ac:dyDescent="0.3">
      <c r="D42">
        <f t="shared" si="4"/>
        <v>2016</v>
      </c>
      <c r="E42" t="s">
        <v>5</v>
      </c>
      <c r="F42" s="8">
        <f t="shared" ca="1" si="0"/>
        <v>0.34395968052950565</v>
      </c>
      <c r="G42">
        <f ca="1">IF($A$1=0,"",ROUND(_xlfn.NORM.INV(טבלה1[[#This Row],[Rand]],A0+Trend*(ROW()-1),Std)*INDEX(SeasonalityTable,Seasonality,MATCH(טבלה1[[#This Row],[Month]],Months,0)),0))</f>
        <v>211</v>
      </c>
      <c r="H42">
        <f t="shared" si="10"/>
        <v>210.96</v>
      </c>
      <c r="I42">
        <f ca="1">טבלה1[[#This Row],[Demand]]-טבלה1[[#This Row],[est]]</f>
        <v>3.9999999999992042E-2</v>
      </c>
      <c r="L42" t="s">
        <v>15</v>
      </c>
      <c r="M42" s="40">
        <v>204</v>
      </c>
    </row>
    <row r="43" spans="4:28" x14ac:dyDescent="0.3">
      <c r="D43">
        <f t="shared" si="4"/>
        <v>2016</v>
      </c>
      <c r="E43" t="s">
        <v>6</v>
      </c>
      <c r="F43" s="8">
        <f t="shared" ca="1" si="0"/>
        <v>0.3035655339927128</v>
      </c>
      <c r="G43">
        <f ca="1">IF($A$1=0,"",ROUND(_xlfn.NORM.INV(טבלה1[[#This Row],[Rand]],A0+Trend*(ROW()-1),Std)*INDEX(SeasonalityTable,Seasonality,MATCH(טבלה1[[#This Row],[Month]],Months,0)),0))</f>
        <v>184</v>
      </c>
      <c r="H43">
        <f t="shared" si="10"/>
        <v>184.0224</v>
      </c>
      <c r="I43">
        <f ca="1">טבלה1[[#This Row],[Demand]]-טבלה1[[#This Row],[est]]</f>
        <v>-2.2400000000004638E-2</v>
      </c>
      <c r="L43" t="s">
        <v>16</v>
      </c>
      <c r="M43" s="40">
        <v>218</v>
      </c>
    </row>
    <row r="44" spans="4:28" x14ac:dyDescent="0.3">
      <c r="D44">
        <f t="shared" si="4"/>
        <v>2016</v>
      </c>
      <c r="E44" t="s">
        <v>7</v>
      </c>
      <c r="F44" s="8">
        <f t="shared" ca="1" si="0"/>
        <v>0.19380453552032995</v>
      </c>
      <c r="G44">
        <f ca="1">IF($A$1=0,"",ROUND(_xlfn.NORM.INV(טבלה1[[#This Row],[Rand]],A0+Trend*(ROW()-1),Std)*INDEX(SeasonalityTable,Seasonality,MATCH(טבלה1[[#This Row],[Month]],Months,0)),0))</f>
        <v>226</v>
      </c>
      <c r="H44">
        <f t="shared" si="10"/>
        <v>226.92560000000003</v>
      </c>
      <c r="I44">
        <f ca="1">טבלה1[[#This Row],[Demand]]-טבלה1[[#This Row],[est]]</f>
        <v>-0.92560000000003129</v>
      </c>
      <c r="L44" t="s">
        <v>5</v>
      </c>
      <c r="M44" s="40">
        <v>211</v>
      </c>
    </row>
    <row r="45" spans="4:28" x14ac:dyDescent="0.3">
      <c r="D45">
        <f t="shared" si="4"/>
        <v>2016</v>
      </c>
      <c r="E45" t="s">
        <v>8</v>
      </c>
      <c r="F45" s="8">
        <f t="shared" ca="1" si="0"/>
        <v>0.5629091527412845</v>
      </c>
      <c r="G45">
        <f ca="1">IF($A$1=0,"",ROUND(_xlfn.NORM.INV(טבלה1[[#This Row],[Rand]],A0+Trend*(ROW()-1),Std)*INDEX(SeasonalityTable,Seasonality,MATCH(טבלה1[[#This Row],[Month]],Months,0)),0))</f>
        <v>243</v>
      </c>
      <c r="H45">
        <f t="shared" si="10"/>
        <v>242.40959999999995</v>
      </c>
      <c r="I45">
        <f ca="1">טבלה1[[#This Row],[Demand]]-טבלה1[[#This Row],[est]]</f>
        <v>0.59040000000004511</v>
      </c>
      <c r="L45" t="s">
        <v>6</v>
      </c>
      <c r="M45" s="40">
        <v>185</v>
      </c>
    </row>
    <row r="46" spans="4:28" x14ac:dyDescent="0.3">
      <c r="D46">
        <f t="shared" si="4"/>
        <v>2016</v>
      </c>
      <c r="E46" t="s">
        <v>9</v>
      </c>
      <c r="F46" s="8">
        <f t="shared" ca="1" si="0"/>
        <v>0.80906354887032295</v>
      </c>
      <c r="G46">
        <f ca="1">IF($A$1=0,"",ROUND(_xlfn.NORM.INV(טבלה1[[#This Row],[Rand]],A0+Trend*(ROW()-1),Std)*INDEX(SeasonalityTable,Seasonality,MATCH(טבלה1[[#This Row],[Month]],Months,0)),0))</f>
        <v>190</v>
      </c>
      <c r="H46">
        <f t="shared" si="10"/>
        <v>189.74799999999999</v>
      </c>
      <c r="I46">
        <f ca="1">טבלה1[[#This Row],[Demand]]-טבלה1[[#This Row],[est]]</f>
        <v>0.25200000000000955</v>
      </c>
      <c r="L46" t="s">
        <v>7</v>
      </c>
      <c r="M46" s="40">
        <v>227</v>
      </c>
    </row>
    <row r="47" spans="4:28" x14ac:dyDescent="0.3">
      <c r="D47">
        <f t="shared" si="4"/>
        <v>2016</v>
      </c>
      <c r="E47" t="s">
        <v>10</v>
      </c>
      <c r="F47" s="8">
        <f t="shared" ca="1" si="0"/>
        <v>0.70564944943574459</v>
      </c>
      <c r="G47">
        <f ca="1">IF($A$1=0,"",ROUND(_xlfn.NORM.INV(טבלה1[[#This Row],[Rand]],A0+Trend*(ROW()-1),Std)*INDEX(SeasonalityTable,Seasonality,MATCH(טבלה1[[#This Row],[Month]],Months,0)),0))</f>
        <v>227</v>
      </c>
      <c r="H47">
        <f t="shared" si="10"/>
        <v>226.5856</v>
      </c>
      <c r="I47">
        <f ca="1">טבלה1[[#This Row],[Demand]]-טבלה1[[#This Row],[est]]</f>
        <v>0.41440000000000055</v>
      </c>
      <c r="L47" t="s">
        <v>8</v>
      </c>
      <c r="M47" s="40">
        <v>243</v>
      </c>
    </row>
    <row r="48" spans="4:28" x14ac:dyDescent="0.3">
      <c r="D48">
        <f t="shared" si="4"/>
        <v>2016</v>
      </c>
      <c r="E48" t="s">
        <v>11</v>
      </c>
      <c r="F48" s="8">
        <f t="shared" ca="1" si="0"/>
        <v>0.75096894855685503</v>
      </c>
      <c r="G48">
        <f ca="1">IF($A$1=0,"",ROUND(_xlfn.NORM.INV(טבלה1[[#This Row],[Rand]],A0+Trend*(ROW()-1),Std)*INDEX(SeasonalityTable,Seasonality,MATCH(טבלה1[[#This Row],[Month]],Months,0)),0))</f>
        <v>208</v>
      </c>
      <c r="H48">
        <f t="shared" si="10"/>
        <v>207.8904</v>
      </c>
      <c r="I48">
        <f ca="1">טבלה1[[#This Row],[Demand]]-טבלה1[[#This Row],[est]]</f>
        <v>0.10960000000000036</v>
      </c>
      <c r="L48" t="s">
        <v>9</v>
      </c>
      <c r="M48" s="40">
        <v>189</v>
      </c>
    </row>
    <row r="49" spans="4:13" x14ac:dyDescent="0.3">
      <c r="D49">
        <f t="shared" si="4"/>
        <v>2016</v>
      </c>
      <c r="E49" t="s">
        <v>12</v>
      </c>
      <c r="F49" s="8">
        <f t="shared" ca="1" si="0"/>
        <v>0.86756705214081198</v>
      </c>
      <c r="G49">
        <f ca="1">IF($A$1=0,"",ROUND(_xlfn.NORM.INV(טבלה1[[#This Row],[Rand]],A0+Trend*(ROW()-1),Std)*INDEX(SeasonalityTable,Seasonality,MATCH(טבלה1[[#This Row],[Month]],Months,0)),0))</f>
        <v>222</v>
      </c>
      <c r="H49">
        <f t="shared" si="10"/>
        <v>221.32640000000001</v>
      </c>
      <c r="I49">
        <f ca="1">טבלה1[[#This Row],[Demand]]-טבלה1[[#This Row],[est]]</f>
        <v>0.67359999999999332</v>
      </c>
      <c r="L49" t="s">
        <v>10</v>
      </c>
      <c r="M49" s="40">
        <v>226</v>
      </c>
    </row>
    <row r="50" spans="4:13" x14ac:dyDescent="0.3">
      <c r="D50">
        <f t="shared" si="4"/>
        <v>2017</v>
      </c>
      <c r="E50" t="s">
        <v>13</v>
      </c>
      <c r="F50" s="8">
        <f t="shared" ca="1" si="0"/>
        <v>0.29945531848866158</v>
      </c>
      <c r="G50">
        <f ca="1">IF($A$1=0,"",ROUND(_xlfn.NORM.INV(טבלה1[[#This Row],[Rand]],A0+Trend*(ROW()-1),Std)*INDEX(SeasonalityTable,Seasonality,MATCH(טבלה1[[#This Row],[Month]],Months,0)),0))</f>
        <v>226</v>
      </c>
      <c r="H50">
        <f t="shared" si="10"/>
        <v>226.21200000000002</v>
      </c>
      <c r="I50">
        <f ca="1">טבלה1[[#This Row],[Demand]]-טבלה1[[#This Row],[est]]</f>
        <v>-0.21200000000001751</v>
      </c>
      <c r="L50" t="s">
        <v>11</v>
      </c>
      <c r="M50" s="40">
        <v>208</v>
      </c>
    </row>
    <row r="51" spans="4:13" x14ac:dyDescent="0.3">
      <c r="D51">
        <f t="shared" si="4"/>
        <v>2017</v>
      </c>
      <c r="E51" t="s">
        <v>14</v>
      </c>
      <c r="F51" s="8">
        <f t="shared" ca="1" si="0"/>
        <v>0.46781271271824076</v>
      </c>
      <c r="G51">
        <f ca="1">IF($A$1=0,"",ROUND(_xlfn.NORM.INV(טבלה1[[#This Row],[Rand]],A0+Trend*(ROW()-1),Std)*INDEX(SeasonalityTable,Seasonality,MATCH(טבלה1[[#This Row],[Month]],Months,0)),0))</f>
        <v>194</v>
      </c>
      <c r="H51">
        <f t="shared" si="10"/>
        <v>194.4</v>
      </c>
      <c r="I51">
        <f ca="1">טבלה1[[#This Row],[Demand]]-טבלה1[[#This Row],[est]]</f>
        <v>-0.40000000000000568</v>
      </c>
      <c r="L51" t="s">
        <v>12</v>
      </c>
      <c r="M51" s="40">
        <v>220</v>
      </c>
    </row>
    <row r="52" spans="4:13" x14ac:dyDescent="0.3">
      <c r="D52">
        <f t="shared" si="4"/>
        <v>2017</v>
      </c>
      <c r="E52" t="s">
        <v>15</v>
      </c>
      <c r="F52" s="8">
        <f t="shared" ca="1" si="0"/>
        <v>0.40051648958228614</v>
      </c>
      <c r="G52">
        <f ca="1">IF($A$1=0,"",ROUND(_xlfn.NORM.INV(טבלה1[[#This Row],[Rand]],A0+Trend*(ROW()-1),Std)*INDEX(SeasonalityTable,Seasonality,MATCH(טבלה1[[#This Row],[Month]],Months,0)),0))</f>
        <v>212</v>
      </c>
      <c r="H52">
        <f t="shared" si="10"/>
        <v>212.22880000000001</v>
      </c>
      <c r="I52">
        <f ca="1">טבלה1[[#This Row],[Demand]]-טבלה1[[#This Row],[est]]</f>
        <v>-0.22880000000000678</v>
      </c>
      <c r="K52">
        <v>2017</v>
      </c>
      <c r="L52" t="s">
        <v>13</v>
      </c>
      <c r="M52" s="40">
        <v>226</v>
      </c>
    </row>
    <row r="53" spans="4:13" x14ac:dyDescent="0.3">
      <c r="D53">
        <f t="shared" si="4"/>
        <v>2017</v>
      </c>
      <c r="E53" t="s">
        <v>16</v>
      </c>
      <c r="F53" s="8">
        <f t="shared" ca="1" si="0"/>
        <v>0.32700399853572393</v>
      </c>
      <c r="G53">
        <f ca="1">IF($A$1=0,"",ROUND(_xlfn.NORM.INV(טבלה1[[#This Row],[Rand]],A0+Trend*(ROW()-1),Std)*INDEX(SeasonalityTable,Seasonality,MATCH(טבלה1[[#This Row],[Month]],Months,0)),0))</f>
        <v>225</v>
      </c>
      <c r="H53">
        <f t="shared" si="10"/>
        <v>225.8048</v>
      </c>
      <c r="I53">
        <f ca="1">טבלה1[[#This Row],[Demand]]-טבלה1[[#This Row],[est]]</f>
        <v>-0.80480000000000018</v>
      </c>
      <c r="L53" t="s">
        <v>14</v>
      </c>
      <c r="M53" s="40">
        <v>195</v>
      </c>
    </row>
    <row r="54" spans="4:13" x14ac:dyDescent="0.3">
      <c r="D54">
        <f t="shared" si="4"/>
        <v>2017</v>
      </c>
      <c r="E54" t="s">
        <v>5</v>
      </c>
      <c r="F54" s="8">
        <f t="shared" ca="1" si="0"/>
        <v>0.48514970509914512</v>
      </c>
      <c r="G54">
        <f ca="1">IF($A$1=0,"",ROUND(_xlfn.NORM.INV(טבלה1[[#This Row],[Rand]],A0+Trend*(ROW()-1),Std)*INDEX(SeasonalityTable,Seasonality,MATCH(טבלה1[[#This Row],[Month]],Months,0)),0))</f>
        <v>218</v>
      </c>
      <c r="H54">
        <f t="shared" si="10"/>
        <v>217.68</v>
      </c>
      <c r="I54">
        <f ca="1">טבלה1[[#This Row],[Demand]]-טבלה1[[#This Row],[est]]</f>
        <v>0.31999999999999318</v>
      </c>
      <c r="L54" t="s">
        <v>15</v>
      </c>
      <c r="M54" s="40">
        <v>212</v>
      </c>
    </row>
    <row r="55" spans="4:13" x14ac:dyDescent="0.3">
      <c r="D55">
        <f t="shared" si="4"/>
        <v>2017</v>
      </c>
      <c r="E55" t="s">
        <v>6</v>
      </c>
      <c r="F55" s="8">
        <f t="shared" ca="1" si="0"/>
        <v>9.6574789885201739E-2</v>
      </c>
      <c r="G55">
        <f ca="1">IF($A$1=0,"",ROUND(_xlfn.NORM.INV(טבלה1[[#This Row],[Rand]],A0+Trend*(ROW()-1),Std)*INDEX(SeasonalityTable,Seasonality,MATCH(טבלה1[[#This Row],[Month]],Months,0)),0))</f>
        <v>189</v>
      </c>
      <c r="H55">
        <f t="shared" si="10"/>
        <v>189.86879999999999</v>
      </c>
      <c r="I55">
        <f ca="1">טבלה1[[#This Row],[Demand]]-טבלה1[[#This Row],[est]]</f>
        <v>-0.86879999999999313</v>
      </c>
      <c r="L55" t="s">
        <v>16</v>
      </c>
      <c r="M55" s="40">
        <v>226</v>
      </c>
    </row>
    <row r="56" spans="4:13" x14ac:dyDescent="0.3">
      <c r="D56">
        <f t="shared" si="4"/>
        <v>2017</v>
      </c>
      <c r="E56" t="s">
        <v>7</v>
      </c>
      <c r="F56" s="8">
        <f t="shared" ca="1" si="0"/>
        <v>0.92731548600437097</v>
      </c>
      <c r="G56">
        <f ca="1">IF($A$1=0,"",ROUND(_xlfn.NORM.INV(טבלה1[[#This Row],[Rand]],A0+Trend*(ROW()-1),Std)*INDEX(SeasonalityTable,Seasonality,MATCH(טבלה1[[#This Row],[Month]],Months,0)),0))</f>
        <v>235</v>
      </c>
      <c r="H56">
        <f t="shared" si="10"/>
        <v>234.11600000000001</v>
      </c>
      <c r="I56">
        <f ca="1">טבלה1[[#This Row],[Demand]]-טבלה1[[#This Row],[est]]</f>
        <v>0.88399999999998613</v>
      </c>
      <c r="L56" t="s">
        <v>5</v>
      </c>
      <c r="M56" s="40">
        <v>219</v>
      </c>
    </row>
    <row r="57" spans="4:13" x14ac:dyDescent="0.3">
      <c r="D57">
        <f t="shared" si="4"/>
        <v>2017</v>
      </c>
      <c r="E57" t="s">
        <v>8</v>
      </c>
      <c r="F57" s="8">
        <f t="shared" ca="1" si="0"/>
        <v>0.88418045730085926</v>
      </c>
      <c r="G57">
        <f ca="1">IF($A$1=0,"",ROUND(_xlfn.NORM.INV(טבלה1[[#This Row],[Rand]],A0+Trend*(ROW()-1),Std)*INDEX(SeasonalityTable,Seasonality,MATCH(טבלה1[[#This Row],[Month]],Months,0)),0))</f>
        <v>251</v>
      </c>
      <c r="H57">
        <f t="shared" si="10"/>
        <v>250.07040000000001</v>
      </c>
      <c r="I57">
        <f ca="1">טבלה1[[#This Row],[Demand]]-טבלה1[[#This Row],[est]]</f>
        <v>0.92959999999999354</v>
      </c>
      <c r="L57" t="s">
        <v>6</v>
      </c>
      <c r="M57" s="40">
        <v>189</v>
      </c>
    </row>
    <row r="58" spans="4:13" x14ac:dyDescent="0.3">
      <c r="D58">
        <f t="shared" si="4"/>
        <v>2017</v>
      </c>
      <c r="E58" t="s">
        <v>9</v>
      </c>
      <c r="F58" s="8">
        <f t="shared" ca="1" si="0"/>
        <v>0.24593162246836087</v>
      </c>
      <c r="G58">
        <f ca="1">IF($A$1=0,"",ROUND(_xlfn.NORM.INV(טבלה1[[#This Row],[Rand]],A0+Trend*(ROW()-1),Std)*INDEX(SeasonalityTable,Seasonality,MATCH(טבלה1[[#This Row],[Month]],Months,0)),0))</f>
        <v>195</v>
      </c>
      <c r="H58">
        <f t="shared" si="10"/>
        <v>195.72880000000001</v>
      </c>
      <c r="I58">
        <f ca="1">טבלה1[[#This Row],[Demand]]-טבלה1[[#This Row],[est]]</f>
        <v>-0.72880000000000678</v>
      </c>
      <c r="L58" t="s">
        <v>7</v>
      </c>
      <c r="M58" s="40">
        <v>233</v>
      </c>
    </row>
    <row r="59" spans="4:13" x14ac:dyDescent="0.3">
      <c r="D59">
        <f t="shared" si="4"/>
        <v>2017</v>
      </c>
      <c r="E59" t="s">
        <v>10</v>
      </c>
      <c r="F59" s="8">
        <f t="shared" ca="1" si="0"/>
        <v>0.54071182851473087</v>
      </c>
      <c r="G59">
        <f ca="1">IF($A$1=0,"",ROUND(_xlfn.NORM.INV(טבלה1[[#This Row],[Rand]],A0+Trend*(ROW()-1),Std)*INDEX(SeasonalityTable,Seasonality,MATCH(טבלה1[[#This Row],[Month]],Months,0)),0))</f>
        <v>234</v>
      </c>
      <c r="H59">
        <f t="shared" si="10"/>
        <v>233.70880000000002</v>
      </c>
      <c r="I59">
        <f ca="1">טבלה1[[#This Row],[Demand]]-טבלה1[[#This Row],[est]]</f>
        <v>0.29119999999997503</v>
      </c>
      <c r="L59" t="s">
        <v>8</v>
      </c>
      <c r="M59" s="40">
        <v>251</v>
      </c>
    </row>
    <row r="60" spans="4:13" x14ac:dyDescent="0.3">
      <c r="D60">
        <f t="shared" si="4"/>
        <v>2017</v>
      </c>
      <c r="E60" t="s">
        <v>11</v>
      </c>
      <c r="F60" s="8">
        <f t="shared" ca="1" si="0"/>
        <v>0.71469785637260785</v>
      </c>
      <c r="G60">
        <f ca="1">IF($A$1=0,"",ROUND(_xlfn.NORM.INV(טבלה1[[#This Row],[Rand]],A0+Trend*(ROW()-1),Std)*INDEX(SeasonalityTable,Seasonality,MATCH(טבלה1[[#This Row],[Month]],Months,0)),0))</f>
        <v>215</v>
      </c>
      <c r="H60">
        <f t="shared" si="10"/>
        <v>214.40880000000001</v>
      </c>
      <c r="I60">
        <f ca="1">טבלה1[[#This Row],[Demand]]-טבלה1[[#This Row],[est]]</f>
        <v>0.5911999999999864</v>
      </c>
      <c r="L60" t="s">
        <v>9</v>
      </c>
      <c r="M60" s="40">
        <v>195</v>
      </c>
    </row>
    <row r="61" spans="4:13" x14ac:dyDescent="0.3">
      <c r="D61">
        <f t="shared" si="4"/>
        <v>2017</v>
      </c>
      <c r="E61" t="s">
        <v>12</v>
      </c>
      <c r="F61" s="8">
        <f t="shared" ca="1" si="0"/>
        <v>0.50870723027270059</v>
      </c>
      <c r="G61">
        <f ca="1">IF($A$1=0,"",ROUND(_xlfn.NORM.INV(טבלה1[[#This Row],[Rand]],A0+Trend*(ROW()-1),Std)*INDEX(SeasonalityTable,Seasonality,MATCH(טבלה1[[#This Row],[Month]],Months,0)),0))</f>
        <v>228</v>
      </c>
      <c r="H61">
        <f t="shared" si="10"/>
        <v>228.24799999999999</v>
      </c>
      <c r="I61">
        <f ca="1">טבלה1[[#This Row],[Demand]]-טבלה1[[#This Row],[est]]</f>
        <v>-0.24799999999999045</v>
      </c>
      <c r="L61" t="s">
        <v>10</v>
      </c>
      <c r="M61" s="40">
        <v>234</v>
      </c>
    </row>
    <row r="62" spans="4:13" x14ac:dyDescent="0.3">
      <c r="D62">
        <f t="shared" si="4"/>
        <v>2018</v>
      </c>
      <c r="E62" t="s">
        <v>13</v>
      </c>
      <c r="F62" s="8">
        <f t="shared" ca="1" si="0"/>
        <v>0.89130346880751798</v>
      </c>
      <c r="G62">
        <f ca="1">IF($A$1=0,"",ROUND(_xlfn.NORM.INV(טבלה1[[#This Row],[Rand]],A0+Trend*(ROW()-1),Std)*INDEX(SeasonalityTable,Seasonality,MATCH(טבלה1[[#This Row],[Month]],Months,0)),0))</f>
        <v>234</v>
      </c>
      <c r="H62">
        <f t="shared" si="10"/>
        <v>233.268</v>
      </c>
      <c r="I62">
        <f ca="1">טבלה1[[#This Row],[Demand]]-טבלה1[[#This Row],[est]]</f>
        <v>0.73199999999999932</v>
      </c>
      <c r="L62" t="s">
        <v>11</v>
      </c>
      <c r="M62" s="40">
        <v>214</v>
      </c>
    </row>
    <row r="63" spans="4:13" x14ac:dyDescent="0.3">
      <c r="D63">
        <f t="shared" si="4"/>
        <v>2018</v>
      </c>
      <c r="E63" t="s">
        <v>14</v>
      </c>
      <c r="F63" s="8">
        <f t="shared" ca="1" si="0"/>
        <v>0.3405415548783387</v>
      </c>
      <c r="G63">
        <f ca="1">IF($A$1=0,"",ROUND(_xlfn.NORM.INV(טבלה1[[#This Row],[Rand]],A0+Trend*(ROW()-1),Std)*INDEX(SeasonalityTable,Seasonality,MATCH(טבלה1[[#This Row],[Month]],Months,0)),0))</f>
        <v>200</v>
      </c>
      <c r="H63">
        <f t="shared" si="10"/>
        <v>200.44800000000001</v>
      </c>
      <c r="I63">
        <f ca="1">טבלה1[[#This Row],[Demand]]-טבלה1[[#This Row],[est]]</f>
        <v>-0.4480000000000075</v>
      </c>
      <c r="L63" t="s">
        <v>12</v>
      </c>
      <c r="M63" s="40">
        <v>228</v>
      </c>
    </row>
    <row r="64" spans="4:13" x14ac:dyDescent="0.3">
      <c r="D64">
        <f t="shared" si="4"/>
        <v>2018</v>
      </c>
      <c r="E64" t="s">
        <v>15</v>
      </c>
      <c r="F64" s="8">
        <f t="shared" ca="1" si="0"/>
        <v>0.8148833963887453</v>
      </c>
      <c r="G64">
        <f ca="1">IF($A$1=0,"",ROUND(_xlfn.NORM.INV(טבלה1[[#This Row],[Rand]],A0+Trend*(ROW()-1),Std)*INDEX(SeasonalityTable,Seasonality,MATCH(טבלה1[[#This Row],[Month]],Months,0)),0))</f>
        <v>219</v>
      </c>
      <c r="H64">
        <f t="shared" si="10"/>
        <v>218.81440000000001</v>
      </c>
      <c r="I64">
        <f ca="1">טבלה1[[#This Row],[Demand]]-טבלה1[[#This Row],[est]]</f>
        <v>0.18559999999999377</v>
      </c>
      <c r="K64">
        <v>2018</v>
      </c>
      <c r="L64" t="s">
        <v>13</v>
      </c>
      <c r="M64" s="40">
        <v>232</v>
      </c>
    </row>
    <row r="65" spans="4:13" x14ac:dyDescent="0.3">
      <c r="D65">
        <f t="shared" si="4"/>
        <v>2018</v>
      </c>
      <c r="E65" t="s">
        <v>16</v>
      </c>
      <c r="F65" s="8">
        <f t="shared" ca="1" si="0"/>
        <v>0.728538132727786</v>
      </c>
      <c r="G65">
        <f ca="1">IF($A$1=0,"",ROUND(_xlfn.NORM.INV(טבלה1[[#This Row],[Rand]],A0+Trend*(ROW()-1),Std)*INDEX(SeasonalityTable,Seasonality,MATCH(טבלה1[[#This Row],[Month]],Months,0)),0))</f>
        <v>233</v>
      </c>
      <c r="H65">
        <f t="shared" si="10"/>
        <v>232.7936</v>
      </c>
      <c r="I65">
        <f ca="1">טבלה1[[#This Row],[Demand]]-טבלה1[[#This Row],[est]]</f>
        <v>0.20640000000000214</v>
      </c>
      <c r="L65" t="s">
        <v>14</v>
      </c>
      <c r="M65" s="40">
        <v>200</v>
      </c>
    </row>
    <row r="66" spans="4:13" x14ac:dyDescent="0.3">
      <c r="D66">
        <f t="shared" si="4"/>
        <v>2018</v>
      </c>
      <c r="E66" t="s">
        <v>5</v>
      </c>
      <c r="F66" s="8">
        <f t="shared" ref="F66:F121" ca="1" si="12">RAND()</f>
        <v>0.90563984568732481</v>
      </c>
      <c r="G66">
        <f ca="1">IF($A$1=0,"",ROUND(_xlfn.NORM.INV(טבלה1[[#This Row],[Rand]],A0+Trend*(ROW()-1),Std)*INDEX(SeasonalityTable,Seasonality,MATCH(טבלה1[[#This Row],[Month]],Months,0)),0))</f>
        <v>225</v>
      </c>
      <c r="H66">
        <f t="shared" ref="H66:H97" si="13">(A0+(ROW()-1)*Trend)*INDEX(SeasonalityTable,Seasonality,MOD(ROW()-2,12)+1)</f>
        <v>224.4</v>
      </c>
      <c r="I66">
        <f ca="1">טבלה1[[#This Row],[Demand]]-טבלה1[[#This Row],[est]]</f>
        <v>0.59999999999999432</v>
      </c>
      <c r="L66" t="s">
        <v>15</v>
      </c>
      <c r="M66" s="40">
        <v>219</v>
      </c>
    </row>
    <row r="67" spans="4:13" x14ac:dyDescent="0.3">
      <c r="D67">
        <f t="shared" si="4"/>
        <v>2018</v>
      </c>
      <c r="E67" t="s">
        <v>6</v>
      </c>
      <c r="F67" s="8">
        <f t="shared" ca="1" si="12"/>
        <v>5.1693418616616915E-2</v>
      </c>
      <c r="G67">
        <f ca="1">IF($A$1=0,"",ROUND(_xlfn.NORM.INV(טבלה1[[#This Row],[Rand]],A0+Trend*(ROW()-1),Std)*INDEX(SeasonalityTable,Seasonality,MATCH(טבלה1[[#This Row],[Month]],Months,0)),0))</f>
        <v>195</v>
      </c>
      <c r="H67">
        <f t="shared" si="13"/>
        <v>195.71520000000001</v>
      </c>
      <c r="I67">
        <f ca="1">טבלה1[[#This Row],[Demand]]-טבלה1[[#This Row],[est]]</f>
        <v>-0.71520000000001005</v>
      </c>
      <c r="L67" t="s">
        <v>16</v>
      </c>
      <c r="M67" s="40">
        <v>234</v>
      </c>
    </row>
    <row r="68" spans="4:13" x14ac:dyDescent="0.3">
      <c r="D68">
        <f t="shared" si="4"/>
        <v>2018</v>
      </c>
      <c r="E68" t="s">
        <v>7</v>
      </c>
      <c r="F68" s="8">
        <f t="shared" ca="1" si="12"/>
        <v>0.42215015009311307</v>
      </c>
      <c r="G68">
        <f ca="1">IF($A$1=0,"",ROUND(_xlfn.NORM.INV(טבלה1[[#This Row],[Rand]],A0+Trend*(ROW()-1),Std)*INDEX(SeasonalityTable,Seasonality,MATCH(טבלה1[[#This Row],[Month]],Months,0)),0))</f>
        <v>241</v>
      </c>
      <c r="H68">
        <f t="shared" si="13"/>
        <v>241.30640000000002</v>
      </c>
      <c r="I68">
        <f ca="1">טבלה1[[#This Row],[Demand]]-טבלה1[[#This Row],[est]]</f>
        <v>-0.30640000000002487</v>
      </c>
      <c r="L68" t="s">
        <v>5</v>
      </c>
      <c r="M68" s="40">
        <v>223</v>
      </c>
    </row>
    <row r="69" spans="4:13" x14ac:dyDescent="0.3">
      <c r="D69">
        <f t="shared" si="4"/>
        <v>2018</v>
      </c>
      <c r="E69" t="s">
        <v>8</v>
      </c>
      <c r="F69" s="8">
        <f t="shared" ca="1" si="12"/>
        <v>0.18694363182787854</v>
      </c>
      <c r="G69">
        <f ca="1">IF($A$1=0,"",ROUND(_xlfn.NORM.INV(טבלה1[[#This Row],[Rand]],A0+Trend*(ROW()-1),Std)*INDEX(SeasonalityTable,Seasonality,MATCH(טבלה1[[#This Row],[Month]],Months,0)),0))</f>
        <v>257</v>
      </c>
      <c r="H69">
        <f t="shared" si="13"/>
        <v>257.7312</v>
      </c>
      <c r="I69">
        <f ca="1">טבלה1[[#This Row],[Demand]]-טבלה1[[#This Row],[est]]</f>
        <v>-0.73120000000000118</v>
      </c>
      <c r="L69" t="s">
        <v>6</v>
      </c>
      <c r="M69" s="40">
        <v>196</v>
      </c>
    </row>
    <row r="70" spans="4:13" x14ac:dyDescent="0.3">
      <c r="D70">
        <f t="shared" si="4"/>
        <v>2018</v>
      </c>
      <c r="E70" t="s">
        <v>9</v>
      </c>
      <c r="F70" s="8">
        <f t="shared" ca="1" si="12"/>
        <v>0.70277720677001942</v>
      </c>
      <c r="G70">
        <f ca="1">IF($A$1=0,"",ROUND(_xlfn.NORM.INV(טבלה1[[#This Row],[Rand]],A0+Trend*(ROW()-1),Std)*INDEX(SeasonalityTable,Seasonality,MATCH(טבלה1[[#This Row],[Month]],Months,0)),0))</f>
        <v>202</v>
      </c>
      <c r="H70">
        <f t="shared" si="13"/>
        <v>201.70959999999999</v>
      </c>
      <c r="I70">
        <f ca="1">טבלה1[[#This Row],[Demand]]-טבלה1[[#This Row],[est]]</f>
        <v>0.29040000000000532</v>
      </c>
      <c r="L70" t="s">
        <v>7</v>
      </c>
      <c r="M70" s="40">
        <v>242</v>
      </c>
    </row>
    <row r="71" spans="4:13" x14ac:dyDescent="0.3">
      <c r="D71">
        <f t="shared" si="4"/>
        <v>2018</v>
      </c>
      <c r="E71" t="s">
        <v>10</v>
      </c>
      <c r="F71" s="8">
        <f t="shared" ca="1" si="12"/>
        <v>0.33597907229206803</v>
      </c>
      <c r="G71">
        <f ca="1">IF($A$1=0,"",ROUND(_xlfn.NORM.INV(טבלה1[[#This Row],[Rand]],A0+Trend*(ROW()-1),Std)*INDEX(SeasonalityTable,Seasonality,MATCH(טבלה1[[#This Row],[Month]],Months,0)),0))</f>
        <v>241</v>
      </c>
      <c r="H71">
        <f t="shared" si="13"/>
        <v>240.83199999999999</v>
      </c>
      <c r="I71">
        <f ca="1">טבלה1[[#This Row],[Demand]]-טבלה1[[#This Row],[est]]</f>
        <v>0.16800000000000637</v>
      </c>
      <c r="L71" t="s">
        <v>8</v>
      </c>
      <c r="M71" s="40">
        <v>259</v>
      </c>
    </row>
    <row r="72" spans="4:13" x14ac:dyDescent="0.3">
      <c r="D72">
        <f t="shared" si="4"/>
        <v>2018</v>
      </c>
      <c r="E72" t="s">
        <v>11</v>
      </c>
      <c r="F72" s="8">
        <f t="shared" ca="1" si="12"/>
        <v>0.35289199808900307</v>
      </c>
      <c r="G72">
        <f ca="1">IF($A$1=0,"",ROUND(_xlfn.NORM.INV(טבלה1[[#This Row],[Rand]],A0+Trend*(ROW()-1),Std)*INDEX(SeasonalityTable,Seasonality,MATCH(טבלה1[[#This Row],[Month]],Months,0)),0))</f>
        <v>221</v>
      </c>
      <c r="H72">
        <f t="shared" si="13"/>
        <v>220.9272</v>
      </c>
      <c r="I72">
        <f ca="1">טבלה1[[#This Row],[Demand]]-טבלה1[[#This Row],[est]]</f>
        <v>7.2800000000000864E-2</v>
      </c>
      <c r="L72" t="s">
        <v>9</v>
      </c>
      <c r="M72" s="40">
        <v>201</v>
      </c>
    </row>
    <row r="73" spans="4:13" x14ac:dyDescent="0.3">
      <c r="D73">
        <f t="shared" si="4"/>
        <v>2018</v>
      </c>
      <c r="E73" t="s">
        <v>12</v>
      </c>
      <c r="F73" s="8">
        <f t="shared" ca="1" si="12"/>
        <v>0.46919846200311899</v>
      </c>
      <c r="G73">
        <f ca="1">IF($A$1=0,"",ROUND(_xlfn.NORM.INV(טבלה1[[#This Row],[Rand]],A0+Trend*(ROW()-1),Std)*INDEX(SeasonalityTable,Seasonality,MATCH(טבלה1[[#This Row],[Month]],Months,0)),0))</f>
        <v>235</v>
      </c>
      <c r="H73">
        <f t="shared" si="13"/>
        <v>235.1696</v>
      </c>
      <c r="I73">
        <f ca="1">טבלה1[[#This Row],[Demand]]-טבלה1[[#This Row],[est]]</f>
        <v>-0.16960000000000264</v>
      </c>
      <c r="L73" t="s">
        <v>10</v>
      </c>
      <c r="M73" s="40">
        <v>241</v>
      </c>
    </row>
    <row r="74" spans="4:13" x14ac:dyDescent="0.3">
      <c r="D74">
        <f t="shared" si="4"/>
        <v>2019</v>
      </c>
      <c r="E74" t="s">
        <v>13</v>
      </c>
      <c r="F74" s="8">
        <f t="shared" ca="1" si="12"/>
        <v>0.56312537398421814</v>
      </c>
      <c r="G74">
        <f ca="1">IF($A$1=0,"",ROUND(_xlfn.NORM.INV(טבלה1[[#This Row],[Rand]],A0+Trend*(ROW()-1),Std)*INDEX(SeasonalityTable,Seasonality,MATCH(טבלה1[[#This Row],[Month]],Months,0)),0))</f>
        <v>240</v>
      </c>
      <c r="H74">
        <f t="shared" si="13"/>
        <v>240.32400000000001</v>
      </c>
      <c r="I74">
        <f ca="1">טבלה1[[#This Row],[Demand]]-טבלה1[[#This Row],[est]]</f>
        <v>-0.32400000000001228</v>
      </c>
      <c r="L74" t="s">
        <v>11</v>
      </c>
      <c r="M74" s="40">
        <v>222</v>
      </c>
    </row>
    <row r="75" spans="4:13" x14ac:dyDescent="0.3">
      <c r="D75">
        <f t="shared" si="4"/>
        <v>2019</v>
      </c>
      <c r="E75" t="s">
        <v>14</v>
      </c>
      <c r="F75" s="8">
        <f t="shared" ca="1" si="12"/>
        <v>0.20232607334928399</v>
      </c>
      <c r="G75">
        <f ca="1">IF($A$1=0,"",ROUND(_xlfn.NORM.INV(טבלה1[[#This Row],[Rand]],A0+Trend*(ROW()-1),Std)*INDEX(SeasonalityTable,Seasonality,MATCH(טבלה1[[#This Row],[Month]],Months,0)),0))</f>
        <v>206</v>
      </c>
      <c r="H75">
        <f t="shared" si="13"/>
        <v>206.49600000000001</v>
      </c>
      <c r="I75">
        <f ca="1">טבלה1[[#This Row],[Demand]]-טבלה1[[#This Row],[est]]</f>
        <v>-0.49600000000000932</v>
      </c>
      <c r="L75" t="s">
        <v>12</v>
      </c>
      <c r="M75" s="40">
        <v>235</v>
      </c>
    </row>
    <row r="76" spans="4:13" x14ac:dyDescent="0.3">
      <c r="D76">
        <f t="shared" si="4"/>
        <v>2019</v>
      </c>
      <c r="E76" t="s">
        <v>15</v>
      </c>
      <c r="F76" s="8">
        <f t="shared" ca="1" si="12"/>
        <v>5.302594057750476E-2</v>
      </c>
      <c r="G76">
        <f ca="1">IF($A$1=0,"",ROUND(_xlfn.NORM.INV(טבלה1[[#This Row],[Rand]],A0+Trend*(ROW()-1),Std)*INDEX(SeasonalityTable,Seasonality,MATCH(טבלה1[[#This Row],[Month]],Months,0)),0))</f>
        <v>224</v>
      </c>
      <c r="H76">
        <f t="shared" si="13"/>
        <v>225.4</v>
      </c>
      <c r="I76">
        <f ca="1">טבלה1[[#This Row],[Demand]]-טבלה1[[#This Row],[est]]</f>
        <v>-1.4000000000000057</v>
      </c>
      <c r="K76">
        <v>2019</v>
      </c>
      <c r="L76" t="s">
        <v>13</v>
      </c>
      <c r="M76" s="40">
        <v>239</v>
      </c>
    </row>
    <row r="77" spans="4:13" x14ac:dyDescent="0.3">
      <c r="D77">
        <f t="shared" si="4"/>
        <v>2019</v>
      </c>
      <c r="E77" t="s">
        <v>16</v>
      </c>
      <c r="F77" s="8">
        <f t="shared" ca="1" si="12"/>
        <v>0.46733395377642495</v>
      </c>
      <c r="G77">
        <f ca="1">IF($A$1=0,"",ROUND(_xlfn.NORM.INV(טבלה1[[#This Row],[Rand]],A0+Trend*(ROW()-1),Std)*INDEX(SeasonalityTable,Seasonality,MATCH(טבלה1[[#This Row],[Month]],Months,0)),0))</f>
        <v>240</v>
      </c>
      <c r="H77">
        <f t="shared" si="13"/>
        <v>239.78240000000002</v>
      </c>
      <c r="I77">
        <f ca="1">טבלה1[[#This Row],[Demand]]-טבלה1[[#This Row],[est]]</f>
        <v>0.21759999999997603</v>
      </c>
      <c r="L77" t="s">
        <v>14</v>
      </c>
      <c r="M77" s="40">
        <v>206</v>
      </c>
    </row>
    <row r="78" spans="4:13" x14ac:dyDescent="0.3">
      <c r="D78">
        <f t="shared" si="4"/>
        <v>2019</v>
      </c>
      <c r="E78" t="s">
        <v>5</v>
      </c>
      <c r="F78" s="8">
        <f t="shared" ca="1" si="12"/>
        <v>0.70966841775579892</v>
      </c>
      <c r="G78">
        <f ca="1">IF($A$1=0,"",ROUND(_xlfn.NORM.INV(טבלה1[[#This Row],[Rand]],A0+Trend*(ROW()-1),Std)*INDEX(SeasonalityTable,Seasonality,MATCH(טבלה1[[#This Row],[Month]],Months,0)),0))</f>
        <v>232</v>
      </c>
      <c r="H78">
        <f t="shared" si="13"/>
        <v>231.12</v>
      </c>
      <c r="I78">
        <f ca="1">טבלה1[[#This Row],[Demand]]-טבלה1[[#This Row],[est]]</f>
        <v>0.87999999999999545</v>
      </c>
      <c r="L78" t="s">
        <v>15</v>
      </c>
      <c r="M78" s="40">
        <v>224</v>
      </c>
    </row>
    <row r="79" spans="4:13" x14ac:dyDescent="0.3">
      <c r="D79">
        <f t="shared" ref="D79:D121" si="14">D67+1</f>
        <v>2019</v>
      </c>
      <c r="E79" t="s">
        <v>6</v>
      </c>
      <c r="F79" s="8">
        <f t="shared" ca="1" si="12"/>
        <v>0.39011981126121764</v>
      </c>
      <c r="G79">
        <f ca="1">IF($A$1=0,"",ROUND(_xlfn.NORM.INV(טבלה1[[#This Row],[Rand]],A0+Trend*(ROW()-1),Std)*INDEX(SeasonalityTable,Seasonality,MATCH(טבלה1[[#This Row],[Month]],Months,0)),0))</f>
        <v>201</v>
      </c>
      <c r="H79">
        <f t="shared" si="13"/>
        <v>201.5616</v>
      </c>
      <c r="I79">
        <f ca="1">טבלה1[[#This Row],[Demand]]-טבלה1[[#This Row],[est]]</f>
        <v>-0.56159999999999854</v>
      </c>
      <c r="L79" t="s">
        <v>16</v>
      </c>
      <c r="M79" s="40">
        <v>241</v>
      </c>
    </row>
    <row r="80" spans="4:13" x14ac:dyDescent="0.3">
      <c r="D80">
        <f t="shared" si="14"/>
        <v>2019</v>
      </c>
      <c r="E80" t="s">
        <v>7</v>
      </c>
      <c r="F80" s="8">
        <f t="shared" ca="1" si="12"/>
        <v>9.3862862243584644E-2</v>
      </c>
      <c r="G80">
        <f ca="1">IF($A$1=0,"",ROUND(_xlfn.NORM.INV(טבלה1[[#This Row],[Rand]],A0+Trend*(ROW()-1),Std)*INDEX(SeasonalityTable,Seasonality,MATCH(טבלה1[[#This Row],[Month]],Months,0)),0))</f>
        <v>248</v>
      </c>
      <c r="H80">
        <f t="shared" si="13"/>
        <v>248.49680000000004</v>
      </c>
      <c r="I80">
        <f ca="1">טבלה1[[#This Row],[Demand]]-טבלה1[[#This Row],[est]]</f>
        <v>-0.49680000000003588</v>
      </c>
      <c r="L80" t="s">
        <v>5</v>
      </c>
      <c r="M80" s="40">
        <v>231</v>
      </c>
    </row>
    <row r="81" spans="4:13" x14ac:dyDescent="0.3">
      <c r="D81">
        <f t="shared" si="14"/>
        <v>2019</v>
      </c>
      <c r="E81" t="s">
        <v>8</v>
      </c>
      <c r="F81" s="8">
        <f t="shared" ca="1" si="12"/>
        <v>0.44388724070967023</v>
      </c>
      <c r="G81">
        <f ca="1">IF($A$1=0,"",ROUND(_xlfn.NORM.INV(טבלה1[[#This Row],[Rand]],A0+Trend*(ROW()-1),Std)*INDEX(SeasonalityTable,Seasonality,MATCH(טבלה1[[#This Row],[Month]],Months,0)),0))</f>
        <v>265</v>
      </c>
      <c r="H81">
        <f t="shared" si="13"/>
        <v>265.392</v>
      </c>
      <c r="I81">
        <f ca="1">טבלה1[[#This Row],[Demand]]-טבלה1[[#This Row],[est]]</f>
        <v>-0.39199999999999591</v>
      </c>
      <c r="L81" t="s">
        <v>6</v>
      </c>
      <c r="M81" s="40">
        <v>201</v>
      </c>
    </row>
    <row r="82" spans="4:13" x14ac:dyDescent="0.3">
      <c r="D82">
        <f t="shared" si="14"/>
        <v>2019</v>
      </c>
      <c r="E82" t="s">
        <v>9</v>
      </c>
      <c r="F82" s="8">
        <f t="shared" ca="1" si="12"/>
        <v>0.70361516945329383</v>
      </c>
      <c r="G82">
        <f ca="1">IF($A$1=0,"",ROUND(_xlfn.NORM.INV(טבלה1[[#This Row],[Rand]],A0+Trend*(ROW()-1),Std)*INDEX(SeasonalityTable,Seasonality,MATCH(טבלה1[[#This Row],[Month]],Months,0)),0))</f>
        <v>208</v>
      </c>
      <c r="H82">
        <f t="shared" si="13"/>
        <v>207.69040000000001</v>
      </c>
      <c r="I82">
        <f ca="1">טבלה1[[#This Row],[Demand]]-טבלה1[[#This Row],[est]]</f>
        <v>0.309599999999989</v>
      </c>
      <c r="L82" t="s">
        <v>7</v>
      </c>
      <c r="M82" s="40">
        <v>249</v>
      </c>
    </row>
    <row r="83" spans="4:13" x14ac:dyDescent="0.3">
      <c r="D83">
        <f t="shared" si="14"/>
        <v>2019</v>
      </c>
      <c r="E83" t="s">
        <v>10</v>
      </c>
      <c r="F83" s="8">
        <f t="shared" ca="1" si="12"/>
        <v>0.31604048402864904</v>
      </c>
      <c r="G83">
        <f ca="1">IF($A$1=0,"",ROUND(_xlfn.NORM.INV(טבלה1[[#This Row],[Rand]],A0+Trend*(ROW()-1),Std)*INDEX(SeasonalityTable,Seasonality,MATCH(טבלה1[[#This Row],[Month]],Months,0)),0))</f>
        <v>248</v>
      </c>
      <c r="H83">
        <f t="shared" si="13"/>
        <v>247.95520000000002</v>
      </c>
      <c r="I83">
        <f ca="1">טבלה1[[#This Row],[Demand]]-טבלה1[[#This Row],[est]]</f>
        <v>4.4799999999980855E-2</v>
      </c>
      <c r="L83" t="s">
        <v>8</v>
      </c>
      <c r="M83" s="40">
        <v>266</v>
      </c>
    </row>
    <row r="84" spans="4:13" x14ac:dyDescent="0.3">
      <c r="D84">
        <f t="shared" si="14"/>
        <v>2019</v>
      </c>
      <c r="E84" t="s">
        <v>11</v>
      </c>
      <c r="F84" s="8">
        <f t="shared" ca="1" si="12"/>
        <v>0.45632032185607752</v>
      </c>
      <c r="G84">
        <f ca="1">IF($A$1=0,"",ROUND(_xlfn.NORM.INV(טבלה1[[#This Row],[Rand]],A0+Trend*(ROW()-1),Std)*INDEX(SeasonalityTable,Seasonality,MATCH(טבלה1[[#This Row],[Month]],Months,0)),0))</f>
        <v>227</v>
      </c>
      <c r="H84">
        <f t="shared" si="13"/>
        <v>227.44560000000001</v>
      </c>
      <c r="I84">
        <f ca="1">טבלה1[[#This Row],[Demand]]-טבלה1[[#This Row],[est]]</f>
        <v>-0.4456000000000131</v>
      </c>
      <c r="L84" t="s">
        <v>9</v>
      </c>
      <c r="M84" s="40">
        <v>209</v>
      </c>
    </row>
    <row r="85" spans="4:13" x14ac:dyDescent="0.3">
      <c r="D85">
        <f t="shared" si="14"/>
        <v>2019</v>
      </c>
      <c r="E85" t="s">
        <v>12</v>
      </c>
      <c r="F85" s="8">
        <f t="shared" ca="1" si="12"/>
        <v>2.2810378343126825E-2</v>
      </c>
      <c r="G85">
        <f ca="1">IF($A$1=0,"",ROUND(_xlfn.NORM.INV(טבלה1[[#This Row],[Rand]],A0+Trend*(ROW()-1),Std)*INDEX(SeasonalityTable,Seasonality,MATCH(טבלה1[[#This Row],[Month]],Months,0)),0))</f>
        <v>241</v>
      </c>
      <c r="H85">
        <f t="shared" si="13"/>
        <v>242.09120000000001</v>
      </c>
      <c r="I85">
        <f ca="1">טבלה1[[#This Row],[Demand]]-טבלה1[[#This Row],[est]]</f>
        <v>-1.0912000000000148</v>
      </c>
      <c r="L85" t="s">
        <v>10</v>
      </c>
      <c r="M85" s="40">
        <v>250</v>
      </c>
    </row>
    <row r="86" spans="4:13" x14ac:dyDescent="0.3">
      <c r="D86">
        <f t="shared" si="14"/>
        <v>2020</v>
      </c>
      <c r="E86" t="s">
        <v>13</v>
      </c>
      <c r="F86" s="8">
        <f t="shared" ca="1" si="12"/>
        <v>0.58628754108637482</v>
      </c>
      <c r="G86">
        <f ca="1">IF($A$1=0,"",ROUND(_xlfn.NORM.INV(טבלה1[[#This Row],[Rand]],A0+Trend*(ROW()-1),Std)*INDEX(SeasonalityTable,Seasonality,MATCH(טבלה1[[#This Row],[Month]],Months,0)),0))</f>
        <v>248</v>
      </c>
      <c r="H86">
        <f t="shared" si="13"/>
        <v>247.38</v>
      </c>
      <c r="I86">
        <f ca="1">טבלה1[[#This Row],[Demand]]-טבלה1[[#This Row],[est]]</f>
        <v>0.62000000000000455</v>
      </c>
      <c r="L86" t="s">
        <v>11</v>
      </c>
      <c r="M86" s="40">
        <v>228</v>
      </c>
    </row>
    <row r="87" spans="4:13" x14ac:dyDescent="0.3">
      <c r="D87">
        <f t="shared" si="14"/>
        <v>2020</v>
      </c>
      <c r="E87" t="s">
        <v>14</v>
      </c>
      <c r="F87" s="8">
        <f t="shared" ca="1" si="12"/>
        <v>0.38101768261924829</v>
      </c>
      <c r="G87">
        <f ca="1">IF($A$1=0,"",ROUND(_xlfn.NORM.INV(טבלה1[[#This Row],[Rand]],A0+Trend*(ROW()-1),Std)*INDEX(SeasonalityTable,Seasonality,MATCH(טבלה1[[#This Row],[Month]],Months,0)),0))</f>
        <v>212</v>
      </c>
      <c r="H87">
        <f t="shared" si="13"/>
        <v>212.54400000000001</v>
      </c>
      <c r="I87">
        <f ca="1">טבלה1[[#This Row],[Demand]]-טבלה1[[#This Row],[est]]</f>
        <v>-0.54400000000001114</v>
      </c>
      <c r="L87" t="s">
        <v>12</v>
      </c>
      <c r="M87" s="40">
        <v>243</v>
      </c>
    </row>
    <row r="88" spans="4:13" x14ac:dyDescent="0.3">
      <c r="D88">
        <f t="shared" si="14"/>
        <v>2020</v>
      </c>
      <c r="E88" t="s">
        <v>15</v>
      </c>
      <c r="F88" s="8">
        <f t="shared" ca="1" si="12"/>
        <v>0.50817511047487429</v>
      </c>
      <c r="G88">
        <f ca="1">IF($A$1=0,"",ROUND(_xlfn.NORM.INV(טבלה1[[#This Row],[Rand]],A0+Trend*(ROW()-1),Std)*INDEX(SeasonalityTable,Seasonality,MATCH(טבלה1[[#This Row],[Month]],Months,0)),0))</f>
        <v>232</v>
      </c>
      <c r="H88">
        <f t="shared" si="13"/>
        <v>231.98560000000001</v>
      </c>
      <c r="I88">
        <f ca="1">טבלה1[[#This Row],[Demand]]-טבלה1[[#This Row],[est]]</f>
        <v>1.4399999999994861E-2</v>
      </c>
      <c r="K88">
        <v>2020</v>
      </c>
      <c r="L88" t="s">
        <v>13</v>
      </c>
      <c r="M88" s="40">
        <v>248</v>
      </c>
    </row>
    <row r="89" spans="4:13" x14ac:dyDescent="0.3">
      <c r="D89">
        <f t="shared" si="14"/>
        <v>2020</v>
      </c>
      <c r="E89" t="s">
        <v>16</v>
      </c>
      <c r="F89" s="8">
        <f t="shared" ca="1" si="12"/>
        <v>0.23579511887535409</v>
      </c>
      <c r="G89">
        <f ca="1">IF($A$1=0,"",ROUND(_xlfn.NORM.INV(טבלה1[[#This Row],[Rand]],A0+Trend*(ROW()-1),Std)*INDEX(SeasonalityTable,Seasonality,MATCH(טבלה1[[#This Row],[Month]],Months,0)),0))</f>
        <v>246</v>
      </c>
      <c r="H89">
        <f t="shared" si="13"/>
        <v>246.77120000000002</v>
      </c>
      <c r="I89">
        <f ca="1">טבלה1[[#This Row],[Demand]]-טבלה1[[#This Row],[est]]</f>
        <v>-0.77120000000002165</v>
      </c>
      <c r="L89" t="s">
        <v>14</v>
      </c>
      <c r="M89" s="40">
        <v>213</v>
      </c>
    </row>
    <row r="90" spans="4:13" x14ac:dyDescent="0.3">
      <c r="D90">
        <f t="shared" si="14"/>
        <v>2020</v>
      </c>
      <c r="E90" t="s">
        <v>5</v>
      </c>
      <c r="F90" s="8">
        <f t="shared" ca="1" si="12"/>
        <v>0.35283090146161045</v>
      </c>
      <c r="G90">
        <f ca="1">IF($A$1=0,"",ROUND(_xlfn.NORM.INV(טבלה1[[#This Row],[Rand]],A0+Trend*(ROW()-1),Std)*INDEX(SeasonalityTable,Seasonality,MATCH(טבלה1[[#This Row],[Month]],Months,0)),0))</f>
        <v>238</v>
      </c>
      <c r="H90">
        <f t="shared" si="13"/>
        <v>237.84</v>
      </c>
      <c r="I90">
        <f ca="1">טבלה1[[#This Row],[Demand]]-טבלה1[[#This Row],[est]]</f>
        <v>0.15999999999999659</v>
      </c>
      <c r="L90" t="s">
        <v>15</v>
      </c>
      <c r="M90" s="40">
        <v>231</v>
      </c>
    </row>
    <row r="91" spans="4:13" x14ac:dyDescent="0.3">
      <c r="D91">
        <f t="shared" si="14"/>
        <v>2020</v>
      </c>
      <c r="E91" t="s">
        <v>6</v>
      </c>
      <c r="F91" s="8">
        <f t="shared" ca="1" si="12"/>
        <v>6.1758760159708048E-2</v>
      </c>
      <c r="G91">
        <f ca="1">IF($A$1=0,"",ROUND(_xlfn.NORM.INV(טבלה1[[#This Row],[Rand]],A0+Trend*(ROW()-1),Std)*INDEX(SeasonalityTable,Seasonality,MATCH(טבלה1[[#This Row],[Month]],Months,0)),0))</f>
        <v>206</v>
      </c>
      <c r="H91">
        <f t="shared" si="13"/>
        <v>207.40800000000002</v>
      </c>
      <c r="I91">
        <f ca="1">טבלה1[[#This Row],[Demand]]-טבלה1[[#This Row],[est]]</f>
        <v>-1.4080000000000155</v>
      </c>
      <c r="L91" t="s">
        <v>16</v>
      </c>
      <c r="M91" s="40">
        <v>248</v>
      </c>
    </row>
    <row r="92" spans="4:13" x14ac:dyDescent="0.3">
      <c r="D92">
        <f t="shared" si="14"/>
        <v>2020</v>
      </c>
      <c r="E92" t="s">
        <v>7</v>
      </c>
      <c r="F92" s="8">
        <f t="shared" ca="1" si="12"/>
        <v>0.41869486564818925</v>
      </c>
      <c r="G92">
        <f ca="1">IF($A$1=0,"",ROUND(_xlfn.NORM.INV(טבלה1[[#This Row],[Rand]],A0+Trend*(ROW()-1),Std)*INDEX(SeasonalityTable,Seasonality,MATCH(טבלה1[[#This Row],[Month]],Months,0)),0))</f>
        <v>256</v>
      </c>
      <c r="H92">
        <f t="shared" si="13"/>
        <v>255.68720000000002</v>
      </c>
      <c r="I92">
        <f ca="1">טבלה1[[#This Row],[Demand]]-טבלה1[[#This Row],[est]]</f>
        <v>0.31279999999998154</v>
      </c>
      <c r="L92" t="s">
        <v>5</v>
      </c>
      <c r="M92" s="40">
        <v>238</v>
      </c>
    </row>
    <row r="93" spans="4:13" x14ac:dyDescent="0.3">
      <c r="D93">
        <f t="shared" si="14"/>
        <v>2020</v>
      </c>
      <c r="E93" t="s">
        <v>8</v>
      </c>
      <c r="F93" s="8">
        <f t="shared" ca="1" si="12"/>
        <v>0.51365848255423208</v>
      </c>
      <c r="G93">
        <f ca="1">IF($A$1=0,"",ROUND(_xlfn.NORM.INV(טבלה1[[#This Row],[Rand]],A0+Trend*(ROW()-1),Std)*INDEX(SeasonalityTable,Seasonality,MATCH(טבלה1[[#This Row],[Month]],Months,0)),0))</f>
        <v>273</v>
      </c>
      <c r="H93">
        <f t="shared" si="13"/>
        <v>273.05279999999999</v>
      </c>
      <c r="I93">
        <f ca="1">טבלה1[[#This Row],[Demand]]-טבלה1[[#This Row],[est]]</f>
        <v>-5.2799999999990632E-2</v>
      </c>
      <c r="L93" t="s">
        <v>6</v>
      </c>
      <c r="M93" s="40">
        <v>207</v>
      </c>
    </row>
    <row r="94" spans="4:13" x14ac:dyDescent="0.3">
      <c r="D94">
        <f t="shared" si="14"/>
        <v>2020</v>
      </c>
      <c r="E94" t="s">
        <v>9</v>
      </c>
      <c r="F94" s="8">
        <f t="shared" ca="1" si="12"/>
        <v>0.99852369539914332</v>
      </c>
      <c r="G94">
        <f ca="1">IF($A$1=0,"",ROUND(_xlfn.NORM.INV(טבלה1[[#This Row],[Rand]],A0+Trend*(ROW()-1),Std)*INDEX(SeasonalityTable,Seasonality,MATCH(טבלה1[[#This Row],[Month]],Months,0)),0))</f>
        <v>216</v>
      </c>
      <c r="H94">
        <f t="shared" si="13"/>
        <v>213.67120000000003</v>
      </c>
      <c r="I94">
        <f ca="1">טבלה1[[#This Row],[Demand]]-טבלה1[[#This Row],[est]]</f>
        <v>2.3287999999999727</v>
      </c>
      <c r="L94" t="s">
        <v>7</v>
      </c>
      <c r="M94" s="40">
        <v>256</v>
      </c>
    </row>
    <row r="95" spans="4:13" x14ac:dyDescent="0.3">
      <c r="D95">
        <f t="shared" si="14"/>
        <v>2020</v>
      </c>
      <c r="E95" t="s">
        <v>10</v>
      </c>
      <c r="F95" s="8">
        <f t="shared" ca="1" si="12"/>
        <v>0.56799727866244598</v>
      </c>
      <c r="G95">
        <f ca="1">IF($A$1=0,"",ROUND(_xlfn.NORM.INV(טבלה1[[#This Row],[Rand]],A0+Trend*(ROW()-1),Std)*INDEX(SeasonalityTable,Seasonality,MATCH(טבלה1[[#This Row],[Month]],Months,0)),0))</f>
        <v>255</v>
      </c>
      <c r="H95">
        <f t="shared" si="13"/>
        <v>255.07840000000002</v>
      </c>
      <c r="I95">
        <f ca="1">טבלה1[[#This Row],[Demand]]-טבלה1[[#This Row],[est]]</f>
        <v>-7.8400000000016234E-2</v>
      </c>
      <c r="L95" t="s">
        <v>8</v>
      </c>
      <c r="M95" s="40">
        <v>272</v>
      </c>
    </row>
    <row r="96" spans="4:13" x14ac:dyDescent="0.3">
      <c r="D96">
        <f t="shared" si="14"/>
        <v>2020</v>
      </c>
      <c r="E96" t="s">
        <v>11</v>
      </c>
      <c r="F96" s="8">
        <f t="shared" ca="1" si="12"/>
        <v>0.33369820591295418</v>
      </c>
      <c r="G96">
        <f ca="1">IF($A$1=0,"",ROUND(_xlfn.NORM.INV(טבלה1[[#This Row],[Rand]],A0+Trend*(ROW()-1),Std)*INDEX(SeasonalityTable,Seasonality,MATCH(טבלה1[[#This Row],[Month]],Months,0)),0))</f>
        <v>234</v>
      </c>
      <c r="H96">
        <f t="shared" si="13"/>
        <v>233.96399999999997</v>
      </c>
      <c r="I96">
        <f ca="1">טבלה1[[#This Row],[Demand]]-טבלה1[[#This Row],[est]]</f>
        <v>3.6000000000029786E-2</v>
      </c>
      <c r="L96" t="s">
        <v>9</v>
      </c>
      <c r="M96" s="40">
        <v>214</v>
      </c>
    </row>
    <row r="97" spans="4:13" x14ac:dyDescent="0.3">
      <c r="D97">
        <f t="shared" si="14"/>
        <v>2020</v>
      </c>
      <c r="E97" t="s">
        <v>12</v>
      </c>
      <c r="F97" s="8">
        <f t="shared" ca="1" si="12"/>
        <v>0.48098140369252873</v>
      </c>
      <c r="G97">
        <f ca="1">IF($A$1=0,"",ROUND(_xlfn.NORM.INV(טבלה1[[#This Row],[Rand]],A0+Trend*(ROW()-1),Std)*INDEX(SeasonalityTable,Seasonality,MATCH(טבלה1[[#This Row],[Month]],Months,0)),0))</f>
        <v>249</v>
      </c>
      <c r="H97">
        <f t="shared" si="13"/>
        <v>249.0128</v>
      </c>
      <c r="I97">
        <f ca="1">טבלה1[[#This Row],[Demand]]-טבלה1[[#This Row],[est]]</f>
        <v>-1.279999999999859E-2</v>
      </c>
      <c r="L97" t="s">
        <v>10</v>
      </c>
      <c r="M97" s="40">
        <v>256</v>
      </c>
    </row>
    <row r="98" spans="4:13" x14ac:dyDescent="0.3">
      <c r="D98">
        <f t="shared" si="14"/>
        <v>2021</v>
      </c>
      <c r="E98" t="s">
        <v>13</v>
      </c>
      <c r="F98" s="8">
        <f t="shared" ca="1" si="12"/>
        <v>0.13215836020463112</v>
      </c>
      <c r="G98">
        <f ca="1">IF($A$1=0,"",ROUND(_xlfn.NORM.INV(טבלה1[[#This Row],[Rand]],A0+Trend*(ROW()-1),Std)*INDEX(SeasonalityTable,Seasonality,MATCH(טבלה1[[#This Row],[Month]],Months,0)),0))</f>
        <v>254</v>
      </c>
      <c r="H98">
        <f t="shared" ref="H98:H121" si="15">(A0+(ROW()-1)*Trend)*INDEX(SeasonalityTable,Seasonality,MOD(ROW()-2,12)+1)</f>
        <v>254.43600000000001</v>
      </c>
      <c r="I98">
        <f ca="1">טבלה1[[#This Row],[Demand]]-טבלה1[[#This Row],[est]]</f>
        <v>-0.43600000000000705</v>
      </c>
      <c r="L98" t="s">
        <v>11</v>
      </c>
      <c r="M98" s="40">
        <v>234</v>
      </c>
    </row>
    <row r="99" spans="4:13" x14ac:dyDescent="0.3">
      <c r="D99">
        <f t="shared" si="14"/>
        <v>2021</v>
      </c>
      <c r="E99" t="s">
        <v>14</v>
      </c>
      <c r="F99" s="8">
        <f t="shared" ca="1" si="12"/>
        <v>0.84661051841375679</v>
      </c>
      <c r="G99">
        <f ca="1">IF($A$1=0,"",ROUND(_xlfn.NORM.INV(טבלה1[[#This Row],[Rand]],A0+Trend*(ROW()-1),Std)*INDEX(SeasonalityTable,Seasonality,MATCH(טבלה1[[#This Row],[Month]],Months,0)),0))</f>
        <v>219</v>
      </c>
      <c r="H99">
        <f t="shared" si="15"/>
        <v>218.59200000000001</v>
      </c>
      <c r="I99">
        <f ca="1">טבלה1[[#This Row],[Demand]]-טבלה1[[#This Row],[est]]</f>
        <v>0.40799999999998704</v>
      </c>
      <c r="L99" t="s">
        <v>12</v>
      </c>
      <c r="M99" s="40">
        <v>249</v>
      </c>
    </row>
    <row r="100" spans="4:13" x14ac:dyDescent="0.3">
      <c r="D100">
        <f t="shared" si="14"/>
        <v>2021</v>
      </c>
      <c r="E100" t="s">
        <v>15</v>
      </c>
      <c r="F100" s="8">
        <f t="shared" ca="1" si="12"/>
        <v>0.25303554622574698</v>
      </c>
      <c r="G100">
        <f ca="1">IF($A$1=0,"",ROUND(_xlfn.NORM.INV(טבלה1[[#This Row],[Rand]],A0+Trend*(ROW()-1),Std)*INDEX(SeasonalityTable,Seasonality,MATCH(טבלה1[[#This Row],[Month]],Months,0)),0))</f>
        <v>238</v>
      </c>
      <c r="H100">
        <f t="shared" si="15"/>
        <v>238.5712</v>
      </c>
      <c r="I100">
        <f ca="1">טבלה1[[#This Row],[Demand]]-טבלה1[[#This Row],[est]]</f>
        <v>-0.57120000000000459</v>
      </c>
      <c r="K100">
        <v>2021</v>
      </c>
      <c r="L100" t="s">
        <v>13</v>
      </c>
      <c r="M100" s="40">
        <v>254</v>
      </c>
    </row>
    <row r="101" spans="4:13" x14ac:dyDescent="0.3">
      <c r="D101">
        <f t="shared" si="14"/>
        <v>2021</v>
      </c>
      <c r="E101" t="s">
        <v>16</v>
      </c>
      <c r="F101" s="8">
        <f t="shared" ca="1" si="12"/>
        <v>0.9628137500061158</v>
      </c>
      <c r="G101">
        <f ca="1">IF($A$1=0,"",ROUND(_xlfn.NORM.INV(טבלה1[[#This Row],[Rand]],A0+Trend*(ROW()-1),Std)*INDEX(SeasonalityTable,Seasonality,MATCH(טבלה1[[#This Row],[Month]],Months,0)),0))</f>
        <v>255</v>
      </c>
      <c r="H101">
        <f t="shared" si="15"/>
        <v>253.76000000000002</v>
      </c>
      <c r="I101">
        <f ca="1">טבלה1[[#This Row],[Demand]]-טבלה1[[#This Row],[est]]</f>
        <v>1.2399999999999807</v>
      </c>
      <c r="L101" t="s">
        <v>14</v>
      </c>
      <c r="M101" s="40">
        <v>218</v>
      </c>
    </row>
    <row r="102" spans="4:13" x14ac:dyDescent="0.3">
      <c r="D102">
        <f t="shared" si="14"/>
        <v>2021</v>
      </c>
      <c r="E102" t="s">
        <v>5</v>
      </c>
      <c r="F102" s="8">
        <f t="shared" ca="1" si="12"/>
        <v>0.80257547769962811</v>
      </c>
      <c r="G102">
        <f ca="1">IF($A$1=0,"",ROUND(_xlfn.NORM.INV(טבלה1[[#This Row],[Rand]],A0+Trend*(ROW()-1),Std)*INDEX(SeasonalityTable,Seasonality,MATCH(טבלה1[[#This Row],[Month]],Months,0)),0))</f>
        <v>245</v>
      </c>
      <c r="H102">
        <f t="shared" si="15"/>
        <v>244.56</v>
      </c>
      <c r="I102">
        <f ca="1">טבלה1[[#This Row],[Demand]]-טבלה1[[#This Row],[est]]</f>
        <v>0.43999999999999773</v>
      </c>
      <c r="L102" t="s">
        <v>15</v>
      </c>
      <c r="M102" s="40">
        <v>239</v>
      </c>
    </row>
    <row r="103" spans="4:13" x14ac:dyDescent="0.3">
      <c r="D103">
        <f t="shared" si="14"/>
        <v>2021</v>
      </c>
      <c r="E103" t="s">
        <v>6</v>
      </c>
      <c r="F103" s="8">
        <f t="shared" ca="1" si="12"/>
        <v>8.4764129096410623E-2</v>
      </c>
      <c r="G103">
        <f ca="1">IF($A$1=0,"",ROUND(_xlfn.NORM.INV(טבלה1[[#This Row],[Rand]],A0+Trend*(ROW()-1),Std)*INDEX(SeasonalityTable,Seasonality,MATCH(טבלה1[[#This Row],[Month]],Months,0)),0))</f>
        <v>212</v>
      </c>
      <c r="H103">
        <f t="shared" si="15"/>
        <v>213.2544</v>
      </c>
      <c r="I103">
        <f ca="1">טבלה1[[#This Row],[Demand]]-טבלה1[[#This Row],[est]]</f>
        <v>-1.254400000000004</v>
      </c>
      <c r="L103" t="s">
        <v>16</v>
      </c>
      <c r="M103" s="40">
        <v>253</v>
      </c>
    </row>
    <row r="104" spans="4:13" x14ac:dyDescent="0.3">
      <c r="D104">
        <f t="shared" si="14"/>
        <v>2021</v>
      </c>
      <c r="E104" t="s">
        <v>7</v>
      </c>
      <c r="F104" s="8">
        <f t="shared" ca="1" si="12"/>
        <v>1.6997862365534133E-2</v>
      </c>
      <c r="G104">
        <f ca="1">IF($A$1=0,"",ROUND(_xlfn.NORM.INV(טבלה1[[#This Row],[Rand]],A0+Trend*(ROW()-1),Std)*INDEX(SeasonalityTable,Seasonality,MATCH(טבלה1[[#This Row],[Month]],Months,0)),0))</f>
        <v>261</v>
      </c>
      <c r="H104">
        <f t="shared" si="15"/>
        <v>262.87760000000003</v>
      </c>
      <c r="I104">
        <f ca="1">טבלה1[[#This Row],[Demand]]-טבלה1[[#This Row],[est]]</f>
        <v>-1.8776000000000295</v>
      </c>
      <c r="L104" t="s">
        <v>5</v>
      </c>
      <c r="M104" s="40">
        <v>243</v>
      </c>
    </row>
    <row r="105" spans="4:13" x14ac:dyDescent="0.3">
      <c r="D105">
        <f t="shared" si="14"/>
        <v>2021</v>
      </c>
      <c r="E105" t="s">
        <v>8</v>
      </c>
      <c r="F105" s="8">
        <f t="shared" ca="1" si="12"/>
        <v>0.12028691405862446</v>
      </c>
      <c r="G105">
        <f ca="1">IF($A$1=0,"",ROUND(_xlfn.NORM.INV(טבלה1[[#This Row],[Rand]],A0+Trend*(ROW()-1),Std)*INDEX(SeasonalityTable,Seasonality,MATCH(טבלה1[[#This Row],[Month]],Months,0)),0))</f>
        <v>280</v>
      </c>
      <c r="H105">
        <f t="shared" si="15"/>
        <v>280.71359999999999</v>
      </c>
      <c r="I105">
        <f ca="1">טבלה1[[#This Row],[Demand]]-טבלה1[[#This Row],[est]]</f>
        <v>-0.71359999999998536</v>
      </c>
      <c r="L105" t="s">
        <v>6</v>
      </c>
      <c r="M105" s="40">
        <v>213</v>
      </c>
    </row>
    <row r="106" spans="4:13" x14ac:dyDescent="0.3">
      <c r="D106">
        <f t="shared" si="14"/>
        <v>2021</v>
      </c>
      <c r="E106" t="s">
        <v>9</v>
      </c>
      <c r="F106" s="8">
        <f t="shared" ca="1" si="12"/>
        <v>0.26279844782240103</v>
      </c>
      <c r="G106">
        <f ca="1">IF($A$1=0,"",ROUND(_xlfn.NORM.INV(טבלה1[[#This Row],[Rand]],A0+Trend*(ROW()-1),Std)*INDEX(SeasonalityTable,Seasonality,MATCH(טבלה1[[#This Row],[Month]],Months,0)),0))</f>
        <v>219</v>
      </c>
      <c r="H106">
        <f t="shared" si="15"/>
        <v>219.65200000000002</v>
      </c>
      <c r="I106">
        <f ca="1">טבלה1[[#This Row],[Demand]]-טבלה1[[#This Row],[est]]</f>
        <v>-0.65200000000001523</v>
      </c>
      <c r="L106" t="s">
        <v>7</v>
      </c>
      <c r="M106" s="40">
        <v>263</v>
      </c>
    </row>
    <row r="107" spans="4:13" x14ac:dyDescent="0.3">
      <c r="D107">
        <f t="shared" si="14"/>
        <v>2021</v>
      </c>
      <c r="E107" t="s">
        <v>10</v>
      </c>
      <c r="F107" s="8">
        <f t="shared" ca="1" si="12"/>
        <v>6.7874903482285309E-2</v>
      </c>
      <c r="G107">
        <f ca="1">IF($A$1=0,"",ROUND(_xlfn.NORM.INV(טבלה1[[#This Row],[Rand]],A0+Trend*(ROW()-1),Std)*INDEX(SeasonalityTable,Seasonality,MATCH(טבלה1[[#This Row],[Month]],Months,0)),0))</f>
        <v>261</v>
      </c>
      <c r="H107">
        <f t="shared" si="15"/>
        <v>262.20160000000004</v>
      </c>
      <c r="I107">
        <f ca="1">טבלה1[[#This Row],[Demand]]-טבלה1[[#This Row],[est]]</f>
        <v>-1.2016000000000417</v>
      </c>
      <c r="L107" t="s">
        <v>8</v>
      </c>
      <c r="M107" s="40">
        <v>281</v>
      </c>
    </row>
    <row r="108" spans="4:13" x14ac:dyDescent="0.3">
      <c r="D108">
        <f t="shared" si="14"/>
        <v>2021</v>
      </c>
      <c r="E108" t="s">
        <v>11</v>
      </c>
      <c r="F108" s="8">
        <f t="shared" ca="1" si="12"/>
        <v>0.24860294519809523</v>
      </c>
      <c r="G108">
        <f ca="1">IF($A$1=0,"",ROUND(_xlfn.NORM.INV(טבלה1[[#This Row],[Rand]],A0+Trend*(ROW()-1),Std)*INDEX(SeasonalityTable,Seasonality,MATCH(טבלה1[[#This Row],[Month]],Months,0)),0))</f>
        <v>240</v>
      </c>
      <c r="H108">
        <f t="shared" si="15"/>
        <v>240.48240000000001</v>
      </c>
      <c r="I108">
        <f ca="1">טבלה1[[#This Row],[Demand]]-טבלה1[[#This Row],[est]]</f>
        <v>-0.4824000000000126</v>
      </c>
      <c r="L108" t="s">
        <v>9</v>
      </c>
      <c r="M108" s="40">
        <v>220</v>
      </c>
    </row>
    <row r="109" spans="4:13" x14ac:dyDescent="0.3">
      <c r="D109">
        <f t="shared" si="14"/>
        <v>2021</v>
      </c>
      <c r="E109" t="s">
        <v>12</v>
      </c>
      <c r="F109" s="8">
        <f t="shared" ca="1" si="12"/>
        <v>0.41434888690436933</v>
      </c>
      <c r="G109">
        <f ca="1">IF($A$1=0,"",ROUND(_xlfn.NORM.INV(טבלה1[[#This Row],[Rand]],A0+Trend*(ROW()-1),Std)*INDEX(SeasonalityTable,Seasonality,MATCH(טבלה1[[#This Row],[Month]],Months,0)),0))</f>
        <v>256</v>
      </c>
      <c r="H109">
        <f t="shared" si="15"/>
        <v>255.93440000000004</v>
      </c>
      <c r="I109">
        <f ca="1">טבלה1[[#This Row],[Demand]]-טבלה1[[#This Row],[est]]</f>
        <v>6.5599999999960801E-2</v>
      </c>
      <c r="L109" t="s">
        <v>10</v>
      </c>
      <c r="M109" s="40">
        <v>261</v>
      </c>
    </row>
    <row r="110" spans="4:13" x14ac:dyDescent="0.3">
      <c r="D110">
        <f t="shared" si="14"/>
        <v>2022</v>
      </c>
      <c r="E110" t="s">
        <v>13</v>
      </c>
      <c r="F110" s="8">
        <f t="shared" ca="1" si="12"/>
        <v>0.52341085060746151</v>
      </c>
      <c r="G110">
        <f ca="1">IF($A$1=0,"",ROUND(_xlfn.NORM.INV(טבלה1[[#This Row],[Rand]],A0+Trend*(ROW()-1),Std)*INDEX(SeasonalityTable,Seasonality,MATCH(טבלה1[[#This Row],[Month]],Months,0)),0))</f>
        <v>262</v>
      </c>
      <c r="H110">
        <f t="shared" si="15"/>
        <v>261.49200000000002</v>
      </c>
      <c r="I110">
        <f ca="1">טבלה1[[#This Row],[Demand]]-טבלה1[[#This Row],[est]]</f>
        <v>0.50799999999998136</v>
      </c>
      <c r="L110" t="s">
        <v>11</v>
      </c>
      <c r="M110" s="40">
        <v>240</v>
      </c>
    </row>
    <row r="111" spans="4:13" x14ac:dyDescent="0.3">
      <c r="D111">
        <f t="shared" si="14"/>
        <v>2022</v>
      </c>
      <c r="E111" t="s">
        <v>14</v>
      </c>
      <c r="F111" s="8">
        <f t="shared" ca="1" si="12"/>
        <v>0.66510652728428821</v>
      </c>
      <c r="G111">
        <f ca="1">IF($A$1=0,"",ROUND(_xlfn.NORM.INV(טבלה1[[#This Row],[Rand]],A0+Trend*(ROW()-1),Std)*INDEX(SeasonalityTable,Seasonality,MATCH(טבלה1[[#This Row],[Month]],Months,0)),0))</f>
        <v>225</v>
      </c>
      <c r="H111">
        <f t="shared" si="15"/>
        <v>224.64000000000001</v>
      </c>
      <c r="I111">
        <f ca="1">טבלה1[[#This Row],[Demand]]-טבלה1[[#This Row],[est]]</f>
        <v>0.35999999999998522</v>
      </c>
      <c r="L111" t="s">
        <v>12</v>
      </c>
      <c r="M111" s="40">
        <v>256</v>
      </c>
    </row>
    <row r="112" spans="4:13" x14ac:dyDescent="0.3">
      <c r="D112">
        <f t="shared" si="14"/>
        <v>2022</v>
      </c>
      <c r="E112" t="s">
        <v>15</v>
      </c>
      <c r="F112" s="8">
        <f t="shared" ca="1" si="12"/>
        <v>0.72177326338296444</v>
      </c>
      <c r="G112">
        <f ca="1">IF($A$1=0,"",ROUND(_xlfn.NORM.INV(טבלה1[[#This Row],[Rand]],A0+Trend*(ROW()-1),Std)*INDEX(SeasonalityTable,Seasonality,MATCH(טבלה1[[#This Row],[Month]],Months,0)),0))</f>
        <v>246</v>
      </c>
      <c r="H112">
        <f t="shared" si="15"/>
        <v>245.1568</v>
      </c>
      <c r="I112">
        <f ca="1">טבלה1[[#This Row],[Demand]]-טבלה1[[#This Row],[est]]</f>
        <v>0.84319999999999595</v>
      </c>
      <c r="K112">
        <v>2022</v>
      </c>
      <c r="L112" t="s">
        <v>13</v>
      </c>
      <c r="M112" s="40">
        <v>261</v>
      </c>
    </row>
    <row r="113" spans="4:13" x14ac:dyDescent="0.3">
      <c r="D113">
        <f t="shared" si="14"/>
        <v>2022</v>
      </c>
      <c r="E113" t="s">
        <v>16</v>
      </c>
      <c r="F113" s="8">
        <f t="shared" ca="1" si="12"/>
        <v>0.21775178216542534</v>
      </c>
      <c r="G113">
        <f ca="1">IF($A$1=0,"",ROUND(_xlfn.NORM.INV(טבלה1[[#This Row],[Rand]],A0+Trend*(ROW()-1),Std)*INDEX(SeasonalityTable,Seasonality,MATCH(טבלה1[[#This Row],[Month]],Months,0)),0))</f>
        <v>260</v>
      </c>
      <c r="H113">
        <f t="shared" si="15"/>
        <v>260.74880000000002</v>
      </c>
      <c r="I113">
        <f ca="1">טבלה1[[#This Row],[Demand]]-טבלה1[[#This Row],[est]]</f>
        <v>-0.74880000000001701</v>
      </c>
      <c r="L113" t="s">
        <v>14</v>
      </c>
      <c r="M113" s="40">
        <v>224</v>
      </c>
    </row>
    <row r="114" spans="4:13" x14ac:dyDescent="0.3">
      <c r="D114">
        <f t="shared" si="14"/>
        <v>2022</v>
      </c>
      <c r="E114" t="s">
        <v>5</v>
      </c>
      <c r="F114" s="8">
        <f t="shared" ca="1" si="12"/>
        <v>0.81279762195598693</v>
      </c>
      <c r="G114">
        <f ca="1">IF($A$1=0,"",ROUND(_xlfn.NORM.INV(טבלה1[[#This Row],[Rand]],A0+Trend*(ROW()-1),Std)*INDEX(SeasonalityTable,Seasonality,MATCH(טבלה1[[#This Row],[Month]],Months,0)),0))</f>
        <v>252</v>
      </c>
      <c r="H114">
        <f t="shared" si="15"/>
        <v>251.28</v>
      </c>
      <c r="I114">
        <f ca="1">טבלה1[[#This Row],[Demand]]-טבלה1[[#This Row],[est]]</f>
        <v>0.71999999999999886</v>
      </c>
      <c r="L114" t="s">
        <v>15</v>
      </c>
      <c r="M114" s="40">
        <v>245</v>
      </c>
    </row>
    <row r="115" spans="4:13" x14ac:dyDescent="0.3">
      <c r="D115">
        <f t="shared" si="14"/>
        <v>2022</v>
      </c>
      <c r="E115" t="s">
        <v>6</v>
      </c>
      <c r="F115" s="8">
        <f t="shared" ca="1" si="12"/>
        <v>0.66181966483258137</v>
      </c>
      <c r="G115">
        <f ca="1">IF($A$1=0,"",ROUND(_xlfn.NORM.INV(טבלה1[[#This Row],[Rand]],A0+Trend*(ROW()-1),Std)*INDEX(SeasonalityTable,Seasonality,MATCH(טבלה1[[#This Row],[Month]],Months,0)),0))</f>
        <v>219</v>
      </c>
      <c r="H115">
        <f t="shared" si="15"/>
        <v>219.10079999999999</v>
      </c>
      <c r="I115">
        <f ca="1">טבלה1[[#This Row],[Demand]]-טבלה1[[#This Row],[est]]</f>
        <v>-0.10079999999999245</v>
      </c>
      <c r="L115" t="s">
        <v>16</v>
      </c>
      <c r="M115" s="40">
        <v>260</v>
      </c>
    </row>
    <row r="116" spans="4:13" x14ac:dyDescent="0.3">
      <c r="D116">
        <f t="shared" si="14"/>
        <v>2022</v>
      </c>
      <c r="E116" t="s">
        <v>7</v>
      </c>
      <c r="F116" s="8">
        <f t="shared" ca="1" si="12"/>
        <v>0.29358458353476125</v>
      </c>
      <c r="G116">
        <f ca="1">IF($A$1=0,"",ROUND(_xlfn.NORM.INV(טבלה1[[#This Row],[Rand]],A0+Trend*(ROW()-1),Std)*INDEX(SeasonalityTable,Seasonality,MATCH(טבלה1[[#This Row],[Month]],Months,0)),0))</f>
        <v>270</v>
      </c>
      <c r="H116">
        <f t="shared" si="15"/>
        <v>270.06800000000004</v>
      </c>
      <c r="I116">
        <f ca="1">טבלה1[[#This Row],[Demand]]-טבלה1[[#This Row],[est]]</f>
        <v>-6.8000000000040473E-2</v>
      </c>
      <c r="L116" t="s">
        <v>5</v>
      </c>
      <c r="M116" s="40">
        <v>252</v>
      </c>
    </row>
    <row r="117" spans="4:13" x14ac:dyDescent="0.3">
      <c r="D117">
        <f t="shared" si="14"/>
        <v>2022</v>
      </c>
      <c r="E117" t="s">
        <v>8</v>
      </c>
      <c r="F117" s="8">
        <f t="shared" ca="1" si="12"/>
        <v>0.44909467068857423</v>
      </c>
      <c r="G117">
        <f ca="1">IF($A$1=0,"",ROUND(_xlfn.NORM.INV(טבלה1[[#This Row],[Rand]],A0+Trend*(ROW()-1),Std)*INDEX(SeasonalityTable,Seasonality,MATCH(טבלה1[[#This Row],[Month]],Months,0)),0))</f>
        <v>288</v>
      </c>
      <c r="H117">
        <f t="shared" si="15"/>
        <v>288.37439999999998</v>
      </c>
      <c r="I117">
        <f ca="1">טבלה1[[#This Row],[Demand]]-טבלה1[[#This Row],[est]]</f>
        <v>-0.37439999999998008</v>
      </c>
      <c r="L117" t="s">
        <v>6</v>
      </c>
      <c r="M117" s="40">
        <v>220</v>
      </c>
    </row>
    <row r="118" spans="4:13" x14ac:dyDescent="0.3">
      <c r="D118">
        <f t="shared" si="14"/>
        <v>2022</v>
      </c>
      <c r="E118" t="s">
        <v>9</v>
      </c>
      <c r="F118" s="8">
        <f t="shared" ca="1" si="12"/>
        <v>0.54005503949082745</v>
      </c>
      <c r="G118">
        <f ca="1">IF($A$1=0,"",ROUND(_xlfn.NORM.INV(טבלה1[[#This Row],[Rand]],A0+Trend*(ROW()-1),Std)*INDEX(SeasonalityTable,Seasonality,MATCH(טבלה1[[#This Row],[Month]],Months,0)),0))</f>
        <v>226</v>
      </c>
      <c r="H118">
        <f t="shared" si="15"/>
        <v>225.6328</v>
      </c>
      <c r="I118">
        <f ca="1">טבלה1[[#This Row],[Demand]]-טבלה1[[#This Row],[est]]</f>
        <v>0.36719999999999686</v>
      </c>
      <c r="L118" t="s">
        <v>7</v>
      </c>
      <c r="M118" s="40">
        <v>271</v>
      </c>
    </row>
    <row r="119" spans="4:13" x14ac:dyDescent="0.3">
      <c r="D119">
        <f t="shared" si="14"/>
        <v>2022</v>
      </c>
      <c r="E119" t="s">
        <v>10</v>
      </c>
      <c r="F119" s="8">
        <f t="shared" ca="1" si="12"/>
        <v>0.93897488920117778</v>
      </c>
      <c r="G119">
        <f ca="1">IF($A$1=0,"",ROUND(_xlfn.NORM.INV(טבלה1[[#This Row],[Rand]],A0+Trend*(ROW()-1),Std)*INDEX(SeasonalityTable,Seasonality,MATCH(טבלה1[[#This Row],[Month]],Months,0)),0))</f>
        <v>270</v>
      </c>
      <c r="H119">
        <f t="shared" si="15"/>
        <v>269.32480000000004</v>
      </c>
      <c r="I119">
        <f ca="1">טבלה1[[#This Row],[Demand]]-טבלה1[[#This Row],[est]]</f>
        <v>0.67519999999996116</v>
      </c>
      <c r="L119" t="s">
        <v>8</v>
      </c>
      <c r="M119" s="40">
        <v>289</v>
      </c>
    </row>
    <row r="120" spans="4:13" x14ac:dyDescent="0.3">
      <c r="D120">
        <f t="shared" si="14"/>
        <v>2022</v>
      </c>
      <c r="E120" t="s">
        <v>11</v>
      </c>
      <c r="F120" s="8">
        <f t="shared" ca="1" si="12"/>
        <v>0.50016902667865848</v>
      </c>
      <c r="G120">
        <f ca="1">IF($A$1=0,"",ROUND(_xlfn.NORM.INV(טבלה1[[#This Row],[Rand]],A0+Trend*(ROW()-1),Std)*INDEX(SeasonalityTable,Seasonality,MATCH(טבלה1[[#This Row],[Month]],Months,0)),0))</f>
        <v>247</v>
      </c>
      <c r="H120">
        <f t="shared" si="15"/>
        <v>247.00079999999997</v>
      </c>
      <c r="I120">
        <f ca="1">טבלה1[[#This Row],[Demand]]-טבלה1[[#This Row],[est]]</f>
        <v>-7.9999999996971383E-4</v>
      </c>
      <c r="L120" t="s">
        <v>9</v>
      </c>
      <c r="M120" s="40">
        <v>225</v>
      </c>
    </row>
    <row r="121" spans="4:13" x14ac:dyDescent="0.3">
      <c r="D121">
        <f t="shared" si="14"/>
        <v>2022</v>
      </c>
      <c r="E121" t="s">
        <v>12</v>
      </c>
      <c r="F121" s="8">
        <f t="shared" ca="1" si="12"/>
        <v>0.57077979960084146</v>
      </c>
      <c r="G121">
        <f ca="1">IF($A$1=0,"",ROUND(_xlfn.NORM.INV(טבלה1[[#This Row],[Rand]],A0+Trend*(ROW()-1),Std)*INDEX(SeasonalityTable,Seasonality,MATCH(טבלה1[[#This Row],[Month]],Months,0)),0))</f>
        <v>263</v>
      </c>
      <c r="H121">
        <f t="shared" si="15"/>
        <v>262.85599999999999</v>
      </c>
      <c r="I121">
        <f ca="1">טבלה1[[#This Row],[Demand]]-טבלה1[[#This Row],[est]]</f>
        <v>0.14400000000000546</v>
      </c>
      <c r="L121" t="s">
        <v>10</v>
      </c>
      <c r="M121" s="40">
        <v>269</v>
      </c>
    </row>
    <row r="122" spans="4:13" x14ac:dyDescent="0.3">
      <c r="L122" t="s">
        <v>11</v>
      </c>
      <c r="M122" s="40">
        <v>247</v>
      </c>
    </row>
    <row r="123" spans="4:13" x14ac:dyDescent="0.3">
      <c r="L123" t="s">
        <v>12</v>
      </c>
      <c r="M123" s="40">
        <v>263</v>
      </c>
    </row>
  </sheetData>
  <pageMargins left="0.7" right="0.7" top="0.75" bottom="0.75" header="0.3" footer="0.3"/>
  <ignoredErrors>
    <ignoredError sqref="AB3:AB13" formulaRange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B1A1F-6706-496C-9EC7-41DC6FAB6A78}">
  <dimension ref="A1:E21"/>
  <sheetViews>
    <sheetView topLeftCell="A4" workbookViewId="0">
      <selection activeCell="E20" sqref="E20"/>
    </sheetView>
  </sheetViews>
  <sheetFormatPr defaultRowHeight="14" x14ac:dyDescent="0.3"/>
  <cols>
    <col min="4" max="4" width="14.9140625" customWidth="1"/>
  </cols>
  <sheetData>
    <row r="1" spans="1:5" x14ac:dyDescent="0.3">
      <c r="A1" s="10" t="s">
        <v>39</v>
      </c>
      <c r="B1" s="10" t="s">
        <v>40</v>
      </c>
      <c r="C1" s="10" t="s">
        <v>42</v>
      </c>
      <c r="D1" s="10" t="s">
        <v>43</v>
      </c>
      <c r="E1" s="11" t="s">
        <v>41</v>
      </c>
    </row>
    <row r="2" spans="1:5" x14ac:dyDescent="0.3">
      <c r="A2" s="12">
        <v>1</v>
      </c>
      <c r="B2" s="12"/>
      <c r="C2" s="12">
        <v>2</v>
      </c>
      <c r="D2" s="12" t="s">
        <v>44</v>
      </c>
      <c r="E2" s="28" t="s">
        <v>63</v>
      </c>
    </row>
    <row r="3" spans="1:5" x14ac:dyDescent="0.3">
      <c r="A3" s="12">
        <v>2</v>
      </c>
      <c r="B3" s="12"/>
      <c r="C3" s="12">
        <v>3</v>
      </c>
      <c r="D3" s="12" t="s">
        <v>45</v>
      </c>
      <c r="E3" s="28" t="s">
        <v>62</v>
      </c>
    </row>
    <row r="4" spans="1:5" x14ac:dyDescent="0.3">
      <c r="A4" s="12">
        <v>5</v>
      </c>
      <c r="B4" s="12" t="s">
        <v>47</v>
      </c>
      <c r="C4" s="12">
        <v>2</v>
      </c>
      <c r="D4" s="12" t="s">
        <v>46</v>
      </c>
      <c r="E4" s="28"/>
    </row>
    <row r="5" spans="1:5" x14ac:dyDescent="0.3">
      <c r="A5" s="12">
        <v>5</v>
      </c>
      <c r="B5" s="12" t="s">
        <v>48</v>
      </c>
      <c r="C5" s="12">
        <v>2</v>
      </c>
      <c r="D5" s="12" t="s">
        <v>46</v>
      </c>
      <c r="E5" s="28"/>
    </row>
    <row r="6" spans="1:5" x14ac:dyDescent="0.3">
      <c r="A6" s="12">
        <v>5</v>
      </c>
      <c r="B6" s="12" t="s">
        <v>49</v>
      </c>
      <c r="C6" s="12">
        <v>2</v>
      </c>
      <c r="D6" s="12" t="s">
        <v>46</v>
      </c>
      <c r="E6" s="28"/>
    </row>
    <row r="7" spans="1:5" x14ac:dyDescent="0.3">
      <c r="A7" s="12">
        <v>5</v>
      </c>
      <c r="B7" s="12" t="s">
        <v>50</v>
      </c>
      <c r="C7" s="12">
        <v>2</v>
      </c>
      <c r="D7" s="12" t="s">
        <v>46</v>
      </c>
      <c r="E7" s="28"/>
    </row>
    <row r="8" spans="1:5" x14ac:dyDescent="0.3">
      <c r="A8" s="12">
        <v>7</v>
      </c>
      <c r="B8" s="12" t="s">
        <v>47</v>
      </c>
      <c r="C8" s="12">
        <v>1</v>
      </c>
      <c r="D8" s="12" t="s">
        <v>46</v>
      </c>
      <c r="E8" s="28"/>
    </row>
    <row r="9" spans="1:5" x14ac:dyDescent="0.3">
      <c r="A9" s="12">
        <v>7</v>
      </c>
      <c r="B9" s="12" t="s">
        <v>48</v>
      </c>
      <c r="C9" s="12">
        <v>1</v>
      </c>
      <c r="D9" s="12" t="s">
        <v>46</v>
      </c>
      <c r="E9" s="28"/>
    </row>
    <row r="10" spans="1:5" x14ac:dyDescent="0.3">
      <c r="A10" s="12">
        <v>7</v>
      </c>
      <c r="B10" s="12" t="s">
        <v>49</v>
      </c>
      <c r="C10" s="12">
        <v>1</v>
      </c>
      <c r="D10" s="12" t="s">
        <v>46</v>
      </c>
      <c r="E10" s="28"/>
    </row>
    <row r="11" spans="1:5" x14ac:dyDescent="0.3">
      <c r="A11" s="12">
        <v>7</v>
      </c>
      <c r="B11" s="12" t="s">
        <v>51</v>
      </c>
      <c r="C11" s="12">
        <v>2</v>
      </c>
      <c r="D11" s="12" t="s">
        <v>46</v>
      </c>
      <c r="E11" s="28"/>
    </row>
    <row r="12" spans="1:5" x14ac:dyDescent="0.3">
      <c r="A12" s="12">
        <v>7</v>
      </c>
      <c r="B12" s="12" t="s">
        <v>50</v>
      </c>
      <c r="C12" s="12">
        <v>2</v>
      </c>
      <c r="D12" s="12" t="s">
        <v>46</v>
      </c>
      <c r="E12" s="28"/>
    </row>
    <row r="13" spans="1:5" x14ac:dyDescent="0.3">
      <c r="A13" s="12">
        <v>8</v>
      </c>
      <c r="B13" s="12" t="s">
        <v>47</v>
      </c>
      <c r="C13" s="12">
        <v>3</v>
      </c>
      <c r="D13" s="12" t="s">
        <v>45</v>
      </c>
      <c r="E13" s="28"/>
    </row>
    <row r="14" spans="1:5" x14ac:dyDescent="0.3">
      <c r="A14" s="12">
        <v>8</v>
      </c>
      <c r="B14" s="12" t="s">
        <v>48</v>
      </c>
      <c r="C14" s="12">
        <v>2</v>
      </c>
      <c r="D14" s="12" t="s">
        <v>46</v>
      </c>
      <c r="E14" s="28"/>
    </row>
    <row r="15" spans="1:5" x14ac:dyDescent="0.3">
      <c r="A15" s="12">
        <v>8</v>
      </c>
      <c r="B15" s="12" t="s">
        <v>49</v>
      </c>
      <c r="C15" s="12">
        <v>2</v>
      </c>
      <c r="D15" s="12" t="s">
        <v>46</v>
      </c>
      <c r="E15" s="28"/>
    </row>
    <row r="16" spans="1:5" x14ac:dyDescent="0.3">
      <c r="A16" s="12">
        <v>8</v>
      </c>
      <c r="B16" s="12" t="s">
        <v>51</v>
      </c>
      <c r="C16" s="12">
        <v>2</v>
      </c>
      <c r="D16" s="12" t="s">
        <v>46</v>
      </c>
      <c r="E16" s="28"/>
    </row>
    <row r="17" spans="1:5" x14ac:dyDescent="0.3">
      <c r="A17" s="12">
        <v>8</v>
      </c>
      <c r="B17" s="12" t="s">
        <v>50</v>
      </c>
      <c r="C17" s="12">
        <v>3</v>
      </c>
      <c r="D17" s="12" t="s">
        <v>46</v>
      </c>
      <c r="E17" s="28"/>
    </row>
    <row r="18" spans="1:5" x14ac:dyDescent="0.3">
      <c r="A18" s="12">
        <v>9</v>
      </c>
      <c r="B18" s="12" t="s">
        <v>48</v>
      </c>
      <c r="C18" s="12">
        <v>2</v>
      </c>
      <c r="D18" s="12" t="s">
        <v>46</v>
      </c>
      <c r="E18" s="28">
        <v>8.7314819999999997</v>
      </c>
    </row>
    <row r="19" spans="1:5" x14ac:dyDescent="0.3">
      <c r="A19" s="12">
        <v>9</v>
      </c>
      <c r="B19" s="12" t="s">
        <v>49</v>
      </c>
      <c r="C19" s="12">
        <v>2</v>
      </c>
      <c r="D19" s="12" t="s">
        <v>46</v>
      </c>
      <c r="E19" s="28">
        <v>121</v>
      </c>
    </row>
    <row r="20" spans="1:5" x14ac:dyDescent="0.3">
      <c r="A20" s="12">
        <v>9</v>
      </c>
      <c r="B20" s="12" t="s">
        <v>51</v>
      </c>
      <c r="C20" s="12">
        <v>5</v>
      </c>
      <c r="D20" s="12" t="s">
        <v>52</v>
      </c>
      <c r="E20" s="28" t="s">
        <v>64</v>
      </c>
    </row>
    <row r="21" spans="1:5" x14ac:dyDescent="0.3">
      <c r="A21" s="13"/>
      <c r="B21" s="13"/>
      <c r="C21" s="13"/>
      <c r="D21" s="13"/>
    </row>
  </sheetData>
  <sheetProtection sheet="1" objects="1" scenarios="1" selectLockedCell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BA4AE-F1F6-4FFB-AD9F-3B5EE71BF85D}">
  <dimension ref="B1:F70"/>
  <sheetViews>
    <sheetView tabSelected="1" topLeftCell="A3" zoomScale="70" zoomScaleNormal="70" workbookViewId="0">
      <selection activeCell="A62" sqref="A62:XFD62"/>
    </sheetView>
  </sheetViews>
  <sheetFormatPr defaultRowHeight="14" x14ac:dyDescent="0.3"/>
  <cols>
    <col min="1" max="1" width="1.58203125" customWidth="1"/>
  </cols>
  <sheetData>
    <row r="1" spans="2:6" ht="18" x14ac:dyDescent="0.4">
      <c r="B1" s="14" t="s">
        <v>40</v>
      </c>
      <c r="C1" s="15" t="s">
        <v>53</v>
      </c>
      <c r="D1" s="16"/>
      <c r="E1" s="16"/>
      <c r="F1" s="17"/>
    </row>
    <row r="2" spans="2:6" ht="18" x14ac:dyDescent="0.4">
      <c r="B2" s="29"/>
      <c r="C2" s="30"/>
      <c r="D2" s="37"/>
      <c r="E2" s="37"/>
      <c r="F2" s="20"/>
    </row>
    <row r="3" spans="2:6" ht="18" x14ac:dyDescent="0.4">
      <c r="B3" s="18" t="s">
        <v>54</v>
      </c>
      <c r="C3" s="19">
        <v>2</v>
      </c>
      <c r="D3" s="19"/>
      <c r="E3" s="19"/>
      <c r="F3" s="38"/>
    </row>
    <row r="4" spans="2:6" ht="18" x14ac:dyDescent="0.4">
      <c r="B4" s="31"/>
      <c r="C4" s="32"/>
      <c r="D4" s="37"/>
      <c r="E4" s="37"/>
      <c r="F4" s="20"/>
    </row>
    <row r="5" spans="2:6" ht="18" x14ac:dyDescent="0.4">
      <c r="B5" s="18"/>
      <c r="C5" s="19"/>
      <c r="D5" s="37"/>
      <c r="E5" s="37"/>
      <c r="F5" s="20"/>
    </row>
    <row r="6" spans="2:6" ht="18" x14ac:dyDescent="0.4">
      <c r="B6" s="18"/>
      <c r="C6" s="19"/>
      <c r="D6" s="37"/>
      <c r="E6" s="37"/>
      <c r="F6" s="20"/>
    </row>
    <row r="7" spans="2:6" ht="18" x14ac:dyDescent="0.4">
      <c r="B7" s="18"/>
      <c r="C7" s="19"/>
      <c r="D7" s="37"/>
      <c r="E7" s="37"/>
      <c r="F7" s="20"/>
    </row>
    <row r="8" spans="2:6" ht="18" x14ac:dyDescent="0.4">
      <c r="B8" s="18"/>
      <c r="C8" s="19"/>
      <c r="D8" s="37"/>
      <c r="E8" s="37"/>
      <c r="F8" s="20"/>
    </row>
    <row r="9" spans="2:6" ht="18" x14ac:dyDescent="0.4">
      <c r="B9" s="18"/>
      <c r="C9" s="19"/>
      <c r="D9" s="37"/>
      <c r="E9" s="37"/>
      <c r="F9" s="20"/>
    </row>
    <row r="10" spans="2:6" ht="18" x14ac:dyDescent="0.4">
      <c r="B10" s="18"/>
      <c r="C10" s="19"/>
      <c r="D10" s="37"/>
      <c r="E10" s="37"/>
      <c r="F10" s="20"/>
    </row>
    <row r="11" spans="2:6" ht="18" x14ac:dyDescent="0.4">
      <c r="B11" s="18"/>
      <c r="C11" s="19"/>
      <c r="D11" s="37"/>
      <c r="E11" s="37"/>
      <c r="F11" s="20"/>
    </row>
    <row r="12" spans="2:6" ht="18" x14ac:dyDescent="0.4">
      <c r="B12" s="29"/>
      <c r="C12" s="30"/>
      <c r="D12" s="37"/>
      <c r="E12" s="37"/>
      <c r="F12" s="20"/>
    </row>
    <row r="13" spans="2:6" ht="18" x14ac:dyDescent="0.4">
      <c r="B13" s="18" t="s">
        <v>55</v>
      </c>
      <c r="C13" s="19">
        <v>2</v>
      </c>
      <c r="D13" s="19"/>
      <c r="E13" s="19"/>
      <c r="F13" s="38"/>
    </row>
    <row r="14" spans="2:6" ht="18" x14ac:dyDescent="0.4">
      <c r="B14" s="31"/>
      <c r="C14" s="32"/>
      <c r="D14" s="37"/>
      <c r="E14" s="37"/>
      <c r="F14" s="20"/>
    </row>
    <row r="15" spans="2:6" ht="18" x14ac:dyDescent="0.4">
      <c r="B15" s="18"/>
      <c r="C15" s="19"/>
      <c r="D15" s="37"/>
      <c r="E15" s="37"/>
      <c r="F15" s="20"/>
    </row>
    <row r="16" spans="2:6" ht="18" x14ac:dyDescent="0.4">
      <c r="B16" s="18"/>
      <c r="C16" s="19"/>
      <c r="D16" s="37"/>
      <c r="E16" s="37"/>
      <c r="F16" s="20"/>
    </row>
    <row r="17" spans="2:6" ht="18" x14ac:dyDescent="0.4">
      <c r="B17" s="18"/>
      <c r="C17" s="19"/>
      <c r="D17" s="37"/>
      <c r="E17" s="37"/>
      <c r="F17" s="20"/>
    </row>
    <row r="18" spans="2:6" ht="18" x14ac:dyDescent="0.4">
      <c r="B18" s="18"/>
      <c r="C18" s="19"/>
      <c r="D18" s="37"/>
      <c r="E18" s="37"/>
      <c r="F18" s="20"/>
    </row>
    <row r="19" spans="2:6" ht="18" x14ac:dyDescent="0.4">
      <c r="B19" s="18"/>
      <c r="C19" s="19"/>
      <c r="D19" s="37"/>
      <c r="E19" s="37"/>
      <c r="F19" s="20"/>
    </row>
    <row r="20" spans="2:6" ht="18" x14ac:dyDescent="0.4">
      <c r="B20" s="18"/>
      <c r="C20" s="19"/>
      <c r="D20" s="37"/>
      <c r="E20" s="37"/>
      <c r="F20" s="20"/>
    </row>
    <row r="21" spans="2:6" ht="18" x14ac:dyDescent="0.4">
      <c r="B21" s="29"/>
      <c r="C21" s="30"/>
      <c r="D21" s="37"/>
      <c r="E21" s="37"/>
      <c r="F21" s="20"/>
    </row>
    <row r="22" spans="2:6" ht="18" x14ac:dyDescent="0.4">
      <c r="B22" s="18" t="s">
        <v>56</v>
      </c>
      <c r="C22" s="19">
        <v>3</v>
      </c>
      <c r="D22" s="19"/>
      <c r="E22" s="19"/>
      <c r="F22" s="38"/>
    </row>
    <row r="23" spans="2:6" ht="18" x14ac:dyDescent="0.4">
      <c r="B23" s="31"/>
      <c r="C23" s="32"/>
      <c r="D23" s="37"/>
      <c r="E23" s="37"/>
      <c r="F23" s="20"/>
    </row>
    <row r="24" spans="2:6" ht="18" x14ac:dyDescent="0.4">
      <c r="B24" s="18"/>
      <c r="C24" s="19"/>
      <c r="D24" s="37"/>
      <c r="E24" s="37"/>
      <c r="F24" s="20"/>
    </row>
    <row r="25" spans="2:6" ht="18" x14ac:dyDescent="0.4">
      <c r="B25" s="18"/>
      <c r="C25" s="19"/>
      <c r="D25" s="37"/>
      <c r="E25" s="37"/>
      <c r="F25" s="20"/>
    </row>
    <row r="26" spans="2:6" ht="18" x14ac:dyDescent="0.4">
      <c r="B26" s="18"/>
      <c r="C26" s="19"/>
      <c r="D26" s="37"/>
      <c r="E26" s="37"/>
      <c r="F26" s="20"/>
    </row>
    <row r="27" spans="2:6" ht="18" x14ac:dyDescent="0.4">
      <c r="B27" s="18"/>
      <c r="C27" s="19"/>
      <c r="D27" s="37"/>
      <c r="E27" s="37"/>
      <c r="F27" s="20"/>
    </row>
    <row r="28" spans="2:6" ht="18" x14ac:dyDescent="0.4">
      <c r="B28" s="29"/>
      <c r="C28" s="30"/>
      <c r="D28" s="37"/>
      <c r="E28" s="37"/>
      <c r="F28" s="20"/>
    </row>
    <row r="29" spans="2:6" ht="18" x14ac:dyDescent="0.4">
      <c r="B29" s="18" t="s">
        <v>57</v>
      </c>
      <c r="C29" s="19">
        <v>2</v>
      </c>
      <c r="D29" s="19"/>
      <c r="E29" s="19"/>
      <c r="F29" s="38"/>
    </row>
    <row r="30" spans="2:6" ht="18" x14ac:dyDescent="0.4">
      <c r="B30" s="31"/>
      <c r="C30" s="32"/>
      <c r="D30" s="37"/>
      <c r="E30" s="37"/>
      <c r="F30" s="20"/>
    </row>
    <row r="31" spans="2:6" ht="18" x14ac:dyDescent="0.4">
      <c r="B31" s="18"/>
      <c r="C31" s="19"/>
      <c r="D31" s="37"/>
      <c r="E31" s="37"/>
      <c r="F31" s="20"/>
    </row>
    <row r="32" spans="2:6" ht="18" x14ac:dyDescent="0.4">
      <c r="B32" s="18"/>
      <c r="C32" s="19"/>
      <c r="D32" s="37"/>
      <c r="E32" s="37"/>
      <c r="F32" s="20"/>
    </row>
    <row r="33" spans="2:6" ht="18" x14ac:dyDescent="0.4">
      <c r="B33" s="18"/>
      <c r="C33" s="19"/>
      <c r="D33" s="37"/>
      <c r="E33" s="37"/>
      <c r="F33" s="20"/>
    </row>
    <row r="34" spans="2:6" ht="18" x14ac:dyDescent="0.4">
      <c r="B34" s="18"/>
      <c r="C34" s="19"/>
      <c r="D34" s="37"/>
      <c r="E34" s="37"/>
      <c r="F34" s="20"/>
    </row>
    <row r="35" spans="2:6" ht="18" x14ac:dyDescent="0.4">
      <c r="B35" s="29"/>
      <c r="C35" s="30"/>
      <c r="D35" s="37"/>
      <c r="E35" s="37"/>
      <c r="F35" s="20"/>
    </row>
    <row r="36" spans="2:6" ht="18" x14ac:dyDescent="0.4">
      <c r="B36" s="18" t="s">
        <v>58</v>
      </c>
      <c r="C36" s="19">
        <v>2</v>
      </c>
      <c r="D36" s="19"/>
      <c r="E36" s="19"/>
      <c r="F36" s="41"/>
    </row>
    <row r="37" spans="2:6" x14ac:dyDescent="0.3">
      <c r="B37" s="33"/>
      <c r="C37" s="34"/>
      <c r="F37" s="23"/>
    </row>
    <row r="38" spans="2:6" x14ac:dyDescent="0.3">
      <c r="B38" s="21"/>
      <c r="C38" s="22"/>
      <c r="F38" s="23"/>
    </row>
    <row r="39" spans="2:6" x14ac:dyDescent="0.3">
      <c r="B39" s="21"/>
      <c r="C39" s="22"/>
      <c r="F39" s="23"/>
    </row>
    <row r="40" spans="2:6" x14ac:dyDescent="0.3">
      <c r="B40" s="21"/>
      <c r="C40" s="22"/>
      <c r="F40" s="23"/>
    </row>
    <row r="41" spans="2:6" x14ac:dyDescent="0.3">
      <c r="B41" s="21"/>
      <c r="C41" s="22"/>
      <c r="F41" s="23"/>
    </row>
    <row r="42" spans="2:6" x14ac:dyDescent="0.3">
      <c r="B42" s="35"/>
      <c r="C42" s="36"/>
      <c r="F42" s="23"/>
    </row>
    <row r="43" spans="2:6" ht="18" x14ac:dyDescent="0.4">
      <c r="B43" s="18">
        <v>6</v>
      </c>
      <c r="C43" s="19">
        <v>5</v>
      </c>
      <c r="D43" s="22"/>
      <c r="E43" s="22"/>
      <c r="F43" s="39"/>
    </row>
    <row r="44" spans="2:6" x14ac:dyDescent="0.3">
      <c r="B44" s="33"/>
      <c r="C44" s="34"/>
      <c r="F44" s="23"/>
    </row>
    <row r="45" spans="2:6" x14ac:dyDescent="0.3">
      <c r="B45" s="21"/>
      <c r="C45" s="22"/>
      <c r="F45" s="23"/>
    </row>
    <row r="46" spans="2:6" x14ac:dyDescent="0.3">
      <c r="B46" s="21"/>
      <c r="C46" s="22"/>
      <c r="F46" s="23"/>
    </row>
    <row r="47" spans="2:6" x14ac:dyDescent="0.3">
      <c r="B47" s="21"/>
      <c r="C47" s="22"/>
      <c r="F47" s="23"/>
    </row>
    <row r="48" spans="2:6" x14ac:dyDescent="0.3">
      <c r="B48" s="21"/>
      <c r="C48" s="22"/>
      <c r="F48" s="23"/>
    </row>
    <row r="49" spans="2:6" x14ac:dyDescent="0.3">
      <c r="B49" s="35"/>
      <c r="C49" s="36"/>
      <c r="F49" s="23"/>
    </row>
    <row r="50" spans="2:6" ht="18" x14ac:dyDescent="0.4">
      <c r="B50" s="18" t="s">
        <v>59</v>
      </c>
      <c r="C50" s="19">
        <v>3</v>
      </c>
      <c r="D50" s="22"/>
      <c r="E50" s="22"/>
      <c r="F50" s="39"/>
    </row>
    <row r="51" spans="2:6" x14ac:dyDescent="0.3">
      <c r="B51" s="33"/>
      <c r="C51" s="34"/>
      <c r="F51" s="23"/>
    </row>
    <row r="52" spans="2:6" x14ac:dyDescent="0.3">
      <c r="B52" s="21"/>
      <c r="C52" s="22"/>
      <c r="F52" s="23"/>
    </row>
    <row r="53" spans="2:6" x14ac:dyDescent="0.3">
      <c r="B53" s="21"/>
      <c r="C53" s="22"/>
      <c r="F53" s="23"/>
    </row>
    <row r="54" spans="2:6" x14ac:dyDescent="0.3">
      <c r="B54" s="21"/>
      <c r="C54" s="22"/>
      <c r="F54" s="23"/>
    </row>
    <row r="55" spans="2:6" x14ac:dyDescent="0.3">
      <c r="B55" s="35"/>
      <c r="C55" s="36"/>
      <c r="F55" s="23"/>
    </row>
    <row r="56" spans="2:6" ht="18" x14ac:dyDescent="0.4">
      <c r="B56" s="18" t="s">
        <v>60</v>
      </c>
      <c r="C56" s="19">
        <v>2</v>
      </c>
      <c r="D56" s="22"/>
      <c r="E56" s="22"/>
      <c r="F56" s="39"/>
    </row>
    <row r="57" spans="2:6" x14ac:dyDescent="0.3">
      <c r="B57" s="33"/>
      <c r="C57" s="34"/>
      <c r="F57" s="23"/>
    </row>
    <row r="58" spans="2:6" x14ac:dyDescent="0.3">
      <c r="B58" s="33"/>
      <c r="C58" s="34"/>
      <c r="F58" s="23"/>
    </row>
    <row r="59" spans="2:6" x14ac:dyDescent="0.3">
      <c r="B59" s="33"/>
      <c r="C59" s="34"/>
      <c r="F59" s="23"/>
    </row>
    <row r="60" spans="2:6" x14ac:dyDescent="0.3">
      <c r="B60" s="21"/>
      <c r="C60" s="22"/>
      <c r="F60" s="23"/>
    </row>
    <row r="61" spans="2:6" x14ac:dyDescent="0.3">
      <c r="B61" s="21"/>
      <c r="C61" s="22"/>
      <c r="F61" s="23"/>
    </row>
    <row r="62" spans="2:6" x14ac:dyDescent="0.3">
      <c r="B62" s="21"/>
      <c r="C62" s="22"/>
      <c r="F62" s="23"/>
    </row>
    <row r="63" spans="2:6" x14ac:dyDescent="0.3">
      <c r="B63" s="21"/>
      <c r="C63" s="22"/>
      <c r="F63" s="23"/>
    </row>
    <row r="64" spans="2:6" x14ac:dyDescent="0.3">
      <c r="B64" s="21"/>
      <c r="C64" s="22"/>
      <c r="F64" s="23"/>
    </row>
    <row r="65" spans="2:6" x14ac:dyDescent="0.3">
      <c r="B65" s="21"/>
      <c r="C65" s="22"/>
      <c r="F65" s="23"/>
    </row>
    <row r="66" spans="2:6" x14ac:dyDescent="0.3">
      <c r="B66" s="35"/>
      <c r="C66" s="36"/>
      <c r="F66" s="23"/>
    </row>
    <row r="67" spans="2:6" ht="18" x14ac:dyDescent="0.4">
      <c r="B67" s="18" t="s">
        <v>61</v>
      </c>
      <c r="C67" s="19">
        <v>5</v>
      </c>
      <c r="D67" s="22"/>
      <c r="E67" s="22"/>
      <c r="F67" s="39"/>
    </row>
    <row r="68" spans="2:6" x14ac:dyDescent="0.3">
      <c r="B68" s="33"/>
      <c r="C68" s="34"/>
      <c r="F68" s="23"/>
    </row>
    <row r="69" spans="2:6" x14ac:dyDescent="0.3">
      <c r="B69" s="21"/>
      <c r="C69" s="22"/>
      <c r="F69" s="23"/>
    </row>
    <row r="70" spans="2:6" ht="14.5" thickBot="1" x14ac:dyDescent="0.35">
      <c r="B70" s="24"/>
      <c r="C70" s="25"/>
      <c r="D70" s="26"/>
      <c r="E70" s="26"/>
      <c r="F70" s="27"/>
    </row>
  </sheetData>
  <sheetProtection formatCells="0" formatColumns="0" formatRows="0" selectLockedCells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AE511-3370-497A-B1FE-D06D5848EB8F}">
  <dimension ref="A1:D121"/>
  <sheetViews>
    <sheetView workbookViewId="0">
      <selection activeCell="D20" sqref="D20"/>
    </sheetView>
  </sheetViews>
  <sheetFormatPr defaultRowHeight="14" x14ac:dyDescent="0.3"/>
  <cols>
    <col min="1" max="1" width="4.6640625" customWidth="1"/>
    <col min="2" max="2" width="9.08203125" customWidth="1"/>
    <col min="3" max="3" width="9.9140625" customWidth="1"/>
  </cols>
  <sheetData>
    <row r="1" spans="1:4" x14ac:dyDescent="0.3">
      <c r="A1" s="5" t="s">
        <v>25</v>
      </c>
      <c r="B1" s="5" t="s">
        <v>24</v>
      </c>
      <c r="C1" s="5" t="s">
        <v>4</v>
      </c>
      <c r="D1" s="5" t="s">
        <v>26</v>
      </c>
    </row>
    <row r="2" spans="1:4" x14ac:dyDescent="0.3">
      <c r="A2">
        <v>1</v>
      </c>
      <c r="B2" s="6">
        <f>טבלה2[[#This Row],[Demand]]/טבלה2[[#This Row],[S]]*(טבלה2[[#This Row],[S]]-1)</f>
        <v>22.893805309734496</v>
      </c>
      <c r="C2">
        <f>Admin!M4</f>
        <v>199</v>
      </c>
      <c r="D2">
        <v>1.1299999999999999</v>
      </c>
    </row>
    <row r="3" spans="1:4" x14ac:dyDescent="0.3">
      <c r="A3">
        <v>2</v>
      </c>
      <c r="B3" s="6">
        <f>טבלה2[[#This Row],[Demand]]/טבלה2[[#This Row],[S]]*(טבלה2[[#This Row],[S]]-1)</f>
        <v>-27.674418604651169</v>
      </c>
      <c r="C3">
        <f>Admin!M5</f>
        <v>170</v>
      </c>
      <c r="D3">
        <v>0.86</v>
      </c>
    </row>
    <row r="4" spans="1:4" x14ac:dyDescent="0.3">
      <c r="A4">
        <v>3</v>
      </c>
      <c r="B4" s="6">
        <f>טבלה2[[#This Row],[Demand]]/טבלה2[[#This Row],[S]]*(טבלה2[[#This Row],[S]]-1)</f>
        <v>24.26086956521738</v>
      </c>
      <c r="C4">
        <f>Admin!M6</f>
        <v>186</v>
      </c>
      <c r="D4">
        <v>1.1499999999999999</v>
      </c>
    </row>
    <row r="5" spans="1:4" x14ac:dyDescent="0.3">
      <c r="A5">
        <v>4</v>
      </c>
      <c r="B5" s="6">
        <f>טבלה2[[#This Row],[Demand]]/טבלה2[[#This Row],[S]]*(טבלה2[[#This Row],[S]]-1)</f>
        <v>-32.232558139534888</v>
      </c>
      <c r="C5">
        <f>Admin!M7</f>
        <v>198</v>
      </c>
      <c r="D5">
        <v>0.86</v>
      </c>
    </row>
    <row r="6" spans="1:4" x14ac:dyDescent="0.3">
      <c r="A6">
        <v>5</v>
      </c>
      <c r="B6" s="6">
        <f>טבלה2[[#This Row],[Demand]]/טבלה2[[#This Row],[S]]*(טבלה2[[#This Row],[S]]-1)</f>
        <v>17.272727272727288</v>
      </c>
      <c r="C6">
        <f>Admin!M8</f>
        <v>190</v>
      </c>
      <c r="D6">
        <v>1.1000000000000001</v>
      </c>
    </row>
    <row r="7" spans="1:4" x14ac:dyDescent="0.3">
      <c r="A7">
        <v>6</v>
      </c>
      <c r="B7" s="6">
        <f>טבלה2[[#This Row],[Demand]]/טבלה2[[#This Row],[S]]*(טבלה2[[#This Row],[S]]-1)</f>
        <v>-18.55555555555555</v>
      </c>
      <c r="C7">
        <f>Admin!M9</f>
        <v>167</v>
      </c>
      <c r="D7">
        <v>0.9</v>
      </c>
    </row>
    <row r="8" spans="1:4" x14ac:dyDescent="0.3">
      <c r="A8">
        <v>7</v>
      </c>
      <c r="B8" s="6">
        <f>טבלה2[[#This Row],[Demand]]/טבלה2[[#This Row],[S]]*(טבלה2[[#This Row],[S]]-1)</f>
        <v>4.0000000000000036</v>
      </c>
      <c r="C8">
        <f>Admin!M10</f>
        <v>204</v>
      </c>
      <c r="D8">
        <v>1.02</v>
      </c>
    </row>
    <row r="9" spans="1:4" x14ac:dyDescent="0.3">
      <c r="A9">
        <v>8</v>
      </c>
      <c r="B9" s="6">
        <f>טבלה2[[#This Row],[Demand]]/טבלה2[[#This Row],[S]]*(טבלה2[[#This Row],[S]]-1)</f>
        <v>28.695652173913029</v>
      </c>
      <c r="C9">
        <f>Admin!M11</f>
        <v>220</v>
      </c>
      <c r="D9">
        <v>1.1499999999999999</v>
      </c>
    </row>
    <row r="10" spans="1:4" x14ac:dyDescent="0.3">
      <c r="A10">
        <v>9</v>
      </c>
      <c r="B10" s="6">
        <f>טבלה2[[#This Row],[Demand]]/טבלה2[[#This Row],[S]]*(טבלה2[[#This Row],[S]]-1)</f>
        <v>-30.352941176470591</v>
      </c>
      <c r="C10">
        <f>Admin!M12</f>
        <v>172</v>
      </c>
      <c r="D10">
        <v>0.85</v>
      </c>
    </row>
    <row r="11" spans="1:4" x14ac:dyDescent="0.3">
      <c r="A11">
        <v>10</v>
      </c>
      <c r="B11" s="6">
        <f>טבלה2[[#This Row],[Demand]]/טבלה2[[#This Row],[S]]*(טבלה2[[#This Row],[S]]-1)</f>
        <v>9.8095238095238173</v>
      </c>
      <c r="C11">
        <f>Admin!M13</f>
        <v>206</v>
      </c>
      <c r="D11">
        <v>1.05</v>
      </c>
    </row>
    <row r="12" spans="1:4" x14ac:dyDescent="0.3">
      <c r="A12">
        <v>11</v>
      </c>
      <c r="B12" s="6">
        <f>טבלה2[[#This Row],[Demand]]/טבלה2[[#This Row],[S]]*(טבלה2[[#This Row],[S]]-1)</f>
        <v>-23.483146067415728</v>
      </c>
      <c r="C12">
        <f>Admin!M14</f>
        <v>190</v>
      </c>
      <c r="D12">
        <v>0.89</v>
      </c>
    </row>
    <row r="13" spans="1:4" x14ac:dyDescent="0.3">
      <c r="A13">
        <v>12</v>
      </c>
      <c r="B13" s="6">
        <f>טבלה2[[#This Row],[Demand]]/טבלה2[[#This Row],[S]]*(טבלה2[[#This Row],[S]]-1)</f>
        <v>7.7307692307692379</v>
      </c>
      <c r="C13">
        <f>Admin!M15</f>
        <v>201</v>
      </c>
      <c r="D13">
        <v>1.04</v>
      </c>
    </row>
    <row r="14" spans="1:4" x14ac:dyDescent="0.3">
      <c r="A14">
        <v>13</v>
      </c>
      <c r="B14" s="6">
        <f>טבלה2[[#This Row],[Demand]]/טבלה2[[#This Row],[S]]*(טבלה2[[#This Row],[S]]-1)</f>
        <v>23.469026548672549</v>
      </c>
      <c r="C14">
        <f>Admin!M16</f>
        <v>204</v>
      </c>
      <c r="D14">
        <v>1.1299999999999999</v>
      </c>
    </row>
    <row r="15" spans="1:4" x14ac:dyDescent="0.3">
      <c r="A15">
        <v>14</v>
      </c>
      <c r="B15" s="6">
        <f>טבלה2[[#This Row],[Demand]]/טבלה2[[#This Row],[S]]*(טבלה2[[#This Row],[S]]-1)</f>
        <v>-28.813953488372096</v>
      </c>
      <c r="C15">
        <f>Admin!M17</f>
        <v>177</v>
      </c>
      <c r="D15">
        <v>0.86</v>
      </c>
    </row>
    <row r="16" spans="1:4" x14ac:dyDescent="0.3">
      <c r="A16">
        <v>15</v>
      </c>
      <c r="B16" s="6">
        <f>טבלה2[[#This Row],[Demand]]/טבלה2[[#This Row],[S]]*(טבלה2[[#This Row],[S]]-1)</f>
        <v>25.173913043478247</v>
      </c>
      <c r="C16">
        <f>Admin!M18</f>
        <v>193</v>
      </c>
      <c r="D16">
        <v>1.1499999999999999</v>
      </c>
    </row>
    <row r="17" spans="1:4" x14ac:dyDescent="0.3">
      <c r="A17">
        <v>16</v>
      </c>
      <c r="B17" s="6">
        <f>טבלה2[[#This Row],[Demand]]/טבלה2[[#This Row],[S]]*(טבלה2[[#This Row],[S]]-1)</f>
        <v>-33.372093023255815</v>
      </c>
      <c r="C17">
        <f>Admin!M19</f>
        <v>205</v>
      </c>
      <c r="D17">
        <v>0.86</v>
      </c>
    </row>
    <row r="18" spans="1:4" x14ac:dyDescent="0.3">
      <c r="A18">
        <v>17</v>
      </c>
      <c r="B18" s="6">
        <f>טבלה2[[#This Row],[Demand]]/טבלה2[[#This Row],[S]]*(טבלה2[[#This Row],[S]]-1)</f>
        <v>18.090909090909108</v>
      </c>
      <c r="C18">
        <f>Admin!M20</f>
        <v>199</v>
      </c>
      <c r="D18">
        <v>1.1000000000000001</v>
      </c>
    </row>
    <row r="19" spans="1:4" x14ac:dyDescent="0.3">
      <c r="A19">
        <v>18</v>
      </c>
      <c r="B19" s="6">
        <f>טבלה2[[#This Row],[Demand]]/טבלה2[[#This Row],[S]]*(טבלה2[[#This Row],[S]]-1)</f>
        <v>-19.111111111111107</v>
      </c>
      <c r="C19">
        <f>Admin!M21</f>
        <v>172</v>
      </c>
      <c r="D19">
        <v>0.9</v>
      </c>
    </row>
    <row r="20" spans="1:4" x14ac:dyDescent="0.3">
      <c r="A20">
        <v>19</v>
      </c>
      <c r="B20" s="6">
        <f>טבלה2[[#This Row],[Demand]]/טבלה2[[#This Row],[S]]*(טבלה2[[#This Row],[S]]-1)</f>
        <v>4.1568627450980431</v>
      </c>
      <c r="C20">
        <f>Admin!M22</f>
        <v>212</v>
      </c>
      <c r="D20">
        <v>1.02</v>
      </c>
    </row>
    <row r="21" spans="1:4" x14ac:dyDescent="0.3">
      <c r="A21">
        <v>20</v>
      </c>
      <c r="B21" s="6">
        <f>טבלה2[[#This Row],[Demand]]/טבלה2[[#This Row],[S]]*(טבלה2[[#This Row],[S]]-1)</f>
        <v>29.608695652173896</v>
      </c>
      <c r="C21">
        <f>Admin!M23</f>
        <v>227</v>
      </c>
      <c r="D21">
        <v>1.1499999999999999</v>
      </c>
    </row>
    <row r="22" spans="1:4" x14ac:dyDescent="0.3">
      <c r="A22">
        <v>21</v>
      </c>
      <c r="B22" s="6">
        <f>טבלה2[[#This Row],[Demand]]/טבלה2[[#This Row],[S]]*(טבלה2[[#This Row],[S]]-1)</f>
        <v>-31.235294117647065</v>
      </c>
      <c r="C22">
        <f>Admin!M24</f>
        <v>177</v>
      </c>
      <c r="D22">
        <v>0.85</v>
      </c>
    </row>
    <row r="23" spans="1:4" x14ac:dyDescent="0.3">
      <c r="A23">
        <v>22</v>
      </c>
      <c r="B23" s="6">
        <f>טבלה2[[#This Row],[Demand]]/טבלה2[[#This Row],[S]]*(טבלה2[[#This Row],[S]]-1)</f>
        <v>10.095238095238104</v>
      </c>
      <c r="C23">
        <f>Admin!M25</f>
        <v>212</v>
      </c>
      <c r="D23">
        <v>1.05</v>
      </c>
    </row>
    <row r="24" spans="1:4" x14ac:dyDescent="0.3">
      <c r="A24">
        <v>23</v>
      </c>
      <c r="B24" s="6">
        <f>טבלה2[[#This Row],[Demand]]/טבלה2[[#This Row],[S]]*(טבלה2[[#This Row],[S]]-1)</f>
        <v>-23.977528089887638</v>
      </c>
      <c r="C24">
        <f>Admin!M26</f>
        <v>194</v>
      </c>
      <c r="D24">
        <v>0.89</v>
      </c>
    </row>
    <row r="25" spans="1:4" x14ac:dyDescent="0.3">
      <c r="A25">
        <v>24</v>
      </c>
      <c r="B25" s="6">
        <f>טבלה2[[#This Row],[Demand]]/טבלה2[[#This Row],[S]]*(טבלה2[[#This Row],[S]]-1)</f>
        <v>8.0000000000000071</v>
      </c>
      <c r="C25">
        <f>Admin!M27</f>
        <v>208</v>
      </c>
      <c r="D25">
        <v>1.04</v>
      </c>
    </row>
    <row r="26" spans="1:4" x14ac:dyDescent="0.3">
      <c r="A26">
        <v>25</v>
      </c>
      <c r="B26" s="6">
        <f>טבלה2[[#This Row],[Demand]]/טבלה2[[#This Row],[S]]*(טבלה2[[#This Row],[S]]-1)</f>
        <v>24.389380530973433</v>
      </c>
      <c r="C26">
        <f>Admin!M28</f>
        <v>212</v>
      </c>
      <c r="D26">
        <v>1.1299999999999999</v>
      </c>
    </row>
    <row r="27" spans="1:4" x14ac:dyDescent="0.3">
      <c r="A27">
        <v>26</v>
      </c>
      <c r="B27" s="6">
        <f>טבלה2[[#This Row],[Demand]]/טבלה2[[#This Row],[S]]*(טבלה2[[#This Row],[S]]-1)</f>
        <v>-29.953488372093027</v>
      </c>
      <c r="C27">
        <f>Admin!M29</f>
        <v>184</v>
      </c>
      <c r="D27">
        <v>0.86</v>
      </c>
    </row>
    <row r="28" spans="1:4" x14ac:dyDescent="0.3">
      <c r="A28">
        <v>27</v>
      </c>
      <c r="B28" s="6">
        <f>טבלה2[[#This Row],[Demand]]/טבלה2[[#This Row],[S]]*(טבלה2[[#This Row],[S]]-1)</f>
        <v>25.956521739130423</v>
      </c>
      <c r="C28">
        <f>Admin!M30</f>
        <v>199</v>
      </c>
      <c r="D28">
        <v>1.1499999999999999</v>
      </c>
    </row>
    <row r="29" spans="1:4" x14ac:dyDescent="0.3">
      <c r="A29">
        <v>28</v>
      </c>
      <c r="B29" s="6">
        <f>טבלה2[[#This Row],[Demand]]/טבלה2[[#This Row],[S]]*(טבלה2[[#This Row],[S]]-1)</f>
        <v>-34.348837209302332</v>
      </c>
      <c r="C29">
        <f>Admin!M31</f>
        <v>211</v>
      </c>
      <c r="D29">
        <v>0.86</v>
      </c>
    </row>
    <row r="30" spans="1:4" x14ac:dyDescent="0.3">
      <c r="A30">
        <v>29</v>
      </c>
      <c r="B30" s="6">
        <f>טבלה2[[#This Row],[Demand]]/טבלה2[[#This Row],[S]]*(טבלה2[[#This Row],[S]]-1)</f>
        <v>18.545454545454561</v>
      </c>
      <c r="C30">
        <f>Admin!M32</f>
        <v>204</v>
      </c>
      <c r="D30">
        <v>1.1000000000000001</v>
      </c>
    </row>
    <row r="31" spans="1:4" x14ac:dyDescent="0.3">
      <c r="A31">
        <v>30</v>
      </c>
      <c r="B31" s="6">
        <f>טבלה2[[#This Row],[Demand]]/טבלה2[[#This Row],[S]]*(טבלה2[[#This Row],[S]]-1)</f>
        <v>-19.777777777777771</v>
      </c>
      <c r="C31">
        <f>Admin!M33</f>
        <v>178</v>
      </c>
      <c r="D31">
        <v>0.9</v>
      </c>
    </row>
    <row r="32" spans="1:4" x14ac:dyDescent="0.3">
      <c r="A32">
        <v>31</v>
      </c>
      <c r="B32" s="6">
        <f>טבלה2[[#This Row],[Demand]]/טבלה2[[#This Row],[S]]*(טבלה2[[#This Row],[S]]-1)</f>
        <v>4.3529411764705923</v>
      </c>
      <c r="C32">
        <f>Admin!M34</f>
        <v>222</v>
      </c>
      <c r="D32">
        <v>1.02</v>
      </c>
    </row>
    <row r="33" spans="1:4" x14ac:dyDescent="0.3">
      <c r="A33">
        <v>32</v>
      </c>
      <c r="B33" s="6">
        <f>טבלה2[[#This Row],[Demand]]/טבלה2[[#This Row],[S]]*(טבלה2[[#This Row],[S]]-1)</f>
        <v>30.521739130434771</v>
      </c>
      <c r="C33">
        <f>Admin!M35</f>
        <v>234</v>
      </c>
      <c r="D33">
        <v>1.1499999999999999</v>
      </c>
    </row>
    <row r="34" spans="1:4" x14ac:dyDescent="0.3">
      <c r="A34">
        <v>33</v>
      </c>
      <c r="B34" s="6">
        <f>טבלה2[[#This Row],[Demand]]/טבלה2[[#This Row],[S]]*(טבלה2[[#This Row],[S]]-1)</f>
        <v>-32.470588235294123</v>
      </c>
      <c r="C34">
        <f>Admin!M36</f>
        <v>184</v>
      </c>
      <c r="D34">
        <v>0.85</v>
      </c>
    </row>
    <row r="35" spans="1:4" x14ac:dyDescent="0.3">
      <c r="A35">
        <v>34</v>
      </c>
      <c r="B35" s="6">
        <f>טבלה2[[#This Row],[Demand]]/טבלה2[[#This Row],[S]]*(טבלה2[[#This Row],[S]]-1)</f>
        <v>10.428571428571438</v>
      </c>
      <c r="C35">
        <f>Admin!M37</f>
        <v>219</v>
      </c>
      <c r="D35">
        <v>1.05</v>
      </c>
    </row>
    <row r="36" spans="1:4" x14ac:dyDescent="0.3">
      <c r="A36">
        <v>35</v>
      </c>
      <c r="B36" s="6">
        <f>טבלה2[[#This Row],[Demand]]/טבלה2[[#This Row],[S]]*(טבלה2[[#This Row],[S]]-1)</f>
        <v>-24.966292134831459</v>
      </c>
      <c r="C36">
        <f>Admin!M38</f>
        <v>202</v>
      </c>
      <c r="D36">
        <v>0.89</v>
      </c>
    </row>
    <row r="37" spans="1:4" x14ac:dyDescent="0.3">
      <c r="A37">
        <v>36</v>
      </c>
      <c r="B37" s="6">
        <f>טבלה2[[#This Row],[Demand]]/טבלה2[[#This Row],[S]]*(טבלה2[[#This Row],[S]]-1)</f>
        <v>8.2307692307692388</v>
      </c>
      <c r="C37">
        <f>Admin!M39</f>
        <v>214</v>
      </c>
      <c r="D37">
        <v>1.04</v>
      </c>
    </row>
    <row r="38" spans="1:4" x14ac:dyDescent="0.3">
      <c r="A38">
        <v>37</v>
      </c>
      <c r="B38" s="6">
        <f>טבלה2[[#This Row],[Demand]]/טבלה2[[#This Row],[S]]*(טבלה2[[#This Row],[S]]-1)</f>
        <v>25.079646017699094</v>
      </c>
      <c r="C38">
        <f>Admin!M40</f>
        <v>218</v>
      </c>
      <c r="D38">
        <v>1.1299999999999999</v>
      </c>
    </row>
    <row r="39" spans="1:4" x14ac:dyDescent="0.3">
      <c r="A39">
        <v>38</v>
      </c>
      <c r="B39" s="6">
        <f>טבלה2[[#This Row],[Demand]]/טבלה2[[#This Row],[S]]*(טבלה2[[#This Row],[S]]-1)</f>
        <v>-30.604651162790702</v>
      </c>
      <c r="C39">
        <f>Admin!M41</f>
        <v>188</v>
      </c>
      <c r="D39">
        <v>0.86</v>
      </c>
    </row>
    <row r="40" spans="1:4" x14ac:dyDescent="0.3">
      <c r="A40">
        <v>39</v>
      </c>
      <c r="B40" s="6">
        <f>טבלה2[[#This Row],[Demand]]/טבלה2[[#This Row],[S]]*(טבלה2[[#This Row],[S]]-1)</f>
        <v>26.6086956521739</v>
      </c>
      <c r="C40">
        <f>Admin!M42</f>
        <v>204</v>
      </c>
      <c r="D40">
        <v>1.1499999999999999</v>
      </c>
    </row>
    <row r="41" spans="1:4" x14ac:dyDescent="0.3">
      <c r="A41">
        <v>40</v>
      </c>
      <c r="B41" s="6">
        <f>טבלה2[[#This Row],[Demand]]/טבלה2[[#This Row],[S]]*(טבלה2[[#This Row],[S]]-1)</f>
        <v>-35.488372093023258</v>
      </c>
      <c r="C41">
        <f>Admin!M43</f>
        <v>218</v>
      </c>
      <c r="D41">
        <v>0.86</v>
      </c>
    </row>
    <row r="42" spans="1:4" x14ac:dyDescent="0.3">
      <c r="A42">
        <v>41</v>
      </c>
      <c r="B42" s="6">
        <f>טבלה2[[#This Row],[Demand]]/טבלה2[[#This Row],[S]]*(טבלה2[[#This Row],[S]]-1)</f>
        <v>19.181818181818198</v>
      </c>
      <c r="C42">
        <f>Admin!M44</f>
        <v>211</v>
      </c>
      <c r="D42">
        <v>1.1000000000000001</v>
      </c>
    </row>
    <row r="43" spans="1:4" x14ac:dyDescent="0.3">
      <c r="A43">
        <v>42</v>
      </c>
      <c r="B43" s="6">
        <f>טבלה2[[#This Row],[Demand]]/טבלה2[[#This Row],[S]]*(טבלה2[[#This Row],[S]]-1)</f>
        <v>-20.55555555555555</v>
      </c>
      <c r="C43">
        <f>Admin!M45</f>
        <v>185</v>
      </c>
      <c r="D43">
        <v>0.9</v>
      </c>
    </row>
    <row r="44" spans="1:4" x14ac:dyDescent="0.3">
      <c r="A44">
        <v>43</v>
      </c>
      <c r="B44" s="6">
        <f>טבלה2[[#This Row],[Demand]]/טבלה2[[#This Row],[S]]*(טבלה2[[#This Row],[S]]-1)</f>
        <v>4.4509803921568665</v>
      </c>
      <c r="C44">
        <f>Admin!M46</f>
        <v>227</v>
      </c>
      <c r="D44">
        <v>1.02</v>
      </c>
    </row>
    <row r="45" spans="1:4" x14ac:dyDescent="0.3">
      <c r="A45">
        <v>44</v>
      </c>
      <c r="B45" s="6">
        <f>טבלה2[[#This Row],[Demand]]/טבלה2[[#This Row],[S]]*(טבלה2[[#This Row],[S]]-1)</f>
        <v>31.695652173913025</v>
      </c>
      <c r="C45">
        <f>Admin!M47</f>
        <v>243</v>
      </c>
      <c r="D45">
        <v>1.1499999999999999</v>
      </c>
    </row>
    <row r="46" spans="1:4" x14ac:dyDescent="0.3">
      <c r="A46">
        <v>45</v>
      </c>
      <c r="B46" s="6">
        <f>טבלה2[[#This Row],[Demand]]/טבלה2[[#This Row],[S]]*(טבלה2[[#This Row],[S]]-1)</f>
        <v>-33.352941176470594</v>
      </c>
      <c r="C46">
        <f>Admin!M48</f>
        <v>189</v>
      </c>
      <c r="D46">
        <v>0.85</v>
      </c>
    </row>
    <row r="47" spans="1:4" x14ac:dyDescent="0.3">
      <c r="A47">
        <v>46</v>
      </c>
      <c r="B47" s="6">
        <f>טבלה2[[#This Row],[Demand]]/טבלה2[[#This Row],[S]]*(טבלה2[[#This Row],[S]]-1)</f>
        <v>10.761904761904772</v>
      </c>
      <c r="C47">
        <f>Admin!M49</f>
        <v>226</v>
      </c>
      <c r="D47">
        <v>1.05</v>
      </c>
    </row>
    <row r="48" spans="1:4" x14ac:dyDescent="0.3">
      <c r="A48">
        <v>47</v>
      </c>
      <c r="B48" s="6">
        <f>טבלה2[[#This Row],[Demand]]/טבלה2[[#This Row],[S]]*(טבלה2[[#This Row],[S]]-1)</f>
        <v>-25.707865168539321</v>
      </c>
      <c r="C48">
        <f>Admin!M50</f>
        <v>208</v>
      </c>
      <c r="D48">
        <v>0.89</v>
      </c>
    </row>
    <row r="49" spans="1:4" x14ac:dyDescent="0.3">
      <c r="A49">
        <v>48</v>
      </c>
      <c r="B49" s="6">
        <f>טבלה2[[#This Row],[Demand]]/טבלה2[[#This Row],[S]]*(טבלה2[[#This Row],[S]]-1)</f>
        <v>8.4615384615384688</v>
      </c>
      <c r="C49">
        <f>Admin!M51</f>
        <v>220</v>
      </c>
      <c r="D49">
        <v>1.04</v>
      </c>
    </row>
    <row r="50" spans="1:4" x14ac:dyDescent="0.3">
      <c r="A50">
        <v>49</v>
      </c>
      <c r="B50" s="6">
        <f>טבלה2[[#This Row],[Demand]]/טבלה2[[#This Row],[S]]*(טבלה2[[#This Row],[S]]-1)</f>
        <v>25.999999999999982</v>
      </c>
      <c r="C50">
        <f>Admin!M52</f>
        <v>226</v>
      </c>
      <c r="D50">
        <v>1.1299999999999999</v>
      </c>
    </row>
    <row r="51" spans="1:4" x14ac:dyDescent="0.3">
      <c r="A51">
        <v>50</v>
      </c>
      <c r="B51" s="6">
        <f>טבלה2[[#This Row],[Demand]]/טבלה2[[#This Row],[S]]*(טבלה2[[#This Row],[S]]-1)</f>
        <v>-31.744186046511633</v>
      </c>
      <c r="C51">
        <f>Admin!M53</f>
        <v>195</v>
      </c>
      <c r="D51">
        <v>0.86</v>
      </c>
    </row>
    <row r="52" spans="1:4" x14ac:dyDescent="0.3">
      <c r="A52">
        <v>51</v>
      </c>
      <c r="B52" s="6">
        <f>טבלה2[[#This Row],[Demand]]/טבלה2[[#This Row],[S]]*(טבלה2[[#This Row],[S]]-1)</f>
        <v>27.652173913043463</v>
      </c>
      <c r="C52">
        <f>Admin!M54</f>
        <v>212</v>
      </c>
      <c r="D52">
        <v>1.1499999999999999</v>
      </c>
    </row>
    <row r="53" spans="1:4" x14ac:dyDescent="0.3">
      <c r="A53">
        <v>52</v>
      </c>
      <c r="B53" s="6">
        <f>טבלה2[[#This Row],[Demand]]/טבלה2[[#This Row],[S]]*(טבלה2[[#This Row],[S]]-1)</f>
        <v>-36.79069767441861</v>
      </c>
      <c r="C53">
        <f>Admin!M55</f>
        <v>226</v>
      </c>
      <c r="D53">
        <v>0.86</v>
      </c>
    </row>
    <row r="54" spans="1:4" x14ac:dyDescent="0.3">
      <c r="A54">
        <v>53</v>
      </c>
      <c r="B54" s="6">
        <f>טבלה2[[#This Row],[Demand]]/טבלה2[[#This Row],[S]]*(טבלה2[[#This Row],[S]]-1)</f>
        <v>19.909090909090924</v>
      </c>
      <c r="C54">
        <f>Admin!M56</f>
        <v>219</v>
      </c>
      <c r="D54">
        <v>1.1000000000000001</v>
      </c>
    </row>
    <row r="55" spans="1:4" x14ac:dyDescent="0.3">
      <c r="A55">
        <v>54</v>
      </c>
      <c r="B55" s="6">
        <f>טבלה2[[#This Row],[Demand]]/טבלה2[[#This Row],[S]]*(טבלה2[[#This Row],[S]]-1)</f>
        <v>-20.999999999999996</v>
      </c>
      <c r="C55">
        <f>Admin!M57</f>
        <v>189</v>
      </c>
      <c r="D55">
        <v>0.9</v>
      </c>
    </row>
    <row r="56" spans="1:4" x14ac:dyDescent="0.3">
      <c r="A56">
        <v>55</v>
      </c>
      <c r="B56" s="6">
        <f>טבלה2[[#This Row],[Demand]]/טבלה2[[#This Row],[S]]*(טבלה2[[#This Row],[S]]-1)</f>
        <v>4.5686274509803964</v>
      </c>
      <c r="C56">
        <f>Admin!M58</f>
        <v>233</v>
      </c>
      <c r="D56">
        <v>1.02</v>
      </c>
    </row>
    <row r="57" spans="1:4" x14ac:dyDescent="0.3">
      <c r="A57">
        <v>56</v>
      </c>
      <c r="B57" s="6">
        <f>טבלה2[[#This Row],[Demand]]/טבלה2[[#This Row],[S]]*(טבלה2[[#This Row],[S]]-1)</f>
        <v>32.739130434782588</v>
      </c>
      <c r="C57">
        <f>Admin!M59</f>
        <v>251</v>
      </c>
      <c r="D57">
        <v>1.1499999999999999</v>
      </c>
    </row>
    <row r="58" spans="1:4" x14ac:dyDescent="0.3">
      <c r="A58">
        <v>57</v>
      </c>
      <c r="B58" s="6">
        <f>טבלה2[[#This Row],[Demand]]/טבלה2[[#This Row],[S]]*(טבלה2[[#This Row],[S]]-1)</f>
        <v>-34.411764705882355</v>
      </c>
      <c r="C58">
        <f>Admin!M60</f>
        <v>195</v>
      </c>
      <c r="D58">
        <v>0.85</v>
      </c>
    </row>
    <row r="59" spans="1:4" x14ac:dyDescent="0.3">
      <c r="A59">
        <v>58</v>
      </c>
      <c r="B59" s="6">
        <f>טבלה2[[#This Row],[Demand]]/טבלה2[[#This Row],[S]]*(טבלה2[[#This Row],[S]]-1)</f>
        <v>11.142857142857153</v>
      </c>
      <c r="C59">
        <f>Admin!M61</f>
        <v>234</v>
      </c>
      <c r="D59">
        <v>1.05</v>
      </c>
    </row>
    <row r="60" spans="1:4" x14ac:dyDescent="0.3">
      <c r="A60">
        <v>59</v>
      </c>
      <c r="B60" s="6">
        <f>טבלה2[[#This Row],[Demand]]/טבלה2[[#This Row],[S]]*(טבלה2[[#This Row],[S]]-1)</f>
        <v>-26.449438202247187</v>
      </c>
      <c r="C60">
        <f>Admin!M62</f>
        <v>214</v>
      </c>
      <c r="D60">
        <v>0.89</v>
      </c>
    </row>
    <row r="61" spans="1:4" x14ac:dyDescent="0.3">
      <c r="A61">
        <v>60</v>
      </c>
      <c r="B61" s="6">
        <f>טבלה2[[#This Row],[Demand]]/טבלה2[[#This Row],[S]]*(טבלה2[[#This Row],[S]]-1)</f>
        <v>8.7692307692307772</v>
      </c>
      <c r="C61">
        <f>Admin!M63</f>
        <v>228</v>
      </c>
      <c r="D61">
        <v>1.04</v>
      </c>
    </row>
    <row r="62" spans="1:4" x14ac:dyDescent="0.3">
      <c r="A62">
        <v>61</v>
      </c>
      <c r="B62" s="6">
        <f>טבלה2[[#This Row],[Demand]]/טבלה2[[#This Row],[S]]*(טבלה2[[#This Row],[S]]-1)</f>
        <v>26.690265486725643</v>
      </c>
      <c r="C62">
        <f>Admin!M64</f>
        <v>232</v>
      </c>
      <c r="D62">
        <v>1.1299999999999999</v>
      </c>
    </row>
    <row r="63" spans="1:4" x14ac:dyDescent="0.3">
      <c r="A63">
        <v>62</v>
      </c>
      <c r="B63" s="6">
        <f>טבלה2[[#This Row],[Demand]]/טבלה2[[#This Row],[S]]*(טבלה2[[#This Row],[S]]-1)</f>
        <v>-32.558139534883729</v>
      </c>
      <c r="C63">
        <f>Admin!M65</f>
        <v>200</v>
      </c>
      <c r="D63">
        <v>0.86</v>
      </c>
    </row>
    <row r="64" spans="1:4" x14ac:dyDescent="0.3">
      <c r="A64">
        <v>63</v>
      </c>
      <c r="B64" s="6">
        <f>טבלה2[[#This Row],[Demand]]/טבלה2[[#This Row],[S]]*(טבלה2[[#This Row],[S]]-1)</f>
        <v>28.56521739130433</v>
      </c>
      <c r="C64">
        <f>Admin!M66</f>
        <v>219</v>
      </c>
      <c r="D64">
        <v>1.1499999999999999</v>
      </c>
    </row>
    <row r="65" spans="1:4" x14ac:dyDescent="0.3">
      <c r="A65">
        <v>64</v>
      </c>
      <c r="B65" s="6">
        <f>טבלה2[[#This Row],[Demand]]/טבלה2[[#This Row],[S]]*(טבלה2[[#This Row],[S]]-1)</f>
        <v>-38.093023255813954</v>
      </c>
      <c r="C65">
        <f>Admin!M67</f>
        <v>234</v>
      </c>
      <c r="D65">
        <v>0.86</v>
      </c>
    </row>
    <row r="66" spans="1:4" x14ac:dyDescent="0.3">
      <c r="A66">
        <v>65</v>
      </c>
      <c r="B66" s="6">
        <f>טבלה2[[#This Row],[Demand]]/טבלה2[[#This Row],[S]]*(טבלה2[[#This Row],[S]]-1)</f>
        <v>20.272727272727291</v>
      </c>
      <c r="C66">
        <f>Admin!M68</f>
        <v>223</v>
      </c>
      <c r="D66">
        <v>1.1000000000000001</v>
      </c>
    </row>
    <row r="67" spans="1:4" x14ac:dyDescent="0.3">
      <c r="A67">
        <v>66</v>
      </c>
      <c r="B67" s="6">
        <f>טבלה2[[#This Row],[Demand]]/טבלה2[[#This Row],[S]]*(טבלה2[[#This Row],[S]]-1)</f>
        <v>-21.777777777777771</v>
      </c>
      <c r="C67">
        <f>Admin!M69</f>
        <v>196</v>
      </c>
      <c r="D67">
        <v>0.9</v>
      </c>
    </row>
    <row r="68" spans="1:4" x14ac:dyDescent="0.3">
      <c r="A68">
        <v>67</v>
      </c>
      <c r="B68" s="6">
        <f>טבלה2[[#This Row],[Demand]]/טבלה2[[#This Row],[S]]*(טבלה2[[#This Row],[S]]-1)</f>
        <v>4.7450980392156907</v>
      </c>
      <c r="C68">
        <f>Admin!M70</f>
        <v>242</v>
      </c>
      <c r="D68">
        <v>1.02</v>
      </c>
    </row>
    <row r="69" spans="1:4" x14ac:dyDescent="0.3">
      <c r="A69">
        <v>68</v>
      </c>
      <c r="B69" s="6">
        <f>טבלה2[[#This Row],[Demand]]/טבלה2[[#This Row],[S]]*(טבלה2[[#This Row],[S]]-1)</f>
        <v>33.782608695652158</v>
      </c>
      <c r="C69">
        <f>Admin!M71</f>
        <v>259</v>
      </c>
      <c r="D69">
        <v>1.1499999999999999</v>
      </c>
    </row>
    <row r="70" spans="1:4" x14ac:dyDescent="0.3">
      <c r="A70">
        <v>69</v>
      </c>
      <c r="B70" s="6">
        <f>טבלה2[[#This Row],[Demand]]/טבלה2[[#This Row],[S]]*(טבלה2[[#This Row],[S]]-1)</f>
        <v>-35.470588235294123</v>
      </c>
      <c r="C70">
        <f>Admin!M72</f>
        <v>201</v>
      </c>
      <c r="D70">
        <v>0.85</v>
      </c>
    </row>
    <row r="71" spans="1:4" x14ac:dyDescent="0.3">
      <c r="A71">
        <v>70</v>
      </c>
      <c r="B71" s="6">
        <f>טבלה2[[#This Row],[Demand]]/טבלה2[[#This Row],[S]]*(טבלה2[[#This Row],[S]]-1)</f>
        <v>11.476190476190487</v>
      </c>
      <c r="C71">
        <f>Admin!M73</f>
        <v>241</v>
      </c>
      <c r="D71">
        <v>1.05</v>
      </c>
    </row>
    <row r="72" spans="1:4" x14ac:dyDescent="0.3">
      <c r="A72">
        <v>71</v>
      </c>
      <c r="B72" s="6">
        <f>טבלה2[[#This Row],[Demand]]/טבלה2[[#This Row],[S]]*(טבלה2[[#This Row],[S]]-1)</f>
        <v>-27.438202247191008</v>
      </c>
      <c r="C72">
        <f>Admin!M74</f>
        <v>222</v>
      </c>
      <c r="D72">
        <v>0.89</v>
      </c>
    </row>
    <row r="73" spans="1:4" x14ac:dyDescent="0.3">
      <c r="A73">
        <v>72</v>
      </c>
      <c r="B73" s="6">
        <f>טבלה2[[#This Row],[Demand]]/טבלה2[[#This Row],[S]]*(טבלה2[[#This Row],[S]]-1)</f>
        <v>9.0384615384615454</v>
      </c>
      <c r="C73">
        <f>Admin!M75</f>
        <v>235</v>
      </c>
      <c r="D73">
        <v>1.04</v>
      </c>
    </row>
    <row r="74" spans="1:4" x14ac:dyDescent="0.3">
      <c r="A74">
        <v>73</v>
      </c>
      <c r="B74" s="6">
        <f>טבלה2[[#This Row],[Demand]]/טבלה2[[#This Row],[S]]*(טבלה2[[#This Row],[S]]-1)</f>
        <v>27.495575221238919</v>
      </c>
      <c r="C74">
        <f>Admin!M76</f>
        <v>239</v>
      </c>
      <c r="D74">
        <v>1.1299999999999999</v>
      </c>
    </row>
    <row r="75" spans="1:4" x14ac:dyDescent="0.3">
      <c r="A75">
        <v>74</v>
      </c>
      <c r="B75" s="6">
        <f>טבלה2[[#This Row],[Demand]]/טבלה2[[#This Row],[S]]*(טבלה2[[#This Row],[S]]-1)</f>
        <v>-33.534883720930232</v>
      </c>
      <c r="C75">
        <f>Admin!M77</f>
        <v>206</v>
      </c>
      <c r="D75">
        <v>0.86</v>
      </c>
    </row>
    <row r="76" spans="1:4" x14ac:dyDescent="0.3">
      <c r="A76">
        <v>75</v>
      </c>
      <c r="B76" s="6">
        <f>טבלה2[[#This Row],[Demand]]/טבלה2[[#This Row],[S]]*(טבלה2[[#This Row],[S]]-1)</f>
        <v>29.21739130434781</v>
      </c>
      <c r="C76">
        <f>Admin!M78</f>
        <v>224</v>
      </c>
      <c r="D76">
        <v>1.1499999999999999</v>
      </c>
    </row>
    <row r="77" spans="1:4" x14ac:dyDescent="0.3">
      <c r="A77">
        <v>76</v>
      </c>
      <c r="B77" s="6">
        <f>טבלה2[[#This Row],[Demand]]/טבלה2[[#This Row],[S]]*(טבלה2[[#This Row],[S]]-1)</f>
        <v>-39.232558139534888</v>
      </c>
      <c r="C77">
        <f>Admin!M79</f>
        <v>241</v>
      </c>
      <c r="D77">
        <v>0.86</v>
      </c>
    </row>
    <row r="78" spans="1:4" x14ac:dyDescent="0.3">
      <c r="A78">
        <v>77</v>
      </c>
      <c r="B78" s="6">
        <f>טבלה2[[#This Row],[Demand]]/טבלה2[[#This Row],[S]]*(טבלה2[[#This Row],[S]]-1)</f>
        <v>21.000000000000014</v>
      </c>
      <c r="C78">
        <f>Admin!M80</f>
        <v>231</v>
      </c>
      <c r="D78">
        <v>1.1000000000000001</v>
      </c>
    </row>
    <row r="79" spans="1:4" x14ac:dyDescent="0.3">
      <c r="A79">
        <v>78</v>
      </c>
      <c r="B79" s="6">
        <f>טבלה2[[#This Row],[Demand]]/טבלה2[[#This Row],[S]]*(טבלה2[[#This Row],[S]]-1)</f>
        <v>-22.333333333333325</v>
      </c>
      <c r="C79">
        <f>Admin!M81</f>
        <v>201</v>
      </c>
      <c r="D79">
        <v>0.9</v>
      </c>
    </row>
    <row r="80" spans="1:4" x14ac:dyDescent="0.3">
      <c r="A80">
        <v>79</v>
      </c>
      <c r="B80" s="6">
        <f>טבלה2[[#This Row],[Demand]]/טבלה2[[#This Row],[S]]*(טבלה2[[#This Row],[S]]-1)</f>
        <v>4.8823529411764754</v>
      </c>
      <c r="C80">
        <f>Admin!M82</f>
        <v>249</v>
      </c>
      <c r="D80">
        <v>1.02</v>
      </c>
    </row>
    <row r="81" spans="1:4" x14ac:dyDescent="0.3">
      <c r="A81">
        <v>80</v>
      </c>
      <c r="B81" s="6">
        <f>טבלה2[[#This Row],[Demand]]/טבלה2[[#This Row],[S]]*(טבלה2[[#This Row],[S]]-1)</f>
        <v>34.695652173913025</v>
      </c>
      <c r="C81">
        <f>Admin!M83</f>
        <v>266</v>
      </c>
      <c r="D81">
        <v>1.1499999999999999</v>
      </c>
    </row>
    <row r="82" spans="1:4" x14ac:dyDescent="0.3">
      <c r="A82">
        <v>81</v>
      </c>
      <c r="B82" s="6">
        <f>טבלה2[[#This Row],[Demand]]/טבלה2[[#This Row],[S]]*(טבלה2[[#This Row],[S]]-1)</f>
        <v>-36.882352941176478</v>
      </c>
      <c r="C82">
        <f>Admin!M84</f>
        <v>209</v>
      </c>
      <c r="D82">
        <v>0.85</v>
      </c>
    </row>
    <row r="83" spans="1:4" x14ac:dyDescent="0.3">
      <c r="A83">
        <v>82</v>
      </c>
      <c r="B83" s="6">
        <f>טבלה2[[#This Row],[Demand]]/טבלה2[[#This Row],[S]]*(טבלה2[[#This Row],[S]]-1)</f>
        <v>11.904761904761914</v>
      </c>
      <c r="C83">
        <f>Admin!M85</f>
        <v>250</v>
      </c>
      <c r="D83">
        <v>1.05</v>
      </c>
    </row>
    <row r="84" spans="1:4" x14ac:dyDescent="0.3">
      <c r="A84">
        <v>83</v>
      </c>
      <c r="B84" s="6">
        <f>טבלה2[[#This Row],[Demand]]/טבלה2[[#This Row],[S]]*(טבלה2[[#This Row],[S]]-1)</f>
        <v>-28.179775280898873</v>
      </c>
      <c r="C84">
        <f>Admin!M86</f>
        <v>228</v>
      </c>
      <c r="D84">
        <v>0.89</v>
      </c>
    </row>
    <row r="85" spans="1:4" x14ac:dyDescent="0.3">
      <c r="A85">
        <v>84</v>
      </c>
      <c r="B85" s="6">
        <f>טבלה2[[#This Row],[Demand]]/טבלה2[[#This Row],[S]]*(טבלה2[[#This Row],[S]]-1)</f>
        <v>9.3461538461538538</v>
      </c>
      <c r="C85">
        <f>Admin!M87</f>
        <v>243</v>
      </c>
      <c r="D85">
        <v>1.04</v>
      </c>
    </row>
    <row r="86" spans="1:4" x14ac:dyDescent="0.3">
      <c r="A86">
        <v>85</v>
      </c>
      <c r="B86" s="6">
        <f>טבלה2[[#This Row],[Demand]]/טבלה2[[#This Row],[S]]*(טבלה2[[#This Row],[S]]-1)</f>
        <v>28.530973451327412</v>
      </c>
      <c r="C86">
        <f>Admin!M88</f>
        <v>248</v>
      </c>
      <c r="D86">
        <v>1.1299999999999999</v>
      </c>
    </row>
    <row r="87" spans="1:4" x14ac:dyDescent="0.3">
      <c r="A87">
        <v>86</v>
      </c>
      <c r="B87" s="6">
        <f>טבלה2[[#This Row],[Demand]]/טבלה2[[#This Row],[S]]*(טבלה2[[#This Row],[S]]-1)</f>
        <v>-34.674418604651166</v>
      </c>
      <c r="C87">
        <f>Admin!M89</f>
        <v>213</v>
      </c>
      <c r="D87">
        <v>0.86</v>
      </c>
    </row>
    <row r="88" spans="1:4" x14ac:dyDescent="0.3">
      <c r="A88">
        <v>87</v>
      </c>
      <c r="B88" s="6">
        <f>טבלה2[[#This Row],[Demand]]/טבלה2[[#This Row],[S]]*(טבלה2[[#This Row],[S]]-1)</f>
        <v>30.130434782608678</v>
      </c>
      <c r="C88">
        <f>Admin!M90</f>
        <v>231</v>
      </c>
      <c r="D88">
        <v>1.1499999999999999</v>
      </c>
    </row>
    <row r="89" spans="1:4" x14ac:dyDescent="0.3">
      <c r="A89">
        <v>88</v>
      </c>
      <c r="B89" s="6">
        <f>טבלה2[[#This Row],[Demand]]/טבלה2[[#This Row],[S]]*(טבלה2[[#This Row],[S]]-1)</f>
        <v>-40.372093023255822</v>
      </c>
      <c r="C89">
        <f>Admin!M91</f>
        <v>248</v>
      </c>
      <c r="D89">
        <v>0.86</v>
      </c>
    </row>
    <row r="90" spans="1:4" x14ac:dyDescent="0.3">
      <c r="A90">
        <v>89</v>
      </c>
      <c r="B90" s="6">
        <f>טבלה2[[#This Row],[Demand]]/טבלה2[[#This Row],[S]]*(טבלה2[[#This Row],[S]]-1)</f>
        <v>21.636363636363654</v>
      </c>
      <c r="C90">
        <f>Admin!M92</f>
        <v>238</v>
      </c>
      <c r="D90">
        <v>1.1000000000000001</v>
      </c>
    </row>
    <row r="91" spans="1:4" x14ac:dyDescent="0.3">
      <c r="A91">
        <v>90</v>
      </c>
      <c r="B91" s="6">
        <f>טבלה2[[#This Row],[Demand]]/טבלה2[[#This Row],[S]]*(טבלה2[[#This Row],[S]]-1)</f>
        <v>-22.999999999999996</v>
      </c>
      <c r="C91">
        <f>Admin!M93</f>
        <v>207</v>
      </c>
      <c r="D91">
        <v>0.9</v>
      </c>
    </row>
    <row r="92" spans="1:4" x14ac:dyDescent="0.3">
      <c r="A92">
        <v>91</v>
      </c>
      <c r="B92" s="6">
        <f>טבלה2[[#This Row],[Demand]]/טבלה2[[#This Row],[S]]*(טבלה2[[#This Row],[S]]-1)</f>
        <v>5.0196078431372593</v>
      </c>
      <c r="C92">
        <f>Admin!M94</f>
        <v>256</v>
      </c>
      <c r="D92">
        <v>1.02</v>
      </c>
    </row>
    <row r="93" spans="1:4" x14ac:dyDescent="0.3">
      <c r="A93">
        <v>92</v>
      </c>
      <c r="B93" s="6">
        <f>טבלה2[[#This Row],[Demand]]/טבלה2[[#This Row],[S]]*(טבלה2[[#This Row],[S]]-1)</f>
        <v>35.478260869565197</v>
      </c>
      <c r="C93">
        <f>Admin!M95</f>
        <v>272</v>
      </c>
      <c r="D93">
        <v>1.1499999999999999</v>
      </c>
    </row>
    <row r="94" spans="1:4" x14ac:dyDescent="0.3">
      <c r="A94">
        <v>93</v>
      </c>
      <c r="B94" s="6">
        <f>טבלה2[[#This Row],[Demand]]/טבלה2[[#This Row],[S]]*(טבלה2[[#This Row],[S]]-1)</f>
        <v>-37.764705882352949</v>
      </c>
      <c r="C94">
        <f>Admin!M96</f>
        <v>214</v>
      </c>
      <c r="D94">
        <v>0.85</v>
      </c>
    </row>
    <row r="95" spans="1:4" x14ac:dyDescent="0.3">
      <c r="A95">
        <v>94</v>
      </c>
      <c r="B95" s="6">
        <f>טבלה2[[#This Row],[Demand]]/טבלה2[[#This Row],[S]]*(טבלה2[[#This Row],[S]]-1)</f>
        <v>12.1904761904762</v>
      </c>
      <c r="C95">
        <f>Admin!M97</f>
        <v>256</v>
      </c>
      <c r="D95">
        <v>1.05</v>
      </c>
    </row>
    <row r="96" spans="1:4" x14ac:dyDescent="0.3">
      <c r="A96">
        <v>95</v>
      </c>
      <c r="B96" s="6">
        <f>טבלה2[[#This Row],[Demand]]/טבלה2[[#This Row],[S]]*(טבלה2[[#This Row],[S]]-1)</f>
        <v>-28.921348314606739</v>
      </c>
      <c r="C96">
        <f>Admin!M98</f>
        <v>234</v>
      </c>
      <c r="D96">
        <v>0.89</v>
      </c>
    </row>
    <row r="97" spans="1:4" x14ac:dyDescent="0.3">
      <c r="A97">
        <v>96</v>
      </c>
      <c r="B97" s="6">
        <f>טבלה2[[#This Row],[Demand]]/טבלה2[[#This Row],[S]]*(טבלה2[[#This Row],[S]]-1)</f>
        <v>9.5769230769230855</v>
      </c>
      <c r="C97">
        <f>Admin!M99</f>
        <v>249</v>
      </c>
      <c r="D97">
        <v>1.04</v>
      </c>
    </row>
    <row r="98" spans="1:4" x14ac:dyDescent="0.3">
      <c r="A98">
        <v>97</v>
      </c>
      <c r="B98" s="6">
        <f>טבלה2[[#This Row],[Demand]]/טבלה2[[#This Row],[S]]*(טבלה2[[#This Row],[S]]-1)</f>
        <v>29.221238938053077</v>
      </c>
      <c r="C98">
        <f>Admin!M100</f>
        <v>254</v>
      </c>
      <c r="D98">
        <v>1.1299999999999999</v>
      </c>
    </row>
    <row r="99" spans="1:4" x14ac:dyDescent="0.3">
      <c r="A99">
        <v>98</v>
      </c>
      <c r="B99" s="6">
        <f>טבלה2[[#This Row],[Demand]]/טבלה2[[#This Row],[S]]*(טבלה2[[#This Row],[S]]-1)</f>
        <v>-35.488372093023258</v>
      </c>
      <c r="C99">
        <f>Admin!M101</f>
        <v>218</v>
      </c>
      <c r="D99">
        <v>0.86</v>
      </c>
    </row>
    <row r="100" spans="1:4" x14ac:dyDescent="0.3">
      <c r="A100">
        <v>99</v>
      </c>
      <c r="B100" s="6">
        <f>טבלה2[[#This Row],[Demand]]/טבלה2[[#This Row],[S]]*(טבלה2[[#This Row],[S]]-1)</f>
        <v>31.173913043478244</v>
      </c>
      <c r="C100">
        <f>Admin!M102</f>
        <v>239</v>
      </c>
      <c r="D100">
        <v>1.1499999999999999</v>
      </c>
    </row>
    <row r="101" spans="1:4" x14ac:dyDescent="0.3">
      <c r="A101">
        <v>100</v>
      </c>
      <c r="B101" s="6">
        <f>טבלה2[[#This Row],[Demand]]/טבלה2[[#This Row],[S]]*(טבלה2[[#This Row],[S]]-1)</f>
        <v>-41.186046511627914</v>
      </c>
      <c r="C101">
        <f>Admin!M103</f>
        <v>253</v>
      </c>
      <c r="D101">
        <v>0.86</v>
      </c>
    </row>
    <row r="102" spans="1:4" x14ac:dyDescent="0.3">
      <c r="A102">
        <v>101</v>
      </c>
      <c r="B102" s="6">
        <f>טבלה2[[#This Row],[Demand]]/טבלה2[[#This Row],[S]]*(טבלה2[[#This Row],[S]]-1)</f>
        <v>22.090909090909108</v>
      </c>
      <c r="C102">
        <f>Admin!M104</f>
        <v>243</v>
      </c>
      <c r="D102">
        <v>1.1000000000000001</v>
      </c>
    </row>
    <row r="103" spans="1:4" x14ac:dyDescent="0.3">
      <c r="A103">
        <v>102</v>
      </c>
      <c r="B103" s="6">
        <f>טבלה2[[#This Row],[Demand]]/טבלה2[[#This Row],[S]]*(טבלה2[[#This Row],[S]]-1)</f>
        <v>-23.666666666666661</v>
      </c>
      <c r="C103">
        <f>Admin!M105</f>
        <v>213</v>
      </c>
      <c r="D103">
        <v>0.9</v>
      </c>
    </row>
    <row r="104" spans="1:4" x14ac:dyDescent="0.3">
      <c r="A104">
        <v>103</v>
      </c>
      <c r="B104" s="6">
        <f>טבלה2[[#This Row],[Demand]]/טבלה2[[#This Row],[S]]*(טבלה2[[#This Row],[S]]-1)</f>
        <v>5.1568627450980431</v>
      </c>
      <c r="C104">
        <f>Admin!M106</f>
        <v>263</v>
      </c>
      <c r="D104">
        <v>1.02</v>
      </c>
    </row>
    <row r="105" spans="1:4" x14ac:dyDescent="0.3">
      <c r="A105">
        <v>104</v>
      </c>
      <c r="B105" s="6">
        <f>טבלה2[[#This Row],[Demand]]/טבלה2[[#This Row],[S]]*(טבלה2[[#This Row],[S]]-1)</f>
        <v>36.652173913043455</v>
      </c>
      <c r="C105">
        <f>Admin!M107</f>
        <v>281</v>
      </c>
      <c r="D105">
        <v>1.1499999999999999</v>
      </c>
    </row>
    <row r="106" spans="1:4" x14ac:dyDescent="0.3">
      <c r="A106">
        <v>105</v>
      </c>
      <c r="B106" s="6">
        <f>טבלה2[[#This Row],[Demand]]/טבלה2[[#This Row],[S]]*(טבלה2[[#This Row],[S]]-1)</f>
        <v>-38.82352941176471</v>
      </c>
      <c r="C106">
        <f>Admin!M108</f>
        <v>220</v>
      </c>
      <c r="D106">
        <v>0.85</v>
      </c>
    </row>
    <row r="107" spans="1:4" x14ac:dyDescent="0.3">
      <c r="A107">
        <v>106</v>
      </c>
      <c r="B107" s="6">
        <f>טבלה2[[#This Row],[Demand]]/טבלה2[[#This Row],[S]]*(טבלה2[[#This Row],[S]]-1)</f>
        <v>12.428571428571439</v>
      </c>
      <c r="C107">
        <f>Admin!M109</f>
        <v>261</v>
      </c>
      <c r="D107">
        <v>1.05</v>
      </c>
    </row>
    <row r="108" spans="1:4" x14ac:dyDescent="0.3">
      <c r="A108">
        <v>107</v>
      </c>
      <c r="B108" s="6">
        <f>טבלה2[[#This Row],[Demand]]/טבלה2[[#This Row],[S]]*(טבלה2[[#This Row],[S]]-1)</f>
        <v>-29.662921348314605</v>
      </c>
      <c r="C108">
        <f>Admin!M110</f>
        <v>240</v>
      </c>
      <c r="D108">
        <v>0.89</v>
      </c>
    </row>
    <row r="109" spans="1:4" x14ac:dyDescent="0.3">
      <c r="A109">
        <v>108</v>
      </c>
      <c r="B109" s="6">
        <f>טבלה2[[#This Row],[Demand]]/טבלה2[[#This Row],[S]]*(טבלה2[[#This Row],[S]]-1)</f>
        <v>9.8461538461538538</v>
      </c>
      <c r="C109">
        <f>Admin!M111</f>
        <v>256</v>
      </c>
      <c r="D109">
        <v>1.04</v>
      </c>
    </row>
    <row r="110" spans="1:4" x14ac:dyDescent="0.3">
      <c r="A110">
        <v>109</v>
      </c>
      <c r="B110" s="6">
        <f>טבלה2[[#This Row],[Demand]]/טבלה2[[#This Row],[S]]*(טבלה2[[#This Row],[S]]-1)</f>
        <v>30.026548672566349</v>
      </c>
      <c r="C110">
        <f>Admin!M112</f>
        <v>261</v>
      </c>
      <c r="D110">
        <v>1.1299999999999999</v>
      </c>
    </row>
    <row r="111" spans="1:4" x14ac:dyDescent="0.3">
      <c r="A111">
        <v>110</v>
      </c>
      <c r="B111" s="6">
        <f>טבלה2[[#This Row],[Demand]]/טבלה2[[#This Row],[S]]*(טבלה2[[#This Row],[S]]-1)</f>
        <v>-36.465116279069775</v>
      </c>
      <c r="C111">
        <f>Admin!M113</f>
        <v>224</v>
      </c>
      <c r="D111">
        <v>0.86</v>
      </c>
    </row>
    <row r="112" spans="1:4" x14ac:dyDescent="0.3">
      <c r="A112">
        <v>111</v>
      </c>
      <c r="B112" s="6">
        <f>טבלה2[[#This Row],[Demand]]/טבלה2[[#This Row],[S]]*(טבלה2[[#This Row],[S]]-1)</f>
        <v>31.956521739130419</v>
      </c>
      <c r="C112">
        <f>Admin!M114</f>
        <v>245</v>
      </c>
      <c r="D112">
        <v>1.1499999999999999</v>
      </c>
    </row>
    <row r="113" spans="1:4" x14ac:dyDescent="0.3">
      <c r="A113">
        <v>112</v>
      </c>
      <c r="B113" s="6">
        <f>טבלה2[[#This Row],[Demand]]/טבלה2[[#This Row],[S]]*(טבלה2[[#This Row],[S]]-1)</f>
        <v>-42.325581395348841</v>
      </c>
      <c r="C113">
        <f>Admin!M115</f>
        <v>260</v>
      </c>
      <c r="D113">
        <v>0.86</v>
      </c>
    </row>
    <row r="114" spans="1:4" x14ac:dyDescent="0.3">
      <c r="A114">
        <v>113</v>
      </c>
      <c r="B114" s="6">
        <f>טבלה2[[#This Row],[Demand]]/טבלה2[[#This Row],[S]]*(טבלה2[[#This Row],[S]]-1)</f>
        <v>22.909090909090928</v>
      </c>
      <c r="C114">
        <f>Admin!M116</f>
        <v>252</v>
      </c>
      <c r="D114">
        <v>1.1000000000000001</v>
      </c>
    </row>
    <row r="115" spans="1:4" x14ac:dyDescent="0.3">
      <c r="A115">
        <v>114</v>
      </c>
      <c r="B115" s="6">
        <f>טבלה2[[#This Row],[Demand]]/טבלה2[[#This Row],[S]]*(טבלה2[[#This Row],[S]]-1)</f>
        <v>-24.444444444444436</v>
      </c>
      <c r="C115">
        <f>Admin!M117</f>
        <v>220</v>
      </c>
      <c r="D115">
        <v>0.9</v>
      </c>
    </row>
    <row r="116" spans="1:4" x14ac:dyDescent="0.3">
      <c r="A116">
        <v>115</v>
      </c>
      <c r="B116" s="6">
        <f>טבלה2[[#This Row],[Demand]]/טבלה2[[#This Row],[S]]*(טבלה2[[#This Row],[S]]-1)</f>
        <v>5.3137254901960835</v>
      </c>
      <c r="C116">
        <f>Admin!M118</f>
        <v>271</v>
      </c>
      <c r="D116">
        <v>1.02</v>
      </c>
    </row>
    <row r="117" spans="1:4" x14ac:dyDescent="0.3">
      <c r="A117">
        <v>116</v>
      </c>
      <c r="B117" s="6">
        <f>טבלה2[[#This Row],[Demand]]/טבלה2[[#This Row],[S]]*(טבלה2[[#This Row],[S]]-1)</f>
        <v>37.695652173913025</v>
      </c>
      <c r="C117">
        <f>Admin!M119</f>
        <v>289</v>
      </c>
      <c r="D117">
        <v>1.1499999999999999</v>
      </c>
    </row>
    <row r="118" spans="1:4" x14ac:dyDescent="0.3">
      <c r="A118">
        <v>117</v>
      </c>
      <c r="B118" s="6">
        <f>טבלה2[[#This Row],[Demand]]/טבלה2[[#This Row],[S]]*(טבלה2[[#This Row],[S]]-1)</f>
        <v>-39.705882352941181</v>
      </c>
      <c r="C118">
        <f>Admin!M120</f>
        <v>225</v>
      </c>
      <c r="D118">
        <v>0.85</v>
      </c>
    </row>
    <row r="119" spans="1:4" x14ac:dyDescent="0.3">
      <c r="A119">
        <v>118</v>
      </c>
      <c r="B119" s="6">
        <f>טבלה2[[#This Row],[Demand]]/טבלה2[[#This Row],[S]]*(טבלה2[[#This Row],[S]]-1)</f>
        <v>12.809523809523821</v>
      </c>
      <c r="C119">
        <f>Admin!M121</f>
        <v>269</v>
      </c>
      <c r="D119">
        <v>1.05</v>
      </c>
    </row>
    <row r="120" spans="1:4" x14ac:dyDescent="0.3">
      <c r="A120">
        <v>119</v>
      </c>
      <c r="B120" s="6">
        <f>טבלה2[[#This Row],[Demand]]/טבלה2[[#This Row],[S]]*(טבלה2[[#This Row],[S]]-1)</f>
        <v>-30.528089887640441</v>
      </c>
      <c r="C120">
        <f>Admin!M122</f>
        <v>247</v>
      </c>
      <c r="D120">
        <v>0.89</v>
      </c>
    </row>
    <row r="121" spans="1:4" x14ac:dyDescent="0.3">
      <c r="A121">
        <v>120</v>
      </c>
      <c r="B121" s="6">
        <f>טבלה2[[#This Row],[Demand]]/טבלה2[[#This Row],[S]]*(טבלה2[[#This Row],[S]]-1)</f>
        <v>10.115384615384624</v>
      </c>
      <c r="C121">
        <f>Admin!M123</f>
        <v>263</v>
      </c>
      <c r="D121">
        <v>1.04</v>
      </c>
    </row>
  </sheetData>
  <sheetProtection selectLockedCell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גליונות עבודה</vt:lpstr>
      </vt:variant>
      <vt:variant>
        <vt:i4>6</vt:i4>
      </vt:variant>
      <vt:variant>
        <vt:lpstr>תרשימים</vt:lpstr>
      </vt:variant>
      <vt:variant>
        <vt:i4>1</vt:i4>
      </vt:variant>
      <vt:variant>
        <vt:lpstr>טווחים בעלי שם</vt:lpstr>
      </vt:variant>
      <vt:variant>
        <vt:i4>9</vt:i4>
      </vt:variant>
    </vt:vector>
  </HeadingPairs>
  <TitlesOfParts>
    <vt:vector size="16" baseType="lpstr">
      <vt:lpstr>ID</vt:lpstr>
      <vt:lpstr>DATA</vt:lpstr>
      <vt:lpstr>Admin</vt:lpstr>
      <vt:lpstr>תשובות</vt:lpstr>
      <vt:lpstr>גרפים</vt:lpstr>
      <vt:lpstr>Data (2)</vt:lpstr>
      <vt:lpstr>תרשים1</vt:lpstr>
      <vt:lpstr>A0</vt:lpstr>
      <vt:lpstr>avg</vt:lpstr>
      <vt:lpstr>ID</vt:lpstr>
      <vt:lpstr>Months</vt:lpstr>
      <vt:lpstr>RefNum</vt:lpstr>
      <vt:lpstr>Seasonality</vt:lpstr>
      <vt:lpstr>SeasonalityTable</vt:lpstr>
      <vt:lpstr>Std</vt:lpstr>
      <vt:lpstr>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אוריאל כהנא</cp:lastModifiedBy>
  <cp:lastPrinted>2022-04-13T14:39:59Z</cp:lastPrinted>
  <dcterms:created xsi:type="dcterms:W3CDTF">2018-04-21T19:50:28Z</dcterms:created>
  <dcterms:modified xsi:type="dcterms:W3CDTF">2024-02-19T08:48:54Z</dcterms:modified>
</cp:coreProperties>
</file>