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en\Daniel\ele\bat_source\hw\"/>
    </mc:Choice>
  </mc:AlternateContent>
  <xr:revisionPtr revIDLastSave="0" documentId="13_ncr:1_{09F65BF4-8A0C-4210-833A-174E6553AB51}" xr6:coauthVersionLast="47" xr6:coauthVersionMax="47" xr10:uidLastSave="{00000000-0000-0000-0000-000000000000}"/>
  <bookViews>
    <workbookView xWindow="-120" yWindow="-120" windowWidth="29040" windowHeight="15525" xr2:uid="{4068D473-29DE-484D-A592-A1C1CB715333}"/>
  </bookViews>
  <sheets>
    <sheet name="26650" sheetId="1" r:id="rId1"/>
    <sheet name="26650 hol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3" i="1"/>
  <c r="T6" i="1"/>
  <c r="T7" i="1"/>
  <c r="T4" i="1"/>
  <c r="T5" i="1"/>
  <c r="T3" i="1"/>
  <c r="AA4" i="1"/>
  <c r="AA5" i="1"/>
  <c r="AA6" i="1"/>
  <c r="AA7" i="1"/>
  <c r="AA3" i="1"/>
  <c r="R2" i="1"/>
  <c r="T2" i="1" s="1"/>
  <c r="U4" i="1" s="1"/>
  <c r="U3" i="1" l="1"/>
  <c r="Y3" i="1" s="1"/>
  <c r="Z3" i="1" s="1"/>
  <c r="U7" i="1"/>
  <c r="U6" i="1"/>
  <c r="U5" i="1"/>
  <c r="V4" i="1"/>
  <c r="W4" i="1" s="1"/>
  <c r="X4" i="1" s="1"/>
  <c r="Y4" i="1"/>
  <c r="Z4" i="1" s="1"/>
  <c r="V6" i="1" l="1"/>
  <c r="W6" i="1" s="1"/>
  <c r="X6" i="1" s="1"/>
  <c r="Y6" i="1"/>
  <c r="Z6" i="1" s="1"/>
  <c r="V7" i="1"/>
  <c r="W7" i="1" s="1"/>
  <c r="X7" i="1" s="1"/>
  <c r="Y7" i="1"/>
  <c r="Z7" i="1" s="1"/>
  <c r="V5" i="1"/>
  <c r="W5" i="1" s="1"/>
  <c r="X5" i="1" s="1"/>
  <c r="Y5" i="1"/>
  <c r="Z5" i="1" s="1"/>
  <c r="V3" i="1"/>
  <c r="W3" i="1" s="1"/>
  <c r="X3" i="1" s="1"/>
</calcChain>
</file>

<file path=xl/sharedStrings.xml><?xml version="1.0" encoding="utf-8"?>
<sst xmlns="http://schemas.openxmlformats.org/spreadsheetml/2006/main" count="47" uniqueCount="32">
  <si>
    <t>NKON</t>
  </si>
  <si>
    <t>JGNE</t>
  </si>
  <si>
    <t>Lithium Werks</t>
  </si>
  <si>
    <t>ANR26650</t>
  </si>
  <si>
    <t>HTPFR26650</t>
  </si>
  <si>
    <t>HTCFR26650</t>
  </si>
  <si>
    <t>JGCFR26650-4000mAh-3.2V</t>
  </si>
  <si>
    <t>min</t>
  </si>
  <si>
    <t>A</t>
  </si>
  <si>
    <t>Ah typ</t>
  </si>
  <si>
    <t>Ah min</t>
  </si>
  <si>
    <t>Wh</t>
  </si>
  <si>
    <t>https://www.digikey.ch/de/products/filter/batteriehalter-clips-kontakte/86?s=N4IgTCBcDa4GxwKwAYQF0C%2BQ</t>
  </si>
  <si>
    <t>https://www.keyelco.com/userAssets/file/M65p25.pdf</t>
  </si>
  <si>
    <t>https://www.mouser.ch/datasheet/2/215/1106-765678.pdf</t>
  </si>
  <si>
    <t>https://www.mouser.ch/datasheet/2/215/107-741658.pdf</t>
  </si>
  <si>
    <t>Supplier</t>
  </si>
  <si>
    <t>Manufacturer</t>
  </si>
  <si>
    <t>Type</t>
  </si>
  <si>
    <t>Voltage</t>
  </si>
  <si>
    <t>Capacity</t>
  </si>
  <si>
    <t>V typ</t>
  </si>
  <si>
    <t>V min</t>
  </si>
  <si>
    <t>Current</t>
  </si>
  <si>
    <t>Cost</t>
  </si>
  <si>
    <t>Power</t>
  </si>
  <si>
    <t>Runtime</t>
  </si>
  <si>
    <t>Energy</t>
  </si>
  <si>
    <t>Cells</t>
  </si>
  <si>
    <t>Quantity</t>
  </si>
  <si>
    <t>per device</t>
  </si>
  <si>
    <t>Maximum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</si>
</sst>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kon.nl/de/rechargeable/lifepo4/26650/jgne-26650-3600mah-10-2a-lifepo4.html" TargetMode="External"/><Relationship Id="rId2" Type="http://schemas.openxmlformats.org/officeDocument/2006/relationships/hyperlink" Target="https://www.nkon.nl/de/rechargeable/lifepo4/26650/jgne-26650-3000mah-30a-lifepo4.html" TargetMode="External"/><Relationship Id="rId1" Type="http://schemas.openxmlformats.org/officeDocument/2006/relationships/hyperlink" Target="https://www.nkon.nl/de/rechargeable/lifepo4/26650/a123-systems-anr26650m1b-a-grade-3-3v-a-grade.html" TargetMode="External"/><Relationship Id="rId5" Type="http://schemas.openxmlformats.org/officeDocument/2006/relationships/hyperlink" Target="https://www.nkon.nl/de/rechargeable/lifepo4/26650/jgne-26650-4000mah-12a-lifepo4.html" TargetMode="External"/><Relationship Id="rId4" Type="http://schemas.openxmlformats.org/officeDocument/2006/relationships/hyperlink" Target="https://www.nkon.nl/de/rechargeable/lifepo4/26650/jgne-htcfr26650-3800mah-11-4a-lifepo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B763-2DED-49AE-AB75-4A0904116107}">
  <dimension ref="A1:AA7"/>
  <sheetViews>
    <sheetView tabSelected="1" workbookViewId="0">
      <selection activeCell="U3" sqref="U3"/>
    </sheetView>
  </sheetViews>
  <sheetFormatPr baseColWidth="10" defaultRowHeight="15" x14ac:dyDescent="0.25"/>
  <cols>
    <col min="1" max="1" width="8.5703125" bestFit="1" customWidth="1"/>
    <col min="2" max="2" width="13.42578125" bestFit="1" customWidth="1"/>
    <col min="3" max="5" width="11.140625" customWidth="1"/>
    <col min="6" max="7" width="9.28515625" bestFit="1" customWidth="1"/>
    <col min="8" max="8" width="6.140625" bestFit="1" customWidth="1"/>
    <col min="9" max="16" width="5.7109375" customWidth="1"/>
  </cols>
  <sheetData>
    <row r="1" spans="1:27" x14ac:dyDescent="0.25">
      <c r="A1" t="s">
        <v>16</v>
      </c>
      <c r="B1" t="s">
        <v>17</v>
      </c>
      <c r="C1" t="s">
        <v>18</v>
      </c>
      <c r="D1" t="s">
        <v>19</v>
      </c>
      <c r="E1" t="s">
        <v>19</v>
      </c>
      <c r="F1" t="s">
        <v>20</v>
      </c>
      <c r="G1" t="s">
        <v>20</v>
      </c>
      <c r="H1" t="s">
        <v>23</v>
      </c>
      <c r="I1" s="2" t="s">
        <v>24</v>
      </c>
      <c r="J1" s="2"/>
      <c r="K1" s="2"/>
      <c r="L1" s="2"/>
      <c r="M1" s="2"/>
      <c r="N1" s="2"/>
      <c r="O1" s="2"/>
      <c r="P1" s="2"/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24</v>
      </c>
      <c r="X1" t="s">
        <v>24</v>
      </c>
      <c r="Y1" t="s">
        <v>27</v>
      </c>
      <c r="Z1" t="s">
        <v>26</v>
      </c>
      <c r="AA1" t="s">
        <v>31</v>
      </c>
    </row>
    <row r="2" spans="1:27" x14ac:dyDescent="0.25">
      <c r="D2" t="s">
        <v>21</v>
      </c>
      <c r="E2" t="s">
        <v>22</v>
      </c>
      <c r="F2" t="s">
        <v>10</v>
      </c>
      <c r="G2" t="s">
        <v>9</v>
      </c>
      <c r="H2" t="s">
        <v>8</v>
      </c>
      <c r="I2">
        <v>1</v>
      </c>
      <c r="J2">
        <v>10</v>
      </c>
      <c r="K2">
        <v>30</v>
      </c>
      <c r="L2">
        <v>50</v>
      </c>
      <c r="M2">
        <v>100</v>
      </c>
      <c r="N2">
        <v>200</v>
      </c>
      <c r="O2">
        <v>400</v>
      </c>
      <c r="P2">
        <v>600</v>
      </c>
      <c r="R2">
        <f>MAX(60*1,10*5)/0.8</f>
        <v>75</v>
      </c>
      <c r="S2">
        <v>0.5</v>
      </c>
      <c r="T2">
        <f>R2*S2</f>
        <v>37.5</v>
      </c>
      <c r="U2" t="s">
        <v>30</v>
      </c>
      <c r="V2">
        <v>10</v>
      </c>
      <c r="X2" t="s">
        <v>30</v>
      </c>
      <c r="Y2" t="s">
        <v>11</v>
      </c>
      <c r="Z2" t="s">
        <v>7</v>
      </c>
    </row>
    <row r="3" spans="1:27" x14ac:dyDescent="0.25">
      <c r="A3" t="s">
        <v>0</v>
      </c>
      <c r="B3" t="s">
        <v>2</v>
      </c>
      <c r="C3" s="1" t="s">
        <v>3</v>
      </c>
      <c r="D3">
        <v>3.2</v>
      </c>
      <c r="E3">
        <v>2</v>
      </c>
      <c r="F3">
        <v>2.5</v>
      </c>
      <c r="G3">
        <v>2.6</v>
      </c>
      <c r="H3">
        <v>50</v>
      </c>
      <c r="I3">
        <v>7.95</v>
      </c>
      <c r="J3">
        <v>7.85</v>
      </c>
      <c r="L3">
        <v>7.35</v>
      </c>
      <c r="M3">
        <v>7.15</v>
      </c>
      <c r="N3">
        <v>6.65</v>
      </c>
      <c r="O3">
        <v>6.55</v>
      </c>
      <c r="R3">
        <f>ROUNDUP(R$2/D3/H3,2)</f>
        <v>0.47000000000000003</v>
      </c>
      <c r="T3">
        <f>ROUNDUP(T$2/$D3/$F3,2)</f>
        <v>4.6899999999999995</v>
      </c>
      <c r="U3">
        <f>ROUNDUP(MAX(T$2/$D3/$F3,R$2/E3/H3),0)</f>
        <v>5</v>
      </c>
      <c r="V3">
        <f>V$2*$U3</f>
        <v>50</v>
      </c>
      <c r="W3">
        <f>IF(AND(V3&gt;=P$2,ISNUMBER(P3)),V3*P3,IF(AND(V3&gt;=O$2,ISNUMBER(O3)),V3*O3,IF(AND(V3&gt;=N$2,ISNUMBER(N3)),V3*N3,IF(AND(V3&gt;=M$2,ISNUMBER(M3)),V3*M3,IF(AND(V3&gt;=L$2,ISNUMBER(L3)),V3*L3,IF(AND(V3&gt;=K$2,ISNUMBER(K3)),V3*K3,IF(AND(V3&gt;=J$2,ISNUMBER(J3)),V3*J3,V3*I3)))))))</f>
        <v>367.5</v>
      </c>
      <c r="X3">
        <f>W3/V3*U3</f>
        <v>36.75</v>
      </c>
      <c r="Y3">
        <f>D3*F3*U3</f>
        <v>40</v>
      </c>
      <c r="Z3">
        <f>Y3/R$2*60</f>
        <v>32</v>
      </c>
      <c r="AA3">
        <f>E3*H3*U3</f>
        <v>500</v>
      </c>
    </row>
    <row r="4" spans="1:27" x14ac:dyDescent="0.25">
      <c r="A4" t="s">
        <v>0</v>
      </c>
      <c r="B4" t="s">
        <v>1</v>
      </c>
      <c r="C4" s="1" t="s">
        <v>4</v>
      </c>
      <c r="D4">
        <v>3.2</v>
      </c>
      <c r="E4">
        <v>2.5</v>
      </c>
      <c r="F4">
        <v>2.9</v>
      </c>
      <c r="G4">
        <v>3</v>
      </c>
      <c r="H4">
        <v>30</v>
      </c>
      <c r="I4">
        <v>3.74</v>
      </c>
      <c r="K4">
        <v>3.74</v>
      </c>
      <c r="M4">
        <v>3.54</v>
      </c>
      <c r="N4">
        <v>3.34</v>
      </c>
      <c r="P4">
        <v>3.14</v>
      </c>
      <c r="R4">
        <f t="shared" ref="R4:R7" si="0">ROUNDUP(R$2/D4/H4,2)</f>
        <v>0.79</v>
      </c>
      <c r="T4">
        <f t="shared" ref="T4:T7" si="1">ROUNDUP(T$2/$D4/$F4,2)</f>
        <v>4.05</v>
      </c>
      <c r="U4">
        <f t="shared" ref="U4:U7" si="2">ROUNDUP(MAX(T$2/$D4/$F4,R$2/E4/H4),0)</f>
        <v>5</v>
      </c>
      <c r="V4">
        <f t="shared" ref="V4:V7" si="3">V$2*$U4</f>
        <v>50</v>
      </c>
      <c r="W4">
        <f>IF(AND(V4&gt;=P$2,ISNUMBER(P4)),V4*P4,IF(AND(V4&gt;=O$2,ISNUMBER(O4)),V4*O4,IF(AND(V4&gt;=N$2,ISNUMBER(N4)),V4*N4,IF(AND(V4&gt;=M$2,ISNUMBER(M4)),V4*M4,IF(AND(V4&gt;=L$2,ISNUMBER(L4)),V4*L4,IF(AND(V4&gt;=K$2,ISNUMBER(K4)),V4*K4,IF(AND(V4&gt;=J$2,ISNUMBER(J4)),V4*J4,V4*I4)))))))</f>
        <v>187</v>
      </c>
      <c r="X4">
        <f t="shared" ref="X4:X7" si="4">W4/V4*U4</f>
        <v>18.700000000000003</v>
      </c>
      <c r="Y4">
        <f t="shared" ref="Y4:Y7" si="5">D4*F4*U4</f>
        <v>46.4</v>
      </c>
      <c r="Z4">
        <f t="shared" ref="Z4:Z7" si="6">Y4/R$2*60</f>
        <v>37.120000000000005</v>
      </c>
      <c r="AA4">
        <f t="shared" ref="AA4:AA7" si="7">E4*H4*U4</f>
        <v>375</v>
      </c>
    </row>
    <row r="5" spans="1:27" x14ac:dyDescent="0.25">
      <c r="A5" t="s">
        <v>0</v>
      </c>
      <c r="B5" t="s">
        <v>1</v>
      </c>
      <c r="C5" s="1" t="s">
        <v>5</v>
      </c>
      <c r="D5">
        <v>3.2</v>
      </c>
      <c r="E5">
        <v>2.5</v>
      </c>
      <c r="F5">
        <v>3.55</v>
      </c>
      <c r="G5">
        <v>3.6</v>
      </c>
      <c r="H5">
        <v>10.199999999999999</v>
      </c>
      <c r="I5">
        <v>2.35</v>
      </c>
      <c r="J5">
        <v>2.25</v>
      </c>
      <c r="M5">
        <v>2.15</v>
      </c>
      <c r="N5">
        <v>1.92</v>
      </c>
      <c r="O5">
        <v>1.8</v>
      </c>
      <c r="R5">
        <f t="shared" si="0"/>
        <v>2.2999999999999998</v>
      </c>
      <c r="T5">
        <f t="shared" si="1"/>
        <v>3.3099999999999996</v>
      </c>
      <c r="U5">
        <f t="shared" si="2"/>
        <v>4</v>
      </c>
      <c r="V5">
        <f t="shared" si="3"/>
        <v>40</v>
      </c>
      <c r="W5">
        <f>IF(AND(V5&gt;=P$2,ISNUMBER(P5)),V5*P5,IF(AND(V5&gt;=O$2,ISNUMBER(O5)),V5*O5,IF(AND(V5&gt;=N$2,ISNUMBER(N5)),V5*N5,IF(AND(V5&gt;=M$2,ISNUMBER(M5)),V5*M5,IF(AND(V5&gt;=L$2,ISNUMBER(L5)),V5*L5,IF(AND(V5&gt;=K$2,ISNUMBER(K5)),V5*K5,IF(AND(V5&gt;=J$2,ISNUMBER(J5)),V5*J5,V5*I5)))))))</f>
        <v>90</v>
      </c>
      <c r="X5">
        <f t="shared" si="4"/>
        <v>9</v>
      </c>
      <c r="Y5">
        <f t="shared" si="5"/>
        <v>45.44</v>
      </c>
      <c r="Z5">
        <f t="shared" si="6"/>
        <v>36.351999999999997</v>
      </c>
      <c r="AA5">
        <f t="shared" si="7"/>
        <v>102</v>
      </c>
    </row>
    <row r="6" spans="1:27" x14ac:dyDescent="0.25">
      <c r="A6" t="s">
        <v>0</v>
      </c>
      <c r="B6" t="s">
        <v>1</v>
      </c>
      <c r="C6" s="1" t="s">
        <v>5</v>
      </c>
      <c r="D6">
        <v>3.2</v>
      </c>
      <c r="E6">
        <v>2.5</v>
      </c>
      <c r="F6">
        <v>3.75</v>
      </c>
      <c r="G6">
        <v>3.8</v>
      </c>
      <c r="H6">
        <v>11.4</v>
      </c>
      <c r="I6">
        <v>2.99</v>
      </c>
      <c r="J6">
        <v>2.79</v>
      </c>
      <c r="M6">
        <v>2.69</v>
      </c>
      <c r="N6">
        <v>2.59</v>
      </c>
      <c r="P6">
        <v>2.4900000000000002</v>
      </c>
      <c r="R6">
        <f t="shared" si="0"/>
        <v>2.0599999999999996</v>
      </c>
      <c r="T6">
        <f>ROUNDUP(T$2/$D6/$F6,2)</f>
        <v>3.13</v>
      </c>
      <c r="U6">
        <f t="shared" si="2"/>
        <v>4</v>
      </c>
      <c r="V6">
        <f t="shared" si="3"/>
        <v>40</v>
      </c>
      <c r="W6">
        <f>IF(AND(V6&gt;=P$2,ISNUMBER(P6)),V6*P6,IF(AND(V6&gt;=O$2,ISNUMBER(O6)),V6*O6,IF(AND(V6&gt;=N$2,ISNUMBER(N6)),V6*N6,IF(AND(V6&gt;=M$2,ISNUMBER(M6)),V6*M6,IF(AND(V6&gt;=L$2,ISNUMBER(L6)),V6*L6,IF(AND(V6&gt;=K$2,ISNUMBER(K6)),V6*K6,IF(AND(V6&gt;=J$2,ISNUMBER(J6)),V6*J6,V6*I6)))))))</f>
        <v>111.6</v>
      </c>
      <c r="X6">
        <f t="shared" si="4"/>
        <v>11.16</v>
      </c>
      <c r="Y6">
        <f t="shared" si="5"/>
        <v>48</v>
      </c>
      <c r="Z6">
        <f t="shared" si="6"/>
        <v>38.4</v>
      </c>
      <c r="AA6">
        <f t="shared" si="7"/>
        <v>114</v>
      </c>
    </row>
    <row r="7" spans="1:27" x14ac:dyDescent="0.25">
      <c r="A7" t="s">
        <v>0</v>
      </c>
      <c r="B7" t="s">
        <v>1</v>
      </c>
      <c r="C7" s="1" t="s">
        <v>6</v>
      </c>
      <c r="D7">
        <v>3.2</v>
      </c>
      <c r="E7">
        <v>2.5</v>
      </c>
      <c r="F7">
        <v>3.95</v>
      </c>
      <c r="G7">
        <v>4</v>
      </c>
      <c r="H7">
        <v>12</v>
      </c>
      <c r="I7">
        <v>3.15</v>
      </c>
      <c r="J7">
        <v>2.99</v>
      </c>
      <c r="M7">
        <v>2.86</v>
      </c>
      <c r="N7">
        <v>2.75</v>
      </c>
      <c r="O7">
        <v>2.65</v>
      </c>
      <c r="R7">
        <f t="shared" si="0"/>
        <v>1.96</v>
      </c>
      <c r="T7">
        <f t="shared" si="1"/>
        <v>2.9699999999999998</v>
      </c>
      <c r="U7">
        <f t="shared" si="2"/>
        <v>3</v>
      </c>
      <c r="V7">
        <f t="shared" si="3"/>
        <v>30</v>
      </c>
      <c r="W7">
        <f>IF(AND(V7&gt;=P$2,ISNUMBER(P7)),V7*P7,IF(AND(V7&gt;=O$2,ISNUMBER(O7)),V7*O7,IF(AND(V7&gt;=N$2,ISNUMBER(N7)),V7*N7,IF(AND(V7&gt;=M$2,ISNUMBER(M7)),V7*M7,IF(AND(V7&gt;=L$2,ISNUMBER(L7)),V7*L7,IF(AND(V7&gt;=K$2,ISNUMBER(K7)),V7*K7,IF(AND(V7&gt;=J$2,ISNUMBER(J7)),V7*J7,V7*I7)))))))</f>
        <v>89.7</v>
      </c>
      <c r="X7">
        <f t="shared" si="4"/>
        <v>8.9700000000000006</v>
      </c>
      <c r="Y7">
        <f t="shared" si="5"/>
        <v>37.92</v>
      </c>
      <c r="Z7">
        <f t="shared" si="6"/>
        <v>30.336000000000002</v>
      </c>
      <c r="AA7">
        <f t="shared" si="7"/>
        <v>90</v>
      </c>
    </row>
  </sheetData>
  <mergeCells count="1">
    <mergeCell ref="I1:P1"/>
  </mergeCells>
  <hyperlinks>
    <hyperlink ref="C3" r:id="rId1" xr:uid="{19923610-8632-415F-B905-5DB80B670042}"/>
    <hyperlink ref="C4" r:id="rId2" xr:uid="{4065A2D2-5EC9-405E-8380-DE59FD322F01}"/>
    <hyperlink ref="C5" r:id="rId3" xr:uid="{4B908EB6-23E7-412D-9B96-2B984F1898FB}"/>
    <hyperlink ref="C6" r:id="rId4" xr:uid="{64C73AAC-4023-488A-AF48-2D2CE40C8C10}"/>
    <hyperlink ref="C7" r:id="rId5" xr:uid="{5D49E683-A6E3-499A-BF53-E9263AD0031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FA43-15E3-43EE-B72C-0E6685BC9104}">
  <dimension ref="A1:A4"/>
  <sheetViews>
    <sheetView workbookViewId="0">
      <selection activeCell="A5" sqref="A5"/>
    </sheetView>
  </sheetViews>
  <sheetFormatPr baseColWidth="10"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26650</vt:lpstr>
      <vt:lpstr>26650 holder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2024-09-19T11:38:28Z</dcterms:created>
  <dcterms:modified xsi:type="dcterms:W3CDTF">2024-11-06T17:11:22Z</dcterms:modified>
</cp:coreProperties>
</file>