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en\Daniel\ele\bat_source\hw\"/>
    </mc:Choice>
  </mc:AlternateContent>
  <xr:revisionPtr revIDLastSave="0" documentId="13_ncr:1_{07B54BF9-1F7B-494C-8C8D-E1EBD032DDBA}" xr6:coauthVersionLast="47" xr6:coauthVersionMax="47" xr10:uidLastSave="{00000000-0000-0000-0000-000000000000}"/>
  <bookViews>
    <workbookView xWindow="-120" yWindow="-120" windowWidth="29040" windowHeight="15525" tabRatio="735" activeTab="4" xr2:uid="{23E9BD06-C4F9-4485-BC66-1FB5ADDDACFE}"/>
  </bookViews>
  <sheets>
    <sheet name="Bestellungen Prototypen" sheetId="3" r:id="rId1"/>
    <sheet name="Kostenübersicht Prototypen" sheetId="4" r:id="rId2"/>
    <sheet name="Fehlende Komponenten" sheetId="5" r:id="rId3"/>
    <sheet name="Zusatzkosten Verbesserung V2" sheetId="1" r:id="rId4"/>
    <sheet name="Kostenabschätzung" sheetId="6" r:id="rId5"/>
    <sheet name="Kostenabschätzung Serie Detail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6" l="1"/>
  <c r="B4" i="5"/>
  <c r="B12" i="5" s="1"/>
  <c r="B6" i="6" s="1"/>
  <c r="B10" i="1"/>
  <c r="B7" i="6" s="1"/>
  <c r="B6" i="4"/>
  <c r="B5" i="4"/>
  <c r="I7" i="2"/>
  <c r="I8" i="2"/>
  <c r="I11" i="2"/>
  <c r="I17" i="2"/>
  <c r="I18" i="2"/>
  <c r="G7" i="2"/>
  <c r="G8" i="2"/>
  <c r="G9" i="2"/>
  <c r="G10" i="2"/>
  <c r="G11" i="2"/>
  <c r="G12" i="2"/>
  <c r="G14" i="2"/>
  <c r="G15" i="2"/>
  <c r="G16" i="2"/>
  <c r="G17" i="2"/>
  <c r="G18" i="2"/>
  <c r="G19" i="2"/>
  <c r="G20" i="2"/>
  <c r="G21" i="2"/>
  <c r="G22" i="2"/>
  <c r="G23" i="2"/>
  <c r="G24" i="2"/>
  <c r="G25" i="2"/>
  <c r="M6" i="2"/>
  <c r="M5" i="2"/>
  <c r="E6" i="2"/>
  <c r="I6" i="2" s="1"/>
  <c r="E5" i="2"/>
  <c r="C6" i="2"/>
  <c r="G6" i="2" s="1"/>
  <c r="M2" i="3"/>
  <c r="N2" i="3"/>
  <c r="L2" i="3"/>
  <c r="O2" i="3" s="1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M4" i="3"/>
  <c r="N4" i="3"/>
  <c r="L4" i="3"/>
  <c r="L10" i="2"/>
  <c r="M10" i="2" s="1"/>
  <c r="L9" i="2"/>
  <c r="L4" i="2" s="1"/>
  <c r="H9" i="2"/>
  <c r="H10" i="2"/>
  <c r="H11" i="2"/>
  <c r="H12" i="2"/>
  <c r="H13" i="2"/>
  <c r="H14" i="2"/>
  <c r="H15" i="2"/>
  <c r="H16" i="2"/>
  <c r="H18" i="2"/>
  <c r="H19" i="2"/>
  <c r="H20" i="2"/>
  <c r="H21" i="2"/>
  <c r="H22" i="2"/>
  <c r="H23" i="2"/>
  <c r="H24" i="2"/>
  <c r="H25" i="2"/>
  <c r="G5" i="2"/>
  <c r="H5" i="2"/>
  <c r="I5" i="2"/>
  <c r="E25" i="2"/>
  <c r="I25" i="2" s="1"/>
  <c r="E24" i="2"/>
  <c r="I24" i="2" s="1"/>
  <c r="E23" i="2"/>
  <c r="I23" i="2" s="1"/>
  <c r="E22" i="2"/>
  <c r="I22" i="2" s="1"/>
  <c r="E21" i="2"/>
  <c r="I21" i="2" s="1"/>
  <c r="E20" i="2"/>
  <c r="I20" i="2" s="1"/>
  <c r="E19" i="2"/>
  <c r="I19" i="2" s="1"/>
  <c r="E10" i="2"/>
  <c r="I10" i="2" s="1"/>
  <c r="E11" i="2"/>
  <c r="E14" i="2"/>
  <c r="I14" i="2" s="1"/>
  <c r="E15" i="2"/>
  <c r="I15" i="2" s="1"/>
  <c r="E16" i="2"/>
  <c r="I16" i="2" s="1"/>
  <c r="E9" i="2"/>
  <c r="I9" i="2" s="1"/>
  <c r="D3" i="2"/>
  <c r="B15" i="2"/>
  <c r="C13" i="2"/>
  <c r="G13" i="2" s="1"/>
  <c r="C12" i="2"/>
  <c r="H8" i="2"/>
  <c r="M9" i="2" l="1"/>
  <c r="M4" i="2"/>
  <c r="B4" i="4"/>
  <c r="L1" i="3"/>
  <c r="M1" i="3" s="1"/>
  <c r="E13" i="2"/>
  <c r="I13" i="2" s="1"/>
  <c r="C3" i="2"/>
  <c r="E12" i="2"/>
  <c r="H3" i="2"/>
  <c r="G3" i="2"/>
  <c r="I12" i="2" l="1"/>
  <c r="I3" i="2" s="1"/>
  <c r="B14" i="6" s="1"/>
  <c r="M3" i="2"/>
  <c r="N3" i="2"/>
  <c r="B8" i="4"/>
  <c r="B5" i="6" s="1"/>
  <c r="B9" i="6" s="1"/>
  <c r="B10" i="6" s="1"/>
  <c r="B9" i="4"/>
  <c r="E3" i="2"/>
  <c r="B16" i="6" l="1"/>
  <c r="O4" i="2"/>
</calcChain>
</file>

<file path=xl/sharedStrings.xml><?xml version="1.0" encoding="utf-8"?>
<sst xmlns="http://schemas.openxmlformats.org/spreadsheetml/2006/main" count="552" uniqueCount="360">
  <si>
    <t>LCD</t>
  </si>
  <si>
    <t>uC</t>
  </si>
  <si>
    <t>Light Sensor</t>
  </si>
  <si>
    <t>LED driver</t>
  </si>
  <si>
    <t>PCB 6Layer</t>
  </si>
  <si>
    <t>PS1-1</t>
  </si>
  <si>
    <t>15uF 100V</t>
  </si>
  <si>
    <t>220N/0603</t>
  </si>
  <si>
    <t>Header 2x12</t>
  </si>
  <si>
    <t>Anzahl</t>
  </si>
  <si>
    <t>AGM40P35AP</t>
  </si>
  <si>
    <t>AGM18N10AP</t>
  </si>
  <si>
    <t>ZD24C02B</t>
  </si>
  <si>
    <t>PS1-2</t>
  </si>
  <si>
    <t>Button red</t>
  </si>
  <si>
    <t>Button black</t>
  </si>
  <si>
    <t>OLED</t>
  </si>
  <si>
    <t>PS1-1 BOM</t>
  </si>
  <si>
    <t>PS1-2 BOM</t>
  </si>
  <si>
    <t>PS1-101</t>
  </si>
  <si>
    <t>PS1-102</t>
  </si>
  <si>
    <t>PS1-124</t>
  </si>
  <si>
    <t>Nickelstreifen</t>
  </si>
  <si>
    <t>25 estimated</t>
  </si>
  <si>
    <t>1/5</t>
  </si>
  <si>
    <t>1/25</t>
  </si>
  <si>
    <t>1/15 estim</t>
  </si>
  <si>
    <t>TAG Connect: 2x39€</t>
  </si>
  <si>
    <t>STM Eval Board 2x11.04@</t>
  </si>
  <si>
    <t>Buchsen rot wurden etwa 1.38€ teurer eingekauft</t>
  </si>
  <si>
    <t>Buchsen schwarz wurden etwa 1.7€ teurer eingekauft</t>
  </si>
  <si>
    <t>Abzüge</t>
  </si>
  <si>
    <t>PS1-1 ASM</t>
  </si>
  <si>
    <t>PS1-2 ASM</t>
  </si>
  <si>
    <t>Source</t>
  </si>
  <si>
    <t>AD BOM</t>
  </si>
  <si>
    <t>Order</t>
  </si>
  <si>
    <t>Projekt:</t>
  </si>
  <si>
    <t>Bestellung 60V Quelle</t>
  </si>
  <si>
    <t>€ 1’185.73</t>
  </si>
  <si>
    <t>Datum</t>
  </si>
  <si>
    <t>Bauteil</t>
  </si>
  <si>
    <t>Hersteller</t>
  </si>
  <si>
    <t>Hersteller Nummer</t>
  </si>
  <si>
    <t>Preis/Stück</t>
  </si>
  <si>
    <t>Gesamtpreis</t>
  </si>
  <si>
    <t>4/17/2025</t>
  </si>
  <si>
    <t>Akkuzellen LFP 26700</t>
  </si>
  <si>
    <t>Tenpower</t>
  </si>
  <si>
    <t>IFR26700-45HE</t>
  </si>
  <si>
    <t>-</t>
  </si>
  <si>
    <t>Gehäuse</t>
  </si>
  <si>
    <t>CAMDENBOSS</t>
  </si>
  <si>
    <t>CSACTT004</t>
  </si>
  <si>
    <t>CHF 22.65</t>
  </si>
  <si>
    <t>CHF 24.69</t>
  </si>
  <si>
    <t>STM32 Eval Board / Programmierer</t>
  </si>
  <si>
    <t>STMicroelectronics</t>
  </si>
  <si>
    <t>NUCLEO-F334R8</t>
  </si>
  <si>
    <t>Tag-Connect Programmieradapter</t>
  </si>
  <si>
    <t>Tag-Connect LLC</t>
  </si>
  <si>
    <t>TC2050-IDC</t>
  </si>
  <si>
    <t>Buchse 4mm rot</t>
  </si>
  <si>
    <t>Stäubli Electrical Connectors</t>
  </si>
  <si>
    <t>23.3060-22</t>
  </si>
  <si>
    <t>CHF 3.64</t>
  </si>
  <si>
    <t>CHF 4.21</t>
  </si>
  <si>
    <t>Buchse 4mm schwarz</t>
  </si>
  <si>
    <t>23.3060-21</t>
  </si>
  <si>
    <t>CHF 4.16</t>
  </si>
  <si>
    <t>CHF 4.53</t>
  </si>
  <si>
    <t>CHF 45.26</t>
  </si>
  <si>
    <t>Taster rot</t>
  </si>
  <si>
    <t>RS PRO</t>
  </si>
  <si>
    <t>CHF 5.63</t>
  </si>
  <si>
    <t>CHF 5.21</t>
  </si>
  <si>
    <t>Taster schwarz</t>
  </si>
  <si>
    <t>CHF 5.09</t>
  </si>
  <si>
    <t>CHF 4.72</t>
  </si>
  <si>
    <t>Encoder</t>
  </si>
  <si>
    <t>Knitter-Switch</t>
  </si>
  <si>
    <t>MERP11-15125BM7</t>
  </si>
  <si>
    <t>Display</t>
  </si>
  <si>
    <t>HS</t>
  </si>
  <si>
    <t>HS242L03B2C01</t>
  </si>
  <si>
    <t>Ferritkern</t>
  </si>
  <si>
    <t>EPCOS - TDK Electronics</t>
  </si>
  <si>
    <t>B66285G0000X187</t>
  </si>
  <si>
    <t>Klammer für Ferritkern</t>
  </si>
  <si>
    <t>B66286A2000X000</t>
  </si>
  <si>
    <t>Kondensator 680uF 6.3V</t>
  </si>
  <si>
    <t>KEMET</t>
  </si>
  <si>
    <t>A750EK687M0JAAE008</t>
  </si>
  <si>
    <t>Kondensator 15uF 100V</t>
  </si>
  <si>
    <t>KYOCERA AVX</t>
  </si>
  <si>
    <t>RPF0811150M100K</t>
  </si>
  <si>
    <t>Relais SPDT</t>
  </si>
  <si>
    <t>Omron Electronics Inc-EMC Div</t>
  </si>
  <si>
    <t>G6RL-14-ASI DC12</t>
  </si>
  <si>
    <t>Relais DPDT</t>
  </si>
  <si>
    <t>American Zettler</t>
  </si>
  <si>
    <t>AZ822-2C-12DSE</t>
  </si>
  <si>
    <t>Widerstand 51kOhm</t>
  </si>
  <si>
    <t>TE Connectivity Passive Product</t>
  </si>
  <si>
    <t>ROX5SSJ51K</t>
  </si>
  <si>
    <t>Thyristor</t>
  </si>
  <si>
    <t>WeEn Semiconductors</t>
  </si>
  <si>
    <t>TYN30-600TFQ</t>
  </si>
  <si>
    <t>Reset Taster</t>
  </si>
  <si>
    <t>B3F-1002</t>
  </si>
  <si>
    <t>Sicherungshalter</t>
  </si>
  <si>
    <t>Littelfuse Inc.</t>
  </si>
  <si>
    <t>03540101ZXGY</t>
  </si>
  <si>
    <t>Sicherung</t>
  </si>
  <si>
    <t>Bel Fuse Inc.</t>
  </si>
  <si>
    <t>0ADEC9100-BE</t>
  </si>
  <si>
    <t>Buchsenleiste</t>
  </si>
  <si>
    <t>Preci-Dip</t>
  </si>
  <si>
    <t>801-87-018-10-001101</t>
  </si>
  <si>
    <t>CHF 1.94</t>
  </si>
  <si>
    <t>Stiftleiste</t>
  </si>
  <si>
    <t>Adam Tech</t>
  </si>
  <si>
    <t>2057-PH1-18-UA-ND</t>
  </si>
  <si>
    <t>CHF 0.20</t>
  </si>
  <si>
    <t>16.05.2025</t>
  </si>
  <si>
    <t>Platine TT1-1CA</t>
  </si>
  <si>
    <t>JLCPCB</t>
  </si>
  <si>
    <t>Platine PS1-124AA</t>
  </si>
  <si>
    <t>Platine PS1-102AA</t>
  </si>
  <si>
    <t>Platine TI1-1BA</t>
  </si>
  <si>
    <t>Platine PS1-101AA</t>
  </si>
  <si>
    <t>Platine PS1-3AA</t>
  </si>
  <si>
    <t>Platine PS1-1AA</t>
  </si>
  <si>
    <t>Platine PS1-2AA</t>
  </si>
  <si>
    <t>17.05.2025</t>
  </si>
  <si>
    <t>Instrumentenverstärker</t>
  </si>
  <si>
    <t>Microchip Technology</t>
  </si>
  <si>
    <t>MCP6N11-001E/SN</t>
  </si>
  <si>
    <t>CHF1.29</t>
  </si>
  <si>
    <t>Sullins Connector Solutions</t>
  </si>
  <si>
    <t>SFH11-PBPC-D07-ST-BK</t>
  </si>
  <si>
    <t>CHF0.74</t>
  </si>
  <si>
    <t>Cvilux USA</t>
  </si>
  <si>
    <t>CH87102V200</t>
  </si>
  <si>
    <t>CHF0.21</t>
  </si>
  <si>
    <t>Samtec Inc.</t>
  </si>
  <si>
    <t>SSQ-112-03-T-D</t>
  </si>
  <si>
    <t>CHF2.33</t>
  </si>
  <si>
    <t>Widerstand 10kOhm</t>
  </si>
  <si>
    <t>Vishay Beyschlag/Draloric/BC Components</t>
  </si>
  <si>
    <t>MBE04140C1002FC100</t>
  </si>
  <si>
    <t>CHF0.20</t>
  </si>
  <si>
    <t>Fr. 99.48</t>
  </si>
  <si>
    <t>Widerstand 100kOhm</t>
  </si>
  <si>
    <t>MBE04140C1003FC100</t>
  </si>
  <si>
    <t>CHF0.22</t>
  </si>
  <si>
    <t>Fr. 87.73</t>
  </si>
  <si>
    <t>Schalter DPDT</t>
  </si>
  <si>
    <t>SW-T2-4B-A-T1-S-03</t>
  </si>
  <si>
    <t>CHF3.00</t>
  </si>
  <si>
    <t>Fr. 690.64</t>
  </si>
  <si>
    <t>Flachstecker</t>
  </si>
  <si>
    <t>TE Connectivity AMP Connectors</t>
  </si>
  <si>
    <t>1217861-1</t>
  </si>
  <si>
    <t>CHF0.06</t>
  </si>
  <si>
    <t>Fr. 3.50</t>
  </si>
  <si>
    <t>CHF 41.58</t>
  </si>
  <si>
    <t>CHF 15.93</t>
  </si>
  <si>
    <t>Fr. 477.90</t>
  </si>
  <si>
    <t>18.05.2025</t>
  </si>
  <si>
    <t>Widerstand 560Ohm</t>
  </si>
  <si>
    <t>YAGEO</t>
  </si>
  <si>
    <t>RC2512FK-07560RL</t>
  </si>
  <si>
    <t>CHF 0.10</t>
  </si>
  <si>
    <t>Fr. 2.72</t>
  </si>
  <si>
    <t>Potentiometer 1kOhm</t>
  </si>
  <si>
    <t>Vishay Spectrol</t>
  </si>
  <si>
    <t>M63M102KB30T607</t>
  </si>
  <si>
    <t>CHF 6.18</t>
  </si>
  <si>
    <t>Fr. 12.37</t>
  </si>
  <si>
    <t>Gleichtaktdrossel 1mH</t>
  </si>
  <si>
    <t>SCHURTER Inc.</t>
  </si>
  <si>
    <t>DFKH-14-0003</t>
  </si>
  <si>
    <t>CHF 3.99</t>
  </si>
  <si>
    <t>Fr. 7.98</t>
  </si>
  <si>
    <t>Kondensator 1uF</t>
  </si>
  <si>
    <t>B32924C3105K000</t>
  </si>
  <si>
    <t>CHF 1.50</t>
  </si>
  <si>
    <t>Fr. 3.01</t>
  </si>
  <si>
    <t>Kondensator 2.2nF</t>
  </si>
  <si>
    <t>B32021A3222K000</t>
  </si>
  <si>
    <t>CHF 0.61</t>
  </si>
  <si>
    <t>Fr. 2.42</t>
  </si>
  <si>
    <t>Sicherung 3.15A</t>
  </si>
  <si>
    <t>3403.0171.24</t>
  </si>
  <si>
    <t>CHF 0.65</t>
  </si>
  <si>
    <t>Fr. 2.59</t>
  </si>
  <si>
    <t>NTC 25Ohm</t>
  </si>
  <si>
    <t>B57236S0250M000</t>
  </si>
  <si>
    <t>CHF 0.84</t>
  </si>
  <si>
    <t>Fr. 1.69</t>
  </si>
  <si>
    <t>Gleichtaktdrossel 30mH</t>
  </si>
  <si>
    <t>Würth Elektronik</t>
  </si>
  <si>
    <t>CHF 13.12</t>
  </si>
  <si>
    <t>Fr. 26.25</t>
  </si>
  <si>
    <t>Ferrit 30Ohm</t>
  </si>
  <si>
    <t>Laird-Signal Integrity Products</t>
  </si>
  <si>
    <t>HI0603R300R-10</t>
  </si>
  <si>
    <t>CHF 0.16</t>
  </si>
  <si>
    <t>Fr. 0.32</t>
  </si>
  <si>
    <t>Kondensator 100nF</t>
  </si>
  <si>
    <t>CC0603KPX7R9BB104</t>
  </si>
  <si>
    <t>CHF 0.09</t>
  </si>
  <si>
    <t>Fr. 0.17</t>
  </si>
  <si>
    <t>Widerstand 330kOhm</t>
  </si>
  <si>
    <t>RC1206FR-07330KL</t>
  </si>
  <si>
    <t>CHF 0.01</t>
  </si>
  <si>
    <t>Fr. 0.16</t>
  </si>
  <si>
    <t>Anschluss Inverter</t>
  </si>
  <si>
    <t>WAGO Corporation</t>
  </si>
  <si>
    <t>770-803/011-000</t>
  </si>
  <si>
    <t>CHF 2.80</t>
  </si>
  <si>
    <t>Fr. 5.60</t>
  </si>
  <si>
    <t>Anschluss Netzversorgung</t>
  </si>
  <si>
    <t>770-813/011-000</t>
  </si>
  <si>
    <t>CHF 2.49</t>
  </si>
  <si>
    <t>Fr. 4.97</t>
  </si>
  <si>
    <t>CHF 1.26</t>
  </si>
  <si>
    <t>Fr. 8.85</t>
  </si>
  <si>
    <t>Relais SPST</t>
  </si>
  <si>
    <t>AZ2150-1A-12DEF</t>
  </si>
  <si>
    <t>CHF 2.11</t>
  </si>
  <si>
    <t>Fr. 8.43</t>
  </si>
  <si>
    <t>Varistor</t>
  </si>
  <si>
    <t>Panasonic Electronic Components</t>
  </si>
  <si>
    <t>ERZ-E11A391</t>
  </si>
  <si>
    <t>CHF 0.27</t>
  </si>
  <si>
    <t>Fr. 0.54</t>
  </si>
  <si>
    <t>3-132-874</t>
  </si>
  <si>
    <t>CHF 1.21</t>
  </si>
  <si>
    <t>Fr. 4.84</t>
  </si>
  <si>
    <t>Netzteil 12V</t>
  </si>
  <si>
    <t>MEAN WELL USA Inc.</t>
  </si>
  <si>
    <t>IRM-10-12</t>
  </si>
  <si>
    <t>CHF 7.47</t>
  </si>
  <si>
    <t>Fr. 14.94</t>
  </si>
  <si>
    <t>Steckverbinder 3 Pin</t>
  </si>
  <si>
    <t>Phoenix Contact</t>
  </si>
  <si>
    <t>CHF 1.33</t>
  </si>
  <si>
    <t>Fr. 2.66</t>
  </si>
  <si>
    <t>Steckverbinder 4 Pin</t>
  </si>
  <si>
    <t>CHF 1.74</t>
  </si>
  <si>
    <t>Fr. 3.48</t>
  </si>
  <si>
    <t>Steckverbinder 5 Pin</t>
  </si>
  <si>
    <t>CHF 2.09</t>
  </si>
  <si>
    <t>Fr. 8.35</t>
  </si>
  <si>
    <t>Steckverbinder 6 Pin</t>
  </si>
  <si>
    <t>Steckverbinder 14 Pin</t>
  </si>
  <si>
    <t>CHF 5.23</t>
  </si>
  <si>
    <t>Fr. 10.46</t>
  </si>
  <si>
    <t>LED blau</t>
  </si>
  <si>
    <t>150060BS75000</t>
  </si>
  <si>
    <t>CHF 0.14</t>
  </si>
  <si>
    <t>Fr. 0.56</t>
  </si>
  <si>
    <t>LED grün</t>
  </si>
  <si>
    <t>150060VS75000</t>
  </si>
  <si>
    <t>CHF 0.13</t>
  </si>
  <si>
    <t>Fr. 0.26</t>
  </si>
  <si>
    <t>LED rot</t>
  </si>
  <si>
    <t>150060RS75000</t>
  </si>
  <si>
    <t>Fr. 0.52</t>
  </si>
  <si>
    <t>LED gelb</t>
  </si>
  <si>
    <t>150060YS75000</t>
  </si>
  <si>
    <t>Schottky Diode</t>
  </si>
  <si>
    <t>Taiwan Semiconductor Corporation</t>
  </si>
  <si>
    <t>SS24</t>
  </si>
  <si>
    <t>CHF 0.18</t>
  </si>
  <si>
    <t>Fr. 2.94</t>
  </si>
  <si>
    <t>CHF 0.57</t>
  </si>
  <si>
    <t>Fr. 1.15</t>
  </si>
  <si>
    <t>770-213</t>
  </si>
  <si>
    <t>CHF 3.16</t>
  </si>
  <si>
    <t>Fr. 6.31</t>
  </si>
  <si>
    <t>770-203</t>
  </si>
  <si>
    <t>CHF 3.59</t>
  </si>
  <si>
    <t>Fr. 7.18</t>
  </si>
  <si>
    <t>CHF 3.36</t>
  </si>
  <si>
    <t>Fr. 6.72</t>
  </si>
  <si>
    <t>CHF 4.35</t>
  </si>
  <si>
    <t>Fr. 8.69</t>
  </si>
  <si>
    <t>CHF 5.30</t>
  </si>
  <si>
    <t>Fr. 21.19</t>
  </si>
  <si>
    <t>CHF 6.22</t>
  </si>
  <si>
    <t>Fr. 12.43</t>
  </si>
  <si>
    <t>CHF 13.24</t>
  </si>
  <si>
    <t>Fr. 26.48</t>
  </si>
  <si>
    <t>17.04.2025</t>
  </si>
  <si>
    <t>CHF 226.30</t>
  </si>
  <si>
    <t>08.06.2025</t>
  </si>
  <si>
    <t>Flachsteckhülse</t>
  </si>
  <si>
    <t>270-7571</t>
  </si>
  <si>
    <t>Einzeladerleitung 1mm^2 schwarz 5m</t>
  </si>
  <si>
    <t>210-1252</t>
  </si>
  <si>
    <t>19.06.2025</t>
  </si>
  <si>
    <t>Newhaven</t>
  </si>
  <si>
    <t>757-NHD-2.4-240320AF-CSXP-ND</t>
  </si>
  <si>
    <t>CHF 16.57</t>
  </si>
  <si>
    <t>Fr. 33.14</t>
  </si>
  <si>
    <t>20.06.2025</t>
  </si>
  <si>
    <t>Display Adapter</t>
  </si>
  <si>
    <t>NHD-FFC40-ND</t>
  </si>
  <si>
    <t>CHF 8.79</t>
  </si>
  <si>
    <t>Fr. 8.79</t>
  </si>
  <si>
    <t>PS1-3</t>
  </si>
  <si>
    <t>PS1-1 Ext. Comp</t>
  </si>
  <si>
    <t>Total</t>
  </si>
  <si>
    <t>Zusatzkosten Verbesserung V2</t>
  </si>
  <si>
    <t>Fehlende Komponenten</t>
  </si>
  <si>
    <t>Akkuhalter</t>
  </si>
  <si>
    <t>Buchsenhalter</t>
  </si>
  <si>
    <t>Dichtungen</t>
  </si>
  <si>
    <t>Isolation Trafo</t>
  </si>
  <si>
    <t>Akkus in BOM etwa 0.43€ günstiger</t>
  </si>
  <si>
    <t>Gehäuse in BOM etwa 12€ günstiger</t>
  </si>
  <si>
    <t>Bestellung Hauptplatine</t>
  </si>
  <si>
    <t>Bestellung User Interface</t>
  </si>
  <si>
    <t>Bestellung Programmieradapter</t>
  </si>
  <si>
    <t>Kosten 5 Prototypen</t>
  </si>
  <si>
    <t>Kosten 5 Prototypen mit Programmieradapter</t>
  </si>
  <si>
    <t>3D Druck</t>
  </si>
  <si>
    <t>Aktuelles Display in direktem Sonnenlicht nicht ablesbar</t>
  </si>
  <si>
    <t>Um Displayhelligkeit dem Umgebungslicht anzupassen</t>
  </si>
  <si>
    <t>Um Hintergrundbeleuchtung anzusteuern</t>
  </si>
  <si>
    <t>Aufgrund erhöhtem Platzbedarf</t>
  </si>
  <si>
    <t>Notwendig wegen Displayänderung und Speichermangel</t>
  </si>
  <si>
    <t>Kaufteil?</t>
  </si>
  <si>
    <t>Stecker und Buchse UI</t>
  </si>
  <si>
    <t>Falsche Pinzahl bestellt</t>
  </si>
  <si>
    <t>Füller Luftspalt</t>
  </si>
  <si>
    <t xml:space="preserve">Kaptonband?, gelasert? </t>
  </si>
  <si>
    <t>3D Druck, Filamentkosten</t>
  </si>
  <si>
    <t>Kostenabschätzung</t>
  </si>
  <si>
    <t>5 Prototypen</t>
  </si>
  <si>
    <t>Verbesserungen</t>
  </si>
  <si>
    <t>Pro Gerät</t>
  </si>
  <si>
    <t>Einsparung 25er-Serie pro Gerät</t>
  </si>
  <si>
    <t>Einzelkosten Serie</t>
  </si>
  <si>
    <t>Gesamtkosten Prototyp 2</t>
  </si>
  <si>
    <t>Gesamtkosten Serie</t>
  </si>
  <si>
    <t>Kostenübersicht Prototyp 1</t>
  </si>
  <si>
    <t>Komponente</t>
  </si>
  <si>
    <t>Zusatzkosten</t>
  </si>
  <si>
    <t>Grund</t>
  </si>
  <si>
    <t>Kosten</t>
  </si>
  <si>
    <t>Beschreibung</t>
  </si>
  <si>
    <t>Bestellung</t>
  </si>
  <si>
    <t>Prototyp V2</t>
  </si>
  <si>
    <t>Serie</t>
  </si>
  <si>
    <t>Detailierte Kostenabschätzung Serie</t>
  </si>
  <si>
    <t>Schrauben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</si>
</sst>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€-2]\ #,##0.00_);[Red]\([$€-2]\ #,##0.00\)"/>
    <numFmt numFmtId="165" formatCode="[$€-2]\ #,##0.00;[Red]\-[$€-2]\ #,##0.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Arial"/>
      <family val="2"/>
    </font>
    <font>
      <strike/>
      <sz val="11"/>
      <color rgb="FF7F7F7F"/>
      <name val="Aptos Narrow"/>
      <family val="2"/>
      <scheme val="minor"/>
    </font>
    <font>
      <strike/>
      <sz val="11"/>
      <color rgb="FF7F7F7F"/>
      <name val="Arial"/>
      <family val="2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AEDF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9F2D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3" borderId="1" xfId="0" applyFill="1" applyBorder="1" applyAlignment="1">
      <alignment horizontal="right" wrapText="1"/>
    </xf>
    <xf numFmtId="0" fontId="0" fillId="3" borderId="1" xfId="0" applyFill="1" applyBorder="1" applyAlignment="1">
      <alignment wrapText="1"/>
    </xf>
    <xf numFmtId="165" fontId="0" fillId="3" borderId="1" xfId="0" applyNumberFormat="1" applyFill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8" fontId="0" fillId="3" borderId="1" xfId="0" applyNumberFormat="1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3" fillId="5" borderId="1" xfId="0" applyFont="1" applyFill="1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8" fontId="0" fillId="5" borderId="1" xfId="0" applyNumberFormat="1" applyFill="1" applyBorder="1" applyAlignment="1">
      <alignment horizontal="right" wrapText="1"/>
    </xf>
    <xf numFmtId="8" fontId="3" fillId="5" borderId="1" xfId="0" applyNumberFormat="1" applyFont="1" applyFill="1" applyBorder="1" applyAlignment="1">
      <alignment horizontal="right" wrapText="1"/>
    </xf>
    <xf numFmtId="8" fontId="3" fillId="3" borderId="1" xfId="0" applyNumberFormat="1" applyFont="1" applyFill="1" applyBorder="1" applyAlignment="1">
      <alignment horizontal="right" wrapText="1"/>
    </xf>
    <xf numFmtId="165" fontId="0" fillId="5" borderId="1" xfId="0" applyNumberFormat="1" applyFill="1" applyBorder="1" applyAlignment="1">
      <alignment horizontal="right" wrapText="1"/>
    </xf>
    <xf numFmtId="165" fontId="3" fillId="5" borderId="1" xfId="0" applyNumberFormat="1" applyFont="1" applyFill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0" fillId="3" borderId="3" xfId="0" applyFill="1" applyBorder="1" applyAlignment="1">
      <alignment horizontal="right" wrapText="1"/>
    </xf>
    <xf numFmtId="0" fontId="0" fillId="3" borderId="0" xfId="0" applyFill="1" applyAlignment="1">
      <alignment horizontal="right" wrapText="1"/>
    </xf>
    <xf numFmtId="0" fontId="1" fillId="0" borderId="3" xfId="0" applyFont="1" applyBorder="1" applyAlignment="1">
      <alignment wrapText="1"/>
    </xf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8049-C41B-435F-92A0-432F2AB13094}">
  <dimension ref="A1:O94"/>
  <sheetViews>
    <sheetView workbookViewId="0">
      <selection activeCell="N2" sqref="N2"/>
    </sheetView>
  </sheetViews>
  <sheetFormatPr baseColWidth="10" defaultRowHeight="15" x14ac:dyDescent="0.25"/>
  <cols>
    <col min="1" max="1" width="12.28515625" bestFit="1" customWidth="1"/>
  </cols>
  <sheetData>
    <row r="1" spans="1:15" ht="24.75" thickBot="1" x14ac:dyDescent="0.45">
      <c r="A1" s="4" t="s">
        <v>37</v>
      </c>
      <c r="B1" s="5" t="s">
        <v>38</v>
      </c>
      <c r="C1" s="3"/>
      <c r="D1" s="3"/>
      <c r="E1" s="3"/>
      <c r="F1" s="3"/>
      <c r="G1" s="3"/>
      <c r="L1" s="31">
        <f>L2+M2</f>
        <v>999.29</v>
      </c>
      <c r="M1" s="31">
        <f>L1/5</f>
        <v>199.858</v>
      </c>
    </row>
    <row r="2" spans="1:15" ht="15.75" thickBot="1" x14ac:dyDescent="0.3">
      <c r="A2" s="3"/>
      <c r="B2" s="3"/>
      <c r="C2" s="3"/>
      <c r="D2" s="3"/>
      <c r="E2" s="3"/>
      <c r="F2" s="3"/>
      <c r="G2" s="6" t="s">
        <v>39</v>
      </c>
      <c r="L2" s="31">
        <f>SUM(L4:L1048576)</f>
        <v>851.77</v>
      </c>
      <c r="M2" s="31">
        <f t="shared" ref="M2:N2" si="0">SUM(M4:M1048576)</f>
        <v>147.51999999999998</v>
      </c>
      <c r="N2" s="31">
        <f t="shared" si="0"/>
        <v>173.24999999999997</v>
      </c>
      <c r="O2" s="31">
        <f>SUM(L2:N2)</f>
        <v>1172.54</v>
      </c>
    </row>
    <row r="3" spans="1:15" ht="30.75" thickBot="1" x14ac:dyDescent="0.3">
      <c r="A3" s="7" t="s">
        <v>40</v>
      </c>
      <c r="B3" s="7" t="s">
        <v>41</v>
      </c>
      <c r="C3" s="7" t="s">
        <v>42</v>
      </c>
      <c r="D3" s="7" t="s">
        <v>43</v>
      </c>
      <c r="E3" s="7" t="s">
        <v>9</v>
      </c>
      <c r="F3" s="7" t="s">
        <v>44</v>
      </c>
      <c r="G3" s="7" t="s">
        <v>45</v>
      </c>
      <c r="H3" s="27" t="s">
        <v>5</v>
      </c>
      <c r="I3" s="27" t="s">
        <v>13</v>
      </c>
      <c r="J3" s="27" t="s">
        <v>313</v>
      </c>
      <c r="L3" s="30" t="s">
        <v>5</v>
      </c>
      <c r="M3" s="30" t="s">
        <v>13</v>
      </c>
      <c r="N3" s="30" t="s">
        <v>313</v>
      </c>
    </row>
    <row r="4" spans="1:15" ht="30.75" thickBot="1" x14ac:dyDescent="0.3">
      <c r="A4" s="8" t="s">
        <v>46</v>
      </c>
      <c r="B4" s="9" t="s">
        <v>47</v>
      </c>
      <c r="C4" s="9" t="s">
        <v>48</v>
      </c>
      <c r="D4" s="9" t="s">
        <v>49</v>
      </c>
      <c r="E4" s="8">
        <v>30</v>
      </c>
      <c r="F4" s="10">
        <v>2.25</v>
      </c>
      <c r="G4" s="10">
        <v>67.5</v>
      </c>
      <c r="H4">
        <v>1</v>
      </c>
      <c r="I4">
        <v>0</v>
      </c>
      <c r="J4">
        <v>0</v>
      </c>
      <c r="L4" s="31">
        <f>$G4*H4</f>
        <v>67.5</v>
      </c>
      <c r="M4" s="31">
        <f t="shared" ref="M4:N4" si="1">$G4*I4</f>
        <v>0</v>
      </c>
      <c r="N4" s="31">
        <f t="shared" si="1"/>
        <v>0</v>
      </c>
    </row>
    <row r="5" spans="1:15" ht="30.75" thickBot="1" x14ac:dyDescent="0.3">
      <c r="A5" s="8" t="s">
        <v>46</v>
      </c>
      <c r="B5" s="9" t="s">
        <v>22</v>
      </c>
      <c r="C5" s="9" t="s">
        <v>50</v>
      </c>
      <c r="D5" s="8">
        <v>7417940522876</v>
      </c>
      <c r="E5" s="8">
        <v>1</v>
      </c>
      <c r="F5" s="10">
        <v>2.75</v>
      </c>
      <c r="G5" s="10">
        <v>2.75</v>
      </c>
      <c r="H5">
        <v>1</v>
      </c>
      <c r="I5">
        <v>0</v>
      </c>
      <c r="J5">
        <v>0</v>
      </c>
      <c r="L5" s="31">
        <f t="shared" ref="L5:L45" si="2">$G5*H5</f>
        <v>2.75</v>
      </c>
      <c r="M5" s="31">
        <f t="shared" ref="M5:M45" si="3">$G5*I5</f>
        <v>0</v>
      </c>
      <c r="N5" s="31">
        <f t="shared" ref="N5:N45" si="4">$G5*J5</f>
        <v>0</v>
      </c>
    </row>
    <row r="6" spans="1:15" ht="30" thickBot="1" x14ac:dyDescent="0.3">
      <c r="A6" s="12" t="s">
        <v>46</v>
      </c>
      <c r="B6" s="13" t="s">
        <v>51</v>
      </c>
      <c r="C6" s="14" t="s">
        <v>52</v>
      </c>
      <c r="D6" s="13" t="s">
        <v>53</v>
      </c>
      <c r="E6" s="15">
        <v>0</v>
      </c>
      <c r="F6" s="12" t="s">
        <v>54</v>
      </c>
      <c r="G6" s="12">
        <v>0</v>
      </c>
      <c r="L6" s="31">
        <f t="shared" si="2"/>
        <v>0</v>
      </c>
      <c r="M6" s="31">
        <f t="shared" si="3"/>
        <v>0</v>
      </c>
      <c r="N6" s="31">
        <f t="shared" si="4"/>
        <v>0</v>
      </c>
    </row>
    <row r="7" spans="1:15" ht="30" thickBot="1" x14ac:dyDescent="0.3">
      <c r="A7" s="8" t="s">
        <v>46</v>
      </c>
      <c r="B7" s="9" t="s">
        <v>51</v>
      </c>
      <c r="C7" s="11" t="s">
        <v>52</v>
      </c>
      <c r="D7" s="9" t="s">
        <v>53</v>
      </c>
      <c r="E7" s="16">
        <v>6</v>
      </c>
      <c r="F7" s="8" t="s">
        <v>55</v>
      </c>
      <c r="G7" s="8">
        <v>148.12</v>
      </c>
      <c r="H7">
        <v>1</v>
      </c>
      <c r="I7">
        <v>0</v>
      </c>
      <c r="J7">
        <v>0</v>
      </c>
      <c r="L7" s="31">
        <f t="shared" si="2"/>
        <v>148.12</v>
      </c>
      <c r="M7" s="31">
        <f t="shared" si="3"/>
        <v>0</v>
      </c>
      <c r="N7" s="31">
        <f t="shared" si="4"/>
        <v>0</v>
      </c>
    </row>
    <row r="8" spans="1:15" ht="60.75" thickBot="1" x14ac:dyDescent="0.3">
      <c r="A8" s="8" t="s">
        <v>46</v>
      </c>
      <c r="B8" s="9" t="s">
        <v>56</v>
      </c>
      <c r="C8" s="9" t="s">
        <v>57</v>
      </c>
      <c r="D8" s="9" t="s">
        <v>58</v>
      </c>
      <c r="E8" s="8">
        <v>2</v>
      </c>
      <c r="F8" s="17">
        <v>11.04</v>
      </c>
      <c r="G8" s="17">
        <v>22.08</v>
      </c>
      <c r="H8">
        <v>0</v>
      </c>
      <c r="I8">
        <v>0</v>
      </c>
      <c r="J8">
        <v>1</v>
      </c>
      <c r="L8" s="31">
        <f t="shared" si="2"/>
        <v>0</v>
      </c>
      <c r="M8" s="31">
        <f t="shared" si="3"/>
        <v>0</v>
      </c>
      <c r="N8" s="31">
        <f t="shared" si="4"/>
        <v>22.08</v>
      </c>
    </row>
    <row r="9" spans="1:15" ht="60.75" thickBot="1" x14ac:dyDescent="0.3">
      <c r="A9" s="8" t="s">
        <v>46</v>
      </c>
      <c r="B9" s="9" t="s">
        <v>59</v>
      </c>
      <c r="C9" s="9" t="s">
        <v>60</v>
      </c>
      <c r="D9" s="9" t="s">
        <v>61</v>
      </c>
      <c r="E9" s="8">
        <v>2</v>
      </c>
      <c r="F9" s="17">
        <v>39</v>
      </c>
      <c r="G9" s="17">
        <v>78</v>
      </c>
      <c r="H9">
        <v>0</v>
      </c>
      <c r="I9">
        <v>0</v>
      </c>
      <c r="J9">
        <v>1</v>
      </c>
      <c r="L9" s="31">
        <f t="shared" si="2"/>
        <v>0</v>
      </c>
      <c r="M9" s="31">
        <f t="shared" si="3"/>
        <v>0</v>
      </c>
      <c r="N9" s="31">
        <f t="shared" si="4"/>
        <v>78</v>
      </c>
    </row>
    <row r="10" spans="1:15" ht="45.75" thickBot="1" x14ac:dyDescent="0.3">
      <c r="A10" s="12" t="s">
        <v>46</v>
      </c>
      <c r="B10" s="13" t="s">
        <v>62</v>
      </c>
      <c r="C10" s="13" t="s">
        <v>63</v>
      </c>
      <c r="D10" s="13" t="s">
        <v>64</v>
      </c>
      <c r="E10" s="15">
        <v>0</v>
      </c>
      <c r="F10" s="12" t="s">
        <v>65</v>
      </c>
      <c r="G10" s="12">
        <v>0</v>
      </c>
      <c r="L10" s="31">
        <f t="shared" si="2"/>
        <v>0</v>
      </c>
      <c r="M10" s="31">
        <f t="shared" si="3"/>
        <v>0</v>
      </c>
      <c r="N10" s="31">
        <f t="shared" si="4"/>
        <v>0</v>
      </c>
    </row>
    <row r="11" spans="1:15" ht="45.75" thickBot="1" x14ac:dyDescent="0.3">
      <c r="A11" s="8" t="s">
        <v>46</v>
      </c>
      <c r="B11" s="9" t="s">
        <v>62</v>
      </c>
      <c r="C11" s="9" t="s">
        <v>63</v>
      </c>
      <c r="D11" s="9" t="s">
        <v>64</v>
      </c>
      <c r="E11" s="16">
        <v>10</v>
      </c>
      <c r="F11" s="8" t="s">
        <v>66</v>
      </c>
      <c r="G11" s="8">
        <v>42.11</v>
      </c>
      <c r="H11">
        <v>1</v>
      </c>
      <c r="I11">
        <v>0</v>
      </c>
      <c r="J11">
        <v>0</v>
      </c>
      <c r="L11" s="31">
        <f t="shared" si="2"/>
        <v>42.11</v>
      </c>
      <c r="M11" s="31">
        <f t="shared" si="3"/>
        <v>0</v>
      </c>
      <c r="N11" s="31">
        <f t="shared" si="4"/>
        <v>0</v>
      </c>
    </row>
    <row r="12" spans="1:15" ht="45.75" thickBot="1" x14ac:dyDescent="0.3">
      <c r="A12" s="12" t="s">
        <v>46</v>
      </c>
      <c r="B12" s="14" t="s">
        <v>67</v>
      </c>
      <c r="C12" s="13" t="s">
        <v>63</v>
      </c>
      <c r="D12" s="13" t="s">
        <v>68</v>
      </c>
      <c r="E12" s="15">
        <v>0</v>
      </c>
      <c r="F12" s="12" t="s">
        <v>69</v>
      </c>
      <c r="G12" s="12">
        <v>0</v>
      </c>
      <c r="L12" s="31">
        <f t="shared" si="2"/>
        <v>0</v>
      </c>
      <c r="M12" s="31">
        <f t="shared" si="3"/>
        <v>0</v>
      </c>
      <c r="N12" s="31">
        <f t="shared" si="4"/>
        <v>0</v>
      </c>
    </row>
    <row r="13" spans="1:15" ht="45.75" thickBot="1" x14ac:dyDescent="0.3">
      <c r="A13" s="8" t="s">
        <v>46</v>
      </c>
      <c r="B13" s="11" t="s">
        <v>67</v>
      </c>
      <c r="C13" s="9" t="s">
        <v>63</v>
      </c>
      <c r="D13" s="9" t="s">
        <v>68</v>
      </c>
      <c r="E13" s="16">
        <v>10</v>
      </c>
      <c r="F13" s="8" t="s">
        <v>70</v>
      </c>
      <c r="G13" s="8">
        <v>45.26</v>
      </c>
      <c r="H13">
        <v>1</v>
      </c>
      <c r="I13">
        <v>0</v>
      </c>
      <c r="J13">
        <v>0</v>
      </c>
      <c r="L13" s="31">
        <f t="shared" si="2"/>
        <v>45.26</v>
      </c>
      <c r="M13" s="31">
        <f t="shared" si="3"/>
        <v>0</v>
      </c>
      <c r="N13" s="31">
        <f t="shared" si="4"/>
        <v>0</v>
      </c>
    </row>
    <row r="14" spans="1:15" ht="15.75" thickBot="1" x14ac:dyDescent="0.3">
      <c r="A14" s="12" t="s">
        <v>46</v>
      </c>
      <c r="B14" s="14" t="s">
        <v>72</v>
      </c>
      <c r="C14" s="13" t="s">
        <v>73</v>
      </c>
      <c r="D14" s="12">
        <v>7346716</v>
      </c>
      <c r="E14" s="15">
        <v>0</v>
      </c>
      <c r="F14" s="12" t="s">
        <v>74</v>
      </c>
      <c r="G14" s="12">
        <v>0</v>
      </c>
      <c r="L14" s="31">
        <f t="shared" si="2"/>
        <v>0</v>
      </c>
      <c r="M14" s="31">
        <f t="shared" si="3"/>
        <v>0</v>
      </c>
      <c r="N14" s="31">
        <f t="shared" si="4"/>
        <v>0</v>
      </c>
    </row>
    <row r="15" spans="1:15" ht="15.75" thickBot="1" x14ac:dyDescent="0.3">
      <c r="A15" s="8" t="s">
        <v>46</v>
      </c>
      <c r="B15" s="11" t="s">
        <v>72</v>
      </c>
      <c r="C15" s="9" t="s">
        <v>73</v>
      </c>
      <c r="D15" s="8">
        <v>7346716</v>
      </c>
      <c r="E15" s="16">
        <v>5</v>
      </c>
      <c r="F15" s="8" t="s">
        <v>75</v>
      </c>
      <c r="G15" s="8">
        <v>26.04</v>
      </c>
      <c r="H15">
        <v>0</v>
      </c>
      <c r="I15" s="28">
        <v>1</v>
      </c>
      <c r="J15" s="28">
        <v>0</v>
      </c>
      <c r="L15" s="31">
        <f t="shared" si="2"/>
        <v>0</v>
      </c>
      <c r="M15" s="31">
        <f t="shared" si="3"/>
        <v>26.04</v>
      </c>
      <c r="N15" s="31">
        <f t="shared" si="4"/>
        <v>0</v>
      </c>
    </row>
    <row r="16" spans="1:15" ht="30" thickBot="1" x14ac:dyDescent="0.3">
      <c r="A16" s="12" t="s">
        <v>46</v>
      </c>
      <c r="B16" s="14" t="s">
        <v>76</v>
      </c>
      <c r="C16" s="13" t="s">
        <v>73</v>
      </c>
      <c r="D16" s="12">
        <v>7346704</v>
      </c>
      <c r="E16" s="15">
        <v>0</v>
      </c>
      <c r="F16" s="12" t="s">
        <v>77</v>
      </c>
      <c r="G16" s="12">
        <v>0</v>
      </c>
      <c r="L16" s="31">
        <f t="shared" si="2"/>
        <v>0</v>
      </c>
      <c r="M16" s="31">
        <f t="shared" si="3"/>
        <v>0</v>
      </c>
      <c r="N16" s="31">
        <f t="shared" si="4"/>
        <v>0</v>
      </c>
    </row>
    <row r="17" spans="1:14" ht="30" thickBot="1" x14ac:dyDescent="0.3">
      <c r="A17" s="8" t="s">
        <v>46</v>
      </c>
      <c r="B17" s="11" t="s">
        <v>76</v>
      </c>
      <c r="C17" s="9" t="s">
        <v>73</v>
      </c>
      <c r="D17" s="8">
        <v>7346704</v>
      </c>
      <c r="E17" s="16">
        <v>5</v>
      </c>
      <c r="F17" s="8" t="s">
        <v>78</v>
      </c>
      <c r="G17" s="8">
        <v>23.58</v>
      </c>
      <c r="H17">
        <v>0</v>
      </c>
      <c r="I17" s="28">
        <v>1</v>
      </c>
      <c r="J17" s="28">
        <v>0</v>
      </c>
      <c r="L17" s="31">
        <f t="shared" si="2"/>
        <v>0</v>
      </c>
      <c r="M17" s="31">
        <f t="shared" si="3"/>
        <v>23.58</v>
      </c>
      <c r="N17" s="31">
        <f t="shared" si="4"/>
        <v>0</v>
      </c>
    </row>
    <row r="18" spans="1:14" ht="30.75" thickBot="1" x14ac:dyDescent="0.3">
      <c r="A18" s="8" t="s">
        <v>46</v>
      </c>
      <c r="B18" s="9" t="s">
        <v>79</v>
      </c>
      <c r="C18" s="9" t="s">
        <v>80</v>
      </c>
      <c r="D18" s="9" t="s">
        <v>81</v>
      </c>
      <c r="E18" s="8">
        <v>5</v>
      </c>
      <c r="F18" s="17">
        <v>1.37</v>
      </c>
      <c r="G18" s="17">
        <v>6.86</v>
      </c>
      <c r="H18">
        <v>0</v>
      </c>
      <c r="I18">
        <v>1</v>
      </c>
      <c r="J18">
        <v>0</v>
      </c>
      <c r="L18" s="31">
        <f t="shared" si="2"/>
        <v>0</v>
      </c>
      <c r="M18" s="31">
        <f t="shared" si="3"/>
        <v>6.86</v>
      </c>
      <c r="N18" s="31">
        <f t="shared" si="4"/>
        <v>0</v>
      </c>
    </row>
    <row r="19" spans="1:14" ht="30.75" thickBot="1" x14ac:dyDescent="0.3">
      <c r="A19" s="8" t="s">
        <v>46</v>
      </c>
      <c r="B19" s="9" t="s">
        <v>82</v>
      </c>
      <c r="C19" s="9" t="s">
        <v>83</v>
      </c>
      <c r="D19" s="9" t="s">
        <v>84</v>
      </c>
      <c r="E19" s="8">
        <v>5</v>
      </c>
      <c r="F19" s="17">
        <v>10.73</v>
      </c>
      <c r="G19" s="17">
        <v>53.66</v>
      </c>
      <c r="H19">
        <v>0</v>
      </c>
      <c r="I19" s="29">
        <v>1</v>
      </c>
      <c r="J19" s="29">
        <v>0</v>
      </c>
      <c r="L19" s="31">
        <f t="shared" si="2"/>
        <v>0</v>
      </c>
      <c r="M19" s="31">
        <f t="shared" si="3"/>
        <v>53.66</v>
      </c>
      <c r="N19" s="31">
        <f t="shared" si="4"/>
        <v>0</v>
      </c>
    </row>
    <row r="20" spans="1:14" ht="45.75" thickBot="1" x14ac:dyDescent="0.3">
      <c r="A20" s="8" t="s">
        <v>46</v>
      </c>
      <c r="B20" s="9" t="s">
        <v>85</v>
      </c>
      <c r="C20" s="9" t="s">
        <v>86</v>
      </c>
      <c r="D20" s="9" t="s">
        <v>87</v>
      </c>
      <c r="E20" s="8">
        <v>10</v>
      </c>
      <c r="F20" s="17">
        <v>1.79</v>
      </c>
      <c r="G20" s="17">
        <v>17.940000000000001</v>
      </c>
      <c r="H20">
        <v>1</v>
      </c>
      <c r="I20">
        <v>0</v>
      </c>
      <c r="J20">
        <v>0</v>
      </c>
      <c r="L20" s="31">
        <f t="shared" si="2"/>
        <v>17.940000000000001</v>
      </c>
      <c r="M20" s="31">
        <f t="shared" si="3"/>
        <v>0</v>
      </c>
      <c r="N20" s="31">
        <f t="shared" si="4"/>
        <v>0</v>
      </c>
    </row>
    <row r="21" spans="1:14" ht="45.75" thickBot="1" x14ac:dyDescent="0.3">
      <c r="A21" s="8" t="s">
        <v>46</v>
      </c>
      <c r="B21" s="9" t="s">
        <v>88</v>
      </c>
      <c r="C21" s="9" t="s">
        <v>86</v>
      </c>
      <c r="D21" s="9" t="s">
        <v>89</v>
      </c>
      <c r="E21" s="8">
        <v>10</v>
      </c>
      <c r="F21" s="17">
        <v>0.49</v>
      </c>
      <c r="G21" s="17">
        <v>4.8600000000000003</v>
      </c>
      <c r="H21">
        <v>1</v>
      </c>
      <c r="I21" s="29">
        <v>0</v>
      </c>
      <c r="J21" s="29">
        <v>0</v>
      </c>
      <c r="L21" s="31">
        <f t="shared" si="2"/>
        <v>4.8600000000000003</v>
      </c>
      <c r="M21" s="31">
        <f t="shared" si="3"/>
        <v>0</v>
      </c>
      <c r="N21" s="31">
        <f t="shared" si="4"/>
        <v>0</v>
      </c>
    </row>
    <row r="22" spans="1:14" ht="45.75" thickBot="1" x14ac:dyDescent="0.3">
      <c r="A22" s="8" t="s">
        <v>46</v>
      </c>
      <c r="B22" s="9" t="s">
        <v>90</v>
      </c>
      <c r="C22" s="9" t="s">
        <v>91</v>
      </c>
      <c r="D22" s="9" t="s">
        <v>92</v>
      </c>
      <c r="E22" s="8">
        <v>20</v>
      </c>
      <c r="F22" s="17">
        <v>0.51</v>
      </c>
      <c r="G22" s="17">
        <v>10.16</v>
      </c>
      <c r="H22">
        <v>1</v>
      </c>
      <c r="I22">
        <v>0</v>
      </c>
      <c r="J22">
        <v>0</v>
      </c>
      <c r="L22" s="31">
        <f t="shared" si="2"/>
        <v>10.16</v>
      </c>
      <c r="M22" s="31">
        <f t="shared" si="3"/>
        <v>0</v>
      </c>
      <c r="N22" s="31">
        <f t="shared" si="4"/>
        <v>0</v>
      </c>
    </row>
    <row r="23" spans="1:14" ht="45.75" thickBot="1" x14ac:dyDescent="0.3">
      <c r="A23" s="8" t="s">
        <v>46</v>
      </c>
      <c r="B23" s="9" t="s">
        <v>93</v>
      </c>
      <c r="C23" s="9" t="s">
        <v>94</v>
      </c>
      <c r="D23" s="9" t="s">
        <v>95</v>
      </c>
      <c r="E23" s="8">
        <v>10</v>
      </c>
      <c r="F23" s="17">
        <v>0.92</v>
      </c>
      <c r="G23" s="17">
        <v>9.1999999999999993</v>
      </c>
      <c r="H23">
        <v>1</v>
      </c>
      <c r="I23" s="29">
        <v>0</v>
      </c>
      <c r="J23" s="29">
        <v>0</v>
      </c>
      <c r="L23" s="31">
        <f t="shared" si="2"/>
        <v>9.1999999999999993</v>
      </c>
      <c r="M23" s="31">
        <f t="shared" si="3"/>
        <v>0</v>
      </c>
      <c r="N23" s="31">
        <f t="shared" si="4"/>
        <v>0</v>
      </c>
    </row>
    <row r="24" spans="1:14" ht="45.75" thickBot="1" x14ac:dyDescent="0.3">
      <c r="A24" s="8" t="s">
        <v>46</v>
      </c>
      <c r="B24" s="9" t="s">
        <v>96</v>
      </c>
      <c r="C24" s="9" t="s">
        <v>97</v>
      </c>
      <c r="D24" s="9" t="s">
        <v>98</v>
      </c>
      <c r="E24" s="8">
        <v>5</v>
      </c>
      <c r="F24" s="17">
        <v>3.72</v>
      </c>
      <c r="G24" s="17">
        <v>18.59</v>
      </c>
      <c r="H24">
        <v>1</v>
      </c>
      <c r="I24">
        <v>0</v>
      </c>
      <c r="J24">
        <v>0</v>
      </c>
      <c r="L24" s="31">
        <f t="shared" si="2"/>
        <v>18.59</v>
      </c>
      <c r="M24" s="31">
        <f t="shared" si="3"/>
        <v>0</v>
      </c>
      <c r="N24" s="31">
        <f t="shared" si="4"/>
        <v>0</v>
      </c>
    </row>
    <row r="25" spans="1:14" ht="30.75" thickBot="1" x14ac:dyDescent="0.3">
      <c r="A25" s="8" t="s">
        <v>46</v>
      </c>
      <c r="B25" s="9" t="s">
        <v>99</v>
      </c>
      <c r="C25" s="9" t="s">
        <v>100</v>
      </c>
      <c r="D25" s="9" t="s">
        <v>101</v>
      </c>
      <c r="E25" s="8">
        <v>5</v>
      </c>
      <c r="F25" s="17">
        <v>1.56</v>
      </c>
      <c r="G25" s="17">
        <v>7.78</v>
      </c>
      <c r="H25">
        <v>0</v>
      </c>
      <c r="I25" s="29">
        <v>0</v>
      </c>
      <c r="J25" s="29">
        <v>0</v>
      </c>
      <c r="L25" s="31">
        <f t="shared" si="2"/>
        <v>0</v>
      </c>
      <c r="M25" s="31">
        <f t="shared" si="3"/>
        <v>0</v>
      </c>
      <c r="N25" s="31">
        <f t="shared" si="4"/>
        <v>0</v>
      </c>
    </row>
    <row r="26" spans="1:14" ht="60.75" thickBot="1" x14ac:dyDescent="0.3">
      <c r="A26" s="8" t="s">
        <v>46</v>
      </c>
      <c r="B26" s="9" t="s">
        <v>102</v>
      </c>
      <c r="C26" s="9" t="s">
        <v>103</v>
      </c>
      <c r="D26" s="9" t="s">
        <v>104</v>
      </c>
      <c r="E26" s="8">
        <v>10</v>
      </c>
      <c r="F26" s="17">
        <v>0.56000000000000005</v>
      </c>
      <c r="G26" s="17">
        <v>5.58</v>
      </c>
      <c r="H26">
        <v>0</v>
      </c>
      <c r="I26">
        <v>0</v>
      </c>
      <c r="J26">
        <v>0</v>
      </c>
      <c r="L26" s="31">
        <f t="shared" si="2"/>
        <v>0</v>
      </c>
      <c r="M26" s="31">
        <f t="shared" si="3"/>
        <v>0</v>
      </c>
      <c r="N26" s="31">
        <f t="shared" si="4"/>
        <v>0</v>
      </c>
    </row>
    <row r="27" spans="1:14" ht="45.75" thickBot="1" x14ac:dyDescent="0.3">
      <c r="A27" s="8" t="s">
        <v>46</v>
      </c>
      <c r="B27" s="9" t="s">
        <v>105</v>
      </c>
      <c r="C27" s="9" t="s">
        <v>106</v>
      </c>
      <c r="D27" s="9" t="s">
        <v>107</v>
      </c>
      <c r="E27" s="8">
        <v>5</v>
      </c>
      <c r="F27" s="17">
        <v>1.23</v>
      </c>
      <c r="G27" s="17">
        <v>6.16</v>
      </c>
      <c r="H27">
        <v>1</v>
      </c>
      <c r="I27" s="29">
        <v>0</v>
      </c>
      <c r="J27" s="29">
        <v>0</v>
      </c>
      <c r="L27" s="31">
        <f t="shared" si="2"/>
        <v>6.16</v>
      </c>
      <c r="M27" s="31">
        <f t="shared" si="3"/>
        <v>0</v>
      </c>
      <c r="N27" s="31">
        <f t="shared" si="4"/>
        <v>0</v>
      </c>
    </row>
    <row r="28" spans="1:14" ht="45.75" thickBot="1" x14ac:dyDescent="0.3">
      <c r="A28" s="8" t="s">
        <v>46</v>
      </c>
      <c r="B28" s="9" t="s">
        <v>108</v>
      </c>
      <c r="C28" s="9" t="s">
        <v>97</v>
      </c>
      <c r="D28" s="9" t="s">
        <v>109</v>
      </c>
      <c r="E28" s="8">
        <v>5</v>
      </c>
      <c r="F28" s="17">
        <v>0.31</v>
      </c>
      <c r="G28" s="17">
        <v>1.57</v>
      </c>
      <c r="H28">
        <v>1</v>
      </c>
      <c r="I28">
        <v>0</v>
      </c>
      <c r="J28">
        <v>0</v>
      </c>
      <c r="L28" s="31">
        <f t="shared" si="2"/>
        <v>1.57</v>
      </c>
      <c r="M28" s="31">
        <f t="shared" si="3"/>
        <v>0</v>
      </c>
      <c r="N28" s="31">
        <f t="shared" si="4"/>
        <v>0</v>
      </c>
    </row>
    <row r="29" spans="1:14" ht="30.75" thickBot="1" x14ac:dyDescent="0.3">
      <c r="A29" s="8" t="s">
        <v>46</v>
      </c>
      <c r="B29" s="9" t="s">
        <v>110</v>
      </c>
      <c r="C29" s="9" t="s">
        <v>111</v>
      </c>
      <c r="D29" s="9" t="s">
        <v>112</v>
      </c>
      <c r="E29" s="8">
        <v>5</v>
      </c>
      <c r="F29" s="17">
        <v>1.34</v>
      </c>
      <c r="G29" s="17">
        <v>6.69</v>
      </c>
      <c r="H29">
        <v>1</v>
      </c>
      <c r="I29" s="29">
        <v>0</v>
      </c>
      <c r="J29" s="29">
        <v>0</v>
      </c>
      <c r="L29" s="31">
        <f t="shared" si="2"/>
        <v>6.69</v>
      </c>
      <c r="M29" s="31">
        <f t="shared" si="3"/>
        <v>0</v>
      </c>
      <c r="N29" s="31">
        <f t="shared" si="4"/>
        <v>0</v>
      </c>
    </row>
    <row r="30" spans="1:14" ht="30.75" thickBot="1" x14ac:dyDescent="0.3">
      <c r="A30" s="8" t="s">
        <v>46</v>
      </c>
      <c r="B30" s="9" t="s">
        <v>113</v>
      </c>
      <c r="C30" s="9" t="s">
        <v>114</v>
      </c>
      <c r="D30" s="9" t="s">
        <v>115</v>
      </c>
      <c r="E30" s="8">
        <v>10</v>
      </c>
      <c r="F30" s="17">
        <v>2.41</v>
      </c>
      <c r="G30" s="17">
        <v>24.08</v>
      </c>
      <c r="H30">
        <v>1</v>
      </c>
      <c r="I30">
        <v>0</v>
      </c>
      <c r="J30">
        <v>0</v>
      </c>
      <c r="L30" s="31">
        <f t="shared" si="2"/>
        <v>24.08</v>
      </c>
      <c r="M30" s="31">
        <f t="shared" si="3"/>
        <v>0</v>
      </c>
      <c r="N30" s="31">
        <f t="shared" si="4"/>
        <v>0</v>
      </c>
    </row>
    <row r="31" spans="1:14" ht="30.75" thickBot="1" x14ac:dyDescent="0.3">
      <c r="A31" s="8" t="s">
        <v>46</v>
      </c>
      <c r="B31" s="9" t="s">
        <v>116</v>
      </c>
      <c r="C31" s="9" t="s">
        <v>117</v>
      </c>
      <c r="D31" s="9" t="s">
        <v>118</v>
      </c>
      <c r="E31" s="8">
        <v>5</v>
      </c>
      <c r="F31" s="8" t="s">
        <v>119</v>
      </c>
      <c r="G31" s="8">
        <v>9.6999999999999993</v>
      </c>
      <c r="H31">
        <v>0</v>
      </c>
      <c r="I31" s="29">
        <v>0</v>
      </c>
      <c r="J31" s="29">
        <v>1</v>
      </c>
      <c r="L31" s="31">
        <f t="shared" si="2"/>
        <v>0</v>
      </c>
      <c r="M31" s="31">
        <f t="shared" si="3"/>
        <v>0</v>
      </c>
      <c r="N31" s="31">
        <f t="shared" si="4"/>
        <v>9.6999999999999993</v>
      </c>
    </row>
    <row r="32" spans="1:14" ht="30.75" thickBot="1" x14ac:dyDescent="0.3">
      <c r="A32" s="8" t="s">
        <v>46</v>
      </c>
      <c r="B32" s="9" t="s">
        <v>120</v>
      </c>
      <c r="C32" s="9" t="s">
        <v>121</v>
      </c>
      <c r="D32" s="9" t="s">
        <v>122</v>
      </c>
      <c r="E32" s="8">
        <v>5</v>
      </c>
      <c r="F32" s="8" t="s">
        <v>123</v>
      </c>
      <c r="G32" s="8">
        <v>1</v>
      </c>
      <c r="H32">
        <v>0</v>
      </c>
      <c r="I32">
        <v>0</v>
      </c>
      <c r="J32" s="29">
        <v>1</v>
      </c>
      <c r="L32" s="31">
        <f t="shared" si="2"/>
        <v>0</v>
      </c>
      <c r="M32" s="31">
        <f t="shared" si="3"/>
        <v>0</v>
      </c>
      <c r="N32" s="31">
        <f t="shared" si="4"/>
        <v>1</v>
      </c>
    </row>
    <row r="33" spans="1:14" ht="30" thickBot="1" x14ac:dyDescent="0.3">
      <c r="A33" s="19" t="s">
        <v>124</v>
      </c>
      <c r="B33" s="21" t="s">
        <v>125</v>
      </c>
      <c r="C33" s="21" t="s">
        <v>126</v>
      </c>
      <c r="D33" s="20"/>
      <c r="E33" s="19">
        <v>5</v>
      </c>
      <c r="F33" s="23">
        <v>5.98</v>
      </c>
      <c r="G33" s="22">
        <v>29.9</v>
      </c>
      <c r="H33">
        <v>0</v>
      </c>
      <c r="I33" s="29">
        <v>0</v>
      </c>
      <c r="J33" s="29">
        <v>0</v>
      </c>
      <c r="L33" s="31">
        <f t="shared" si="2"/>
        <v>0</v>
      </c>
      <c r="M33" s="31">
        <f t="shared" si="3"/>
        <v>0</v>
      </c>
      <c r="N33" s="31">
        <f t="shared" si="4"/>
        <v>0</v>
      </c>
    </row>
    <row r="34" spans="1:14" ht="44.25" thickBot="1" x14ac:dyDescent="0.3">
      <c r="A34" s="16" t="s">
        <v>124</v>
      </c>
      <c r="B34" s="11" t="s">
        <v>127</v>
      </c>
      <c r="C34" s="11" t="s">
        <v>126</v>
      </c>
      <c r="D34" s="9"/>
      <c r="E34" s="16">
        <v>5</v>
      </c>
      <c r="F34" s="24">
        <v>1.3</v>
      </c>
      <c r="G34" s="17">
        <v>6.5</v>
      </c>
      <c r="H34">
        <v>1</v>
      </c>
      <c r="I34">
        <v>0</v>
      </c>
      <c r="J34" s="29">
        <v>0</v>
      </c>
      <c r="L34" s="31">
        <f t="shared" si="2"/>
        <v>6.5</v>
      </c>
      <c r="M34" s="31">
        <f t="shared" si="3"/>
        <v>0</v>
      </c>
      <c r="N34" s="31">
        <f t="shared" si="4"/>
        <v>0</v>
      </c>
    </row>
    <row r="35" spans="1:14" ht="44.25" thickBot="1" x14ac:dyDescent="0.3">
      <c r="A35" s="16" t="s">
        <v>124</v>
      </c>
      <c r="B35" s="11" t="s">
        <v>128</v>
      </c>
      <c r="C35" s="11" t="s">
        <v>126</v>
      </c>
      <c r="D35" s="9"/>
      <c r="E35" s="16">
        <v>15</v>
      </c>
      <c r="F35" s="24">
        <v>0.4</v>
      </c>
      <c r="G35" s="17">
        <v>6</v>
      </c>
      <c r="H35">
        <v>1</v>
      </c>
      <c r="I35">
        <v>0</v>
      </c>
      <c r="J35" s="29">
        <v>0</v>
      </c>
      <c r="L35" s="31">
        <f t="shared" si="2"/>
        <v>6</v>
      </c>
      <c r="M35" s="31">
        <f t="shared" si="3"/>
        <v>0</v>
      </c>
      <c r="N35" s="31">
        <f t="shared" si="4"/>
        <v>0</v>
      </c>
    </row>
    <row r="36" spans="1:14" ht="30" thickBot="1" x14ac:dyDescent="0.3">
      <c r="A36" s="19" t="s">
        <v>124</v>
      </c>
      <c r="B36" s="21" t="s">
        <v>129</v>
      </c>
      <c r="C36" s="21" t="s">
        <v>126</v>
      </c>
      <c r="D36" s="20"/>
      <c r="E36" s="19">
        <v>30</v>
      </c>
      <c r="F36" s="23">
        <v>0.75</v>
      </c>
      <c r="G36" s="22">
        <v>22.5</v>
      </c>
      <c r="H36">
        <v>0</v>
      </c>
      <c r="I36">
        <v>0</v>
      </c>
      <c r="J36" s="29">
        <v>0</v>
      </c>
      <c r="L36" s="31">
        <f t="shared" si="2"/>
        <v>0</v>
      </c>
      <c r="M36" s="31">
        <f t="shared" si="3"/>
        <v>0</v>
      </c>
      <c r="N36" s="31">
        <f t="shared" si="4"/>
        <v>0</v>
      </c>
    </row>
    <row r="37" spans="1:14" ht="44.25" thickBot="1" x14ac:dyDescent="0.3">
      <c r="A37" s="16" t="s">
        <v>124</v>
      </c>
      <c r="B37" s="11" t="s">
        <v>130</v>
      </c>
      <c r="C37" s="11" t="s">
        <v>126</v>
      </c>
      <c r="D37" s="9"/>
      <c r="E37" s="16">
        <v>10</v>
      </c>
      <c r="F37" s="24">
        <v>0.57999999999999996</v>
      </c>
      <c r="G37" s="17">
        <v>5.8</v>
      </c>
      <c r="H37">
        <v>1</v>
      </c>
      <c r="I37">
        <v>0</v>
      </c>
      <c r="J37" s="29">
        <v>0</v>
      </c>
      <c r="L37" s="31">
        <f t="shared" si="2"/>
        <v>5.8</v>
      </c>
      <c r="M37" s="31">
        <f t="shared" si="3"/>
        <v>0</v>
      </c>
      <c r="N37" s="31">
        <f t="shared" si="4"/>
        <v>0</v>
      </c>
    </row>
    <row r="38" spans="1:14" ht="30" thickBot="1" x14ac:dyDescent="0.3">
      <c r="A38" s="16" t="s">
        <v>124</v>
      </c>
      <c r="B38" s="11" t="s">
        <v>131</v>
      </c>
      <c r="C38" s="11" t="s">
        <v>126</v>
      </c>
      <c r="D38" s="9"/>
      <c r="E38" s="16">
        <v>5</v>
      </c>
      <c r="F38" s="24">
        <v>10.16</v>
      </c>
      <c r="G38" s="17">
        <v>50.8</v>
      </c>
      <c r="H38">
        <v>0</v>
      </c>
      <c r="I38">
        <v>0</v>
      </c>
      <c r="J38" s="29">
        <v>1</v>
      </c>
      <c r="L38" s="31">
        <f t="shared" si="2"/>
        <v>0</v>
      </c>
      <c r="M38" s="31">
        <f t="shared" si="3"/>
        <v>0</v>
      </c>
      <c r="N38" s="31">
        <f t="shared" si="4"/>
        <v>50.8</v>
      </c>
    </row>
    <row r="39" spans="1:14" ht="30" thickBot="1" x14ac:dyDescent="0.3">
      <c r="A39" s="16" t="s">
        <v>124</v>
      </c>
      <c r="B39" s="11" t="s">
        <v>132</v>
      </c>
      <c r="C39" s="11" t="s">
        <v>126</v>
      </c>
      <c r="D39" s="9"/>
      <c r="E39" s="16">
        <v>5</v>
      </c>
      <c r="F39" s="24">
        <v>71.05</v>
      </c>
      <c r="G39" s="17">
        <v>355.25</v>
      </c>
      <c r="H39">
        <v>1</v>
      </c>
      <c r="I39">
        <v>0</v>
      </c>
      <c r="J39" s="29">
        <v>0</v>
      </c>
      <c r="L39" s="31">
        <f t="shared" si="2"/>
        <v>355.25</v>
      </c>
      <c r="M39" s="31">
        <f t="shared" si="3"/>
        <v>0</v>
      </c>
      <c r="N39" s="31">
        <f t="shared" si="4"/>
        <v>0</v>
      </c>
    </row>
    <row r="40" spans="1:14" ht="30" thickBot="1" x14ac:dyDescent="0.3">
      <c r="A40" s="16" t="s">
        <v>124</v>
      </c>
      <c r="B40" s="11" t="s">
        <v>133</v>
      </c>
      <c r="C40" s="11" t="s">
        <v>126</v>
      </c>
      <c r="D40" s="9"/>
      <c r="E40" s="16">
        <v>5</v>
      </c>
      <c r="F40" s="24">
        <v>7.27</v>
      </c>
      <c r="G40" s="17">
        <v>36.35</v>
      </c>
      <c r="H40">
        <v>0</v>
      </c>
      <c r="I40">
        <v>1</v>
      </c>
      <c r="J40" s="29">
        <v>0</v>
      </c>
      <c r="L40" s="31">
        <f t="shared" si="2"/>
        <v>0</v>
      </c>
      <c r="M40" s="31">
        <f t="shared" si="3"/>
        <v>36.35</v>
      </c>
      <c r="N40" s="31">
        <f t="shared" si="4"/>
        <v>0</v>
      </c>
    </row>
    <row r="41" spans="1:14" ht="58.5" thickBot="1" x14ac:dyDescent="0.3">
      <c r="A41" s="16" t="s">
        <v>134</v>
      </c>
      <c r="B41" s="11" t="s">
        <v>96</v>
      </c>
      <c r="C41" s="11" t="s">
        <v>97</v>
      </c>
      <c r="D41" s="11" t="s">
        <v>98</v>
      </c>
      <c r="E41" s="16">
        <v>10</v>
      </c>
      <c r="F41" s="17">
        <v>3.72</v>
      </c>
      <c r="G41" s="17">
        <v>37.19</v>
      </c>
      <c r="H41">
        <v>1</v>
      </c>
      <c r="I41">
        <v>0</v>
      </c>
      <c r="J41" s="29">
        <v>0</v>
      </c>
      <c r="L41" s="31">
        <f t="shared" si="2"/>
        <v>37.19</v>
      </c>
      <c r="M41" s="31">
        <f t="shared" si="3"/>
        <v>0</v>
      </c>
      <c r="N41" s="31">
        <f t="shared" si="4"/>
        <v>0</v>
      </c>
    </row>
    <row r="42" spans="1:14" ht="44.25" thickBot="1" x14ac:dyDescent="0.3">
      <c r="A42" s="16" t="s">
        <v>134</v>
      </c>
      <c r="B42" s="11" t="s">
        <v>135</v>
      </c>
      <c r="C42" s="9" t="s">
        <v>136</v>
      </c>
      <c r="D42" s="9" t="s">
        <v>137</v>
      </c>
      <c r="E42" s="16">
        <v>25</v>
      </c>
      <c r="F42" s="16" t="s">
        <v>138</v>
      </c>
      <c r="G42" s="8">
        <v>32.18</v>
      </c>
      <c r="H42">
        <v>1</v>
      </c>
      <c r="I42">
        <v>0</v>
      </c>
      <c r="J42" s="29">
        <v>0</v>
      </c>
      <c r="L42" s="31">
        <f t="shared" si="2"/>
        <v>32.18</v>
      </c>
      <c r="M42" s="31">
        <f t="shared" si="3"/>
        <v>0</v>
      </c>
      <c r="N42" s="31">
        <f t="shared" si="4"/>
        <v>0</v>
      </c>
    </row>
    <row r="43" spans="1:14" ht="45.75" thickBot="1" x14ac:dyDescent="0.3">
      <c r="A43" s="16" t="s">
        <v>134</v>
      </c>
      <c r="B43" s="11" t="s">
        <v>116</v>
      </c>
      <c r="C43" s="9" t="s">
        <v>139</v>
      </c>
      <c r="D43" s="9" t="s">
        <v>140</v>
      </c>
      <c r="E43" s="16">
        <v>5</v>
      </c>
      <c r="F43" s="16" t="s">
        <v>141</v>
      </c>
      <c r="G43" s="8">
        <v>3.86</v>
      </c>
      <c r="H43">
        <v>1</v>
      </c>
      <c r="I43">
        <v>0</v>
      </c>
      <c r="J43" s="29">
        <v>0</v>
      </c>
      <c r="L43" s="31">
        <f t="shared" si="2"/>
        <v>3.86</v>
      </c>
      <c r="M43" s="31">
        <f t="shared" si="3"/>
        <v>0</v>
      </c>
      <c r="N43" s="31">
        <f t="shared" si="4"/>
        <v>0</v>
      </c>
    </row>
    <row r="44" spans="1:14" ht="30.75" thickBot="1" x14ac:dyDescent="0.3">
      <c r="A44" s="16" t="s">
        <v>134</v>
      </c>
      <c r="B44" s="11" t="s">
        <v>120</v>
      </c>
      <c r="C44" s="9" t="s">
        <v>142</v>
      </c>
      <c r="D44" s="9" t="s">
        <v>143</v>
      </c>
      <c r="E44" s="16">
        <v>5</v>
      </c>
      <c r="F44" s="16" t="s">
        <v>144</v>
      </c>
      <c r="G44" s="8">
        <v>1.03</v>
      </c>
      <c r="H44">
        <v>0</v>
      </c>
      <c r="I44">
        <v>1</v>
      </c>
      <c r="J44" s="29">
        <v>0</v>
      </c>
      <c r="L44" s="31">
        <f t="shared" si="2"/>
        <v>0</v>
      </c>
      <c r="M44" s="31">
        <f t="shared" si="3"/>
        <v>1.03</v>
      </c>
      <c r="N44" s="31">
        <f t="shared" si="4"/>
        <v>0</v>
      </c>
    </row>
    <row r="45" spans="1:14" ht="30.75" thickBot="1" x14ac:dyDescent="0.3">
      <c r="A45" s="16" t="s">
        <v>134</v>
      </c>
      <c r="B45" s="11" t="s">
        <v>116</v>
      </c>
      <c r="C45" s="9" t="s">
        <v>145</v>
      </c>
      <c r="D45" s="9" t="s">
        <v>146</v>
      </c>
      <c r="E45" s="16">
        <v>5</v>
      </c>
      <c r="F45" s="16" t="s">
        <v>147</v>
      </c>
      <c r="G45" s="8">
        <v>11.67</v>
      </c>
      <c r="H45">
        <v>0</v>
      </c>
      <c r="I45">
        <v>0</v>
      </c>
      <c r="J45" s="29">
        <v>1</v>
      </c>
      <c r="L45" s="31">
        <f t="shared" si="2"/>
        <v>0</v>
      </c>
      <c r="M45" s="31">
        <f t="shared" si="3"/>
        <v>0</v>
      </c>
      <c r="N45" s="31">
        <f t="shared" si="4"/>
        <v>11.67</v>
      </c>
    </row>
    <row r="46" spans="1:14" ht="75.75" thickBot="1" x14ac:dyDescent="0.3">
      <c r="A46" s="19" t="s">
        <v>134</v>
      </c>
      <c r="B46" s="21" t="s">
        <v>148</v>
      </c>
      <c r="C46" s="20" t="s">
        <v>149</v>
      </c>
      <c r="D46" s="20" t="s">
        <v>150</v>
      </c>
      <c r="E46" s="19">
        <v>500</v>
      </c>
      <c r="F46" s="19" t="s">
        <v>151</v>
      </c>
      <c r="G46" s="18" t="s">
        <v>152</v>
      </c>
      <c r="L46" s="31"/>
      <c r="M46" s="31"/>
      <c r="N46" s="31"/>
    </row>
    <row r="47" spans="1:14" ht="75.75" thickBot="1" x14ac:dyDescent="0.3">
      <c r="A47" s="19" t="s">
        <v>134</v>
      </c>
      <c r="B47" s="21" t="s">
        <v>153</v>
      </c>
      <c r="C47" s="20" t="s">
        <v>149</v>
      </c>
      <c r="D47" s="20" t="s">
        <v>154</v>
      </c>
      <c r="E47" s="19">
        <v>400</v>
      </c>
      <c r="F47" s="19" t="s">
        <v>155</v>
      </c>
      <c r="G47" s="18" t="s">
        <v>156</v>
      </c>
      <c r="L47" s="31"/>
      <c r="M47" s="31"/>
      <c r="N47" s="31"/>
    </row>
    <row r="48" spans="1:14" ht="30.75" thickBot="1" x14ac:dyDescent="0.3">
      <c r="A48" s="19" t="s">
        <v>134</v>
      </c>
      <c r="B48" s="21" t="s">
        <v>157</v>
      </c>
      <c r="C48" s="20" t="s">
        <v>121</v>
      </c>
      <c r="D48" s="20" t="s">
        <v>158</v>
      </c>
      <c r="E48" s="19">
        <v>230</v>
      </c>
      <c r="F48" s="19" t="s">
        <v>159</v>
      </c>
      <c r="G48" s="18" t="s">
        <v>160</v>
      </c>
      <c r="L48" s="31"/>
      <c r="M48" s="31"/>
      <c r="N48" s="31"/>
    </row>
    <row r="49" spans="1:14" ht="60.75" thickBot="1" x14ac:dyDescent="0.3">
      <c r="A49" s="19" t="s">
        <v>134</v>
      </c>
      <c r="B49" s="21" t="s">
        <v>161</v>
      </c>
      <c r="C49" s="20" t="s">
        <v>162</v>
      </c>
      <c r="D49" s="20" t="s">
        <v>163</v>
      </c>
      <c r="E49" s="19">
        <v>60</v>
      </c>
      <c r="F49" s="19" t="s">
        <v>164</v>
      </c>
      <c r="G49" s="18" t="s">
        <v>165</v>
      </c>
      <c r="L49" s="31"/>
      <c r="M49" s="31"/>
      <c r="N49" s="31"/>
    </row>
    <row r="50" spans="1:14" ht="45.75" thickBot="1" x14ac:dyDescent="0.3">
      <c r="A50" s="12" t="s">
        <v>46</v>
      </c>
      <c r="B50" s="13" t="s">
        <v>67</v>
      </c>
      <c r="C50" s="13" t="s">
        <v>63</v>
      </c>
      <c r="D50" s="13" t="s">
        <v>68</v>
      </c>
      <c r="E50" s="12">
        <v>10</v>
      </c>
      <c r="F50" s="12" t="s">
        <v>69</v>
      </c>
      <c r="G50" s="12" t="s">
        <v>166</v>
      </c>
      <c r="L50" s="31"/>
      <c r="M50" s="31"/>
      <c r="N50" s="31"/>
    </row>
    <row r="51" spans="1:14" ht="45.75" thickBot="1" x14ac:dyDescent="0.3">
      <c r="A51" s="18" t="s">
        <v>46</v>
      </c>
      <c r="B51" s="20" t="s">
        <v>67</v>
      </c>
      <c r="C51" s="20" t="s">
        <v>63</v>
      </c>
      <c r="D51" s="20" t="s">
        <v>68</v>
      </c>
      <c r="E51" s="19">
        <v>10</v>
      </c>
      <c r="F51" s="18" t="s">
        <v>70</v>
      </c>
      <c r="G51" s="18" t="s">
        <v>71</v>
      </c>
      <c r="L51" s="31"/>
      <c r="M51" s="31"/>
      <c r="N51" s="31"/>
    </row>
    <row r="52" spans="1:14" ht="15.75" thickBot="1" x14ac:dyDescent="0.3">
      <c r="A52" s="15" t="s">
        <v>134</v>
      </c>
      <c r="B52" s="14" t="s">
        <v>51</v>
      </c>
      <c r="C52" s="13" t="s">
        <v>73</v>
      </c>
      <c r="D52" s="12">
        <v>2010179</v>
      </c>
      <c r="E52" s="15">
        <v>30</v>
      </c>
      <c r="F52" s="15" t="s">
        <v>167</v>
      </c>
      <c r="G52" s="12" t="s">
        <v>168</v>
      </c>
      <c r="L52" s="31"/>
      <c r="M52" s="31"/>
      <c r="N52" s="31"/>
    </row>
    <row r="53" spans="1:14" ht="15.75" thickBot="1" x14ac:dyDescent="0.3">
      <c r="A53" s="19" t="s">
        <v>169</v>
      </c>
      <c r="B53" s="21" t="s">
        <v>51</v>
      </c>
      <c r="C53" s="20" t="s">
        <v>73</v>
      </c>
      <c r="D53" s="18">
        <v>2010179</v>
      </c>
      <c r="E53" s="19">
        <v>30</v>
      </c>
      <c r="F53" s="26">
        <v>16.71</v>
      </c>
      <c r="G53" s="25">
        <v>501.3</v>
      </c>
      <c r="L53" s="31"/>
      <c r="M53" s="31"/>
      <c r="N53" s="31"/>
    </row>
    <row r="54" spans="1:14" ht="30.75" thickBot="1" x14ac:dyDescent="0.3">
      <c r="A54" s="19" t="s">
        <v>134</v>
      </c>
      <c r="B54" s="21" t="s">
        <v>170</v>
      </c>
      <c r="C54" s="20" t="s">
        <v>171</v>
      </c>
      <c r="D54" s="20" t="s">
        <v>172</v>
      </c>
      <c r="E54" s="19">
        <v>28</v>
      </c>
      <c r="F54" s="19" t="s">
        <v>173</v>
      </c>
      <c r="G54" s="18" t="s">
        <v>174</v>
      </c>
      <c r="L54" s="31"/>
      <c r="M54" s="31"/>
      <c r="N54" s="31"/>
    </row>
    <row r="55" spans="1:14" ht="44.25" thickBot="1" x14ac:dyDescent="0.3">
      <c r="A55" s="19" t="s">
        <v>134</v>
      </c>
      <c r="B55" s="21" t="s">
        <v>175</v>
      </c>
      <c r="C55" s="20" t="s">
        <v>176</v>
      </c>
      <c r="D55" s="20" t="s">
        <v>177</v>
      </c>
      <c r="E55" s="19">
        <v>2</v>
      </c>
      <c r="F55" s="18" t="s">
        <v>178</v>
      </c>
      <c r="G55" s="18" t="s">
        <v>179</v>
      </c>
      <c r="L55" s="31"/>
      <c r="M55" s="31"/>
      <c r="N55" s="31"/>
    </row>
    <row r="56" spans="1:14" ht="44.25" thickBot="1" x14ac:dyDescent="0.3">
      <c r="A56" s="19" t="s">
        <v>134</v>
      </c>
      <c r="B56" s="21" t="s">
        <v>180</v>
      </c>
      <c r="C56" s="20" t="s">
        <v>181</v>
      </c>
      <c r="D56" s="20" t="s">
        <v>182</v>
      </c>
      <c r="E56" s="19">
        <v>2</v>
      </c>
      <c r="F56" s="18" t="s">
        <v>183</v>
      </c>
      <c r="G56" s="18" t="s">
        <v>184</v>
      </c>
      <c r="L56" s="31"/>
      <c r="M56" s="31"/>
      <c r="N56" s="31"/>
    </row>
    <row r="57" spans="1:14" ht="45.75" thickBot="1" x14ac:dyDescent="0.3">
      <c r="A57" s="19" t="s">
        <v>134</v>
      </c>
      <c r="B57" s="21" t="s">
        <v>185</v>
      </c>
      <c r="C57" s="20" t="s">
        <v>86</v>
      </c>
      <c r="D57" s="20" t="s">
        <v>186</v>
      </c>
      <c r="E57" s="19">
        <v>2</v>
      </c>
      <c r="F57" s="18" t="s">
        <v>187</v>
      </c>
      <c r="G57" s="18" t="s">
        <v>188</v>
      </c>
      <c r="L57" s="31"/>
      <c r="M57" s="31"/>
      <c r="N57" s="31"/>
    </row>
    <row r="58" spans="1:14" ht="45.75" thickBot="1" x14ac:dyDescent="0.3">
      <c r="A58" s="19" t="s">
        <v>134</v>
      </c>
      <c r="B58" s="21" t="s">
        <v>189</v>
      </c>
      <c r="C58" s="20" t="s">
        <v>86</v>
      </c>
      <c r="D58" s="20" t="s">
        <v>190</v>
      </c>
      <c r="E58" s="19">
        <v>4</v>
      </c>
      <c r="F58" s="18" t="s">
        <v>191</v>
      </c>
      <c r="G58" s="18" t="s">
        <v>192</v>
      </c>
      <c r="L58" s="31"/>
      <c r="M58" s="31"/>
      <c r="N58" s="31"/>
    </row>
    <row r="59" spans="1:14" ht="30.75" thickBot="1" x14ac:dyDescent="0.3">
      <c r="A59" s="19" t="s">
        <v>134</v>
      </c>
      <c r="B59" s="21" t="s">
        <v>193</v>
      </c>
      <c r="C59" s="20" t="s">
        <v>181</v>
      </c>
      <c r="D59" s="20" t="s">
        <v>194</v>
      </c>
      <c r="E59" s="19">
        <v>4</v>
      </c>
      <c r="F59" s="18" t="s">
        <v>195</v>
      </c>
      <c r="G59" s="18" t="s">
        <v>196</v>
      </c>
      <c r="L59" s="31"/>
      <c r="M59" s="31"/>
      <c r="N59" s="31"/>
    </row>
    <row r="60" spans="1:14" ht="45.75" thickBot="1" x14ac:dyDescent="0.3">
      <c r="A60" s="19" t="s">
        <v>134</v>
      </c>
      <c r="B60" s="21" t="s">
        <v>197</v>
      </c>
      <c r="C60" s="20" t="s">
        <v>86</v>
      </c>
      <c r="D60" s="20" t="s">
        <v>198</v>
      </c>
      <c r="E60" s="19">
        <v>2</v>
      </c>
      <c r="F60" s="18" t="s">
        <v>199</v>
      </c>
      <c r="G60" s="18" t="s">
        <v>200</v>
      </c>
      <c r="L60" s="31"/>
      <c r="M60" s="31"/>
      <c r="N60" s="31"/>
    </row>
    <row r="61" spans="1:14" ht="44.25" thickBot="1" x14ac:dyDescent="0.3">
      <c r="A61" s="19" t="s">
        <v>134</v>
      </c>
      <c r="B61" s="21" t="s">
        <v>201</v>
      </c>
      <c r="C61" s="20" t="s">
        <v>202</v>
      </c>
      <c r="D61" s="18">
        <v>7448050530</v>
      </c>
      <c r="E61" s="19">
        <v>2</v>
      </c>
      <c r="F61" s="18" t="s">
        <v>203</v>
      </c>
      <c r="G61" s="18" t="s">
        <v>204</v>
      </c>
      <c r="L61" s="31"/>
      <c r="M61" s="31"/>
      <c r="N61" s="31"/>
    </row>
    <row r="62" spans="1:14" ht="60.75" thickBot="1" x14ac:dyDescent="0.3">
      <c r="A62" s="19" t="s">
        <v>134</v>
      </c>
      <c r="B62" s="21" t="s">
        <v>205</v>
      </c>
      <c r="C62" s="20" t="s">
        <v>206</v>
      </c>
      <c r="D62" s="20" t="s">
        <v>207</v>
      </c>
      <c r="E62" s="19">
        <v>2</v>
      </c>
      <c r="F62" s="18" t="s">
        <v>208</v>
      </c>
      <c r="G62" s="18" t="s">
        <v>209</v>
      </c>
      <c r="L62" s="31"/>
      <c r="M62" s="31"/>
      <c r="N62" s="31"/>
    </row>
    <row r="63" spans="1:14" ht="30.75" thickBot="1" x14ac:dyDescent="0.3">
      <c r="A63" s="19" t="s">
        <v>134</v>
      </c>
      <c r="B63" s="21" t="s">
        <v>210</v>
      </c>
      <c r="C63" s="20" t="s">
        <v>171</v>
      </c>
      <c r="D63" s="20" t="s">
        <v>211</v>
      </c>
      <c r="E63" s="19">
        <v>2</v>
      </c>
      <c r="F63" s="18" t="s">
        <v>212</v>
      </c>
      <c r="G63" s="18" t="s">
        <v>213</v>
      </c>
      <c r="L63" s="31"/>
      <c r="M63" s="31"/>
      <c r="N63" s="31"/>
    </row>
    <row r="64" spans="1:14" ht="44.25" thickBot="1" x14ac:dyDescent="0.3">
      <c r="A64" s="19" t="s">
        <v>134</v>
      </c>
      <c r="B64" s="21" t="s">
        <v>214</v>
      </c>
      <c r="C64" s="20" t="s">
        <v>171</v>
      </c>
      <c r="D64" s="20" t="s">
        <v>215</v>
      </c>
      <c r="E64" s="19">
        <v>12</v>
      </c>
      <c r="F64" s="18" t="s">
        <v>216</v>
      </c>
      <c r="G64" s="18" t="s">
        <v>217</v>
      </c>
      <c r="L64" s="31"/>
      <c r="M64" s="31"/>
      <c r="N64" s="31"/>
    </row>
    <row r="65" spans="1:14" ht="45.75" thickBot="1" x14ac:dyDescent="0.3">
      <c r="A65" s="19" t="s">
        <v>134</v>
      </c>
      <c r="B65" s="21" t="s">
        <v>218</v>
      </c>
      <c r="C65" s="20" t="s">
        <v>219</v>
      </c>
      <c r="D65" s="20" t="s">
        <v>220</v>
      </c>
      <c r="E65" s="19">
        <v>2</v>
      </c>
      <c r="F65" s="18" t="s">
        <v>221</v>
      </c>
      <c r="G65" s="18" t="s">
        <v>222</v>
      </c>
      <c r="L65" s="31"/>
      <c r="M65" s="31"/>
      <c r="N65" s="31"/>
    </row>
    <row r="66" spans="1:14" ht="45.75" thickBot="1" x14ac:dyDescent="0.3">
      <c r="A66" s="19" t="s">
        <v>134</v>
      </c>
      <c r="B66" s="21" t="s">
        <v>223</v>
      </c>
      <c r="C66" s="20" t="s">
        <v>219</v>
      </c>
      <c r="D66" s="20" t="s">
        <v>224</v>
      </c>
      <c r="E66" s="19">
        <v>2</v>
      </c>
      <c r="F66" s="18" t="s">
        <v>225</v>
      </c>
      <c r="G66" s="18" t="s">
        <v>226</v>
      </c>
      <c r="L66" s="31"/>
      <c r="M66" s="31"/>
      <c r="N66" s="31"/>
    </row>
    <row r="67" spans="1:14" ht="30.75" thickBot="1" x14ac:dyDescent="0.3">
      <c r="A67" s="19" t="s">
        <v>134</v>
      </c>
      <c r="B67" s="21" t="s">
        <v>99</v>
      </c>
      <c r="C67" s="20" t="s">
        <v>100</v>
      </c>
      <c r="D67" s="20" t="s">
        <v>101</v>
      </c>
      <c r="E67" s="18">
        <v>7</v>
      </c>
      <c r="F67" s="18" t="s">
        <v>227</v>
      </c>
      <c r="G67" s="18" t="s">
        <v>228</v>
      </c>
      <c r="L67" s="31"/>
      <c r="M67" s="31"/>
      <c r="N67" s="31"/>
    </row>
    <row r="68" spans="1:14" ht="30.75" thickBot="1" x14ac:dyDescent="0.3">
      <c r="A68" s="19" t="s">
        <v>134</v>
      </c>
      <c r="B68" s="21" t="s">
        <v>229</v>
      </c>
      <c r="C68" s="20" t="s">
        <v>100</v>
      </c>
      <c r="D68" s="20" t="s">
        <v>230</v>
      </c>
      <c r="E68" s="19">
        <v>4</v>
      </c>
      <c r="F68" s="18" t="s">
        <v>231</v>
      </c>
      <c r="G68" s="18" t="s">
        <v>232</v>
      </c>
      <c r="L68" s="31"/>
      <c r="M68" s="31"/>
      <c r="N68" s="31"/>
    </row>
    <row r="69" spans="1:14" ht="60.75" thickBot="1" x14ac:dyDescent="0.3">
      <c r="A69" s="19" t="s">
        <v>134</v>
      </c>
      <c r="B69" s="21" t="s">
        <v>233</v>
      </c>
      <c r="C69" s="20" t="s">
        <v>234</v>
      </c>
      <c r="D69" s="20" t="s">
        <v>235</v>
      </c>
      <c r="E69" s="19">
        <v>2</v>
      </c>
      <c r="F69" s="18" t="s">
        <v>236</v>
      </c>
      <c r="G69" s="18" t="s">
        <v>237</v>
      </c>
      <c r="L69" s="31"/>
      <c r="M69" s="31"/>
      <c r="N69" s="31"/>
    </row>
    <row r="70" spans="1:14" ht="30.75" thickBot="1" x14ac:dyDescent="0.3">
      <c r="A70" s="19" t="s">
        <v>134</v>
      </c>
      <c r="B70" s="21" t="s">
        <v>110</v>
      </c>
      <c r="C70" s="20" t="s">
        <v>181</v>
      </c>
      <c r="D70" s="20" t="s">
        <v>238</v>
      </c>
      <c r="E70" s="19">
        <v>4</v>
      </c>
      <c r="F70" s="18" t="s">
        <v>239</v>
      </c>
      <c r="G70" s="18" t="s">
        <v>240</v>
      </c>
      <c r="L70" s="31"/>
      <c r="M70" s="31"/>
      <c r="N70" s="31"/>
    </row>
    <row r="71" spans="1:14" ht="30.75" thickBot="1" x14ac:dyDescent="0.3">
      <c r="A71" s="19" t="s">
        <v>134</v>
      </c>
      <c r="B71" s="21" t="s">
        <v>241</v>
      </c>
      <c r="C71" s="20" t="s">
        <v>242</v>
      </c>
      <c r="D71" s="20" t="s">
        <v>243</v>
      </c>
      <c r="E71" s="19">
        <v>2</v>
      </c>
      <c r="F71" s="18" t="s">
        <v>244</v>
      </c>
      <c r="G71" s="18" t="s">
        <v>245</v>
      </c>
      <c r="L71" s="31"/>
      <c r="M71" s="31"/>
      <c r="N71" s="31"/>
    </row>
    <row r="72" spans="1:14" ht="30.75" thickBot="1" x14ac:dyDescent="0.3">
      <c r="A72" s="19" t="s">
        <v>134</v>
      </c>
      <c r="B72" s="21" t="s">
        <v>246</v>
      </c>
      <c r="C72" s="20" t="s">
        <v>247</v>
      </c>
      <c r="D72" s="18">
        <v>1803280</v>
      </c>
      <c r="E72" s="19">
        <v>2</v>
      </c>
      <c r="F72" s="18" t="s">
        <v>248</v>
      </c>
      <c r="G72" s="18" t="s">
        <v>249</v>
      </c>
      <c r="L72" s="31"/>
      <c r="M72" s="31"/>
      <c r="N72" s="31"/>
    </row>
    <row r="73" spans="1:14" ht="30.75" thickBot="1" x14ac:dyDescent="0.3">
      <c r="A73" s="19" t="s">
        <v>134</v>
      </c>
      <c r="B73" s="21" t="s">
        <v>250</v>
      </c>
      <c r="C73" s="20" t="s">
        <v>247</v>
      </c>
      <c r="D73" s="18">
        <v>1803293</v>
      </c>
      <c r="E73" s="19">
        <v>2</v>
      </c>
      <c r="F73" s="18" t="s">
        <v>251</v>
      </c>
      <c r="G73" s="18" t="s">
        <v>252</v>
      </c>
      <c r="L73" s="31"/>
      <c r="M73" s="31"/>
      <c r="N73" s="31"/>
    </row>
    <row r="74" spans="1:14" ht="30.75" thickBot="1" x14ac:dyDescent="0.3">
      <c r="A74" s="19" t="s">
        <v>134</v>
      </c>
      <c r="B74" s="21" t="s">
        <v>253</v>
      </c>
      <c r="C74" s="20" t="s">
        <v>247</v>
      </c>
      <c r="D74" s="18">
        <v>1803303</v>
      </c>
      <c r="E74" s="19">
        <v>4</v>
      </c>
      <c r="F74" s="18" t="s">
        <v>254</v>
      </c>
      <c r="G74" s="18" t="s">
        <v>255</v>
      </c>
      <c r="L74" s="31"/>
      <c r="M74" s="31"/>
      <c r="N74" s="31"/>
    </row>
    <row r="75" spans="1:14" ht="30.75" thickBot="1" x14ac:dyDescent="0.3">
      <c r="A75" s="19" t="s">
        <v>134</v>
      </c>
      <c r="B75" s="21" t="s">
        <v>256</v>
      </c>
      <c r="C75" s="20" t="s">
        <v>247</v>
      </c>
      <c r="D75" s="18">
        <v>1803316</v>
      </c>
      <c r="E75" s="19">
        <v>2</v>
      </c>
      <c r="F75" s="18" t="s">
        <v>225</v>
      </c>
      <c r="G75" s="18" t="s">
        <v>226</v>
      </c>
      <c r="L75" s="31"/>
      <c r="M75" s="31"/>
      <c r="N75" s="31"/>
    </row>
    <row r="76" spans="1:14" ht="44.25" thickBot="1" x14ac:dyDescent="0.3">
      <c r="A76" s="19" t="s">
        <v>134</v>
      </c>
      <c r="B76" s="21" t="s">
        <v>257</v>
      </c>
      <c r="C76" s="20" t="s">
        <v>247</v>
      </c>
      <c r="D76" s="18">
        <v>1803390</v>
      </c>
      <c r="E76" s="19">
        <v>2</v>
      </c>
      <c r="F76" s="18" t="s">
        <v>258</v>
      </c>
      <c r="G76" s="18" t="s">
        <v>259</v>
      </c>
      <c r="L76" s="31"/>
      <c r="M76" s="31"/>
      <c r="N76" s="31"/>
    </row>
    <row r="77" spans="1:14" ht="30.75" thickBot="1" x14ac:dyDescent="0.3">
      <c r="A77" s="19" t="s">
        <v>134</v>
      </c>
      <c r="B77" s="21" t="s">
        <v>260</v>
      </c>
      <c r="C77" s="20" t="s">
        <v>202</v>
      </c>
      <c r="D77" s="20" t="s">
        <v>261</v>
      </c>
      <c r="E77" s="19">
        <v>4</v>
      </c>
      <c r="F77" s="18" t="s">
        <v>262</v>
      </c>
      <c r="G77" s="18" t="s">
        <v>263</v>
      </c>
      <c r="L77" s="31"/>
      <c r="M77" s="31"/>
      <c r="N77" s="31"/>
    </row>
    <row r="78" spans="1:14" ht="30.75" thickBot="1" x14ac:dyDescent="0.3">
      <c r="A78" s="19" t="s">
        <v>134</v>
      </c>
      <c r="B78" s="21" t="s">
        <v>264</v>
      </c>
      <c r="C78" s="20" t="s">
        <v>202</v>
      </c>
      <c r="D78" s="20" t="s">
        <v>265</v>
      </c>
      <c r="E78" s="19">
        <v>2</v>
      </c>
      <c r="F78" s="18" t="s">
        <v>266</v>
      </c>
      <c r="G78" s="18" t="s">
        <v>267</v>
      </c>
      <c r="L78" s="31"/>
      <c r="M78" s="31"/>
      <c r="N78" s="31"/>
    </row>
    <row r="79" spans="1:14" ht="30.75" thickBot="1" x14ac:dyDescent="0.3">
      <c r="A79" s="19" t="s">
        <v>134</v>
      </c>
      <c r="B79" s="21" t="s">
        <v>268</v>
      </c>
      <c r="C79" s="20" t="s">
        <v>202</v>
      </c>
      <c r="D79" s="20" t="s">
        <v>269</v>
      </c>
      <c r="E79" s="19">
        <v>4</v>
      </c>
      <c r="F79" s="18" t="s">
        <v>266</v>
      </c>
      <c r="G79" s="18" t="s">
        <v>270</v>
      </c>
      <c r="L79" s="31"/>
      <c r="M79" s="31"/>
      <c r="N79" s="31"/>
    </row>
    <row r="80" spans="1:14" ht="30.75" thickBot="1" x14ac:dyDescent="0.3">
      <c r="A80" s="19" t="s">
        <v>134</v>
      </c>
      <c r="B80" s="21" t="s">
        <v>271</v>
      </c>
      <c r="C80" s="20" t="s">
        <v>202</v>
      </c>
      <c r="D80" s="20" t="s">
        <v>272</v>
      </c>
      <c r="E80" s="19">
        <v>4</v>
      </c>
      <c r="F80" s="18" t="s">
        <v>266</v>
      </c>
      <c r="G80" s="18" t="s">
        <v>270</v>
      </c>
      <c r="L80" s="31"/>
      <c r="M80" s="31"/>
      <c r="N80" s="31"/>
    </row>
    <row r="81" spans="1:14" ht="75.75" thickBot="1" x14ac:dyDescent="0.3">
      <c r="A81" s="19" t="s">
        <v>134</v>
      </c>
      <c r="B81" s="21" t="s">
        <v>273</v>
      </c>
      <c r="C81" s="20" t="s">
        <v>274</v>
      </c>
      <c r="D81" s="20" t="s">
        <v>275</v>
      </c>
      <c r="E81" s="19">
        <v>16</v>
      </c>
      <c r="F81" s="18" t="s">
        <v>276</v>
      </c>
      <c r="G81" s="18" t="s">
        <v>277</v>
      </c>
      <c r="L81" s="31"/>
      <c r="M81" s="31"/>
      <c r="N81" s="31"/>
    </row>
    <row r="82" spans="1:14" ht="75.75" thickBot="1" x14ac:dyDescent="0.3">
      <c r="A82" s="19" t="s">
        <v>134</v>
      </c>
      <c r="B82" s="21" t="s">
        <v>153</v>
      </c>
      <c r="C82" s="20" t="s">
        <v>149</v>
      </c>
      <c r="D82" s="20" t="s">
        <v>154</v>
      </c>
      <c r="E82" s="19">
        <v>2</v>
      </c>
      <c r="F82" s="18" t="s">
        <v>278</v>
      </c>
      <c r="G82" s="18" t="s">
        <v>279</v>
      </c>
      <c r="L82" s="31"/>
      <c r="M82" s="31"/>
      <c r="N82" s="31"/>
    </row>
    <row r="83" spans="1:14" ht="45.75" thickBot="1" x14ac:dyDescent="0.3">
      <c r="A83" s="19" t="s">
        <v>134</v>
      </c>
      <c r="B83" s="21" t="s">
        <v>218</v>
      </c>
      <c r="C83" s="20" t="s">
        <v>219</v>
      </c>
      <c r="D83" s="20" t="s">
        <v>280</v>
      </c>
      <c r="E83" s="19">
        <v>2</v>
      </c>
      <c r="F83" s="18" t="s">
        <v>281</v>
      </c>
      <c r="G83" s="18" t="s">
        <v>282</v>
      </c>
      <c r="L83" s="31"/>
      <c r="M83" s="31"/>
      <c r="N83" s="31"/>
    </row>
    <row r="84" spans="1:14" ht="45.75" thickBot="1" x14ac:dyDescent="0.3">
      <c r="A84" s="19" t="s">
        <v>134</v>
      </c>
      <c r="B84" s="21" t="s">
        <v>223</v>
      </c>
      <c r="C84" s="20" t="s">
        <v>219</v>
      </c>
      <c r="D84" s="20" t="s">
        <v>283</v>
      </c>
      <c r="E84" s="19">
        <v>2</v>
      </c>
      <c r="F84" s="18" t="s">
        <v>284</v>
      </c>
      <c r="G84" s="18" t="s">
        <v>285</v>
      </c>
      <c r="L84" s="31"/>
      <c r="M84" s="31"/>
      <c r="N84" s="31"/>
    </row>
    <row r="85" spans="1:14" ht="30.75" thickBot="1" x14ac:dyDescent="0.3">
      <c r="A85" s="19" t="s">
        <v>134</v>
      </c>
      <c r="B85" s="21" t="s">
        <v>246</v>
      </c>
      <c r="C85" s="20" t="s">
        <v>247</v>
      </c>
      <c r="D85" s="18">
        <v>1803581</v>
      </c>
      <c r="E85" s="19">
        <v>2</v>
      </c>
      <c r="F85" s="18" t="s">
        <v>286</v>
      </c>
      <c r="G85" s="18" t="s">
        <v>287</v>
      </c>
      <c r="L85" s="31"/>
      <c r="M85" s="31"/>
      <c r="N85" s="31"/>
    </row>
    <row r="86" spans="1:14" ht="30.75" thickBot="1" x14ac:dyDescent="0.3">
      <c r="A86" s="19" t="s">
        <v>134</v>
      </c>
      <c r="B86" s="21" t="s">
        <v>250</v>
      </c>
      <c r="C86" s="20" t="s">
        <v>247</v>
      </c>
      <c r="D86" s="18">
        <v>1803594</v>
      </c>
      <c r="E86" s="19">
        <v>2</v>
      </c>
      <c r="F86" s="18" t="s">
        <v>288</v>
      </c>
      <c r="G86" s="18" t="s">
        <v>289</v>
      </c>
      <c r="L86" s="31"/>
      <c r="M86" s="31"/>
      <c r="N86" s="31"/>
    </row>
    <row r="87" spans="1:14" ht="30.75" thickBot="1" x14ac:dyDescent="0.3">
      <c r="A87" s="19" t="s">
        <v>134</v>
      </c>
      <c r="B87" s="21" t="s">
        <v>253</v>
      </c>
      <c r="C87" s="20" t="s">
        <v>247</v>
      </c>
      <c r="D87" s="18">
        <v>1803604</v>
      </c>
      <c r="E87" s="19">
        <v>4</v>
      </c>
      <c r="F87" s="18" t="s">
        <v>290</v>
      </c>
      <c r="G87" s="18" t="s">
        <v>291</v>
      </c>
      <c r="L87" s="31"/>
      <c r="M87" s="31"/>
      <c r="N87" s="31"/>
    </row>
    <row r="88" spans="1:14" ht="30.75" thickBot="1" x14ac:dyDescent="0.3">
      <c r="A88" s="19" t="s">
        <v>134</v>
      </c>
      <c r="B88" s="21" t="s">
        <v>256</v>
      </c>
      <c r="C88" s="20" t="s">
        <v>247</v>
      </c>
      <c r="D88" s="18">
        <v>1803617</v>
      </c>
      <c r="E88" s="19">
        <v>2</v>
      </c>
      <c r="F88" s="18" t="s">
        <v>292</v>
      </c>
      <c r="G88" s="18" t="s">
        <v>293</v>
      </c>
      <c r="L88" s="31"/>
      <c r="M88" s="31"/>
      <c r="N88" s="31"/>
    </row>
    <row r="89" spans="1:14" ht="44.25" thickBot="1" x14ac:dyDescent="0.3">
      <c r="A89" s="19" t="s">
        <v>134</v>
      </c>
      <c r="B89" s="21" t="s">
        <v>257</v>
      </c>
      <c r="C89" s="20" t="s">
        <v>247</v>
      </c>
      <c r="D89" s="18">
        <v>1803691</v>
      </c>
      <c r="E89" s="19">
        <v>2</v>
      </c>
      <c r="F89" s="18" t="s">
        <v>294</v>
      </c>
      <c r="G89" s="18" t="s">
        <v>295</v>
      </c>
      <c r="L89" s="31"/>
      <c r="M89" s="31"/>
      <c r="N89" s="31"/>
    </row>
    <row r="90" spans="1:14" ht="45.75" thickBot="1" x14ac:dyDescent="0.3">
      <c r="A90" s="19" t="s">
        <v>296</v>
      </c>
      <c r="B90" s="20" t="s">
        <v>67</v>
      </c>
      <c r="C90" s="20" t="s">
        <v>63</v>
      </c>
      <c r="D90" s="20" t="s">
        <v>68</v>
      </c>
      <c r="E90" s="19">
        <v>50</v>
      </c>
      <c r="F90" s="18" t="s">
        <v>70</v>
      </c>
      <c r="G90" s="18" t="s">
        <v>297</v>
      </c>
      <c r="L90" s="31"/>
      <c r="M90" s="31"/>
      <c r="N90" s="31"/>
    </row>
    <row r="91" spans="1:14" ht="30" thickBot="1" x14ac:dyDescent="0.3">
      <c r="A91" s="19" t="s">
        <v>298</v>
      </c>
      <c r="B91" s="21" t="s">
        <v>299</v>
      </c>
      <c r="C91" s="21" t="s">
        <v>73</v>
      </c>
      <c r="D91" s="21" t="s">
        <v>300</v>
      </c>
      <c r="E91" s="19">
        <v>200</v>
      </c>
      <c r="F91" s="26">
        <v>0.1</v>
      </c>
      <c r="G91" s="25">
        <v>20</v>
      </c>
      <c r="L91" s="31"/>
      <c r="M91" s="31"/>
      <c r="N91" s="31"/>
    </row>
    <row r="92" spans="1:14" ht="72.75" thickBot="1" x14ac:dyDescent="0.3">
      <c r="A92" s="19" t="s">
        <v>298</v>
      </c>
      <c r="B92" s="21" t="s">
        <v>301</v>
      </c>
      <c r="C92" s="21" t="s">
        <v>73</v>
      </c>
      <c r="D92" s="21" t="s">
        <v>302</v>
      </c>
      <c r="E92" s="19">
        <v>1</v>
      </c>
      <c r="F92" s="26">
        <v>17.73</v>
      </c>
      <c r="G92" s="25">
        <v>17.73</v>
      </c>
      <c r="L92" s="31"/>
      <c r="M92" s="31"/>
      <c r="N92" s="31"/>
    </row>
    <row r="93" spans="1:14" ht="58.5" thickBot="1" x14ac:dyDescent="0.3">
      <c r="A93" s="16" t="s">
        <v>303</v>
      </c>
      <c r="B93" s="9" t="s">
        <v>82</v>
      </c>
      <c r="C93" s="11" t="s">
        <v>304</v>
      </c>
      <c r="D93" s="11" t="s">
        <v>305</v>
      </c>
      <c r="E93" s="16">
        <v>2</v>
      </c>
      <c r="F93" s="16" t="s">
        <v>306</v>
      </c>
      <c r="G93" s="8" t="s">
        <v>307</v>
      </c>
      <c r="L93" s="31"/>
      <c r="M93" s="31"/>
      <c r="N93" s="31"/>
    </row>
    <row r="94" spans="1:14" ht="30.75" thickBot="1" x14ac:dyDescent="0.3">
      <c r="A94" s="16" t="s">
        <v>308</v>
      </c>
      <c r="B94" s="11" t="s">
        <v>309</v>
      </c>
      <c r="C94" s="11" t="s">
        <v>304</v>
      </c>
      <c r="D94" s="9" t="s">
        <v>310</v>
      </c>
      <c r="E94" s="16">
        <v>1</v>
      </c>
      <c r="F94" s="16" t="s">
        <v>311</v>
      </c>
      <c r="G94" s="8" t="s">
        <v>312</v>
      </c>
      <c r="L94" s="31"/>
      <c r="M94" s="31"/>
      <c r="N94" s="3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5750-FAD4-4CD4-8883-5F5997386EAC}">
  <dimension ref="A1:B9"/>
  <sheetViews>
    <sheetView workbookViewId="0">
      <selection activeCell="B9" sqref="B9"/>
    </sheetView>
  </sheetViews>
  <sheetFormatPr baseColWidth="10" defaultRowHeight="15" x14ac:dyDescent="0.25"/>
  <cols>
    <col min="1" max="1" width="41.140625" bestFit="1" customWidth="1"/>
  </cols>
  <sheetData>
    <row r="1" spans="1:2" ht="24" x14ac:dyDescent="0.4">
      <c r="A1" s="32" t="s">
        <v>349</v>
      </c>
    </row>
    <row r="3" spans="1:2" x14ac:dyDescent="0.25">
      <c r="A3" s="33" t="s">
        <v>355</v>
      </c>
      <c r="B3" s="33" t="s">
        <v>353</v>
      </c>
    </row>
    <row r="4" spans="1:2" x14ac:dyDescent="0.25">
      <c r="A4" t="s">
        <v>324</v>
      </c>
      <c r="B4">
        <f>'Bestellungen Prototypen'!L2</f>
        <v>851.77</v>
      </c>
    </row>
    <row r="5" spans="1:2" x14ac:dyDescent="0.25">
      <c r="A5" t="s">
        <v>325</v>
      </c>
      <c r="B5">
        <f>'Bestellungen Prototypen'!M2</f>
        <v>147.51999999999998</v>
      </c>
    </row>
    <row r="6" spans="1:2" x14ac:dyDescent="0.25">
      <c r="A6" t="s">
        <v>326</v>
      </c>
      <c r="B6">
        <f>'Bestellungen Prototypen'!N2</f>
        <v>173.24999999999997</v>
      </c>
    </row>
    <row r="8" spans="1:2" x14ac:dyDescent="0.25">
      <c r="A8" t="s">
        <v>327</v>
      </c>
      <c r="B8">
        <f>B4+B5</f>
        <v>999.29</v>
      </c>
    </row>
    <row r="9" spans="1:2" x14ac:dyDescent="0.25">
      <c r="A9" t="s">
        <v>328</v>
      </c>
      <c r="B9">
        <f>SUM(B4:B6)</f>
        <v>1172.54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B985-EDFA-4824-B9F2-AFC13ECD22ED}">
  <dimension ref="A1:C12"/>
  <sheetViews>
    <sheetView workbookViewId="0">
      <selection activeCell="B12" sqref="B12"/>
    </sheetView>
  </sheetViews>
  <sheetFormatPr baseColWidth="10" defaultRowHeight="15" x14ac:dyDescent="0.25"/>
  <cols>
    <col min="1" max="1" width="20.85546875" customWidth="1"/>
    <col min="2" max="2" width="7" bestFit="1" customWidth="1"/>
    <col min="3" max="3" width="23.7109375" bestFit="1" customWidth="1"/>
  </cols>
  <sheetData>
    <row r="1" spans="1:3" ht="24" x14ac:dyDescent="0.4">
      <c r="A1" s="32" t="s">
        <v>317</v>
      </c>
    </row>
    <row r="3" spans="1:3" x14ac:dyDescent="0.25">
      <c r="A3" s="33" t="s">
        <v>350</v>
      </c>
      <c r="B3" s="33" t="s">
        <v>353</v>
      </c>
      <c r="C3" s="33" t="s">
        <v>354</v>
      </c>
    </row>
    <row r="4" spans="1:3" x14ac:dyDescent="0.25">
      <c r="A4" t="s">
        <v>318</v>
      </c>
      <c r="B4">
        <f>30/500*18*2</f>
        <v>2.16</v>
      </c>
      <c r="C4" t="s">
        <v>340</v>
      </c>
    </row>
    <row r="5" spans="1:3" x14ac:dyDescent="0.25">
      <c r="A5" t="s">
        <v>319</v>
      </c>
      <c r="B5">
        <v>0.5</v>
      </c>
      <c r="C5" t="s">
        <v>329</v>
      </c>
    </row>
    <row r="6" spans="1:3" x14ac:dyDescent="0.25">
      <c r="A6" t="s">
        <v>320</v>
      </c>
      <c r="B6">
        <v>2</v>
      </c>
      <c r="C6" t="s">
        <v>335</v>
      </c>
    </row>
    <row r="7" spans="1:3" x14ac:dyDescent="0.25">
      <c r="A7" t="s">
        <v>338</v>
      </c>
      <c r="B7">
        <v>0.5</v>
      </c>
      <c r="C7" t="s">
        <v>339</v>
      </c>
    </row>
    <row r="8" spans="1:3" x14ac:dyDescent="0.25">
      <c r="A8" t="s">
        <v>321</v>
      </c>
      <c r="B8">
        <v>0.5</v>
      </c>
      <c r="C8" t="s">
        <v>339</v>
      </c>
    </row>
    <row r="9" spans="1:3" x14ac:dyDescent="0.25">
      <c r="A9" t="s">
        <v>336</v>
      </c>
      <c r="B9">
        <v>1</v>
      </c>
      <c r="C9" t="s">
        <v>337</v>
      </c>
    </row>
    <row r="10" spans="1:3" x14ac:dyDescent="0.25">
      <c r="A10" t="s">
        <v>359</v>
      </c>
      <c r="B10">
        <v>1</v>
      </c>
    </row>
    <row r="12" spans="1:3" x14ac:dyDescent="0.25">
      <c r="A12" t="s">
        <v>315</v>
      </c>
      <c r="B12">
        <f>SUM(B4:B11)</f>
        <v>7.66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1680-E136-40E4-B83D-969FBEEB4B9C}">
  <dimension ref="A1:C10"/>
  <sheetViews>
    <sheetView zoomScaleNormal="100" workbookViewId="0">
      <selection activeCell="B10" sqref="B10"/>
    </sheetView>
  </sheetViews>
  <sheetFormatPr baseColWidth="10" defaultRowHeight="15" x14ac:dyDescent="0.25"/>
  <cols>
    <col min="1" max="1" width="12.5703125" customWidth="1"/>
    <col min="2" max="2" width="12.85546875" bestFit="1" customWidth="1"/>
    <col min="3" max="3" width="51.28515625" bestFit="1" customWidth="1"/>
  </cols>
  <sheetData>
    <row r="1" spans="1:3" ht="24" x14ac:dyDescent="0.4">
      <c r="A1" s="32" t="s">
        <v>316</v>
      </c>
    </row>
    <row r="3" spans="1:3" x14ac:dyDescent="0.25">
      <c r="A3" s="33" t="s">
        <v>350</v>
      </c>
      <c r="B3" s="33" t="s">
        <v>351</v>
      </c>
      <c r="C3" s="33" t="s">
        <v>352</v>
      </c>
    </row>
    <row r="4" spans="1:3" x14ac:dyDescent="0.25">
      <c r="A4" t="s">
        <v>0</v>
      </c>
      <c r="B4">
        <v>6</v>
      </c>
      <c r="C4" t="s">
        <v>330</v>
      </c>
    </row>
    <row r="5" spans="1:3" x14ac:dyDescent="0.25">
      <c r="A5" t="s">
        <v>1</v>
      </c>
      <c r="B5">
        <v>2</v>
      </c>
      <c r="C5" t="s">
        <v>334</v>
      </c>
    </row>
    <row r="6" spans="1:3" x14ac:dyDescent="0.25">
      <c r="A6" t="s">
        <v>2</v>
      </c>
      <c r="B6">
        <v>0.6</v>
      </c>
      <c r="C6" t="s">
        <v>331</v>
      </c>
    </row>
    <row r="7" spans="1:3" x14ac:dyDescent="0.25">
      <c r="A7" t="s">
        <v>3</v>
      </c>
      <c r="B7">
        <v>3</v>
      </c>
      <c r="C7" t="s">
        <v>332</v>
      </c>
    </row>
    <row r="8" spans="1:3" x14ac:dyDescent="0.25">
      <c r="A8" t="s">
        <v>4</v>
      </c>
      <c r="B8">
        <v>1</v>
      </c>
      <c r="C8" t="s">
        <v>333</v>
      </c>
    </row>
    <row r="10" spans="1:3" x14ac:dyDescent="0.25">
      <c r="A10" t="s">
        <v>315</v>
      </c>
      <c r="B10">
        <f>SUM(B4:B9)</f>
        <v>12.6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66A6-478A-46D0-9411-658E50B8984D}">
  <dimension ref="A1:B18"/>
  <sheetViews>
    <sheetView tabSelected="1" workbookViewId="0">
      <selection activeCell="B6" sqref="B6"/>
    </sheetView>
  </sheetViews>
  <sheetFormatPr baseColWidth="10" defaultRowHeight="15" x14ac:dyDescent="0.25"/>
  <cols>
    <col min="1" max="1" width="29.140625" bestFit="1" customWidth="1"/>
  </cols>
  <sheetData>
    <row r="1" spans="1:2" ht="24" x14ac:dyDescent="0.4">
      <c r="A1" s="32" t="s">
        <v>341</v>
      </c>
    </row>
    <row r="3" spans="1:2" s="34" customFormat="1" ht="18.75" x14ac:dyDescent="0.3">
      <c r="A3" s="35" t="s">
        <v>356</v>
      </c>
    </row>
    <row r="5" spans="1:2" x14ac:dyDescent="0.25">
      <c r="A5" t="s">
        <v>342</v>
      </c>
      <c r="B5">
        <f>'Kostenübersicht Prototypen'!B8</f>
        <v>999.29</v>
      </c>
    </row>
    <row r="6" spans="1:2" x14ac:dyDescent="0.25">
      <c r="A6" t="s">
        <v>317</v>
      </c>
      <c r="B6">
        <f>'Fehlende Komponenten'!B12*5</f>
        <v>38.299999999999997</v>
      </c>
    </row>
    <row r="7" spans="1:2" x14ac:dyDescent="0.25">
      <c r="A7" t="s">
        <v>343</v>
      </c>
      <c r="B7">
        <f>'Zusatzkosten Verbesserung V2'!B10*5</f>
        <v>63</v>
      </c>
    </row>
    <row r="9" spans="1:2" x14ac:dyDescent="0.25">
      <c r="A9" t="s">
        <v>347</v>
      </c>
      <c r="B9">
        <f>SUM(B5:B8)</f>
        <v>1100.5899999999999</v>
      </c>
    </row>
    <row r="10" spans="1:2" x14ac:dyDescent="0.25">
      <c r="A10" t="s">
        <v>344</v>
      </c>
      <c r="B10">
        <f>B9/5</f>
        <v>220.11799999999999</v>
      </c>
    </row>
    <row r="12" spans="1:2" ht="18.75" x14ac:dyDescent="0.3">
      <c r="A12" s="35" t="s">
        <v>357</v>
      </c>
    </row>
    <row r="14" spans="1:2" x14ac:dyDescent="0.25">
      <c r="A14" t="s">
        <v>345</v>
      </c>
      <c r="B14">
        <f>'Kostenabschätzung Serie Detail'!G3-'Kostenabschätzung Serie Detail'!I3</f>
        <v>30.082400000000007</v>
      </c>
    </row>
    <row r="16" spans="1:2" x14ac:dyDescent="0.25">
      <c r="A16" t="s">
        <v>346</v>
      </c>
      <c r="B16">
        <f>B10-B14</f>
        <v>190.03559999999999</v>
      </c>
    </row>
    <row r="18" spans="1:2" x14ac:dyDescent="0.25">
      <c r="A18" t="s">
        <v>348</v>
      </c>
      <c r="B18">
        <f>B16*25</f>
        <v>4750.8899999999994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C6A3-4E7F-4216-BBB4-FED387DA342A}">
  <dimension ref="A1:O25"/>
  <sheetViews>
    <sheetView workbookViewId="0">
      <selection activeCell="I3" sqref="I3"/>
    </sheetView>
  </sheetViews>
  <sheetFormatPr baseColWidth="10" defaultRowHeight="15" x14ac:dyDescent="0.25"/>
  <cols>
    <col min="11" max="11" width="48.5703125" customWidth="1"/>
  </cols>
  <sheetData>
    <row r="1" spans="1:15" ht="24" x14ac:dyDescent="0.4">
      <c r="A1" s="32" t="s">
        <v>358</v>
      </c>
    </row>
    <row r="3" spans="1:15" x14ac:dyDescent="0.25">
      <c r="C3">
        <f>SUM(C5:C1048576)</f>
        <v>784.26999999999987</v>
      </c>
      <c r="D3">
        <f>SUM(D5:D1048576)</f>
        <v>2058.39</v>
      </c>
      <c r="E3">
        <f>SUM(E5:E1048576)</f>
        <v>3169.29</v>
      </c>
      <c r="G3">
        <f>SUM(G5:G1048576)</f>
        <v>156.85399999999998</v>
      </c>
      <c r="H3">
        <f>SUM(H5:H1048576)</f>
        <v>82.335599999999999</v>
      </c>
      <c r="I3">
        <f>SUM(I5:I1048576)</f>
        <v>126.77159999999998</v>
      </c>
      <c r="M3">
        <f>G3+M4</f>
        <v>177.59399999999999</v>
      </c>
      <c r="N3">
        <f>'Bestellungen Prototypen'!M1-'Kostenabschätzung Serie Detail'!M3</f>
        <v>22.26400000000001</v>
      </c>
    </row>
    <row r="4" spans="1:15" x14ac:dyDescent="0.25">
      <c r="B4" t="s">
        <v>9</v>
      </c>
      <c r="C4">
        <v>5</v>
      </c>
      <c r="D4">
        <v>25</v>
      </c>
      <c r="E4" t="s">
        <v>23</v>
      </c>
      <c r="G4" s="1" t="s">
        <v>24</v>
      </c>
      <c r="H4" s="1" t="s">
        <v>25</v>
      </c>
      <c r="I4" s="1" t="s">
        <v>26</v>
      </c>
      <c r="K4" t="s">
        <v>31</v>
      </c>
      <c r="L4">
        <f>SUM(L5:L21)</f>
        <v>248.48000000000002</v>
      </c>
      <c r="M4">
        <f>SUM(M5:M21)</f>
        <v>20.74</v>
      </c>
      <c r="O4">
        <f>I3+M4+N3+'Zusatzkosten Verbesserung V2'!B10</f>
        <v>182.37559999999999</v>
      </c>
    </row>
    <row r="5" spans="1:15" x14ac:dyDescent="0.25">
      <c r="A5" t="s">
        <v>5</v>
      </c>
      <c r="B5">
        <v>1</v>
      </c>
      <c r="C5">
        <v>30.4</v>
      </c>
      <c r="E5">
        <f t="shared" ref="E5:E6" si="0">C5/C$4*D$4</f>
        <v>152</v>
      </c>
      <c r="G5">
        <f>C5/C$4</f>
        <v>6.08</v>
      </c>
      <c r="H5">
        <f>D5/D$4</f>
        <v>0</v>
      </c>
      <c r="I5">
        <f>E5/D$4</f>
        <v>6.08</v>
      </c>
      <c r="K5" t="s">
        <v>322</v>
      </c>
      <c r="L5">
        <v>12.9</v>
      </c>
      <c r="M5">
        <f>L5/5</f>
        <v>2.58</v>
      </c>
    </row>
    <row r="6" spans="1:15" x14ac:dyDescent="0.25">
      <c r="A6" t="s">
        <v>32</v>
      </c>
      <c r="B6">
        <v>1</v>
      </c>
      <c r="C6">
        <f>8+9.24+1.5</f>
        <v>18.740000000000002</v>
      </c>
      <c r="E6">
        <f t="shared" si="0"/>
        <v>93.7</v>
      </c>
      <c r="G6">
        <f t="shared" ref="G6:G25" si="1">C6/C$4</f>
        <v>3.7480000000000002</v>
      </c>
      <c r="I6">
        <f t="shared" ref="I6:I25" si="2">E6/D$4</f>
        <v>3.7480000000000002</v>
      </c>
      <c r="K6" t="s">
        <v>323</v>
      </c>
      <c r="L6">
        <v>60</v>
      </c>
      <c r="M6">
        <f>L6/5</f>
        <v>12</v>
      </c>
    </row>
    <row r="7" spans="1:15" x14ac:dyDescent="0.25">
      <c r="A7" t="s">
        <v>314</v>
      </c>
      <c r="B7">
        <v>1</v>
      </c>
      <c r="C7">
        <v>117</v>
      </c>
      <c r="E7">
        <v>117</v>
      </c>
      <c r="G7">
        <f t="shared" si="1"/>
        <v>23.4</v>
      </c>
      <c r="I7">
        <f t="shared" si="2"/>
        <v>4.68</v>
      </c>
      <c r="K7" t="s">
        <v>28</v>
      </c>
      <c r="L7">
        <v>22.08</v>
      </c>
    </row>
    <row r="8" spans="1:15" x14ac:dyDescent="0.25">
      <c r="A8" t="s">
        <v>17</v>
      </c>
      <c r="B8">
        <v>1</v>
      </c>
      <c r="C8" s="2">
        <v>446.24</v>
      </c>
      <c r="D8" s="2">
        <v>1972.6</v>
      </c>
      <c r="E8" s="2">
        <v>1972.6</v>
      </c>
      <c r="G8">
        <f t="shared" si="1"/>
        <v>89.248000000000005</v>
      </c>
      <c r="H8">
        <f t="shared" ref="H8:H16" si="3">D8/D$4</f>
        <v>78.903999999999996</v>
      </c>
      <c r="I8">
        <f t="shared" si="2"/>
        <v>78.903999999999996</v>
      </c>
      <c r="K8" t="s">
        <v>27</v>
      </c>
      <c r="L8">
        <v>78</v>
      </c>
    </row>
    <row r="9" spans="1:15" x14ac:dyDescent="0.25">
      <c r="A9" t="s">
        <v>6</v>
      </c>
      <c r="B9">
        <v>2</v>
      </c>
      <c r="C9">
        <v>9.1999999999999993</v>
      </c>
      <c r="E9">
        <f>C9/C$4*D$4</f>
        <v>46</v>
      </c>
      <c r="G9">
        <f t="shared" si="1"/>
        <v>1.8399999999999999</v>
      </c>
      <c r="H9">
        <f t="shared" si="3"/>
        <v>0</v>
      </c>
      <c r="I9">
        <f t="shared" si="2"/>
        <v>1.84</v>
      </c>
      <c r="K9" t="s">
        <v>29</v>
      </c>
      <c r="L9">
        <f>10*1.38</f>
        <v>13.799999999999999</v>
      </c>
      <c r="M9">
        <f>L9/5</f>
        <v>2.76</v>
      </c>
    </row>
    <row r="10" spans="1:15" x14ac:dyDescent="0.25">
      <c r="A10" t="s">
        <v>7</v>
      </c>
      <c r="B10">
        <v>1</v>
      </c>
      <c r="E10">
        <f t="shared" ref="E10:E16" si="4">C10/C$4*D$4</f>
        <v>0</v>
      </c>
      <c r="G10">
        <f t="shared" si="1"/>
        <v>0</v>
      </c>
      <c r="H10">
        <f t="shared" si="3"/>
        <v>0</v>
      </c>
      <c r="I10">
        <f t="shared" si="2"/>
        <v>0</v>
      </c>
      <c r="K10" t="s">
        <v>30</v>
      </c>
      <c r="L10">
        <f>10*1.7</f>
        <v>17</v>
      </c>
      <c r="M10">
        <f>L10/5</f>
        <v>3.4</v>
      </c>
    </row>
    <row r="11" spans="1:15" x14ac:dyDescent="0.25">
      <c r="A11" t="s">
        <v>8</v>
      </c>
      <c r="B11">
        <v>1</v>
      </c>
      <c r="C11">
        <v>3.68</v>
      </c>
      <c r="E11">
        <f t="shared" si="4"/>
        <v>18.399999999999999</v>
      </c>
      <c r="G11">
        <f t="shared" si="1"/>
        <v>0.73599999999999999</v>
      </c>
      <c r="H11">
        <f t="shared" si="3"/>
        <v>0</v>
      </c>
      <c r="I11">
        <f t="shared" si="2"/>
        <v>0.73599999999999999</v>
      </c>
      <c r="K11" t="s">
        <v>313</v>
      </c>
      <c r="L11">
        <v>44.7</v>
      </c>
    </row>
    <row r="12" spans="1:15" x14ac:dyDescent="0.25">
      <c r="A12" t="s">
        <v>10</v>
      </c>
      <c r="B12">
        <v>3</v>
      </c>
      <c r="C12">
        <f>3*5*0.2</f>
        <v>3</v>
      </c>
      <c r="E12">
        <f t="shared" si="4"/>
        <v>15</v>
      </c>
      <c r="G12">
        <f t="shared" si="1"/>
        <v>0.6</v>
      </c>
      <c r="H12">
        <f t="shared" si="3"/>
        <v>0</v>
      </c>
      <c r="I12">
        <f t="shared" si="2"/>
        <v>0.6</v>
      </c>
    </row>
    <row r="13" spans="1:15" x14ac:dyDescent="0.25">
      <c r="A13" t="s">
        <v>11</v>
      </c>
      <c r="B13">
        <v>1</v>
      </c>
      <c r="C13">
        <f>5*0.16</f>
        <v>0.8</v>
      </c>
      <c r="E13">
        <f t="shared" si="4"/>
        <v>4</v>
      </c>
      <c r="G13">
        <f t="shared" si="1"/>
        <v>0.16</v>
      </c>
      <c r="H13">
        <f t="shared" si="3"/>
        <v>0</v>
      </c>
      <c r="I13">
        <f t="shared" si="2"/>
        <v>0.16</v>
      </c>
    </row>
    <row r="14" spans="1:15" x14ac:dyDescent="0.25">
      <c r="A14" t="s">
        <v>12</v>
      </c>
      <c r="B14">
        <v>1</v>
      </c>
      <c r="C14">
        <v>0.25</v>
      </c>
      <c r="E14">
        <f t="shared" si="4"/>
        <v>1.25</v>
      </c>
      <c r="G14">
        <f t="shared" si="1"/>
        <v>0.05</v>
      </c>
      <c r="H14">
        <f t="shared" si="3"/>
        <v>0</v>
      </c>
      <c r="I14">
        <f t="shared" si="2"/>
        <v>0.05</v>
      </c>
    </row>
    <row r="15" spans="1:15" x14ac:dyDescent="0.25">
      <c r="A15" t="s">
        <v>22</v>
      </c>
      <c r="B15">
        <f>8*0.03</f>
        <v>0.24</v>
      </c>
      <c r="E15">
        <f t="shared" si="4"/>
        <v>0</v>
      </c>
      <c r="G15">
        <f t="shared" si="1"/>
        <v>0</v>
      </c>
      <c r="H15">
        <f t="shared" si="3"/>
        <v>0</v>
      </c>
      <c r="I15">
        <f t="shared" si="2"/>
        <v>0</v>
      </c>
    </row>
    <row r="16" spans="1:15" x14ac:dyDescent="0.25">
      <c r="A16" t="s">
        <v>13</v>
      </c>
      <c r="B16">
        <v>1</v>
      </c>
      <c r="C16">
        <v>10.1</v>
      </c>
      <c r="E16">
        <f t="shared" si="4"/>
        <v>50.5</v>
      </c>
      <c r="G16">
        <f t="shared" si="1"/>
        <v>2.02</v>
      </c>
      <c r="H16">
        <f t="shared" si="3"/>
        <v>0</v>
      </c>
      <c r="I16">
        <f t="shared" si="2"/>
        <v>2.02</v>
      </c>
    </row>
    <row r="17" spans="1:11" x14ac:dyDescent="0.25">
      <c r="A17" t="s">
        <v>33</v>
      </c>
      <c r="B17">
        <v>1</v>
      </c>
      <c r="G17">
        <f t="shared" si="1"/>
        <v>0</v>
      </c>
      <c r="I17">
        <f t="shared" si="2"/>
        <v>0</v>
      </c>
    </row>
    <row r="18" spans="1:11" x14ac:dyDescent="0.25">
      <c r="A18" t="s">
        <v>18</v>
      </c>
      <c r="B18">
        <v>1</v>
      </c>
      <c r="C18" s="2">
        <v>22.25</v>
      </c>
      <c r="D18" s="2">
        <v>85.79</v>
      </c>
      <c r="E18" s="2">
        <v>85.79</v>
      </c>
      <c r="G18">
        <f t="shared" si="1"/>
        <v>4.45</v>
      </c>
      <c r="H18">
        <f t="shared" ref="H18:H25" si="5">D18/D$4</f>
        <v>3.4316000000000004</v>
      </c>
      <c r="I18">
        <f t="shared" si="2"/>
        <v>3.4316000000000004</v>
      </c>
    </row>
    <row r="19" spans="1:11" x14ac:dyDescent="0.25">
      <c r="A19" t="s">
        <v>8</v>
      </c>
      <c r="B19">
        <v>1</v>
      </c>
      <c r="C19">
        <v>1.03</v>
      </c>
      <c r="E19">
        <f>C19/C$4*D$4</f>
        <v>5.15</v>
      </c>
      <c r="G19">
        <f t="shared" si="1"/>
        <v>0.20600000000000002</v>
      </c>
      <c r="H19">
        <f t="shared" si="5"/>
        <v>0</v>
      </c>
      <c r="I19">
        <f t="shared" si="2"/>
        <v>0.20600000000000002</v>
      </c>
      <c r="K19" t="s">
        <v>34</v>
      </c>
    </row>
    <row r="20" spans="1:11" x14ac:dyDescent="0.25">
      <c r="A20" t="s">
        <v>14</v>
      </c>
      <c r="B20">
        <v>1</v>
      </c>
      <c r="C20">
        <v>26.04</v>
      </c>
      <c r="E20">
        <f t="shared" ref="E20:E25" si="6">C20/C$4*D$4</f>
        <v>130.20000000000002</v>
      </c>
      <c r="G20">
        <f t="shared" si="1"/>
        <v>5.2080000000000002</v>
      </c>
      <c r="H20">
        <f t="shared" si="5"/>
        <v>0</v>
      </c>
      <c r="I20">
        <f t="shared" si="2"/>
        <v>5.2080000000000011</v>
      </c>
      <c r="K20" s="2" t="s">
        <v>35</v>
      </c>
    </row>
    <row r="21" spans="1:11" x14ac:dyDescent="0.25">
      <c r="A21" t="s">
        <v>15</v>
      </c>
      <c r="B21">
        <v>1</v>
      </c>
      <c r="C21">
        <v>23.58</v>
      </c>
      <c r="E21">
        <f t="shared" si="6"/>
        <v>117.89999999999998</v>
      </c>
      <c r="G21">
        <f t="shared" si="1"/>
        <v>4.7159999999999993</v>
      </c>
      <c r="H21">
        <f t="shared" si="5"/>
        <v>0</v>
      </c>
      <c r="I21">
        <f t="shared" si="2"/>
        <v>4.7159999999999993</v>
      </c>
      <c r="K21" t="s">
        <v>36</v>
      </c>
    </row>
    <row r="22" spans="1:11" x14ac:dyDescent="0.25">
      <c r="A22" t="s">
        <v>16</v>
      </c>
      <c r="B22">
        <v>1</v>
      </c>
      <c r="C22">
        <v>53.66</v>
      </c>
      <c r="E22">
        <f t="shared" si="6"/>
        <v>268.29999999999995</v>
      </c>
      <c r="G22">
        <f t="shared" si="1"/>
        <v>10.731999999999999</v>
      </c>
      <c r="H22">
        <f t="shared" si="5"/>
        <v>0</v>
      </c>
      <c r="I22">
        <f t="shared" si="2"/>
        <v>10.731999999999998</v>
      </c>
    </row>
    <row r="23" spans="1:11" x14ac:dyDescent="0.25">
      <c r="A23" t="s">
        <v>19</v>
      </c>
      <c r="B23">
        <v>2</v>
      </c>
      <c r="C23">
        <v>5.8</v>
      </c>
      <c r="E23">
        <f t="shared" si="6"/>
        <v>28.999999999999996</v>
      </c>
      <c r="G23">
        <f t="shared" si="1"/>
        <v>1.1599999999999999</v>
      </c>
      <c r="H23">
        <f t="shared" si="5"/>
        <v>0</v>
      </c>
      <c r="I23">
        <f t="shared" si="2"/>
        <v>1.1599999999999999</v>
      </c>
    </row>
    <row r="24" spans="1:11" x14ac:dyDescent="0.25">
      <c r="A24" t="s">
        <v>20</v>
      </c>
      <c r="B24">
        <v>3</v>
      </c>
      <c r="C24">
        <v>6</v>
      </c>
      <c r="E24">
        <f t="shared" si="6"/>
        <v>30</v>
      </c>
      <c r="G24">
        <f t="shared" si="1"/>
        <v>1.2</v>
      </c>
      <c r="H24">
        <f t="shared" si="5"/>
        <v>0</v>
      </c>
      <c r="I24">
        <f t="shared" si="2"/>
        <v>1.2</v>
      </c>
    </row>
    <row r="25" spans="1:11" x14ac:dyDescent="0.25">
      <c r="A25" t="s">
        <v>21</v>
      </c>
      <c r="B25">
        <v>1</v>
      </c>
      <c r="C25">
        <v>6.5</v>
      </c>
      <c r="E25">
        <f t="shared" si="6"/>
        <v>32.5</v>
      </c>
      <c r="G25">
        <f t="shared" si="1"/>
        <v>1.3</v>
      </c>
      <c r="H25">
        <f t="shared" si="5"/>
        <v>0</v>
      </c>
      <c r="I25">
        <f t="shared" si="2"/>
        <v>1.3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Bestellungen Prototypen</vt:lpstr>
      <vt:lpstr>Kostenübersicht Prototypen</vt:lpstr>
      <vt:lpstr>Fehlende Komponenten</vt:lpstr>
      <vt:lpstr>Zusatzkosten Verbesserung V2</vt:lpstr>
      <vt:lpstr>Kostenabschätzung</vt:lpstr>
      <vt:lpstr>Kostenabschätzung Serie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2025-06-20T08:45:44Z</dcterms:created>
  <dcterms:modified xsi:type="dcterms:W3CDTF">2025-07-08T19:53:25Z</dcterms:modified>
</cp:coreProperties>
</file>