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5EF6FD3A-5058-4D4F-AD31-6163AF2CD626}"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1" i="9" l="1"/>
  <c r="AB21" i="9" s="1"/>
  <c r="AA22" i="9"/>
  <c r="AB22" i="9"/>
  <c r="AA42" i="9"/>
  <c r="AB42" i="9"/>
  <c r="AA43" i="9"/>
  <c r="AB43" i="9" s="1"/>
  <c r="AA44" i="9"/>
  <c r="AB44" i="9" s="1"/>
  <c r="AA45" i="9"/>
  <c r="AB45" i="9" s="1"/>
  <c r="AA46" i="9"/>
  <c r="AB46" i="9"/>
  <c r="AA47" i="9"/>
  <c r="AB47" i="9" s="1"/>
  <c r="AA48" i="9"/>
  <c r="AB48" i="9"/>
  <c r="AA49" i="9"/>
  <c r="AB49" i="9" s="1"/>
  <c r="AA50" i="9"/>
  <c r="AB50" i="9" s="1"/>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50" i="9"/>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48" i="9"/>
  <c r="AD48" i="9" s="1"/>
  <c r="AC127" i="9"/>
  <c r="AC72" i="9"/>
  <c r="AD72" i="9" s="1"/>
  <c r="AC98" i="9"/>
  <c r="AD98" i="9" s="1"/>
  <c r="AC96" i="9"/>
  <c r="AD96" i="9" s="1"/>
  <c r="AC49" i="9"/>
  <c r="AD49"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50" i="9"/>
  <c r="AD50"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M64" i="6" l="1"/>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Z135" i="9"/>
  <c r="Z108" i="9"/>
  <c r="Z19" i="9"/>
  <c r="AA19" i="9" s="1"/>
  <c r="AB19" i="9" s="1"/>
  <c r="AC25" i="9" s="1"/>
  <c r="AD25" i="9" s="1"/>
  <c r="Z87" i="9"/>
  <c r="Z8" i="9"/>
  <c r="AA8" i="9" s="1"/>
  <c r="AB8" i="9" s="1"/>
  <c r="Z124" i="9"/>
  <c r="Z58" i="9"/>
  <c r="Z50" i="9"/>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Z75" i="9"/>
  <c r="Z30" i="9"/>
  <c r="AA30" i="9" s="1"/>
  <c r="AB30" i="9" s="1"/>
  <c r="Z53" i="9"/>
  <c r="AA53" i="9" s="1"/>
  <c r="AB53" i="9" s="1"/>
  <c r="Z26" i="9"/>
  <c r="AA26" i="9" s="1"/>
  <c r="AB26" i="9" s="1"/>
  <c r="AC32" i="9" s="1"/>
  <c r="AD32" i="9" s="1"/>
  <c r="Z131" i="9"/>
  <c r="Z92" i="9"/>
  <c r="Z44" i="9"/>
  <c r="Z47" i="9"/>
  <c r="Z114" i="9"/>
  <c r="Z55" i="9"/>
  <c r="AA55" i="9" s="1"/>
  <c r="AB55" i="9" s="1"/>
  <c r="Z76" i="9"/>
  <c r="Z41" i="9"/>
  <c r="AA41" i="9" s="1"/>
  <c r="AB41" i="9" s="1"/>
  <c r="AC47" i="9" s="1"/>
  <c r="AD47" i="9" s="1"/>
  <c r="Z43" i="9"/>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Z65" i="9"/>
  <c r="Z70" i="9"/>
  <c r="Z71" i="9"/>
  <c r="Z116" i="9"/>
  <c r="Z117" i="9"/>
  <c r="Z56" i="9"/>
  <c r="AA56" i="9" s="1"/>
  <c r="AB56" i="9" s="1"/>
  <c r="AC62" i="9" s="1"/>
  <c r="AD62" i="9" s="1"/>
  <c r="Z69" i="9"/>
  <c r="Z120" i="9"/>
  <c r="Z46" i="9"/>
  <c r="Z36" i="9"/>
  <c r="AA36" i="9" s="1"/>
  <c r="AB36" i="9" s="1"/>
  <c r="AC42" i="9" s="1"/>
  <c r="AD42"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58" i="9" l="1"/>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<sst xmlns="http://schemas.openxmlformats.org/spreadsheetml/2006/main" count="1245" uniqueCount="500">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</sst>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 fontId="1" fillId="0" borderId="0" xfId="0" applyNumberFormat="1" applyFont="1"/>
    <xf numFmtId="21" fontId="0" fillId="0" borderId="0" xfId="0" applyNumberFormat="1"/>
    <xf numFmtId="177" fontId="1" fillId="0" borderId="0" xfId="0" applyNumberFormat="1" applyFont="1"/>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font>
      <fill>
        <patternFill>
          <bgColor theme="2" tint="-9.9948118533890809E-2"/>
        </patternFill>
      </fill>
    </dxf>
    <dxf>
      <font>
        <b/>
        <i val="0"/>
        <color rgb="FFC00000"/>
      </font>
      <fill>
        <patternFill>
          <bgColor rgb="FFFFFF00"/>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44.94</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53.95</c:v>
                </c:pt>
                <c:pt idx="35">
                  <c:v>44.94</c:v>
                </c:pt>
                <c:pt idx="36">
                  <c:v>39.349999999999994</c:v>
                </c:pt>
                <c:pt idx="37">
                  <c:v>31.239999999999995</c:v>
                </c:pt>
                <c:pt idx="38">
                  <c:v>15.11</c:v>
                </c:pt>
                <c:pt idx="39">
                  <c:v>8.01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70.79285714285713</c:v>
                </c:pt>
                <c:pt idx="35" formatCode="0">
                  <c:v>66.748571428571424</c:v>
                </c:pt>
                <c:pt idx="36" formatCode="0">
                  <c:v>61.967142857142854</c:v>
                </c:pt>
                <c:pt idx="37" formatCode="0">
                  <c:v>56.022857142857141</c:v>
                </c:pt>
                <c:pt idx="38" formatCode="0">
                  <c:v>47.329999999999991</c:v>
                </c:pt>
                <c:pt idx="39" formatCode="0">
                  <c:v>37.838571428571427</c:v>
                </c:pt>
                <c:pt idx="40" formatCode="0">
                  <c:v>27.514285714285716</c:v>
                </c:pt>
                <c:pt idx="41" formatCode="0">
                  <c:v>19.807142857142853</c:v>
                </c:pt>
                <c:pt idx="42" formatCode="0">
                  <c:v>13.387142857142857</c:v>
                </c:pt>
                <c:pt idx="43" formatCode="0">
                  <c:v>7.7657142857142842</c:v>
                </c:pt>
                <c:pt idx="44" formatCode="0">
                  <c:v>3.3028571428571425</c:v>
                </c:pt>
                <c:pt idx="45" formatCode="0">
                  <c:v>1.1442857142857144</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53.95</c:v>
                      </c:pt>
                      <c:pt idx="35">
                        <c:v>44.94</c:v>
                      </c:pt>
                      <c:pt idx="36">
                        <c:v>39.349999999999994</c:v>
                      </c:pt>
                      <c:pt idx="37">
                        <c:v>31.239999999999995</c:v>
                      </c:pt>
                      <c:pt idx="38">
                        <c:v>15.11</c:v>
                      </c:pt>
                      <c:pt idx="39">
                        <c:v>8.01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56.962016666666671</c:v>
                </c:pt>
                <c:pt idx="29">
                  <c:v>47.653766666666669</c:v>
                </c:pt>
                <c:pt idx="30">
                  <c:v>43.120433333333338</c:v>
                </c:pt>
                <c:pt idx="31">
                  <c:v>33.512691666666669</c:v>
                </c:pt>
                <c:pt idx="32">
                  <c:v>18.908291666666667</c:v>
                </c:pt>
                <c:pt idx="33">
                  <c:v>11.234666666666666</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53.95</c:v>
                </c:pt>
                <c:pt idx="35">
                  <c:v>44.94</c:v>
                </c:pt>
                <c:pt idx="36">
                  <c:v>39.349999999999994</c:v>
                </c:pt>
                <c:pt idx="37">
                  <c:v>31.239999999999995</c:v>
                </c:pt>
                <c:pt idx="38">
                  <c:v>15.11</c:v>
                </c:pt>
                <c:pt idx="39">
                  <c:v>8.01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56.962016666666671</c:v>
                </c:pt>
                <c:pt idx="35" formatCode="0.0">
                  <c:v>47.653766666666669</c:v>
                </c:pt>
                <c:pt idx="36" formatCode="0.0">
                  <c:v>43.120433333333338</c:v>
                </c:pt>
                <c:pt idx="37" formatCode="0.0">
                  <c:v>33.512691666666669</c:v>
                </c:pt>
                <c:pt idx="38" formatCode="0.0">
                  <c:v>18.908291666666667</c:v>
                </c:pt>
                <c:pt idx="39" formatCode="0.0">
                  <c:v>11.234666666666666</c:v>
                </c:pt>
                <c:pt idx="40" formatCode="0.0">
                  <c:v>0</c:v>
                </c:pt>
                <c:pt idx="41" formatCode="0.0">
                  <c:v>0</c:v>
                </c:pt>
                <c:pt idx="42" formatCode="0.0">
                  <c:v>0</c:v>
                </c:pt>
                <c:pt idx="43" formatCode="0.0">
                  <c:v>0</c:v>
                </c:pt>
                <c:pt idx="44" formatCode="0.0">
                  <c:v>0</c:v>
                </c:pt>
                <c:pt idx="45" formatCode="0.0">
                  <c:v>0</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topLeftCell="N1" zoomScale="90" zoomScaleNormal="90" workbookViewId="0">
      <pane ySplit="7" topLeftCell="A8" activePane="bottomLeft" state="frozen"/>
      <selection pane="bottomLeft" activeCell="AE36" sqref="AE3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26" max="26" width="12.5703125" style="869"/>
    <col min="32" max="32" width="21.28515625" customWidth="1"/>
  </cols>
  <sheetData>
    <row r="1" spans="1:35" ht="15.75" customHeight="1" x14ac:dyDescent="0.2">
      <c r="A1" s="1" t="s">
        <v>0</v>
      </c>
      <c r="B1" s="2">
        <v>0.10989583333333335</v>
      </c>
      <c r="C1" s="870" t="s">
        <v>1</v>
      </c>
      <c r="D1" s="871"/>
      <c r="E1" s="872"/>
      <c r="F1" s="3" t="s">
        <v>382</v>
      </c>
      <c r="G1" s="873" t="s">
        <v>460</v>
      </c>
      <c r="H1" s="873"/>
      <c r="I1" s="23" t="s">
        <v>2</v>
      </c>
      <c r="J1" s="873" t="s">
        <v>462</v>
      </c>
      <c r="K1" s="873"/>
      <c r="L1" s="886"/>
      <c r="M1" s="871"/>
      <c r="N1" s="872"/>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79" t="s">
        <v>5</v>
      </c>
      <c r="D2" s="875"/>
      <c r="E2" s="876"/>
      <c r="F2" s="7" t="s">
        <v>33</v>
      </c>
      <c r="G2" s="873" t="s">
        <v>457</v>
      </c>
      <c r="H2" s="873"/>
      <c r="I2" s="6"/>
      <c r="J2" s="4"/>
      <c r="L2" s="875"/>
      <c r="M2" s="875"/>
      <c r="N2" s="876"/>
      <c r="O2" s="16"/>
      <c r="P2" s="8"/>
      <c r="Q2" s="9"/>
      <c r="R2" s="4"/>
      <c r="S2" s="4"/>
      <c r="T2" s="4"/>
      <c r="U2" s="4"/>
      <c r="V2" s="4"/>
      <c r="W2" s="4"/>
      <c r="X2" s="4"/>
      <c r="Y2" s="4"/>
      <c r="Z2" s="4"/>
      <c r="AA2" s="4"/>
      <c r="AB2" s="4"/>
      <c r="AC2" s="4"/>
    </row>
    <row r="3" spans="1:35" ht="15.75" customHeight="1" x14ac:dyDescent="0.2">
      <c r="A3" s="10" t="s">
        <v>6</v>
      </c>
      <c r="B3" s="11">
        <v>45942</v>
      </c>
      <c r="C3" s="880" t="s">
        <v>7</v>
      </c>
      <c r="D3" s="877"/>
      <c r="E3" s="878"/>
      <c r="F3" s="7" t="s">
        <v>34</v>
      </c>
      <c r="G3" s="873" t="s">
        <v>458</v>
      </c>
      <c r="H3" s="873"/>
      <c r="I3" s="6"/>
      <c r="J3" s="4" t="s">
        <v>123</v>
      </c>
      <c r="K3">
        <f>'Daniel''s Tables'!$I$6</f>
        <v>61.766335932854794</v>
      </c>
      <c r="L3" s="875"/>
      <c r="M3" s="875"/>
      <c r="N3" s="876"/>
      <c r="O3" s="16"/>
      <c r="P3" s="6"/>
      <c r="Q3" s="4"/>
      <c r="R3" s="4"/>
      <c r="S3" s="4"/>
      <c r="T3" s="4"/>
      <c r="U3" s="4"/>
      <c r="V3" s="4"/>
      <c r="W3" s="4"/>
      <c r="X3" s="4"/>
      <c r="Y3" s="4"/>
      <c r="Z3" s="4"/>
      <c r="AA3" s="4"/>
      <c r="AB3" s="4"/>
      <c r="AC3" s="4"/>
    </row>
    <row r="4" spans="1:35" ht="15.75" customHeight="1" x14ac:dyDescent="0.2">
      <c r="A4" s="16"/>
      <c r="B4" s="6"/>
      <c r="C4" s="6"/>
      <c r="D4" s="6"/>
      <c r="E4" s="4"/>
      <c r="F4" s="12" t="s">
        <v>383</v>
      </c>
      <c r="G4" s="882" t="s">
        <v>461</v>
      </c>
      <c r="H4" s="882"/>
      <c r="I4" s="13"/>
      <c r="J4" s="850"/>
      <c r="K4" s="851"/>
      <c r="L4" s="877"/>
      <c r="M4" s="877"/>
      <c r="N4" s="878"/>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83" t="s">
        <v>9</v>
      </c>
      <c r="F6" s="875"/>
      <c r="G6" s="875"/>
      <c r="H6" s="875"/>
      <c r="I6" s="875"/>
      <c r="J6" s="875"/>
      <c r="K6" s="875"/>
      <c r="L6" s="875"/>
      <c r="M6" s="875"/>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1242">
        <f>((0.182258*(1/((H8/G8)*1440)*1609.344)+(0.000104*(1/((H8/G8)*1440)*1609.344)^2)-4.6)/$K$3)</f>
        <v>0.74839518519827219</v>
      </c>
      <c r="AA8" s="4">
        <f>IF(H8*G8,LOOKUP(Z8,'Daniel''s Tables'!$Z$135:$Z$214,'Daniel''s Tables'!$AB$135:$AB$214),0)</f>
        <v>0.34150000000000003</v>
      </c>
      <c r="AB8" s="1242">
        <f>H8*1440*AA8</f>
        <v>27.917625000000001</v>
      </c>
      <c r="AC8" s="4"/>
      <c r="AD8" s="1243"/>
      <c r="AF8" s="781"/>
      <c r="AG8" s="1243"/>
      <c r="AH8" s="1243"/>
      <c r="AI8" s="781"/>
    </row>
    <row r="9" spans="1:35" ht="15.75" customHeight="1" x14ac:dyDescent="0.2">
      <c r="A9" s="887"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1242">
        <f>((0.182258*(1/((H9/G9)*1440)*1609.344)+(0.000104*(1/((H9/G9)*1440)*1609.344)^2)-4.6)/$K$3)</f>
        <v>0.59796075788157688</v>
      </c>
      <c r="AA9" s="4">
        <f>IF(H9*G9,LOOKUP(Z9,'Daniel''s Tables'!$Z$135:$Z$214,'Daniel''s Tables'!$AB$135:$AB$214),0)</f>
        <v>0.10500000000000001</v>
      </c>
      <c r="AB9" s="1242">
        <f>H9*1440*AA9</f>
        <v>2.5830000000000006</v>
      </c>
      <c r="AC9" s="4"/>
    </row>
    <row r="10" spans="1:35" ht="15.75" customHeight="1" x14ac:dyDescent="0.2">
      <c r="A10" s="887"/>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1242">
        <f t="shared" ref="Z10:Z15" si="3">((0.182258*(1/((H10/G10)*1440)*1609.344)+(0.000104*(1/((H10/G10)*1440)*1609.344)^2)-4.6)/$K$3)</f>
        <v>0.62324847216559354</v>
      </c>
      <c r="AA10" s="4">
        <f>IF(H10*G10,LOOKUP(Z10,'Daniel''s Tables'!$Z$135:$Z$214,'Daniel''s Tables'!$AB$135:$AB$214),0)</f>
        <v>0.13500000000000001</v>
      </c>
      <c r="AB10" s="1242">
        <f t="shared" ref="AB10:AB15" si="4">H10*1440*AA10</f>
        <v>6.2077499999999999</v>
      </c>
      <c r="AC10" s="4"/>
    </row>
    <row r="11" spans="1:35" ht="15.75" customHeight="1" x14ac:dyDescent="0.2">
      <c r="A11" s="887"/>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1242">
        <f t="shared" si="3"/>
        <v>0.72600551752846498</v>
      </c>
      <c r="AA11" s="4">
        <f>IF(H11*G11,LOOKUP(Z11,'Daniel''s Tables'!$Z$135:$Z$214,'Daniel''s Tables'!$AB$135:$AB$214),0)</f>
        <v>0.3085</v>
      </c>
      <c r="AB11" s="1242">
        <f t="shared" si="4"/>
        <v>26.700675</v>
      </c>
      <c r="AC11" s="4"/>
    </row>
    <row r="12" spans="1:35" ht="15.75" customHeight="1" x14ac:dyDescent="0.2">
      <c r="A12" s="887"/>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1242">
        <f t="shared" si="3"/>
        <v>0.5105458725684231</v>
      </c>
      <c r="AA12" s="4">
        <f>IF(H12*G12,LOOKUP(Z12,'Daniel''s Tables'!$Z$135:$Z$214,'Daniel''s Tables'!$AB$135:$AB$214),0)</f>
        <v>0.1</v>
      </c>
      <c r="AB12" s="1242">
        <f t="shared" si="4"/>
        <v>7.7866666666666662</v>
      </c>
      <c r="AC12" s="4"/>
    </row>
    <row r="13" spans="1:35" ht="15.75" customHeight="1" x14ac:dyDescent="0.2">
      <c r="A13" s="887"/>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1242">
        <f t="shared" si="3"/>
        <v>0.64427765956277516</v>
      </c>
      <c r="AA13" s="4">
        <f>IF(H13*G13,LOOKUP(Z13,'Daniel''s Tables'!$Z$135:$Z$214,'Daniel''s Tables'!$AB$135:$AB$214),0)</f>
        <v>0.16700000000000001</v>
      </c>
      <c r="AB13" s="1242">
        <f t="shared" si="4"/>
        <v>7.5010833333333338</v>
      </c>
      <c r="AC13" s="4"/>
    </row>
    <row r="14" spans="1:35" ht="15.75" customHeight="1" x14ac:dyDescent="0.2">
      <c r="A14" s="887"/>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1242">
        <f t="shared" si="3"/>
        <v>0.62858524145477135</v>
      </c>
      <c r="AA14" s="4">
        <f>IF(H14*G14,LOOKUP(Z14,'Daniel''s Tables'!$Z$135:$Z$214,'Daniel''s Tables'!$AB$135:$AB$214),0)</f>
        <v>0.14250000000000002</v>
      </c>
      <c r="AB14" s="1242">
        <f t="shared" si="4"/>
        <v>6.4861250000000004</v>
      </c>
      <c r="AC14" s="1244">
        <f>SUM(AB8:AB14)</f>
        <v>85.182924999999997</v>
      </c>
      <c r="AD14" s="838">
        <f>AC14/7</f>
        <v>12.168989285714286</v>
      </c>
      <c r="AE14" s="1244">
        <f>SUM(AB7:AB13)</f>
        <v>78.696799999999996</v>
      </c>
    </row>
    <row r="15" spans="1:35" ht="15.75" customHeight="1" x14ac:dyDescent="0.2">
      <c r="A15" s="887"/>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1242">
        <f t="shared" si="3"/>
        <v>0.66519703248422546</v>
      </c>
      <c r="AA15" s="4">
        <f>IF(H15*G15,LOOKUP(Z15,'Daniel''s Tables'!$Z$135:$Z$214,'Daniel''s Tables'!$AB$135:$AB$214),0)</f>
        <v>0.20850000000000002</v>
      </c>
      <c r="AB15" s="1242">
        <f t="shared" si="4"/>
        <v>24.196425000000001</v>
      </c>
      <c r="AC15" s="1244">
        <f t="shared" ref="AC15:AC78" si="6">SUM(AB9:AB15)</f>
        <v>81.461725000000001</v>
      </c>
      <c r="AD15" s="838">
        <f t="shared" ref="AD15:AD78" si="7">AC15/7</f>
        <v>11.637389285714287</v>
      </c>
      <c r="AE15" s="1244">
        <f>SUM(AB9:AB15)</f>
        <v>81.461725000000001</v>
      </c>
    </row>
    <row r="16" spans="1:35" ht="15.75" customHeight="1" x14ac:dyDescent="0.2">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1242">
        <f t="shared" ref="Z16:Z79" si="11">((0.182258*(1/((H16/G16)*1440)*1609.344)+(0.000104*(1/((H16/G16)*1440)*1609.344)^2)-4.6)/$K$3)</f>
        <v>0.60022097243358241</v>
      </c>
      <c r="AA16" s="4">
        <f>IF(H16*G16,LOOKUP(Z16,'Daniel''s Tables'!$Z$135:$Z$214,'Daniel''s Tables'!$AB$135:$AB$214),0)</f>
        <v>0.11</v>
      </c>
      <c r="AB16" s="1242">
        <f t="shared" ref="AB16:AB79" si="12">H16*1440*AA16</f>
        <v>5.2139999999999995</v>
      </c>
      <c r="AC16" s="1244">
        <f t="shared" si="6"/>
        <v>84.092725000000002</v>
      </c>
      <c r="AD16" s="838">
        <f t="shared" si="7"/>
        <v>12.01324642857143</v>
      </c>
      <c r="AE16" s="838"/>
    </row>
    <row r="17" spans="1:31" ht="15.75" customHeight="1" x14ac:dyDescent="0.2">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1242">
        <f t="shared" si="11"/>
        <v>0.58330368980776448</v>
      </c>
      <c r="AA17" s="4">
        <f>IF(H17*G17,LOOKUP(Z17,'Daniel''s Tables'!$Z$135:$Z$214,'Daniel''s Tables'!$AB$135:$AB$214),0)</f>
        <v>0.1</v>
      </c>
      <c r="AB17" s="1242">
        <f t="shared" si="12"/>
        <v>5.831666666666667</v>
      </c>
      <c r="AC17" s="1244">
        <f t="shared" si="6"/>
        <v>83.716641666666661</v>
      </c>
      <c r="AD17" s="838">
        <f t="shared" si="7"/>
        <v>11.959520238095237</v>
      </c>
      <c r="AE17" s="838"/>
    </row>
    <row r="18" spans="1:31" ht="15.75" customHeight="1" x14ac:dyDescent="0.2">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1242">
        <f t="shared" si="11"/>
        <v>0.73885953947091809</v>
      </c>
      <c r="AA18" s="4">
        <f>IF(H18*G18,LOOKUP(Z18,'Daniel''s Tables'!$Z$135:$Z$214,'Daniel''s Tables'!$AB$135:$AB$214),0)</f>
        <v>0.32500000000000001</v>
      </c>
      <c r="AB18" s="1242">
        <f t="shared" si="12"/>
        <v>23.822500000000002</v>
      </c>
      <c r="AC18" s="1244">
        <f t="shared" si="6"/>
        <v>80.838466666666676</v>
      </c>
      <c r="AD18" s="838">
        <f t="shared" si="7"/>
        <v>11.548352380952382</v>
      </c>
      <c r="AE18" s="838"/>
    </row>
    <row r="19" spans="1:31" ht="15.75" customHeight="1" x14ac:dyDescent="0.2">
      <c r="A19" s="88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1242">
        <f t="shared" si="11"/>
        <v>0.64635319939207914</v>
      </c>
      <c r="AA19" s="4">
        <f>IF(H19*G19,LOOKUP(Z19,'Daniel''s Tables'!$Z$135:$Z$214,'Daniel''s Tables'!$AB$135:$AB$214),0)</f>
        <v>0.17499999999999999</v>
      </c>
      <c r="AB19" s="1242">
        <f t="shared" si="12"/>
        <v>6.9329166666666664</v>
      </c>
      <c r="AC19" s="1244">
        <f t="shared" si="6"/>
        <v>79.984716666666671</v>
      </c>
      <c r="AD19" s="838">
        <f t="shared" si="7"/>
        <v>11.426388095238096</v>
      </c>
      <c r="AE19" s="838"/>
    </row>
    <row r="20" spans="1:31" ht="15.75" customHeight="1" x14ac:dyDescent="0.2">
      <c r="A20" s="88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1242">
        <f t="shared" si="11"/>
        <v>0.55569371468304996</v>
      </c>
      <c r="AA20" s="4">
        <f>IF(H20*G20,LOOKUP(Z20,'Daniel''s Tables'!$Z$135:$Z$214,'Daniel''s Tables'!$AB$135:$AB$214),0)</f>
        <v>0.1</v>
      </c>
      <c r="AB20" s="1242">
        <f t="shared" si="12"/>
        <v>9.3250000000000011</v>
      </c>
      <c r="AC20" s="1244">
        <f t="shared" si="6"/>
        <v>81.808633333333347</v>
      </c>
      <c r="AD20" s="838">
        <f t="shared" si="7"/>
        <v>11.68694761904762</v>
      </c>
      <c r="AE20" s="838"/>
    </row>
    <row r="21" spans="1:31" ht="15.75" customHeight="1" x14ac:dyDescent="0.2">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1242" t="e">
        <f t="shared" si="11"/>
        <v>#DIV/0!</v>
      </c>
      <c r="AA21" s="4">
        <f>IF(H21*G21,LOOKUP(Z21,'Daniel''s Tables'!$Z$135:$Z$214,'Daniel''s Tables'!$AB$135:$AB$214),0)</f>
        <v>0</v>
      </c>
      <c r="AB21" s="1242">
        <f t="shared" si="12"/>
        <v>0</v>
      </c>
      <c r="AC21" s="1244">
        <f t="shared" si="6"/>
        <v>75.322508333333346</v>
      </c>
      <c r="AD21" s="838">
        <f t="shared" si="7"/>
        <v>10.760358333333334</v>
      </c>
      <c r="AE21" s="838"/>
    </row>
    <row r="22" spans="1:31" ht="15.75" customHeight="1" x14ac:dyDescent="0.2">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1242" t="e">
        <f t="shared" si="11"/>
        <v>#DIV/0!</v>
      </c>
      <c r="AA22" s="4">
        <f>IF(H22*G22,LOOKUP(Z22,'Daniel''s Tables'!$Z$135:$Z$214,'Daniel''s Tables'!$AB$135:$AB$214),0)</f>
        <v>0</v>
      </c>
      <c r="AB22" s="1242">
        <f t="shared" si="12"/>
        <v>0</v>
      </c>
      <c r="AC22" s="1244">
        <f t="shared" si="6"/>
        <v>51.126083333333334</v>
      </c>
      <c r="AD22" s="838">
        <f t="shared" si="7"/>
        <v>7.3037261904761905</v>
      </c>
      <c r="AE22" s="1244">
        <f>AC22</f>
        <v>51.126083333333334</v>
      </c>
    </row>
    <row r="23" spans="1:31" ht="15.75" customHeight="1" x14ac:dyDescent="0.2">
      <c r="A23" s="887"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1242">
        <f t="shared" si="11"/>
        <v>0.62056422282649149</v>
      </c>
      <c r="AA23" s="4">
        <f>IF(H23*G23,LOOKUP(Z23,'Daniel''s Tables'!$Z$135:$Z$214,'Daniel''s Tables'!$AB$135:$AB$214),0)</f>
        <v>0.13500000000000001</v>
      </c>
      <c r="AB23" s="1242">
        <f t="shared" si="12"/>
        <v>8.4195000000000011</v>
      </c>
      <c r="AC23" s="1244">
        <f t="shared" si="6"/>
        <v>54.331583333333334</v>
      </c>
      <c r="AD23" s="838">
        <f t="shared" si="7"/>
        <v>7.7616547619047624</v>
      </c>
      <c r="AE23" s="838"/>
    </row>
    <row r="24" spans="1:31" ht="15.75" customHeight="1" x14ac:dyDescent="0.2">
      <c r="A24" s="887"/>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1242">
        <f t="shared" si="11"/>
        <v>0.61465408414529643</v>
      </c>
      <c r="AA24" s="4">
        <f>IF(H24*G24,LOOKUP(Z24,'Daniel''s Tables'!$Z$135:$Z$214,'Daniel''s Tables'!$AB$135:$AB$214),0)</f>
        <v>0.122</v>
      </c>
      <c r="AB24" s="1242">
        <f t="shared" si="12"/>
        <v>7.7429333333333323</v>
      </c>
      <c r="AC24" s="1244">
        <f t="shared" si="6"/>
        <v>56.242850000000004</v>
      </c>
      <c r="AD24" s="838">
        <f t="shared" si="7"/>
        <v>8.0346928571428577</v>
      </c>
      <c r="AE24" s="838"/>
    </row>
    <row r="25" spans="1:31" ht="15.75" customHeight="1" x14ac:dyDescent="0.2">
      <c r="A25" s="887"/>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1242">
        <f t="shared" si="11"/>
        <v>0.71407767017553048</v>
      </c>
      <c r="AA25" s="4">
        <f>IF(H25*G25,LOOKUP(Z25,'Daniel''s Tables'!$Z$135:$Z$214,'Daniel''s Tables'!$AB$135:$AB$214),0)</f>
        <v>0.28299999999999997</v>
      </c>
      <c r="AB25" s="1242">
        <f t="shared" si="12"/>
        <v>23.432399999999998</v>
      </c>
      <c r="AC25" s="1244">
        <f t="shared" si="6"/>
        <v>55.85275</v>
      </c>
      <c r="AD25" s="838">
        <f t="shared" si="7"/>
        <v>7.9789642857142855</v>
      </c>
      <c r="AE25" s="838"/>
    </row>
    <row r="26" spans="1:31" ht="15.75" customHeight="1" x14ac:dyDescent="0.2">
      <c r="A26" s="887"/>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1242">
        <f t="shared" si="11"/>
        <v>0.57322620264552515</v>
      </c>
      <c r="AA26" s="4">
        <f>IF(H26*G26,LOOKUP(Z26,'Daniel''s Tables'!$Z$135:$Z$214,'Daniel''s Tables'!$AB$135:$AB$214),0)</f>
        <v>0.1</v>
      </c>
      <c r="AB26" s="1242">
        <f t="shared" si="12"/>
        <v>7.0233333333333334</v>
      </c>
      <c r="AC26" s="1244">
        <f t="shared" si="6"/>
        <v>55.943166666666663</v>
      </c>
      <c r="AD26" s="838">
        <f t="shared" si="7"/>
        <v>7.991880952380952</v>
      </c>
      <c r="AE26" s="838"/>
    </row>
    <row r="27" spans="1:31" ht="15.75" customHeight="1" x14ac:dyDescent="0.2">
      <c r="A27" s="887"/>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1242">
        <f t="shared" si="11"/>
        <v>0.76928974512989778</v>
      </c>
      <c r="AA27" s="4">
        <f>IF(H27*G27,LOOKUP(Z27,'Daniel''s Tables'!$Z$135:$Z$214,'Daniel''s Tables'!$AB$135:$AB$214),0)</f>
        <v>0.3795</v>
      </c>
      <c r="AB27" s="1242">
        <f t="shared" si="12"/>
        <v>35.318800000000003</v>
      </c>
      <c r="AC27" s="1244">
        <f t="shared" si="6"/>
        <v>81.936966666666663</v>
      </c>
      <c r="AD27" s="838">
        <f t="shared" si="7"/>
        <v>11.705280952380951</v>
      </c>
      <c r="AE27" s="838"/>
    </row>
    <row r="28" spans="1:31" ht="15.75" customHeight="1" x14ac:dyDescent="0.2">
      <c r="A28" s="887"/>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1242">
        <f t="shared" si="11"/>
        <v>0.59471399737527408</v>
      </c>
      <c r="AA28" s="4">
        <f>IF(H28*G28,LOOKUP(Z28,'Daniel''s Tables'!$Z$135:$Z$214,'Daniel''s Tables'!$AB$135:$AB$214),0)</f>
        <v>0.1</v>
      </c>
      <c r="AB28" s="1242">
        <f t="shared" si="12"/>
        <v>3.8250000000000002</v>
      </c>
      <c r="AC28" s="1244">
        <f t="shared" si="6"/>
        <v>85.761966666666666</v>
      </c>
      <c r="AD28" s="838">
        <f t="shared" si="7"/>
        <v>12.251709523809524</v>
      </c>
      <c r="AE28" s="1244">
        <f>AC28</f>
        <v>85.761966666666666</v>
      </c>
    </row>
    <row r="29" spans="1:31" ht="15.75" customHeight="1" x14ac:dyDescent="0.2">
      <c r="A29" s="887"/>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1242">
        <f t="shared" si="11"/>
        <v>0.67015735085043471</v>
      </c>
      <c r="AA29" s="4">
        <f>IF(H29*G29,LOOKUP(Z29,'Daniel''s Tables'!$Z$135:$Z$214,'Daniel''s Tables'!$AB$135:$AB$214),0)</f>
        <v>0.217</v>
      </c>
      <c r="AB29" s="1242">
        <f t="shared" si="12"/>
        <v>28.137666666666664</v>
      </c>
      <c r="AC29" s="1244">
        <f t="shared" si="6"/>
        <v>113.89963333333333</v>
      </c>
      <c r="AD29" s="838">
        <f t="shared" si="7"/>
        <v>16.27137619047619</v>
      </c>
      <c r="AE29" s="838"/>
    </row>
    <row r="30" spans="1:31" ht="15.75" customHeight="1" x14ac:dyDescent="0.2">
      <c r="A30" s="88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1242">
        <f t="shared" si="11"/>
        <v>0.58540107876597214</v>
      </c>
      <c r="AA30" s="4">
        <f>IF(H30*G30,LOOKUP(Z30,'Daniel''s Tables'!$Z$135:$Z$214,'Daniel''s Tables'!$AB$135:$AB$214),0)</f>
        <v>0.1</v>
      </c>
      <c r="AB30" s="1242">
        <f t="shared" si="12"/>
        <v>4.8283333333333331</v>
      </c>
      <c r="AC30" s="1244">
        <f t="shared" si="6"/>
        <v>110.30846666666667</v>
      </c>
      <c r="AD30" s="838">
        <f t="shared" si="7"/>
        <v>15.758352380952383</v>
      </c>
      <c r="AE30" s="838"/>
    </row>
    <row r="31" spans="1:31" ht="15.75" customHeight="1" x14ac:dyDescent="0.2">
      <c r="A31" s="88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1242">
        <f t="shared" si="11"/>
        <v>0.63063397078119721</v>
      </c>
      <c r="AA31" s="4">
        <f>IF(H31*G31,LOOKUP(Z31,'Daniel''s Tables'!$Z$135:$Z$214,'Daniel''s Tables'!$AB$135:$AB$214),0)</f>
        <v>0.15</v>
      </c>
      <c r="AB31" s="1242">
        <f t="shared" si="12"/>
        <v>9.1549999999999994</v>
      </c>
      <c r="AC31" s="1244">
        <f t="shared" si="6"/>
        <v>111.72053333333334</v>
      </c>
      <c r="AD31" s="838">
        <f t="shared" si="7"/>
        <v>15.96007619047619</v>
      </c>
      <c r="AE31" s="838"/>
    </row>
    <row r="32" spans="1:31" ht="15.75" customHeight="1" x14ac:dyDescent="0.2">
      <c r="A32" s="88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1242">
        <f t="shared" si="11"/>
        <v>0.78711770893603372</v>
      </c>
      <c r="AA32" s="4">
        <f>IF(H32*G32,LOOKUP(Z32,'Daniel''s Tables'!$Z$135:$Z$214,'Daniel''s Tables'!$AB$135:$AB$214),0)</f>
        <v>0.42949999999999999</v>
      </c>
      <c r="AB32" s="1242">
        <f t="shared" si="12"/>
        <v>35.304900000000004</v>
      </c>
      <c r="AC32" s="1244">
        <f t="shared" si="6"/>
        <v>123.59303333333334</v>
      </c>
      <c r="AD32" s="838">
        <f t="shared" si="7"/>
        <v>17.656147619047619</v>
      </c>
      <c r="AE32" s="838"/>
    </row>
    <row r="33" spans="1:31" ht="15.75" customHeight="1" x14ac:dyDescent="0.2">
      <c r="A33" s="88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1242">
        <f t="shared" si="11"/>
        <v>0.6180824086642851</v>
      </c>
      <c r="AA33" s="4">
        <f>IF(H33*G33,LOOKUP(Z33,'Daniel''s Tables'!$Z$135:$Z$214,'Daniel''s Tables'!$AB$135:$AB$214),0)</f>
        <v>0.1285</v>
      </c>
      <c r="AB33" s="1242">
        <f t="shared" si="12"/>
        <v>8.4938500000000001</v>
      </c>
      <c r="AC33" s="1244">
        <f t="shared" si="6"/>
        <v>125.06355000000001</v>
      </c>
      <c r="AD33" s="838">
        <f t="shared" si="7"/>
        <v>17.866221428571428</v>
      </c>
      <c r="AE33" s="838"/>
    </row>
    <row r="34" spans="1:31" ht="15.75" customHeight="1" x14ac:dyDescent="0.2">
      <c r="A34" s="88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1242">
        <f t="shared" si="11"/>
        <v>0.64731039274243607</v>
      </c>
      <c r="AA34" s="4">
        <f>IF(H34*G34,LOOKUP(Z34,'Daniel''s Tables'!$Z$135:$Z$214,'Daniel''s Tables'!$AB$135:$AB$214),0)</f>
        <v>0.17499999999999999</v>
      </c>
      <c r="AB34" s="1242">
        <f t="shared" si="12"/>
        <v>13.189166666666667</v>
      </c>
      <c r="AC34" s="1244">
        <f t="shared" si="6"/>
        <v>102.93391666666666</v>
      </c>
      <c r="AD34" s="838">
        <f t="shared" si="7"/>
        <v>14.704845238095237</v>
      </c>
      <c r="AE34" s="838"/>
    </row>
    <row r="35" spans="1:31" ht="15.75" customHeight="1" x14ac:dyDescent="0.2">
      <c r="A35" s="88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1242">
        <f t="shared" si="11"/>
        <v>0.78734860726730549</v>
      </c>
      <c r="AA35" s="4">
        <f>IF(H35*G35,LOOKUP(Z35,'Daniel''s Tables'!$Z$135:$Z$214,'Daniel''s Tables'!$AB$135:$AB$214),0)</f>
        <v>0.42949999999999999</v>
      </c>
      <c r="AB35" s="1242">
        <f t="shared" si="12"/>
        <v>49.664516666666671</v>
      </c>
      <c r="AC35" s="1244">
        <f t="shared" si="6"/>
        <v>148.77343333333334</v>
      </c>
      <c r="AD35" s="838">
        <f t="shared" si="7"/>
        <v>21.25334761904762</v>
      </c>
      <c r="AE35" s="838"/>
    </row>
    <row r="36" spans="1:31" ht="15.75" customHeight="1" x14ac:dyDescent="0.2">
      <c r="A36" s="88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1242">
        <f t="shared" si="11"/>
        <v>0.62053843302032408</v>
      </c>
      <c r="AA36" s="4">
        <f>IF(H36*G36,LOOKUP(Z36,'Daniel''s Tables'!$Z$135:$Z$214,'Daniel''s Tables'!$AB$135:$AB$214),0)</f>
        <v>0.13500000000000001</v>
      </c>
      <c r="AB36" s="1242">
        <f t="shared" si="12"/>
        <v>9.308250000000001</v>
      </c>
      <c r="AC36" s="1244">
        <f t="shared" si="6"/>
        <v>129.9440166666667</v>
      </c>
      <c r="AD36" s="838">
        <f t="shared" si="7"/>
        <v>18.563430952380958</v>
      </c>
      <c r="AE36" s="1244">
        <f>AC36</f>
        <v>129.9440166666667</v>
      </c>
    </row>
    <row r="37" spans="1:31" ht="15.75" customHeight="1" x14ac:dyDescent="0.2">
      <c r="A37" s="887"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1242">
        <f t="shared" si="11"/>
        <v>0.57740265404834135</v>
      </c>
      <c r="AA37" s="4">
        <f>IF(H37*G37,LOOKUP(Z37,'Daniel''s Tables'!$Z$135:$Z$214,'Daniel''s Tables'!$AB$135:$AB$214),0)</f>
        <v>0.1</v>
      </c>
      <c r="AB37" s="1242">
        <f t="shared" si="12"/>
        <v>4.5333333333333332</v>
      </c>
      <c r="AC37" s="1244">
        <f t="shared" si="6"/>
        <v>129.64901666666668</v>
      </c>
      <c r="AD37" s="838">
        <f t="shared" si="7"/>
        <v>18.521288095238098</v>
      </c>
      <c r="AE37" s="838"/>
    </row>
    <row r="38" spans="1:31" ht="15.75" customHeight="1" x14ac:dyDescent="0.2">
      <c r="A38" s="887"/>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1242">
        <f t="shared" si="11"/>
        <v>0.6389364174255765</v>
      </c>
      <c r="AA38" s="4">
        <f>IF(H38*G38,LOOKUP(Z38,'Daniel''s Tables'!$Z$135:$Z$214,'Daniel''s Tables'!$AB$135:$AB$214),0)</f>
        <v>0.1585</v>
      </c>
      <c r="AB38" s="1242">
        <f t="shared" si="12"/>
        <v>9.6077416666666675</v>
      </c>
      <c r="AC38" s="1244">
        <f t="shared" si="6"/>
        <v>130.10175833333332</v>
      </c>
      <c r="AD38" s="838">
        <f t="shared" si="7"/>
        <v>18.585965476190474</v>
      </c>
      <c r="AE38" s="838"/>
    </row>
    <row r="39" spans="1:31" ht="15.75" customHeight="1" x14ac:dyDescent="0.2">
      <c r="A39" s="887"/>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1242">
        <f t="shared" si="11"/>
        <v>0.60551088682109422</v>
      </c>
      <c r="AA39" s="4">
        <f>IF(H39*G39,LOOKUP(Z39,'Daniel''s Tables'!$Z$135:$Z$214,'Daniel''s Tables'!$AB$135:$AB$214),0)</f>
        <v>0.11599999999999999</v>
      </c>
      <c r="AB39" s="1242">
        <f t="shared" si="12"/>
        <v>14.604399999999998</v>
      </c>
      <c r="AC39" s="1244">
        <f t="shared" si="6"/>
        <v>109.40125833333333</v>
      </c>
      <c r="AD39" s="838">
        <f t="shared" si="7"/>
        <v>15.628751190476191</v>
      </c>
      <c r="AE39" s="838"/>
    </row>
    <row r="40" spans="1:31" ht="15.75" customHeight="1" x14ac:dyDescent="0.2">
      <c r="A40" s="887"/>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1242">
        <f t="shared" si="11"/>
        <v>0.62745357709059968</v>
      </c>
      <c r="AA40" s="4">
        <f>IF(H40*G40,LOOKUP(Z40,'Daniel''s Tables'!$Z$135:$Z$214,'Daniel''s Tables'!$AB$135:$AB$214),0)</f>
        <v>0.14250000000000002</v>
      </c>
      <c r="AB40" s="1242">
        <f t="shared" si="12"/>
        <v>7.6736250000000013</v>
      </c>
      <c r="AC40" s="1244">
        <f t="shared" si="6"/>
        <v>108.58103333333334</v>
      </c>
      <c r="AD40" s="838">
        <f t="shared" si="7"/>
        <v>15.511576190476191</v>
      </c>
      <c r="AE40" s="838"/>
    </row>
    <row r="41" spans="1:31" ht="15.75" customHeight="1" x14ac:dyDescent="0.2">
      <c r="A41" s="887"/>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1.5534027777777777</v>
      </c>
      <c r="Q41" s="865"/>
      <c r="R41" s="4"/>
      <c r="T41" s="16">
        <f t="shared" si="5"/>
        <v>72.27</v>
      </c>
      <c r="U41" s="868">
        <f t="shared" si="8"/>
        <v>74.838571428571427</v>
      </c>
      <c r="V41" s="4">
        <v>70</v>
      </c>
      <c r="W41" s="4">
        <f t="shared" si="9"/>
        <v>76</v>
      </c>
      <c r="X41" s="868">
        <f t="shared" si="10"/>
        <v>75.571428571428569</v>
      </c>
      <c r="Y41" s="4"/>
      <c r="Z41" s="1242">
        <f t="shared" si="11"/>
        <v>0.65519307658774717</v>
      </c>
      <c r="AA41" s="4">
        <f>IF(H41*G41,LOOKUP(Z41,'Daniel''s Tables'!$Z$135:$Z$214,'Daniel''s Tables'!$AB$135:$AB$214),0)</f>
        <v>0.1915</v>
      </c>
      <c r="AB41" s="1242">
        <f t="shared" si="12"/>
        <v>11.234666666666666</v>
      </c>
      <c r="AC41" s="1244">
        <f t="shared" si="6"/>
        <v>106.62653333333334</v>
      </c>
      <c r="AD41" s="838">
        <f t="shared" si="7"/>
        <v>15.232361904761905</v>
      </c>
      <c r="AE41" s="838"/>
    </row>
    <row r="42" spans="1:31" ht="15.75" customHeight="1" x14ac:dyDescent="0.2">
      <c r="A42" s="887"/>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0.23914351851851851</v>
      </c>
      <c r="O42" s="858"/>
      <c r="P42" s="863">
        <f>N43+P35</f>
        <v>292.23</v>
      </c>
      <c r="Q42" s="866"/>
      <c r="R42" s="4"/>
      <c r="T42" s="16">
        <f t="shared" si="5"/>
        <v>53.95</v>
      </c>
      <c r="U42" s="868">
        <f t="shared" si="8"/>
        <v>70.79285714285713</v>
      </c>
      <c r="V42" s="4">
        <v>70</v>
      </c>
      <c r="W42" s="4">
        <f t="shared" si="9"/>
        <v>64</v>
      </c>
      <c r="X42" s="868">
        <f t="shared" si="10"/>
        <v>73</v>
      </c>
      <c r="Y42" s="4"/>
      <c r="Z42" s="1242" t="e">
        <f t="shared" si="11"/>
        <v>#DIV/0!</v>
      </c>
      <c r="AA42" s="4">
        <f>IF(H42*G42,LOOKUP(Z42,'Daniel''s Tables'!$Z$135:$Z$214,'Daniel''s Tables'!$AB$135:$AB$214),0)</f>
        <v>0</v>
      </c>
      <c r="AB42" s="1242">
        <f t="shared" si="12"/>
        <v>0</v>
      </c>
      <c r="AC42" s="1244">
        <f t="shared" si="6"/>
        <v>56.962016666666671</v>
      </c>
      <c r="AD42" s="838">
        <f t="shared" si="7"/>
        <v>8.1374309523809529</v>
      </c>
      <c r="AE42" s="838"/>
    </row>
    <row r="43" spans="1:31" ht="15.75" customHeight="1" x14ac:dyDescent="0.2">
      <c r="A43" s="887"/>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44.94</v>
      </c>
      <c r="O43" s="858"/>
      <c r="P43" s="863">
        <f>M43+P36</f>
        <v>352</v>
      </c>
      <c r="Q43" s="862">
        <f>P42/P43</f>
        <v>0.83019886363636364</v>
      </c>
      <c r="R43" s="4"/>
      <c r="T43" s="16">
        <f t="shared" si="5"/>
        <v>44.94</v>
      </c>
      <c r="U43" s="868">
        <f t="shared" si="8"/>
        <v>66.748571428571424</v>
      </c>
      <c r="V43" s="4">
        <v>70</v>
      </c>
      <c r="W43" s="4">
        <f t="shared" si="9"/>
        <v>72</v>
      </c>
      <c r="X43" s="868">
        <f t="shared" si="10"/>
        <v>72.714285714285708</v>
      </c>
      <c r="Y43" s="4"/>
      <c r="Z43" s="1242" t="e">
        <f t="shared" si="11"/>
        <v>#DIV/0!</v>
      </c>
      <c r="AA43" s="4">
        <f>IF(H43*G43,LOOKUP(Z43,'Daniel''s Tables'!$Z$135:$Z$214,'Daniel''s Tables'!$AB$135:$AB$214),0)</f>
        <v>0</v>
      </c>
      <c r="AB43" s="1242">
        <f t="shared" si="12"/>
        <v>0</v>
      </c>
      <c r="AC43" s="1244">
        <f t="shared" si="6"/>
        <v>47.653766666666669</v>
      </c>
      <c r="AD43" s="838">
        <f t="shared" si="7"/>
        <v>6.8076809523809532</v>
      </c>
      <c r="AE43" s="838">
        <f>AC43</f>
        <v>47.653766666666669</v>
      </c>
    </row>
    <row r="44" spans="1:31" ht="15.75" customHeight="1" x14ac:dyDescent="0.2">
      <c r="A44" s="885"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5"/>
        <v>39.349999999999994</v>
      </c>
      <c r="U44" s="868">
        <f t="shared" si="8"/>
        <v>61.967142857142854</v>
      </c>
      <c r="V44" s="4">
        <v>70</v>
      </c>
      <c r="W44" s="4">
        <f t="shared" si="9"/>
        <v>74</v>
      </c>
      <c r="X44" s="868">
        <f t="shared" si="10"/>
        <v>72.714285714285708</v>
      </c>
      <c r="Y44" s="4"/>
      <c r="Z44" s="1242" t="e">
        <f t="shared" si="11"/>
        <v>#DIV/0!</v>
      </c>
      <c r="AA44" s="4">
        <f>IF(H44*G44,LOOKUP(Z44,'Daniel''s Tables'!$Z$135:$Z$214,'Daniel''s Tables'!$AB$135:$AB$214),0)</f>
        <v>0</v>
      </c>
      <c r="AB44" s="1242">
        <f t="shared" si="12"/>
        <v>0</v>
      </c>
      <c r="AC44" s="1244">
        <f t="shared" si="6"/>
        <v>43.120433333333338</v>
      </c>
      <c r="AD44" s="838">
        <f t="shared" si="7"/>
        <v>6.1600619047619052</v>
      </c>
      <c r="AE44" s="838"/>
    </row>
    <row r="45" spans="1:31" ht="15.75" customHeight="1" x14ac:dyDescent="0.2">
      <c r="A45" s="885"/>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SUM(G39:G45)</f>
        <v>31.239999999999995</v>
      </c>
      <c r="U45" s="868">
        <f t="shared" si="8"/>
        <v>56.022857142857141</v>
      </c>
      <c r="V45" s="4">
        <v>70</v>
      </c>
      <c r="W45" s="4">
        <f t="shared" si="9"/>
        <v>71</v>
      </c>
      <c r="X45" s="868">
        <f t="shared" si="10"/>
        <v>72.285714285714292</v>
      </c>
      <c r="Y45" s="4"/>
      <c r="Z45" s="1242" t="e">
        <f t="shared" si="11"/>
        <v>#DIV/0!</v>
      </c>
      <c r="AA45" s="4">
        <f>IF(H45*G45,LOOKUP(Z45,'Daniel''s Tables'!$Z$135:$Z$214,'Daniel''s Tables'!$AB$135:$AB$214),0)</f>
        <v>0</v>
      </c>
      <c r="AB45" s="1242">
        <f t="shared" si="12"/>
        <v>0</v>
      </c>
      <c r="AC45" s="1244">
        <f t="shared" si="6"/>
        <v>33.512691666666669</v>
      </c>
      <c r="AD45" s="838">
        <f t="shared" si="7"/>
        <v>4.7875273809523815</v>
      </c>
      <c r="AE45" s="838"/>
    </row>
    <row r="46" spans="1:31" ht="15.75" customHeight="1" x14ac:dyDescent="0.2">
      <c r="A46" s="885"/>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SUM(G40:G46)</f>
        <v>15.11</v>
      </c>
      <c r="U46" s="868">
        <f t="shared" si="8"/>
        <v>47.329999999999991</v>
      </c>
      <c r="V46" s="4">
        <v>70</v>
      </c>
      <c r="W46" s="4">
        <f t="shared" si="9"/>
        <v>62</v>
      </c>
      <c r="X46" s="868">
        <f t="shared" si="10"/>
        <v>70.428571428571431</v>
      </c>
      <c r="Y46" s="4"/>
      <c r="Z46" s="1242" t="e">
        <f t="shared" si="11"/>
        <v>#DIV/0!</v>
      </c>
      <c r="AA46" s="4">
        <f>IF(H46*G46,LOOKUP(Z46,'Daniel''s Tables'!$Z$135:$Z$214,'Daniel''s Tables'!$AB$135:$AB$214),0)</f>
        <v>0</v>
      </c>
      <c r="AB46" s="1242">
        <f t="shared" si="12"/>
        <v>0</v>
      </c>
      <c r="AC46" s="1244">
        <f t="shared" si="6"/>
        <v>18.908291666666667</v>
      </c>
      <c r="AD46" s="838">
        <f t="shared" si="7"/>
        <v>2.7011845238095238</v>
      </c>
      <c r="AE46" s="838"/>
    </row>
    <row r="47" spans="1:31" ht="15.75" customHeight="1" x14ac:dyDescent="0.2">
      <c r="A47" s="885"/>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5"/>
        <v>8.01</v>
      </c>
      <c r="U47" s="868">
        <f t="shared" si="8"/>
        <v>37.838571428571427</v>
      </c>
      <c r="V47" s="4">
        <v>70</v>
      </c>
      <c r="W47" s="4">
        <f t="shared" si="9"/>
        <v>61</v>
      </c>
      <c r="X47" s="868">
        <f t="shared" si="10"/>
        <v>68.571428571428569</v>
      </c>
      <c r="Y47" s="4"/>
      <c r="Z47" s="1242" t="e">
        <f t="shared" si="11"/>
        <v>#DIV/0!</v>
      </c>
      <c r="AA47" s="4">
        <f>IF(H47*G47,LOOKUP(Z47,'Daniel''s Tables'!$Z$135:$Z$214,'Daniel''s Tables'!$AB$135:$AB$214),0)</f>
        <v>0</v>
      </c>
      <c r="AB47" s="1242">
        <f t="shared" si="12"/>
        <v>0</v>
      </c>
      <c r="AC47" s="1244">
        <f t="shared" si="6"/>
        <v>11.234666666666666</v>
      </c>
      <c r="AD47" s="838">
        <f t="shared" si="7"/>
        <v>1.6049523809523809</v>
      </c>
      <c r="AE47" s="838"/>
    </row>
    <row r="48" spans="1:31" ht="15.75" customHeight="1" x14ac:dyDescent="0.2">
      <c r="A48" s="885"/>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1.5534027777777777</v>
      </c>
      <c r="Q48" s="865"/>
      <c r="R48" s="4"/>
      <c r="T48" s="16">
        <f t="shared" si="5"/>
        <v>0</v>
      </c>
      <c r="U48" s="868">
        <f t="shared" si="8"/>
        <v>27.514285714285716</v>
      </c>
      <c r="V48" s="4">
        <v>70</v>
      </c>
      <c r="W48" s="4">
        <f t="shared" si="9"/>
        <v>68</v>
      </c>
      <c r="X48" s="868">
        <f t="shared" si="10"/>
        <v>67.428571428571431</v>
      </c>
      <c r="Y48" s="4"/>
      <c r="Z48" s="1242" t="e">
        <f t="shared" si="11"/>
        <v>#DIV/0!</v>
      </c>
      <c r="AA48" s="4">
        <f>IF(H48*G48,LOOKUP(Z48,'Daniel''s Tables'!$Z$135:$Z$214,'Daniel''s Tables'!$AB$135:$AB$214),0)</f>
        <v>0</v>
      </c>
      <c r="AB48" s="1242">
        <f t="shared" si="12"/>
        <v>0</v>
      </c>
      <c r="AC48" s="1244">
        <f t="shared" si="6"/>
        <v>0</v>
      </c>
      <c r="AD48" s="838">
        <f t="shared" si="7"/>
        <v>0</v>
      </c>
      <c r="AE48" s="838"/>
    </row>
    <row r="49" spans="1:31" ht="15.75" customHeight="1" x14ac:dyDescent="0.2">
      <c r="A49" s="885"/>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292.23</v>
      </c>
      <c r="Q49" s="866"/>
      <c r="R49" s="25"/>
      <c r="T49" s="16">
        <f t="shared" si="5"/>
        <v>0</v>
      </c>
      <c r="U49" s="868">
        <f t="shared" si="8"/>
        <v>19.807142857142853</v>
      </c>
      <c r="V49" s="4">
        <v>70</v>
      </c>
      <c r="W49" s="4">
        <f t="shared" si="9"/>
        <v>68</v>
      </c>
      <c r="X49" s="868">
        <f t="shared" si="10"/>
        <v>68</v>
      </c>
      <c r="Y49" s="4"/>
      <c r="Z49" s="1242" t="e">
        <f t="shared" si="11"/>
        <v>#DIV/0!</v>
      </c>
      <c r="AA49" s="4">
        <f>IF(H49*G49,LOOKUP(Z49,'Daniel''s Tables'!$Z$135:$Z$214,'Daniel''s Tables'!$AB$135:$AB$214),0)</f>
        <v>0</v>
      </c>
      <c r="AB49" s="1242">
        <f t="shared" si="12"/>
        <v>0</v>
      </c>
      <c r="AC49" s="1244">
        <f t="shared" si="6"/>
        <v>0</v>
      </c>
      <c r="AD49" s="838">
        <f t="shared" si="7"/>
        <v>0</v>
      </c>
      <c r="AE49" s="838"/>
    </row>
    <row r="50" spans="1:31" ht="15.75" customHeight="1" x14ac:dyDescent="0.2">
      <c r="A50" s="885"/>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0.69413301662707838</v>
      </c>
      <c r="R50" s="4"/>
      <c r="T50" s="16">
        <f t="shared" si="5"/>
        <v>0</v>
      </c>
      <c r="U50" s="868">
        <f t="shared" si="8"/>
        <v>13.387142857142857</v>
      </c>
      <c r="V50" s="4">
        <v>70</v>
      </c>
      <c r="W50" s="4">
        <f t="shared" si="9"/>
        <v>69</v>
      </c>
      <c r="X50" s="868">
        <f t="shared" si="10"/>
        <v>67.571428571428569</v>
      </c>
      <c r="Y50" s="4"/>
      <c r="Z50" s="1242" t="e">
        <f t="shared" si="11"/>
        <v>#DIV/0!</v>
      </c>
      <c r="AA50" s="4">
        <f>IF(H50*G50,LOOKUP(Z50,'Daniel''s Tables'!$Z$135:$Z$214,'Daniel''s Tables'!$AB$135:$AB$214),0)</f>
        <v>0</v>
      </c>
      <c r="AB50" s="1242">
        <f t="shared" si="12"/>
        <v>0</v>
      </c>
      <c r="AC50" s="1244">
        <f t="shared" si="6"/>
        <v>0</v>
      </c>
      <c r="AD50" s="838">
        <f t="shared" si="7"/>
        <v>0</v>
      </c>
      <c r="AE50" s="838">
        <f>AC50</f>
        <v>0</v>
      </c>
    </row>
    <row r="51" spans="1:31" ht="15.75" customHeight="1" x14ac:dyDescent="0.2">
      <c r="A51" s="887"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0</v>
      </c>
      <c r="U51" s="868">
        <f t="shared" si="8"/>
        <v>7.7657142857142842</v>
      </c>
      <c r="V51" s="4">
        <v>70</v>
      </c>
      <c r="W51" s="4">
        <f t="shared" si="9"/>
        <v>69</v>
      </c>
      <c r="X51" s="868">
        <f t="shared" si="10"/>
        <v>66.857142857142861</v>
      </c>
      <c r="Y51" s="4"/>
      <c r="Z51" s="1242" t="e">
        <f t="shared" si="11"/>
        <v>#DIV/0!</v>
      </c>
      <c r="AA51" s="4">
        <f>IF(H51*G51,LOOKUP(Z51,'Daniel''s Tables'!$Z$135:$Z$214,'Daniel''s Tables'!$AB$135:$AB$214),0)</f>
        <v>0</v>
      </c>
      <c r="AB51" s="1242">
        <f t="shared" si="12"/>
        <v>0</v>
      </c>
      <c r="AC51" s="1244">
        <f t="shared" si="6"/>
        <v>0</v>
      </c>
      <c r="AD51" s="838">
        <f t="shared" si="7"/>
        <v>0</v>
      </c>
      <c r="AE51" s="838"/>
    </row>
    <row r="52" spans="1:31" ht="15.75" customHeight="1" x14ac:dyDescent="0.2">
      <c r="A52" s="887"/>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0</v>
      </c>
      <c r="U52" s="868">
        <f t="shared" si="8"/>
        <v>3.3028571428571425</v>
      </c>
      <c r="V52" s="4">
        <v>70</v>
      </c>
      <c r="W52" s="4">
        <f t="shared" si="9"/>
        <v>74</v>
      </c>
      <c r="X52" s="868">
        <f t="shared" si="10"/>
        <v>67.285714285714292</v>
      </c>
      <c r="Y52" s="4"/>
      <c r="Z52" s="1242" t="e">
        <f t="shared" si="11"/>
        <v>#DIV/0!</v>
      </c>
      <c r="AA52" s="4">
        <f>IF(H52*G52,LOOKUP(Z52,'Daniel''s Tables'!$Z$135:$Z$214,'Daniel''s Tables'!$AB$135:$AB$214),0)</f>
        <v>0</v>
      </c>
      <c r="AB52" s="1242">
        <f t="shared" si="12"/>
        <v>0</v>
      </c>
      <c r="AC52" s="1244">
        <f t="shared" si="6"/>
        <v>0</v>
      </c>
      <c r="AD52" s="838">
        <f t="shared" si="7"/>
        <v>0</v>
      </c>
      <c r="AE52" s="838"/>
    </row>
    <row r="53" spans="1:31" ht="15.75" customHeight="1" x14ac:dyDescent="0.2">
      <c r="A53" s="887"/>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0</v>
      </c>
      <c r="U53" s="868">
        <f t="shared" si="8"/>
        <v>1.1442857142857144</v>
      </c>
      <c r="V53" s="4">
        <v>70</v>
      </c>
      <c r="W53" s="4">
        <f t="shared" si="9"/>
        <v>74</v>
      </c>
      <c r="X53" s="868">
        <f t="shared" si="10"/>
        <v>69</v>
      </c>
      <c r="Y53" s="4"/>
      <c r="Z53" s="1242" t="e">
        <f t="shared" si="11"/>
        <v>#DIV/0!</v>
      </c>
      <c r="AA53" s="4">
        <f>IF(H53*G53,LOOKUP(Z53,'Daniel''s Tables'!$Z$135:$Z$214,'Daniel''s Tables'!$AB$135:$AB$214),0)</f>
        <v>0</v>
      </c>
      <c r="AB53" s="1242">
        <f t="shared" si="12"/>
        <v>0</v>
      </c>
      <c r="AC53" s="1244">
        <f t="shared" si="6"/>
        <v>0</v>
      </c>
      <c r="AD53" s="838">
        <f t="shared" si="7"/>
        <v>0</v>
      </c>
      <c r="AE53" s="838"/>
    </row>
    <row r="54" spans="1:31" ht="15.75" customHeight="1" x14ac:dyDescent="0.2">
      <c r="A54" s="887"/>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0</v>
      </c>
      <c r="U54" s="868">
        <f t="shared" si="8"/>
        <v>0</v>
      </c>
      <c r="V54" s="4">
        <v>70</v>
      </c>
      <c r="W54" s="4">
        <f t="shared" si="9"/>
        <v>84</v>
      </c>
      <c r="X54" s="868">
        <f t="shared" si="10"/>
        <v>72.285714285714292</v>
      </c>
      <c r="Y54" s="4"/>
      <c r="Z54" s="1242" t="e">
        <f t="shared" si="11"/>
        <v>#DIV/0!</v>
      </c>
      <c r="AA54" s="4">
        <f>IF(H54*G54,LOOKUP(Z54,'Daniel''s Tables'!$Z$135:$Z$214,'Daniel''s Tables'!$AB$135:$AB$214),0)</f>
        <v>0</v>
      </c>
      <c r="AB54" s="1242">
        <f t="shared" si="12"/>
        <v>0</v>
      </c>
      <c r="AC54" s="1244">
        <f t="shared" si="6"/>
        <v>0</v>
      </c>
      <c r="AD54" s="838">
        <f t="shared" si="7"/>
        <v>0</v>
      </c>
      <c r="AE54" s="838"/>
    </row>
    <row r="55" spans="1:31" ht="15.75" customHeight="1" x14ac:dyDescent="0.2">
      <c r="A55" s="887"/>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1.5534027777777777</v>
      </c>
      <c r="Q55" s="865"/>
      <c r="R55" s="4"/>
      <c r="T55" s="16">
        <f t="shared" si="5"/>
        <v>0</v>
      </c>
      <c r="U55" s="868">
        <f t="shared" si="8"/>
        <v>0</v>
      </c>
      <c r="V55" s="4">
        <v>70</v>
      </c>
      <c r="W55" s="4">
        <f t="shared" si="9"/>
        <v>77</v>
      </c>
      <c r="X55" s="868">
        <f t="shared" si="10"/>
        <v>73.571428571428569</v>
      </c>
      <c r="Y55" s="4"/>
      <c r="Z55" s="1242" t="e">
        <f t="shared" si="11"/>
        <v>#DIV/0!</v>
      </c>
      <c r="AA55" s="4">
        <f>IF(H55*G55,LOOKUP(Z55,'Daniel''s Tables'!$Z$135:$Z$214,'Daniel''s Tables'!$AB$135:$AB$214),0)</f>
        <v>0</v>
      </c>
      <c r="AB55" s="1242">
        <f t="shared" si="12"/>
        <v>0</v>
      </c>
      <c r="AC55" s="1244">
        <f t="shared" si="6"/>
        <v>0</v>
      </c>
      <c r="AD55" s="838">
        <f t="shared" si="7"/>
        <v>0</v>
      </c>
      <c r="AE55" s="838"/>
    </row>
    <row r="56" spans="1:31" ht="15.75" customHeight="1" x14ac:dyDescent="0.2">
      <c r="A56" s="887"/>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292.23</v>
      </c>
      <c r="Q56" s="866"/>
      <c r="R56" s="4"/>
      <c r="T56" s="16">
        <f t="shared" si="5"/>
        <v>0</v>
      </c>
      <c r="U56" s="868">
        <f t="shared" si="8"/>
        <v>0</v>
      </c>
      <c r="V56" s="4">
        <v>70</v>
      </c>
      <c r="W56" s="4">
        <f t="shared" si="9"/>
        <v>79</v>
      </c>
      <c r="X56" s="868">
        <f t="shared" si="10"/>
        <v>75.142857142857139</v>
      </c>
      <c r="Y56" s="4"/>
      <c r="Z56" s="1242" t="e">
        <f t="shared" si="11"/>
        <v>#DIV/0!</v>
      </c>
      <c r="AA56" s="4">
        <f>IF(H56*G56,LOOKUP(Z56,'Daniel''s Tables'!$Z$135:$Z$214,'Daniel''s Tables'!$AB$135:$AB$214),0)</f>
        <v>0</v>
      </c>
      <c r="AB56" s="1242">
        <f t="shared" si="12"/>
        <v>0</v>
      </c>
      <c r="AC56" s="1244">
        <f t="shared" si="6"/>
        <v>0</v>
      </c>
      <c r="AD56" s="838">
        <f t="shared" si="7"/>
        <v>0</v>
      </c>
      <c r="AE56" s="838"/>
    </row>
    <row r="57" spans="1:31" ht="15.75" customHeight="1" x14ac:dyDescent="0.2">
      <c r="A57" s="887"/>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501</v>
      </c>
      <c r="Q57" s="862">
        <f>P56/P57</f>
        <v>0.58329341317365269</v>
      </c>
      <c r="R57" s="4"/>
      <c r="T57" s="16">
        <f t="shared" si="5"/>
        <v>0</v>
      </c>
      <c r="U57" s="868">
        <f t="shared" si="8"/>
        <v>0</v>
      </c>
      <c r="V57" s="4">
        <v>70</v>
      </c>
      <c r="W57" s="4">
        <f t="shared" si="9"/>
        <v>80</v>
      </c>
      <c r="X57" s="868">
        <f t="shared" si="10"/>
        <v>76.714285714285708</v>
      </c>
      <c r="Y57" s="4"/>
      <c r="Z57" s="1242" t="e">
        <f t="shared" si="11"/>
        <v>#DIV/0!</v>
      </c>
      <c r="AA57" s="4">
        <f>IF(H57*G57,LOOKUP(Z57,'Daniel''s Tables'!$Z$135:$Z$214,'Daniel''s Tables'!$AB$135:$AB$214),0)</f>
        <v>0</v>
      </c>
      <c r="AB57" s="1242">
        <f t="shared" si="12"/>
        <v>0</v>
      </c>
      <c r="AC57" s="1244">
        <f t="shared" si="6"/>
        <v>0</v>
      </c>
      <c r="AD57" s="838">
        <f t="shared" si="7"/>
        <v>0</v>
      </c>
      <c r="AE57" s="838">
        <f>AC57</f>
        <v>0</v>
      </c>
    </row>
    <row r="58" spans="1:31" ht="15.75" customHeight="1" x14ac:dyDescent="0.2">
      <c r="A58" s="885"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0</v>
      </c>
      <c r="V58" s="4">
        <v>70</v>
      </c>
      <c r="W58" s="4">
        <f t="shared" si="9"/>
        <v>79</v>
      </c>
      <c r="X58" s="868">
        <f t="shared" si="10"/>
        <v>78.142857142857139</v>
      </c>
      <c r="Y58" s="4"/>
      <c r="Z58" s="1242" t="e">
        <f t="shared" si="11"/>
        <v>#DIV/0!</v>
      </c>
      <c r="AA58" s="4">
        <f>IF(H58*G58,LOOKUP(Z58,'Daniel''s Tables'!$Z$135:$Z$214,'Daniel''s Tables'!$AB$135:$AB$214),0)</f>
        <v>0</v>
      </c>
      <c r="AB58" s="1242">
        <f t="shared" si="12"/>
        <v>0</v>
      </c>
      <c r="AC58" s="1244">
        <f t="shared" si="6"/>
        <v>0</v>
      </c>
      <c r="AD58" s="838">
        <f t="shared" si="7"/>
        <v>0</v>
      </c>
      <c r="AE58" s="838"/>
    </row>
    <row r="59" spans="1:31" ht="15.75" customHeight="1" x14ac:dyDescent="0.2">
      <c r="A59" s="885"/>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0</v>
      </c>
      <c r="V59" s="4">
        <v>70</v>
      </c>
      <c r="W59" s="4">
        <f t="shared" si="9"/>
        <v>76</v>
      </c>
      <c r="X59" s="868">
        <f t="shared" si="10"/>
        <v>78.428571428571431</v>
      </c>
      <c r="Y59" s="4"/>
      <c r="Z59" s="1242" t="e">
        <f t="shared" si="11"/>
        <v>#DIV/0!</v>
      </c>
      <c r="AA59" s="4">
        <f>IF(H59*G59,LOOKUP(Z59,'Daniel''s Tables'!$Z$135:$Z$214,'Daniel''s Tables'!$AB$135:$AB$214),0)</f>
        <v>0</v>
      </c>
      <c r="AB59" s="1242">
        <f t="shared" si="12"/>
        <v>0</v>
      </c>
      <c r="AC59" s="1244">
        <f t="shared" si="6"/>
        <v>0</v>
      </c>
      <c r="AD59" s="838">
        <f t="shared" si="7"/>
        <v>0</v>
      </c>
      <c r="AE59" s="838"/>
    </row>
    <row r="60" spans="1:31" ht="15.75" customHeight="1" x14ac:dyDescent="0.2">
      <c r="A60" s="885"/>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0</v>
      </c>
      <c r="V60" s="4">
        <v>70</v>
      </c>
      <c r="W60" s="4">
        <f t="shared" si="9"/>
        <v>85</v>
      </c>
      <c r="X60" s="868">
        <f t="shared" si="10"/>
        <v>80</v>
      </c>
      <c r="Y60" s="4"/>
      <c r="Z60" s="1242" t="e">
        <f t="shared" si="11"/>
        <v>#DIV/0!</v>
      </c>
      <c r="AA60" s="4">
        <f>IF(H60*G60,LOOKUP(Z60,'Daniel''s Tables'!$Z$135:$Z$214,'Daniel''s Tables'!$AB$135:$AB$214),0)</f>
        <v>0</v>
      </c>
      <c r="AB60" s="1242">
        <f t="shared" si="12"/>
        <v>0</v>
      </c>
      <c r="AC60" s="1244">
        <f t="shared" si="6"/>
        <v>0</v>
      </c>
      <c r="AD60" s="838">
        <f t="shared" si="7"/>
        <v>0</v>
      </c>
      <c r="AE60" s="838"/>
    </row>
    <row r="61" spans="1:31" ht="15.75" customHeight="1" x14ac:dyDescent="0.2">
      <c r="A61" s="885"/>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0</v>
      </c>
      <c r="V61" s="4">
        <v>70</v>
      </c>
      <c r="W61" s="4">
        <f t="shared" si="9"/>
        <v>77</v>
      </c>
      <c r="X61" s="868">
        <f t="shared" si="10"/>
        <v>79</v>
      </c>
      <c r="Y61" s="4"/>
      <c r="Z61" s="1242" t="e">
        <f t="shared" si="11"/>
        <v>#DIV/0!</v>
      </c>
      <c r="AA61" s="4">
        <f>IF(H61*G61,LOOKUP(Z61,'Daniel''s Tables'!$Z$135:$Z$214,'Daniel''s Tables'!$AB$135:$AB$214),0)</f>
        <v>0</v>
      </c>
      <c r="AB61" s="1242">
        <f t="shared" si="12"/>
        <v>0</v>
      </c>
      <c r="AC61" s="1244">
        <f t="shared" si="6"/>
        <v>0</v>
      </c>
      <c r="AD61" s="838">
        <f t="shared" si="7"/>
        <v>0</v>
      </c>
      <c r="AE61" s="838"/>
    </row>
    <row r="62" spans="1:31" ht="15.75" customHeight="1" x14ac:dyDescent="0.2">
      <c r="A62" s="885"/>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1.5534027777777777</v>
      </c>
      <c r="Q62" s="865"/>
      <c r="R62" s="4"/>
      <c r="T62" s="16">
        <f t="shared" si="5"/>
        <v>0</v>
      </c>
      <c r="U62" s="868">
        <f t="shared" si="8"/>
        <v>0</v>
      </c>
      <c r="V62" s="4">
        <v>70</v>
      </c>
      <c r="W62" s="4">
        <f t="shared" si="9"/>
        <v>76</v>
      </c>
      <c r="X62" s="868">
        <f t="shared" si="10"/>
        <v>78.857142857142861</v>
      </c>
      <c r="Y62" s="4"/>
      <c r="Z62" s="1242" t="e">
        <f t="shared" si="11"/>
        <v>#DIV/0!</v>
      </c>
      <c r="AA62" s="4">
        <f>IF(H62*G62,LOOKUP(Z62,'Daniel''s Tables'!$Z$135:$Z$214,'Daniel''s Tables'!$AB$135:$AB$214),0)</f>
        <v>0</v>
      </c>
      <c r="AB62" s="1242">
        <f t="shared" si="12"/>
        <v>0</v>
      </c>
      <c r="AC62" s="1244">
        <f t="shared" si="6"/>
        <v>0</v>
      </c>
      <c r="AD62" s="838">
        <f t="shared" si="7"/>
        <v>0</v>
      </c>
      <c r="AE62" s="838"/>
    </row>
    <row r="63" spans="1:31" ht="15.75" customHeight="1" x14ac:dyDescent="0.2">
      <c r="A63" s="885"/>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292.23</v>
      </c>
      <c r="Q63" s="866"/>
      <c r="R63" s="4"/>
      <c r="T63" s="16">
        <f t="shared" si="5"/>
        <v>0</v>
      </c>
      <c r="U63" s="868">
        <f t="shared" si="8"/>
        <v>0</v>
      </c>
      <c r="V63" s="4">
        <v>70</v>
      </c>
      <c r="W63" s="4">
        <f t="shared" si="9"/>
        <v>73</v>
      </c>
      <c r="X63" s="868">
        <f t="shared" si="10"/>
        <v>78</v>
      </c>
      <c r="Y63" s="4"/>
      <c r="Z63" s="1242" t="e">
        <f t="shared" si="11"/>
        <v>#DIV/0!</v>
      </c>
      <c r="AA63" s="4">
        <f>IF(H63*G63,LOOKUP(Z63,'Daniel''s Tables'!$Z$135:$Z$214,'Daniel''s Tables'!$AB$135:$AB$214),0)</f>
        <v>0</v>
      </c>
      <c r="AB63" s="1242">
        <f t="shared" si="12"/>
        <v>0</v>
      </c>
      <c r="AC63" s="1244">
        <f t="shared" si="6"/>
        <v>0</v>
      </c>
      <c r="AD63" s="838">
        <f t="shared" si="7"/>
        <v>0</v>
      </c>
      <c r="AE63" s="838"/>
    </row>
    <row r="64" spans="1:31" ht="15.75" customHeight="1" x14ac:dyDescent="0.2">
      <c r="A64" s="885"/>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573</v>
      </c>
      <c r="Q64" s="862">
        <f>P63/P64</f>
        <v>0.51</v>
      </c>
      <c r="R64" s="4"/>
      <c r="T64" s="16">
        <f t="shared" si="5"/>
        <v>0</v>
      </c>
      <c r="U64" s="868">
        <f t="shared" si="8"/>
        <v>0</v>
      </c>
      <c r="V64" s="4">
        <v>70</v>
      </c>
      <c r="W64" s="4">
        <f t="shared" si="9"/>
        <v>72</v>
      </c>
      <c r="X64" s="868">
        <f t="shared" si="10"/>
        <v>76.857142857142861</v>
      </c>
      <c r="Y64" s="4"/>
      <c r="Z64" s="1242" t="e">
        <f t="shared" si="11"/>
        <v>#DIV/0!</v>
      </c>
      <c r="AA64" s="4">
        <f>IF(H64*G64,LOOKUP(Z64,'Daniel''s Tables'!$Z$135:$Z$214,'Daniel''s Tables'!$AB$135:$AB$214),0)</f>
        <v>0</v>
      </c>
      <c r="AB64" s="1242">
        <f t="shared" si="12"/>
        <v>0</v>
      </c>
      <c r="AC64" s="1244">
        <f t="shared" si="6"/>
        <v>0</v>
      </c>
      <c r="AD64" s="838">
        <f t="shared" si="7"/>
        <v>0</v>
      </c>
      <c r="AE64" s="838">
        <f>AC64</f>
        <v>0</v>
      </c>
    </row>
    <row r="65" spans="1:31" ht="15.75" customHeight="1" x14ac:dyDescent="0.2">
      <c r="A65" s="887"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1242" t="e">
        <f t="shared" si="11"/>
        <v>#DIV/0!</v>
      </c>
      <c r="AA65" s="4">
        <f>IF(H65*G65,LOOKUP(Z65,'Daniel''s Tables'!$Z$135:$Z$214,'Daniel''s Tables'!$AB$135:$AB$214),0)</f>
        <v>0</v>
      </c>
      <c r="AB65" s="1242">
        <f t="shared" si="12"/>
        <v>0</v>
      </c>
      <c r="AC65" s="1244">
        <f t="shared" si="6"/>
        <v>0</v>
      </c>
      <c r="AD65" s="838">
        <f t="shared" si="7"/>
        <v>0</v>
      </c>
      <c r="AE65" s="838"/>
    </row>
    <row r="66" spans="1:31" ht="15.75" customHeight="1" x14ac:dyDescent="0.2">
      <c r="A66" s="887"/>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1242" t="e">
        <f t="shared" si="11"/>
        <v>#DIV/0!</v>
      </c>
      <c r="AA66" s="4">
        <f>IF(H66*G66,LOOKUP(Z66,'Daniel''s Tables'!$Z$135:$Z$214,'Daniel''s Tables'!$AB$135:$AB$214),0)</f>
        <v>0</v>
      </c>
      <c r="AB66" s="1242">
        <f t="shared" si="12"/>
        <v>0</v>
      </c>
      <c r="AC66" s="1244">
        <f t="shared" si="6"/>
        <v>0</v>
      </c>
      <c r="AD66" s="838">
        <f t="shared" si="7"/>
        <v>0</v>
      </c>
      <c r="AE66" s="838"/>
    </row>
    <row r="67" spans="1:31" ht="15.75" customHeight="1" x14ac:dyDescent="0.2">
      <c r="A67" s="887"/>
      <c r="B67" s="854">
        <v>68</v>
      </c>
      <c r="C67" s="855">
        <f t="shared" si="0"/>
        <v>45874</v>
      </c>
      <c r="D67" s="854" t="s">
        <v>34</v>
      </c>
      <c r="E67" s="856" t="s">
        <v>406</v>
      </c>
      <c r="F67" s="854">
        <v>18</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69</v>
      </c>
      <c r="X67" s="868">
        <f t="shared" si="10"/>
        <v>72.142857142857139</v>
      </c>
      <c r="Y67" s="4"/>
      <c r="Z67" s="1242" t="e">
        <f t="shared" si="11"/>
        <v>#DIV/0!</v>
      </c>
      <c r="AA67" s="4">
        <f>IF(H67*G67,LOOKUP(Z67,'Daniel''s Tables'!$Z$135:$Z$214,'Daniel''s Tables'!$AB$135:$AB$214),0)</f>
        <v>0</v>
      </c>
      <c r="AB67" s="1242">
        <f t="shared" si="12"/>
        <v>0</v>
      </c>
      <c r="AC67" s="1244">
        <f t="shared" si="6"/>
        <v>0</v>
      </c>
      <c r="AD67" s="838">
        <f t="shared" si="7"/>
        <v>0</v>
      </c>
      <c r="AE67" s="838"/>
    </row>
    <row r="68" spans="1:31" ht="15.75" customHeight="1" x14ac:dyDescent="0.2">
      <c r="A68" s="887"/>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66</v>
      </c>
      <c r="X68" s="868">
        <f t="shared" si="10"/>
        <v>70.571428571428569</v>
      </c>
      <c r="Y68" s="4"/>
      <c r="Z68" s="1242" t="e">
        <f t="shared" si="11"/>
        <v>#DIV/0!</v>
      </c>
      <c r="AA68" s="4">
        <f>IF(H68*G68,LOOKUP(Z68,'Daniel''s Tables'!$Z$135:$Z$214,'Daniel''s Tables'!$AB$135:$AB$214),0)</f>
        <v>0</v>
      </c>
      <c r="AB68" s="1242">
        <f t="shared" si="12"/>
        <v>0</v>
      </c>
      <c r="AC68" s="1244">
        <f t="shared" si="6"/>
        <v>0</v>
      </c>
      <c r="AD68" s="838">
        <f t="shared" si="7"/>
        <v>0</v>
      </c>
      <c r="AE68" s="838"/>
    </row>
    <row r="69" spans="1:31" ht="15.75" customHeight="1" x14ac:dyDescent="0.2">
      <c r="A69" s="887"/>
      <c r="B69" s="854">
        <v>66</v>
      </c>
      <c r="C69" s="855">
        <f t="shared" si="0"/>
        <v>45876</v>
      </c>
      <c r="D69" s="854" t="s">
        <v>27</v>
      </c>
      <c r="E69" s="856" t="s">
        <v>380</v>
      </c>
      <c r="F69" s="854">
        <v>5</v>
      </c>
      <c r="G69" s="854"/>
      <c r="H69" s="857"/>
      <c r="I69" s="854" t="str">
        <f t="shared" si="14"/>
        <v>0:00</v>
      </c>
      <c r="J69" s="854"/>
      <c r="K69" s="854"/>
      <c r="L69" s="854" t="str">
        <f t="shared" si="2"/>
        <v>0:00</v>
      </c>
      <c r="M69" s="854"/>
      <c r="N69" s="859"/>
      <c r="O69" s="858"/>
      <c r="P69" s="861">
        <f>N70+P62</f>
        <v>1.5534027777777777</v>
      </c>
      <c r="Q69" s="865"/>
      <c r="R69" s="4"/>
      <c r="T69" s="16">
        <f t="shared" si="5"/>
        <v>0</v>
      </c>
      <c r="U69" s="868">
        <f t="shared" si="8"/>
        <v>0</v>
      </c>
      <c r="V69" s="4">
        <v>70</v>
      </c>
      <c r="W69" s="4">
        <f t="shared" si="9"/>
        <v>62</v>
      </c>
      <c r="X69" s="868">
        <f t="shared" si="10"/>
        <v>68.571428571428569</v>
      </c>
      <c r="Y69" s="4"/>
      <c r="Z69" s="1242" t="e">
        <f t="shared" si="11"/>
        <v>#DIV/0!</v>
      </c>
      <c r="AA69" s="4">
        <f>IF(H69*G69,LOOKUP(Z69,'Daniel''s Tables'!$Z$135:$Z$214,'Daniel''s Tables'!$AB$135:$AB$214),0)</f>
        <v>0</v>
      </c>
      <c r="AB69" s="1242">
        <f t="shared" si="12"/>
        <v>0</v>
      </c>
      <c r="AC69" s="1244">
        <f t="shared" si="6"/>
        <v>0</v>
      </c>
      <c r="AD69" s="838">
        <f t="shared" si="7"/>
        <v>0</v>
      </c>
      <c r="AE69" s="838"/>
    </row>
    <row r="70" spans="1:31" ht="15.75" customHeight="1" x14ac:dyDescent="0.2">
      <c r="A70" s="887"/>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292.23</v>
      </c>
      <c r="Q70" s="866"/>
      <c r="R70" s="4"/>
      <c r="T70" s="16">
        <f t="shared" si="5"/>
        <v>0</v>
      </c>
      <c r="U70" s="868">
        <f t="shared" si="8"/>
        <v>0</v>
      </c>
      <c r="V70" s="4">
        <v>70</v>
      </c>
      <c r="W70" s="4">
        <f t="shared" si="9"/>
        <v>62</v>
      </c>
      <c r="X70" s="868">
        <f t="shared" si="10"/>
        <v>67</v>
      </c>
      <c r="Y70" s="4"/>
      <c r="Z70" s="1242" t="e">
        <f t="shared" si="11"/>
        <v>#DIV/0!</v>
      </c>
      <c r="AA70" s="4">
        <f>IF(H70*G70,LOOKUP(Z70,'Daniel''s Tables'!$Z$135:$Z$214,'Daniel''s Tables'!$AB$135:$AB$214),0)</f>
        <v>0</v>
      </c>
      <c r="AB70" s="1242">
        <f t="shared" si="12"/>
        <v>0</v>
      </c>
      <c r="AC70" s="1244">
        <f t="shared" si="6"/>
        <v>0</v>
      </c>
      <c r="AD70" s="838">
        <f t="shared" si="7"/>
        <v>0</v>
      </c>
      <c r="AE70" s="838"/>
    </row>
    <row r="71" spans="1:31" ht="15.75" customHeight="1" x14ac:dyDescent="0.2">
      <c r="A71" s="887"/>
      <c r="B71" s="854">
        <v>64</v>
      </c>
      <c r="C71" s="855">
        <f t="shared" si="0"/>
        <v>45878</v>
      </c>
      <c r="D71" s="854" t="s">
        <v>30</v>
      </c>
      <c r="E71" s="856" t="s">
        <v>411</v>
      </c>
      <c r="F71" s="854">
        <v>20</v>
      </c>
      <c r="G71" s="854"/>
      <c r="H71" s="857"/>
      <c r="I71" s="854" t="str">
        <f t="shared" si="14"/>
        <v>0:00</v>
      </c>
      <c r="J71" s="857"/>
      <c r="K71" s="854"/>
      <c r="L71" s="854" t="str">
        <f t="shared" si="2"/>
        <v>0:00</v>
      </c>
      <c r="M71" s="856">
        <f>SUM(F65:F71)</f>
        <v>63</v>
      </c>
      <c r="N71" s="854">
        <f>SUM(G65:G71)</f>
        <v>0</v>
      </c>
      <c r="O71" s="858"/>
      <c r="P71" s="863">
        <f>M71+P64</f>
        <v>636</v>
      </c>
      <c r="Q71" s="862">
        <f>P70/P71</f>
        <v>0.45948113207547175</v>
      </c>
      <c r="R71" s="4"/>
      <c r="T71" s="16">
        <f t="shared" si="5"/>
        <v>0</v>
      </c>
      <c r="U71" s="868">
        <f t="shared" si="8"/>
        <v>0</v>
      </c>
      <c r="V71" s="4">
        <v>70</v>
      </c>
      <c r="W71" s="4">
        <f t="shared" si="9"/>
        <v>63</v>
      </c>
      <c r="X71" s="868">
        <f t="shared" si="10"/>
        <v>65.714285714285708</v>
      </c>
      <c r="Y71" s="4"/>
      <c r="Z71" s="1242" t="e">
        <f t="shared" si="11"/>
        <v>#DIV/0!</v>
      </c>
      <c r="AA71" s="4">
        <f>IF(H71*G71,LOOKUP(Z71,'Daniel''s Tables'!$Z$135:$Z$214,'Daniel''s Tables'!$AB$135:$AB$214),0)</f>
        <v>0</v>
      </c>
      <c r="AB71" s="1242">
        <f t="shared" si="12"/>
        <v>0</v>
      </c>
      <c r="AC71" s="1244">
        <f t="shared" si="6"/>
        <v>0</v>
      </c>
      <c r="AD71" s="838">
        <f t="shared" si="7"/>
        <v>0</v>
      </c>
      <c r="AE71" s="838">
        <f>AC71</f>
        <v>0</v>
      </c>
    </row>
    <row r="72" spans="1:31" ht="15.75" customHeight="1" x14ac:dyDescent="0.2">
      <c r="A72" s="885"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68</v>
      </c>
      <c r="X72" s="868">
        <f t="shared" si="10"/>
        <v>65.428571428571431</v>
      </c>
      <c r="Y72" s="4"/>
      <c r="Z72" s="1242" t="e">
        <f t="shared" si="11"/>
        <v>#DIV/0!</v>
      </c>
      <c r="AA72" s="4">
        <f>IF(H72*G72,LOOKUP(Z72,'Daniel''s Tables'!$Z$135:$Z$214,'Daniel''s Tables'!$AB$135:$AB$214),0)</f>
        <v>0</v>
      </c>
      <c r="AB72" s="1242">
        <f t="shared" si="12"/>
        <v>0</v>
      </c>
      <c r="AC72" s="1244">
        <f t="shared" si="6"/>
        <v>0</v>
      </c>
      <c r="AD72" s="838">
        <f t="shared" si="7"/>
        <v>0</v>
      </c>
      <c r="AE72" s="838"/>
    </row>
    <row r="73" spans="1:31" ht="15.75" customHeight="1" x14ac:dyDescent="0.2">
      <c r="A73" s="885"/>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71</v>
      </c>
      <c r="X73" s="868">
        <f t="shared" si="10"/>
        <v>65.857142857142861</v>
      </c>
      <c r="Y73" s="4"/>
      <c r="Z73" s="1242" t="e">
        <f t="shared" si="11"/>
        <v>#DIV/0!</v>
      </c>
      <c r="AA73" s="4">
        <f>IF(H73*G73,LOOKUP(Z73,'Daniel''s Tables'!$Z$135:$Z$214,'Daniel''s Tables'!$AB$135:$AB$214),0)</f>
        <v>0</v>
      </c>
      <c r="AB73" s="1242">
        <f t="shared" si="12"/>
        <v>0</v>
      </c>
      <c r="AC73" s="1244">
        <f t="shared" si="6"/>
        <v>0</v>
      </c>
      <c r="AD73" s="838">
        <f t="shared" si="7"/>
        <v>0</v>
      </c>
      <c r="AE73" s="838"/>
    </row>
    <row r="74" spans="1:31" ht="15.75" customHeight="1" x14ac:dyDescent="0.2">
      <c r="A74" s="885"/>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69</v>
      </c>
      <c r="X74" s="868">
        <f t="shared" si="10"/>
        <v>65.857142857142861</v>
      </c>
      <c r="Y74" s="4"/>
      <c r="Z74" s="1242" t="e">
        <f t="shared" si="11"/>
        <v>#DIV/0!</v>
      </c>
      <c r="AA74" s="4">
        <f>IF(H74*G74,LOOKUP(Z74,'Daniel''s Tables'!$Z$135:$Z$214,'Daniel''s Tables'!$AB$135:$AB$214),0)</f>
        <v>0</v>
      </c>
      <c r="AB74" s="1242">
        <f t="shared" si="12"/>
        <v>0</v>
      </c>
      <c r="AC74" s="1244">
        <f t="shared" si="6"/>
        <v>0</v>
      </c>
      <c r="AD74" s="838">
        <f t="shared" si="7"/>
        <v>0</v>
      </c>
      <c r="AE74" s="838"/>
    </row>
    <row r="75" spans="1:31" ht="15.75" customHeight="1" x14ac:dyDescent="0.2">
      <c r="A75" s="885"/>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72</v>
      </c>
      <c r="X75" s="868">
        <f t="shared" si="10"/>
        <v>66.714285714285708</v>
      </c>
      <c r="Y75" s="4"/>
      <c r="Z75" s="1242" t="e">
        <f t="shared" si="11"/>
        <v>#DIV/0!</v>
      </c>
      <c r="AA75" s="4">
        <f>IF(H75*G75,LOOKUP(Z75,'Daniel''s Tables'!$Z$135:$Z$214,'Daniel''s Tables'!$AB$135:$AB$214),0)</f>
        <v>0</v>
      </c>
      <c r="AB75" s="1242">
        <f t="shared" si="12"/>
        <v>0</v>
      </c>
      <c r="AC75" s="1244">
        <f t="shared" si="6"/>
        <v>0</v>
      </c>
      <c r="AD75" s="838">
        <f t="shared" si="7"/>
        <v>0</v>
      </c>
      <c r="AE75" s="838"/>
    </row>
    <row r="76" spans="1:31" ht="15.75" customHeight="1" x14ac:dyDescent="0.2">
      <c r="A76" s="885"/>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1.5534027777777777</v>
      </c>
      <c r="Q76" s="865"/>
      <c r="R76" s="4"/>
      <c r="S76" s="4"/>
      <c r="T76" s="16">
        <f t="shared" si="5"/>
        <v>0</v>
      </c>
      <c r="U76" s="868">
        <f t="shared" si="8"/>
        <v>0</v>
      </c>
      <c r="V76" s="4">
        <v>70</v>
      </c>
      <c r="W76" s="4">
        <f t="shared" si="9"/>
        <v>77</v>
      </c>
      <c r="X76" s="868">
        <f t="shared" si="10"/>
        <v>68.857142857142861</v>
      </c>
      <c r="Y76" s="4"/>
      <c r="Z76" s="1242" t="e">
        <f t="shared" si="11"/>
        <v>#DIV/0!</v>
      </c>
      <c r="AA76" s="4">
        <f>IF(H76*G76,LOOKUP(Z76,'Daniel''s Tables'!$Z$135:$Z$214,'Daniel''s Tables'!$AB$135:$AB$214),0)</f>
        <v>0</v>
      </c>
      <c r="AB76" s="1242">
        <f t="shared" si="12"/>
        <v>0</v>
      </c>
      <c r="AC76" s="1244">
        <f t="shared" si="6"/>
        <v>0</v>
      </c>
      <c r="AD76" s="838">
        <f t="shared" si="7"/>
        <v>0</v>
      </c>
      <c r="AE76" s="838"/>
    </row>
    <row r="77" spans="1:31" ht="15.75" customHeight="1" x14ac:dyDescent="0.2">
      <c r="A77" s="885"/>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292.23</v>
      </c>
      <c r="Q77" s="866"/>
      <c r="R77" s="4"/>
      <c r="T77" s="16">
        <f t="shared" si="5"/>
        <v>0</v>
      </c>
      <c r="U77" s="868">
        <f t="shared" si="8"/>
        <v>0</v>
      </c>
      <c r="V77" s="4">
        <v>70</v>
      </c>
      <c r="W77" s="4">
        <f t="shared" si="9"/>
        <v>80</v>
      </c>
      <c r="X77" s="868">
        <f t="shared" si="10"/>
        <v>71.428571428571431</v>
      </c>
      <c r="Y77" s="4"/>
      <c r="Z77" s="1242" t="e">
        <f t="shared" si="11"/>
        <v>#DIV/0!</v>
      </c>
      <c r="AA77" s="4">
        <f>IF(H77*G77,LOOKUP(Z77,'Daniel''s Tables'!$Z$135:$Z$214,'Daniel''s Tables'!$AB$135:$AB$214),0)</f>
        <v>0</v>
      </c>
      <c r="AB77" s="1242">
        <f t="shared" si="12"/>
        <v>0</v>
      </c>
      <c r="AC77" s="1244">
        <f t="shared" si="6"/>
        <v>0</v>
      </c>
      <c r="AD77" s="838">
        <f t="shared" si="7"/>
        <v>0</v>
      </c>
      <c r="AE77" s="838"/>
    </row>
    <row r="78" spans="1:31" ht="15.75" customHeight="1" x14ac:dyDescent="0.2">
      <c r="A78" s="885"/>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716</v>
      </c>
      <c r="Q78" s="862">
        <f>P77/P78</f>
        <v>0.40814245810055866</v>
      </c>
      <c r="R78" s="4"/>
      <c r="T78" s="16">
        <f t="shared" ref="T78:T135" si="15">SUM(G72:G78)</f>
        <v>0</v>
      </c>
      <c r="U78" s="868">
        <f t="shared" si="8"/>
        <v>0</v>
      </c>
      <c r="V78" s="4">
        <v>70</v>
      </c>
      <c r="W78" s="4">
        <f t="shared" si="9"/>
        <v>80</v>
      </c>
      <c r="X78" s="868">
        <f t="shared" si="10"/>
        <v>73.857142857142861</v>
      </c>
      <c r="Y78" s="4"/>
      <c r="Z78" s="1242" t="e">
        <f t="shared" si="11"/>
        <v>#DIV/0!</v>
      </c>
      <c r="AA78" s="4">
        <f>IF(H78*G78,LOOKUP(Z78,'Daniel''s Tables'!$Z$135:$Z$214,'Daniel''s Tables'!$AB$135:$AB$214),0)</f>
        <v>0</v>
      </c>
      <c r="AB78" s="1242">
        <f t="shared" si="12"/>
        <v>0</v>
      </c>
      <c r="AC78" s="1244">
        <f t="shared" si="6"/>
        <v>0</v>
      </c>
      <c r="AD78" s="838">
        <f t="shared" si="7"/>
        <v>0</v>
      </c>
      <c r="AE78" s="838">
        <f>AC78</f>
        <v>0</v>
      </c>
    </row>
    <row r="79" spans="1:31" ht="15.75" customHeight="1" x14ac:dyDescent="0.2">
      <c r="A79" s="887"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75.142857142857139</v>
      </c>
      <c r="Y79" s="4"/>
      <c r="Z79" s="1242" t="e">
        <f t="shared" si="11"/>
        <v>#DIV/0!</v>
      </c>
      <c r="AA79" s="4">
        <f>IF(H79*G79,LOOKUP(Z79,'Daniel''s Tables'!$Z$135:$Z$214,'Daniel''s Tables'!$AB$135:$AB$214),0)</f>
        <v>0</v>
      </c>
      <c r="AB79" s="1242">
        <f t="shared" si="12"/>
        <v>0</v>
      </c>
      <c r="AC79" s="1244">
        <f t="shared" ref="AC79:AC135" si="16">SUM(AB73:AB79)</f>
        <v>0</v>
      </c>
      <c r="AD79" s="838">
        <f t="shared" ref="AD79:AD135" si="17">AC79/7</f>
        <v>0</v>
      </c>
      <c r="AE79" s="838"/>
    </row>
    <row r="80" spans="1:31" ht="15.75" customHeight="1" x14ac:dyDescent="0.2">
      <c r="A80" s="887"/>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76</v>
      </c>
      <c r="Y80" s="4"/>
      <c r="Z80" s="1242" t="e">
        <f t="shared" ref="Z80:Z135" si="21">((0.182258*(1/((H80/G80)*1440)*1609.344)+(0.000104*(1/((H80/G80)*1440)*1609.344)^2)-4.6)/$K$3)</f>
        <v>#DIV/0!</v>
      </c>
      <c r="AA80" s="4">
        <f>IF(H80*G80,LOOKUP(Z80,'Daniel''s Tables'!$Z$135:$Z$214,'Daniel''s Tables'!$AB$135:$AB$214),0)</f>
        <v>0</v>
      </c>
      <c r="AB80" s="1242">
        <f t="shared" ref="AB80:AB135" si="22">H80*1440*AA80</f>
        <v>0</v>
      </c>
      <c r="AC80" s="1244">
        <f t="shared" si="16"/>
        <v>0</v>
      </c>
      <c r="AD80" s="838">
        <f t="shared" si="17"/>
        <v>0</v>
      </c>
      <c r="AE80" s="838"/>
    </row>
    <row r="81" spans="1:31" ht="15.75" customHeight="1" x14ac:dyDescent="0.2">
      <c r="A81" s="887"/>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77.285714285714292</v>
      </c>
      <c r="Y81" s="4"/>
      <c r="Z81" s="1242" t="e">
        <f t="shared" si="21"/>
        <v>#DIV/0!</v>
      </c>
      <c r="AA81" s="4">
        <f>IF(H81*G81,LOOKUP(Z81,'Daniel''s Tables'!$Z$135:$Z$214,'Daniel''s Tables'!$AB$135:$AB$214),0)</f>
        <v>0</v>
      </c>
      <c r="AB81" s="1242">
        <f t="shared" si="22"/>
        <v>0</v>
      </c>
      <c r="AC81" s="1244">
        <f t="shared" si="16"/>
        <v>0</v>
      </c>
      <c r="AD81" s="838">
        <f t="shared" si="17"/>
        <v>0</v>
      </c>
      <c r="AE81" s="838"/>
    </row>
    <row r="82" spans="1:31" ht="15.75" customHeight="1" x14ac:dyDescent="0.2">
      <c r="A82" s="887"/>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1242" t="e">
        <f t="shared" si="21"/>
        <v>#DIV/0!</v>
      </c>
      <c r="AA82" s="4">
        <f>IF(H82*G82,LOOKUP(Z82,'Daniel''s Tables'!$Z$135:$Z$214,'Daniel''s Tables'!$AB$135:$AB$214),0)</f>
        <v>0</v>
      </c>
      <c r="AB82" s="1242">
        <f t="shared" si="22"/>
        <v>0</v>
      </c>
      <c r="AC82" s="1244">
        <f t="shared" si="16"/>
        <v>0</v>
      </c>
      <c r="AD82" s="838">
        <f t="shared" si="17"/>
        <v>0</v>
      </c>
      <c r="AE82" s="838"/>
    </row>
    <row r="83" spans="1:31" ht="15.75" customHeight="1" x14ac:dyDescent="0.2">
      <c r="A83" s="887"/>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1.5534027777777777</v>
      </c>
      <c r="Q83" s="865"/>
      <c r="R83" s="4"/>
      <c r="S83" s="4"/>
      <c r="T83" s="16">
        <f t="shared" si="15"/>
        <v>0</v>
      </c>
      <c r="U83" s="868">
        <f t="shared" si="18"/>
        <v>0</v>
      </c>
      <c r="V83" s="4">
        <v>70</v>
      </c>
      <c r="W83" s="4">
        <f t="shared" si="19"/>
        <v>77</v>
      </c>
      <c r="X83" s="868">
        <f t="shared" si="20"/>
        <v>78</v>
      </c>
      <c r="Y83" s="4"/>
      <c r="Z83" s="1242" t="e">
        <f t="shared" si="21"/>
        <v>#DIV/0!</v>
      </c>
      <c r="AA83" s="4">
        <f>IF(H83*G83,LOOKUP(Z83,'Daniel''s Tables'!$Z$135:$Z$214,'Daniel''s Tables'!$AB$135:$AB$214),0)</f>
        <v>0</v>
      </c>
      <c r="AB83" s="1242">
        <f t="shared" si="22"/>
        <v>0</v>
      </c>
      <c r="AC83" s="1244">
        <f t="shared" si="16"/>
        <v>0</v>
      </c>
      <c r="AD83" s="838">
        <f t="shared" si="17"/>
        <v>0</v>
      </c>
      <c r="AE83" s="838"/>
    </row>
    <row r="84" spans="1:31" ht="15.75" customHeight="1" x14ac:dyDescent="0.2">
      <c r="A84" s="887"/>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292.23</v>
      </c>
      <c r="Q84" s="866"/>
      <c r="R84" s="4"/>
      <c r="S84" s="4"/>
      <c r="T84" s="16">
        <f t="shared" si="15"/>
        <v>0</v>
      </c>
      <c r="U84" s="868">
        <f t="shared" si="18"/>
        <v>0</v>
      </c>
      <c r="V84" s="4">
        <v>70</v>
      </c>
      <c r="W84" s="4">
        <f t="shared" si="19"/>
        <v>76</v>
      </c>
      <c r="X84" s="868">
        <f t="shared" si="20"/>
        <v>77.428571428571431</v>
      </c>
      <c r="Y84" s="4"/>
      <c r="Z84" s="1242" t="e">
        <f t="shared" si="21"/>
        <v>#DIV/0!</v>
      </c>
      <c r="AA84" s="4">
        <f>IF(H84*G84,LOOKUP(Z84,'Daniel''s Tables'!$Z$135:$Z$214,'Daniel''s Tables'!$AB$135:$AB$214),0)</f>
        <v>0</v>
      </c>
      <c r="AB84" s="1242">
        <f t="shared" si="22"/>
        <v>0</v>
      </c>
      <c r="AC84" s="1244">
        <f t="shared" si="16"/>
        <v>0</v>
      </c>
      <c r="AD84" s="838">
        <f t="shared" si="17"/>
        <v>0</v>
      </c>
      <c r="AE84" s="838"/>
    </row>
    <row r="85" spans="1:31" ht="15.75" customHeight="1" x14ac:dyDescent="0.2">
      <c r="A85" s="887"/>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790</v>
      </c>
      <c r="Q85" s="862">
        <f>P84/P85</f>
        <v>0.36991139240506332</v>
      </c>
      <c r="R85" s="4"/>
      <c r="S85" s="4"/>
      <c r="T85" s="16">
        <f t="shared" si="15"/>
        <v>0</v>
      </c>
      <c r="U85" s="868">
        <f t="shared" si="18"/>
        <v>0</v>
      </c>
      <c r="V85" s="4">
        <v>70</v>
      </c>
      <c r="W85" s="4">
        <f t="shared" si="19"/>
        <v>74</v>
      </c>
      <c r="X85" s="868">
        <f t="shared" si="20"/>
        <v>76.571428571428569</v>
      </c>
      <c r="Y85" s="4"/>
      <c r="Z85" s="1242" t="e">
        <f t="shared" si="21"/>
        <v>#DIV/0!</v>
      </c>
      <c r="AA85" s="4">
        <f>IF(H85*G85,LOOKUP(Z85,'Daniel''s Tables'!$Z$135:$Z$214,'Daniel''s Tables'!$AB$135:$AB$214),0)</f>
        <v>0</v>
      </c>
      <c r="AB85" s="1242">
        <f t="shared" si="22"/>
        <v>0</v>
      </c>
      <c r="AC85" s="1244">
        <f t="shared" si="16"/>
        <v>0</v>
      </c>
      <c r="AD85" s="838">
        <f t="shared" si="17"/>
        <v>0</v>
      </c>
      <c r="AE85" s="838">
        <f>AC85</f>
        <v>0</v>
      </c>
    </row>
    <row r="86" spans="1:31" ht="15.75" customHeight="1" x14ac:dyDescent="0.2">
      <c r="A86" s="885"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1242" t="e">
        <f t="shared" si="21"/>
        <v>#DIV/0!</v>
      </c>
      <c r="AA86" s="4">
        <f>IF(H86*G86,LOOKUP(Z86,'Daniel''s Tables'!$Z$135:$Z$214,'Daniel''s Tables'!$AB$135:$AB$214),0)</f>
        <v>0</v>
      </c>
      <c r="AB86" s="1242">
        <f t="shared" si="22"/>
        <v>0</v>
      </c>
      <c r="AC86" s="1244">
        <f t="shared" si="16"/>
        <v>0</v>
      </c>
      <c r="AD86" s="838">
        <f t="shared" si="17"/>
        <v>0</v>
      </c>
      <c r="AE86" s="838"/>
    </row>
    <row r="87" spans="1:31" ht="15.75" customHeight="1" x14ac:dyDescent="0.2">
      <c r="A87" s="885"/>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1242" t="e">
        <f t="shared" si="21"/>
        <v>#DIV/0!</v>
      </c>
      <c r="AA87" s="4">
        <f>IF(H87*G87,LOOKUP(Z87,'Daniel''s Tables'!$Z$135:$Z$214,'Daniel''s Tables'!$AB$135:$AB$214),0)</f>
        <v>0</v>
      </c>
      <c r="AB87" s="1242">
        <f t="shared" si="22"/>
        <v>0</v>
      </c>
      <c r="AC87" s="1244">
        <f t="shared" si="16"/>
        <v>0</v>
      </c>
      <c r="AD87" s="838">
        <f t="shared" si="17"/>
        <v>0</v>
      </c>
      <c r="AE87" s="838"/>
    </row>
    <row r="88" spans="1:31" ht="15.75" customHeight="1" x14ac:dyDescent="0.2">
      <c r="A88" s="885"/>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1242" t="e">
        <f t="shared" si="21"/>
        <v>#DIV/0!</v>
      </c>
      <c r="AA88" s="4">
        <f>IF(H88*G88,LOOKUP(Z88,'Daniel''s Tables'!$Z$135:$Z$214,'Daniel''s Tables'!$AB$135:$AB$214),0)</f>
        <v>0</v>
      </c>
      <c r="AB88" s="1242">
        <f t="shared" si="22"/>
        <v>0</v>
      </c>
      <c r="AC88" s="1244">
        <f t="shared" si="16"/>
        <v>0</v>
      </c>
      <c r="AD88" s="838">
        <f t="shared" si="17"/>
        <v>0</v>
      </c>
      <c r="AE88" s="838"/>
    </row>
    <row r="89" spans="1:31" ht="15.75" customHeight="1" x14ac:dyDescent="0.2">
      <c r="A89" s="88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1242" t="e">
        <f t="shared" si="21"/>
        <v>#DIV/0!</v>
      </c>
      <c r="AA89" s="4">
        <f>IF(H89*G89,LOOKUP(Z89,'Daniel''s Tables'!$Z$135:$Z$214,'Daniel''s Tables'!$AB$135:$AB$214),0)</f>
        <v>0</v>
      </c>
      <c r="AB89" s="1242">
        <f t="shared" si="22"/>
        <v>0</v>
      </c>
      <c r="AC89" s="1244">
        <f t="shared" si="16"/>
        <v>0</v>
      </c>
      <c r="AD89" s="838">
        <f t="shared" si="17"/>
        <v>0</v>
      </c>
      <c r="AE89" s="838"/>
    </row>
    <row r="90" spans="1:31" ht="15.75" customHeight="1" x14ac:dyDescent="0.2">
      <c r="A90" s="88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1.5534027777777777</v>
      </c>
      <c r="Q90" s="865"/>
      <c r="R90" s="4"/>
      <c r="S90" s="4"/>
      <c r="T90" s="16">
        <f t="shared" si="15"/>
        <v>0</v>
      </c>
      <c r="U90" s="868">
        <f t="shared" si="18"/>
        <v>0</v>
      </c>
      <c r="V90" s="4">
        <v>70</v>
      </c>
      <c r="W90" s="4">
        <f t="shared" si="19"/>
        <v>72</v>
      </c>
      <c r="X90" s="868">
        <f t="shared" si="20"/>
        <v>74.428571428571431</v>
      </c>
      <c r="Y90" s="4"/>
      <c r="Z90" s="1242" t="e">
        <f t="shared" si="21"/>
        <v>#DIV/0!</v>
      </c>
      <c r="AA90" s="4">
        <f>IF(H90*G90,LOOKUP(Z90,'Daniel''s Tables'!$Z$135:$Z$214,'Daniel''s Tables'!$AB$135:$AB$214),0)</f>
        <v>0</v>
      </c>
      <c r="AB90" s="1242">
        <f t="shared" si="22"/>
        <v>0</v>
      </c>
      <c r="AC90" s="1244">
        <f t="shared" si="16"/>
        <v>0</v>
      </c>
      <c r="AD90" s="838">
        <f t="shared" si="17"/>
        <v>0</v>
      </c>
      <c r="AE90" s="838"/>
    </row>
    <row r="91" spans="1:31" ht="15.75" customHeight="1" x14ac:dyDescent="0.2">
      <c r="A91" s="88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292.23</v>
      </c>
      <c r="Q91" s="866"/>
      <c r="R91" s="4"/>
      <c r="S91" s="6"/>
      <c r="T91" s="16">
        <f t="shared" si="15"/>
        <v>0</v>
      </c>
      <c r="U91" s="868">
        <f t="shared" si="18"/>
        <v>0</v>
      </c>
      <c r="V91" s="4">
        <v>70</v>
      </c>
      <c r="W91" s="4">
        <f t="shared" si="19"/>
        <v>70</v>
      </c>
      <c r="X91" s="868">
        <f t="shared" si="20"/>
        <v>73.571428571428569</v>
      </c>
      <c r="Y91" s="4"/>
      <c r="Z91" s="1242" t="e">
        <f t="shared" si="21"/>
        <v>#DIV/0!</v>
      </c>
      <c r="AA91" s="4">
        <f>IF(H91*G91,LOOKUP(Z91,'Daniel''s Tables'!$Z$135:$Z$214,'Daniel''s Tables'!$AB$135:$AB$214),0)</f>
        <v>0</v>
      </c>
      <c r="AB91" s="1242">
        <f t="shared" si="22"/>
        <v>0</v>
      </c>
      <c r="AC91" s="1244">
        <f t="shared" si="16"/>
        <v>0</v>
      </c>
      <c r="AD91" s="838">
        <f t="shared" si="17"/>
        <v>0</v>
      </c>
      <c r="AE91" s="838"/>
    </row>
    <row r="92" spans="1:31" ht="15.75" customHeight="1" x14ac:dyDescent="0.2">
      <c r="A92" s="885"/>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862</v>
      </c>
      <c r="Q92" s="862">
        <f>P91/P92</f>
        <v>0.33901392111368911</v>
      </c>
      <c r="R92" s="4"/>
      <c r="S92" s="6"/>
      <c r="T92" s="16">
        <f t="shared" si="15"/>
        <v>0</v>
      </c>
      <c r="U92" s="868">
        <f t="shared" si="18"/>
        <v>0</v>
      </c>
      <c r="V92" s="4">
        <v>70</v>
      </c>
      <c r="W92" s="4">
        <f t="shared" si="19"/>
        <v>72</v>
      </c>
      <c r="X92" s="868">
        <f t="shared" si="20"/>
        <v>73.285714285714292</v>
      </c>
      <c r="Y92" s="4"/>
      <c r="Z92" s="1242" t="e">
        <f t="shared" si="21"/>
        <v>#DIV/0!</v>
      </c>
      <c r="AA92" s="4">
        <f>IF(H92*G92,LOOKUP(Z92,'Daniel''s Tables'!$Z$135:$Z$214,'Daniel''s Tables'!$AB$135:$AB$214),0)</f>
        <v>0</v>
      </c>
      <c r="AB92" s="1242">
        <f t="shared" si="22"/>
        <v>0</v>
      </c>
      <c r="AC92" s="1244">
        <f t="shared" si="16"/>
        <v>0</v>
      </c>
      <c r="AD92" s="838">
        <f t="shared" si="17"/>
        <v>0</v>
      </c>
      <c r="AE92" s="838">
        <f>AC92</f>
        <v>0</v>
      </c>
    </row>
    <row r="93" spans="1:31" ht="15.75" customHeight="1" x14ac:dyDescent="0.2">
      <c r="A93" s="887"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1242" t="e">
        <f t="shared" si="21"/>
        <v>#DIV/0!</v>
      </c>
      <c r="AA93" s="4">
        <f>IF(H93*G93,LOOKUP(Z93,'Daniel''s Tables'!$Z$135:$Z$214,'Daniel''s Tables'!$AB$135:$AB$214),0)</f>
        <v>0</v>
      </c>
      <c r="AB93" s="1242">
        <f t="shared" si="22"/>
        <v>0</v>
      </c>
      <c r="AC93" s="1244">
        <f t="shared" si="16"/>
        <v>0</v>
      </c>
      <c r="AD93" s="838">
        <f t="shared" si="17"/>
        <v>0</v>
      </c>
      <c r="AE93" s="838"/>
    </row>
    <row r="94" spans="1:31" ht="15.75" customHeight="1" x14ac:dyDescent="0.2">
      <c r="A94" s="887"/>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1242" t="e">
        <f t="shared" si="21"/>
        <v>#DIV/0!</v>
      </c>
      <c r="AA94" s="4">
        <f>IF(H94*G94,LOOKUP(Z94,'Daniel''s Tables'!$Z$135:$Z$214,'Daniel''s Tables'!$AB$135:$AB$214),0)</f>
        <v>0</v>
      </c>
      <c r="AB94" s="1242">
        <f t="shared" si="22"/>
        <v>0</v>
      </c>
      <c r="AC94" s="1244">
        <f t="shared" si="16"/>
        <v>0</v>
      </c>
      <c r="AD94" s="838">
        <f t="shared" si="17"/>
        <v>0</v>
      </c>
      <c r="AE94" s="838"/>
    </row>
    <row r="95" spans="1:31" ht="15.75" customHeight="1" x14ac:dyDescent="0.2">
      <c r="A95" s="887"/>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1242" t="e">
        <f t="shared" si="21"/>
        <v>#DIV/0!</v>
      </c>
      <c r="AA95" s="4">
        <f>IF(H95*G95,LOOKUP(Z95,'Daniel''s Tables'!$Z$135:$Z$214,'Daniel''s Tables'!$AB$135:$AB$214),0)</f>
        <v>0</v>
      </c>
      <c r="AB95" s="1242">
        <f t="shared" si="22"/>
        <v>0</v>
      </c>
      <c r="AC95" s="1244">
        <f t="shared" si="16"/>
        <v>0</v>
      </c>
      <c r="AD95" s="838">
        <f t="shared" si="17"/>
        <v>0</v>
      </c>
      <c r="AE95" s="838"/>
    </row>
    <row r="96" spans="1:31" ht="15.75" customHeight="1" x14ac:dyDescent="0.2">
      <c r="A96" s="887"/>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1242" t="e">
        <f t="shared" si="21"/>
        <v>#DIV/0!</v>
      </c>
      <c r="AA96" s="4">
        <f>IF(H96*G96,LOOKUP(Z96,'Daniel''s Tables'!$Z$135:$Z$214,'Daniel''s Tables'!$AB$135:$AB$214),0)</f>
        <v>0</v>
      </c>
      <c r="AB96" s="1242">
        <f t="shared" si="22"/>
        <v>0</v>
      </c>
      <c r="AC96" s="1244">
        <f t="shared" si="16"/>
        <v>0</v>
      </c>
      <c r="AD96" s="838">
        <f t="shared" si="17"/>
        <v>0</v>
      </c>
      <c r="AE96" s="838"/>
    </row>
    <row r="97" spans="1:31" ht="15.75" customHeight="1" x14ac:dyDescent="0.2">
      <c r="A97" s="887"/>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1.5534027777777777</v>
      </c>
      <c r="Q97" s="865"/>
      <c r="R97" s="4"/>
      <c r="S97" s="4"/>
      <c r="T97" s="16">
        <f t="shared" si="15"/>
        <v>0</v>
      </c>
      <c r="U97" s="868">
        <f t="shared" si="18"/>
        <v>0</v>
      </c>
      <c r="V97" s="4">
        <v>70</v>
      </c>
      <c r="W97" s="4">
        <f t="shared" si="19"/>
        <v>79</v>
      </c>
      <c r="X97" s="868">
        <f t="shared" si="20"/>
        <v>73.285714285714292</v>
      </c>
      <c r="Y97" s="4"/>
      <c r="Z97" s="1242" t="e">
        <f t="shared" si="21"/>
        <v>#DIV/0!</v>
      </c>
      <c r="AA97" s="4">
        <f>IF(H97*G97,LOOKUP(Z97,'Daniel''s Tables'!$Z$135:$Z$214,'Daniel''s Tables'!$AB$135:$AB$214),0)</f>
        <v>0</v>
      </c>
      <c r="AB97" s="1242">
        <f t="shared" si="22"/>
        <v>0</v>
      </c>
      <c r="AC97" s="1244">
        <f t="shared" si="16"/>
        <v>0</v>
      </c>
      <c r="AD97" s="838">
        <f t="shared" si="17"/>
        <v>0</v>
      </c>
      <c r="AE97" s="838"/>
    </row>
    <row r="98" spans="1:31" ht="15.75" customHeight="1" x14ac:dyDescent="0.2">
      <c r="A98" s="887"/>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292.23</v>
      </c>
      <c r="Q98" s="866"/>
      <c r="R98" s="4"/>
      <c r="S98" s="4"/>
      <c r="T98" s="16">
        <f t="shared" si="15"/>
        <v>0</v>
      </c>
      <c r="U98" s="868">
        <f t="shared" si="18"/>
        <v>0</v>
      </c>
      <c r="V98" s="4">
        <v>70</v>
      </c>
      <c r="W98" s="4">
        <f t="shared" si="19"/>
        <v>82</v>
      </c>
      <c r="X98" s="868">
        <f t="shared" si="20"/>
        <v>75</v>
      </c>
      <c r="Y98" s="4"/>
      <c r="Z98" s="1242" t="e">
        <f t="shared" si="21"/>
        <v>#DIV/0!</v>
      </c>
      <c r="AA98" s="4">
        <f>IF(H98*G98,LOOKUP(Z98,'Daniel''s Tables'!$Z$135:$Z$214,'Daniel''s Tables'!$AB$135:$AB$214),0)</f>
        <v>0</v>
      </c>
      <c r="AB98" s="1242">
        <f t="shared" si="22"/>
        <v>0</v>
      </c>
      <c r="AC98" s="1244">
        <f t="shared" si="16"/>
        <v>0</v>
      </c>
      <c r="AD98" s="838">
        <f t="shared" si="17"/>
        <v>0</v>
      </c>
      <c r="AE98" s="838"/>
    </row>
    <row r="99" spans="1:31" ht="15.75" customHeight="1" x14ac:dyDescent="0.2">
      <c r="A99" s="887"/>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942</v>
      </c>
      <c r="Q99" s="862">
        <f>P98/P99</f>
        <v>0.31022292993630574</v>
      </c>
      <c r="R99" s="4"/>
      <c r="S99" s="4"/>
      <c r="T99" s="16">
        <f t="shared" si="15"/>
        <v>0</v>
      </c>
      <c r="U99" s="868">
        <f t="shared" si="18"/>
        <v>0</v>
      </c>
      <c r="V99" s="4">
        <v>70</v>
      </c>
      <c r="W99" s="4">
        <f t="shared" si="19"/>
        <v>80</v>
      </c>
      <c r="X99" s="868">
        <f t="shared" si="20"/>
        <v>76.142857142857139</v>
      </c>
      <c r="Y99" s="4"/>
      <c r="Z99" s="1242" t="e">
        <f t="shared" si="21"/>
        <v>#DIV/0!</v>
      </c>
      <c r="AA99" s="4">
        <f>IF(H99*G99,LOOKUP(Z99,'Daniel''s Tables'!$Z$135:$Z$214,'Daniel''s Tables'!$AB$135:$AB$214),0)</f>
        <v>0</v>
      </c>
      <c r="AB99" s="1242">
        <f t="shared" si="22"/>
        <v>0</v>
      </c>
      <c r="AC99" s="1244">
        <f t="shared" si="16"/>
        <v>0</v>
      </c>
      <c r="AD99" s="838">
        <f t="shared" si="17"/>
        <v>0</v>
      </c>
      <c r="AE99" s="838">
        <f>AC99</f>
        <v>0</v>
      </c>
    </row>
    <row r="100" spans="1:31" ht="15.75" customHeight="1" x14ac:dyDescent="0.2">
      <c r="A100" s="88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1242" t="e">
        <f t="shared" si="21"/>
        <v>#DIV/0!</v>
      </c>
      <c r="AA100" s="4">
        <f>IF(H100*G100,LOOKUP(Z100,'Daniel''s Tables'!$Z$135:$Z$214,'Daniel''s Tables'!$AB$135:$AB$214),0)</f>
        <v>0</v>
      </c>
      <c r="AB100" s="1242">
        <f t="shared" si="22"/>
        <v>0</v>
      </c>
      <c r="AC100" s="1244">
        <f t="shared" si="16"/>
        <v>0</v>
      </c>
      <c r="AD100" s="838">
        <f t="shared" si="17"/>
        <v>0</v>
      </c>
      <c r="AE100" s="838"/>
    </row>
    <row r="101" spans="1:31" ht="15.75" customHeight="1" x14ac:dyDescent="0.2">
      <c r="A101" s="885"/>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1242" t="e">
        <f t="shared" si="21"/>
        <v>#DIV/0!</v>
      </c>
      <c r="AA101" s="4">
        <f>IF(H101*G101,LOOKUP(Z101,'Daniel''s Tables'!$Z$135:$Z$214,'Daniel''s Tables'!$AB$135:$AB$214),0)</f>
        <v>0</v>
      </c>
      <c r="AB101" s="1242">
        <f t="shared" si="22"/>
        <v>0</v>
      </c>
      <c r="AC101" s="1244">
        <f t="shared" si="16"/>
        <v>0</v>
      </c>
      <c r="AD101" s="838">
        <f t="shared" si="17"/>
        <v>0</v>
      </c>
      <c r="AE101" s="838"/>
    </row>
    <row r="102" spans="1:31" ht="15.75" customHeight="1" x14ac:dyDescent="0.2">
      <c r="A102" s="885"/>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1242" t="e">
        <f t="shared" si="21"/>
        <v>#DIV/0!</v>
      </c>
      <c r="AA102" s="4">
        <f>IF(H102*G102,LOOKUP(Z102,'Daniel''s Tables'!$Z$135:$Z$214,'Daniel''s Tables'!$AB$135:$AB$214),0)</f>
        <v>0</v>
      </c>
      <c r="AB102" s="1242">
        <f t="shared" si="22"/>
        <v>0</v>
      </c>
      <c r="AC102" s="1244">
        <f t="shared" si="16"/>
        <v>0</v>
      </c>
      <c r="AD102" s="838">
        <f t="shared" si="17"/>
        <v>0</v>
      </c>
      <c r="AE102" s="838"/>
    </row>
    <row r="103" spans="1:31" ht="15.75" customHeight="1" x14ac:dyDescent="0.2">
      <c r="A103" s="885"/>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1242" t="e">
        <f t="shared" si="21"/>
        <v>#DIV/0!</v>
      </c>
      <c r="AA103" s="4">
        <f>IF(H103*G103,LOOKUP(Z103,'Daniel''s Tables'!$Z$135:$Z$214,'Daniel''s Tables'!$AB$135:$AB$214),0)</f>
        <v>0</v>
      </c>
      <c r="AB103" s="1242">
        <f t="shared" si="22"/>
        <v>0</v>
      </c>
      <c r="AC103" s="1244">
        <f t="shared" si="16"/>
        <v>0</v>
      </c>
      <c r="AD103" s="838">
        <f t="shared" si="17"/>
        <v>0</v>
      </c>
      <c r="AE103" s="838"/>
    </row>
    <row r="104" spans="1:31" ht="15.75" customHeight="1" x14ac:dyDescent="0.2">
      <c r="A104" s="885"/>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1.5534027777777777</v>
      </c>
      <c r="Q104" s="865"/>
      <c r="R104" s="4"/>
      <c r="S104" s="4"/>
      <c r="T104" s="16">
        <f t="shared" si="15"/>
        <v>0</v>
      </c>
      <c r="U104" s="868">
        <f t="shared" si="18"/>
        <v>0</v>
      </c>
      <c r="V104" s="4">
        <v>70</v>
      </c>
      <c r="W104" s="4">
        <f t="shared" si="19"/>
        <v>77</v>
      </c>
      <c r="X104" s="868">
        <f t="shared" si="20"/>
        <v>80.428571428571431</v>
      </c>
      <c r="Y104" s="4"/>
      <c r="Z104" s="1242" t="e">
        <f t="shared" si="21"/>
        <v>#DIV/0!</v>
      </c>
      <c r="AA104" s="4">
        <f>IF(H104*G104,LOOKUP(Z104,'Daniel''s Tables'!$Z$135:$Z$214,'Daniel''s Tables'!$AB$135:$AB$214),0)</f>
        <v>0</v>
      </c>
      <c r="AB104" s="1242">
        <f t="shared" si="22"/>
        <v>0</v>
      </c>
      <c r="AC104" s="1244">
        <f t="shared" si="16"/>
        <v>0</v>
      </c>
      <c r="AD104" s="838">
        <f t="shared" si="17"/>
        <v>0</v>
      </c>
      <c r="AE104" s="838"/>
    </row>
    <row r="105" spans="1:31" ht="15.75" customHeight="1" x14ac:dyDescent="0.2">
      <c r="A105" s="88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292.23</v>
      </c>
      <c r="Q105" s="866"/>
      <c r="R105" s="4"/>
      <c r="S105" s="4"/>
      <c r="T105" s="16">
        <f t="shared" si="15"/>
        <v>0</v>
      </c>
      <c r="U105" s="868">
        <f t="shared" si="18"/>
        <v>0</v>
      </c>
      <c r="V105" s="4">
        <v>70</v>
      </c>
      <c r="W105" s="4">
        <f t="shared" si="19"/>
        <v>76</v>
      </c>
      <c r="X105" s="868">
        <f t="shared" si="20"/>
        <v>79.571428571428569</v>
      </c>
      <c r="Y105" s="4"/>
      <c r="Z105" s="1242" t="e">
        <f t="shared" si="21"/>
        <v>#DIV/0!</v>
      </c>
      <c r="AA105" s="4">
        <f>IF(H105*G105,LOOKUP(Z105,'Daniel''s Tables'!$Z$135:$Z$214,'Daniel''s Tables'!$AB$135:$AB$214),0)</f>
        <v>0</v>
      </c>
      <c r="AB105" s="1242">
        <f t="shared" si="22"/>
        <v>0</v>
      </c>
      <c r="AC105" s="1244">
        <f t="shared" si="16"/>
        <v>0</v>
      </c>
      <c r="AD105" s="838">
        <f t="shared" si="17"/>
        <v>0</v>
      </c>
      <c r="AE105" s="838"/>
    </row>
    <row r="106" spans="1:31" ht="15.75" customHeight="1" x14ac:dyDescent="0.2">
      <c r="A106" s="88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1016</v>
      </c>
      <c r="Q106" s="862">
        <f>P105/P106</f>
        <v>0.28762795275590552</v>
      </c>
      <c r="R106" s="4"/>
      <c r="S106" s="4"/>
      <c r="T106" s="16">
        <f t="shared" si="15"/>
        <v>0</v>
      </c>
      <c r="U106" s="868">
        <f t="shared" si="18"/>
        <v>0</v>
      </c>
      <c r="V106" s="4">
        <v>70</v>
      </c>
      <c r="W106" s="4">
        <f t="shared" si="19"/>
        <v>74</v>
      </c>
      <c r="X106" s="868">
        <f t="shared" si="20"/>
        <v>78.714285714285708</v>
      </c>
      <c r="Y106" s="4"/>
      <c r="Z106" s="1242" t="e">
        <f t="shared" si="21"/>
        <v>#DIV/0!</v>
      </c>
      <c r="AA106" s="4">
        <f>IF(H106*G106,LOOKUP(Z106,'Daniel''s Tables'!$Z$135:$Z$214,'Daniel''s Tables'!$AB$135:$AB$214),0)</f>
        <v>0</v>
      </c>
      <c r="AB106" s="1242">
        <f t="shared" si="22"/>
        <v>0</v>
      </c>
      <c r="AC106" s="1244">
        <f t="shared" si="16"/>
        <v>0</v>
      </c>
      <c r="AD106" s="838">
        <f t="shared" si="17"/>
        <v>0</v>
      </c>
      <c r="AE106" s="838">
        <f>AC106</f>
        <v>0</v>
      </c>
    </row>
    <row r="107" spans="1:31" ht="15.75" customHeight="1" x14ac:dyDescent="0.2">
      <c r="A107" s="887"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1242" t="e">
        <f t="shared" si="21"/>
        <v>#DIV/0!</v>
      </c>
      <c r="AA107" s="4">
        <f>IF(H107*G107,LOOKUP(Z107,'Daniel''s Tables'!$Z$135:$Z$214,'Daniel''s Tables'!$AB$135:$AB$214),0)</f>
        <v>0</v>
      </c>
      <c r="AB107" s="1242">
        <f t="shared" si="22"/>
        <v>0</v>
      </c>
      <c r="AC107" s="1244">
        <f t="shared" si="16"/>
        <v>0</v>
      </c>
      <c r="AD107" s="838">
        <f t="shared" si="17"/>
        <v>0</v>
      </c>
      <c r="AE107" s="838"/>
    </row>
    <row r="108" spans="1:31" ht="15.75" customHeight="1" x14ac:dyDescent="0.2">
      <c r="A108" s="887"/>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1242" t="e">
        <f t="shared" si="21"/>
        <v>#DIV/0!</v>
      </c>
      <c r="AA108" s="4">
        <f>IF(H108*G108,LOOKUP(Z108,'Daniel''s Tables'!$Z$135:$Z$214,'Daniel''s Tables'!$AB$135:$AB$214),0)</f>
        <v>0</v>
      </c>
      <c r="AB108" s="1242">
        <f t="shared" si="22"/>
        <v>0</v>
      </c>
      <c r="AC108" s="1244">
        <f t="shared" si="16"/>
        <v>0</v>
      </c>
      <c r="AD108" s="838">
        <f t="shared" si="17"/>
        <v>0</v>
      </c>
      <c r="AE108" s="838"/>
    </row>
    <row r="109" spans="1:31" ht="15.75" customHeight="1" x14ac:dyDescent="0.2">
      <c r="A109" s="887"/>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1242" t="e">
        <f t="shared" si="21"/>
        <v>#DIV/0!</v>
      </c>
      <c r="AA109" s="4">
        <f>IF(H109*G109,LOOKUP(Z109,'Daniel''s Tables'!$Z$135:$Z$214,'Daniel''s Tables'!$AB$135:$AB$214),0)</f>
        <v>0</v>
      </c>
      <c r="AB109" s="1242">
        <f t="shared" si="22"/>
        <v>0</v>
      </c>
      <c r="AC109" s="1244">
        <f t="shared" si="16"/>
        <v>0</v>
      </c>
      <c r="AD109" s="838">
        <f t="shared" si="17"/>
        <v>0</v>
      </c>
      <c r="AE109" s="838"/>
    </row>
    <row r="110" spans="1:31" ht="15.75" customHeight="1" x14ac:dyDescent="0.2">
      <c r="A110" s="887"/>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1242" t="e">
        <f t="shared" si="21"/>
        <v>#DIV/0!</v>
      </c>
      <c r="AA110" s="4">
        <f>IF(H110*G110,LOOKUP(Z110,'Daniel''s Tables'!$Z$135:$Z$214,'Daniel''s Tables'!$AB$135:$AB$214),0)</f>
        <v>0</v>
      </c>
      <c r="AB110" s="1242">
        <f t="shared" si="22"/>
        <v>0</v>
      </c>
      <c r="AC110" s="1244">
        <f t="shared" si="16"/>
        <v>0</v>
      </c>
      <c r="AD110" s="838">
        <f t="shared" si="17"/>
        <v>0</v>
      </c>
      <c r="AE110" s="838"/>
    </row>
    <row r="111" spans="1:31" ht="15.75" customHeight="1" x14ac:dyDescent="0.2">
      <c r="A111" s="887"/>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1.5534027777777777</v>
      </c>
      <c r="Q111" s="865"/>
      <c r="R111" s="4"/>
      <c r="S111" s="4"/>
      <c r="T111" s="16">
        <f t="shared" si="15"/>
        <v>0</v>
      </c>
      <c r="U111" s="868">
        <f t="shared" si="18"/>
        <v>0</v>
      </c>
      <c r="V111" s="4">
        <v>70</v>
      </c>
      <c r="W111" s="4">
        <f t="shared" si="19"/>
        <v>68</v>
      </c>
      <c r="X111" s="868">
        <f t="shared" si="20"/>
        <v>71.714285714285708</v>
      </c>
      <c r="Y111" s="4"/>
      <c r="Z111" s="1242" t="e">
        <f t="shared" si="21"/>
        <v>#DIV/0!</v>
      </c>
      <c r="AA111" s="4">
        <f>IF(H111*G111,LOOKUP(Z111,'Daniel''s Tables'!$Z$135:$Z$214,'Daniel''s Tables'!$AB$135:$AB$214),0)</f>
        <v>0</v>
      </c>
      <c r="AB111" s="1242">
        <f t="shared" si="22"/>
        <v>0</v>
      </c>
      <c r="AC111" s="1244">
        <f t="shared" si="16"/>
        <v>0</v>
      </c>
      <c r="AD111" s="838">
        <f t="shared" si="17"/>
        <v>0</v>
      </c>
      <c r="AE111" s="838"/>
    </row>
    <row r="112" spans="1:31" ht="15.75" customHeight="1" x14ac:dyDescent="0.2">
      <c r="A112" s="887"/>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292.23</v>
      </c>
      <c r="Q112" s="866"/>
      <c r="R112" s="4"/>
      <c r="S112" s="4"/>
      <c r="T112" s="16">
        <f t="shared" si="15"/>
        <v>0</v>
      </c>
      <c r="U112" s="868">
        <f t="shared" si="18"/>
        <v>0</v>
      </c>
      <c r="V112" s="4">
        <v>70</v>
      </c>
      <c r="W112" s="4">
        <f t="shared" si="19"/>
        <v>66</v>
      </c>
      <c r="X112" s="868">
        <f t="shared" si="20"/>
        <v>70.285714285714292</v>
      </c>
      <c r="Y112" s="4"/>
      <c r="Z112" s="1242" t="e">
        <f t="shared" si="21"/>
        <v>#DIV/0!</v>
      </c>
      <c r="AA112" s="4">
        <f>IF(H112*G112,LOOKUP(Z112,'Daniel''s Tables'!$Z$135:$Z$214,'Daniel''s Tables'!$AB$135:$AB$214),0)</f>
        <v>0</v>
      </c>
      <c r="AB112" s="1242">
        <f t="shared" si="22"/>
        <v>0</v>
      </c>
      <c r="AC112" s="1244">
        <f t="shared" si="16"/>
        <v>0</v>
      </c>
      <c r="AD112" s="838">
        <f t="shared" si="17"/>
        <v>0</v>
      </c>
      <c r="AE112" s="838"/>
    </row>
    <row r="113" spans="1:31" ht="15.75" customHeight="1" x14ac:dyDescent="0.2">
      <c r="A113" s="887"/>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1084</v>
      </c>
      <c r="Q113" s="862">
        <f>P112/P113</f>
        <v>0.26958487084870852</v>
      </c>
      <c r="R113" s="4"/>
      <c r="S113" s="4"/>
      <c r="T113" s="16">
        <f t="shared" si="15"/>
        <v>0</v>
      </c>
      <c r="U113" s="868">
        <f t="shared" si="18"/>
        <v>0</v>
      </c>
      <c r="V113" s="4">
        <v>70</v>
      </c>
      <c r="W113" s="4">
        <f t="shared" si="19"/>
        <v>68</v>
      </c>
      <c r="X113" s="868">
        <f t="shared" si="20"/>
        <v>69.428571428571431</v>
      </c>
      <c r="Y113" s="4"/>
      <c r="Z113" s="1242" t="e">
        <f t="shared" si="21"/>
        <v>#DIV/0!</v>
      </c>
      <c r="AA113" s="4">
        <f>IF(H113*G113,LOOKUP(Z113,'Daniel''s Tables'!$Z$135:$Z$214,'Daniel''s Tables'!$AB$135:$AB$214),0)</f>
        <v>0</v>
      </c>
      <c r="AB113" s="1242">
        <f t="shared" si="22"/>
        <v>0</v>
      </c>
      <c r="AC113" s="1244">
        <f t="shared" si="16"/>
        <v>0</v>
      </c>
      <c r="AD113" s="838">
        <f t="shared" si="17"/>
        <v>0</v>
      </c>
      <c r="AE113" s="838">
        <f>AC113</f>
        <v>0</v>
      </c>
    </row>
    <row r="114" spans="1:31" ht="15.75" customHeight="1" x14ac:dyDescent="0.2">
      <c r="A114" s="88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1242" t="e">
        <f t="shared" si="21"/>
        <v>#DIV/0!</v>
      </c>
      <c r="AA114" s="4">
        <f>IF(H114*G114,LOOKUP(Z114,'Daniel''s Tables'!$Z$135:$Z$214,'Daniel''s Tables'!$AB$135:$AB$214),0)</f>
        <v>0</v>
      </c>
      <c r="AB114" s="1242">
        <f t="shared" si="22"/>
        <v>0</v>
      </c>
      <c r="AC114" s="1244">
        <f t="shared" si="16"/>
        <v>0</v>
      </c>
      <c r="AD114" s="838">
        <f t="shared" si="17"/>
        <v>0</v>
      </c>
      <c r="AE114" s="838"/>
    </row>
    <row r="115" spans="1:31" ht="15.75" customHeight="1" x14ac:dyDescent="0.2">
      <c r="A115" s="88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1242" t="e">
        <f t="shared" si="21"/>
        <v>#DIV/0!</v>
      </c>
      <c r="AA115" s="4">
        <f>IF(H115*G115,LOOKUP(Z115,'Daniel''s Tables'!$Z$135:$Z$214,'Daniel''s Tables'!$AB$135:$AB$214),0)</f>
        <v>0</v>
      </c>
      <c r="AB115" s="1242">
        <f t="shared" si="22"/>
        <v>0</v>
      </c>
      <c r="AC115" s="1244">
        <f t="shared" si="16"/>
        <v>0</v>
      </c>
      <c r="AD115" s="838">
        <f t="shared" si="17"/>
        <v>0</v>
      </c>
      <c r="AE115" s="838"/>
    </row>
    <row r="116" spans="1:31" ht="15.75" customHeight="1" x14ac:dyDescent="0.2">
      <c r="A116" s="88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1242" t="e">
        <f t="shared" si="21"/>
        <v>#DIV/0!</v>
      </c>
      <c r="AA116" s="4">
        <f>IF(H116*G116,LOOKUP(Z116,'Daniel''s Tables'!$Z$135:$Z$214,'Daniel''s Tables'!$AB$135:$AB$214),0)</f>
        <v>0</v>
      </c>
      <c r="AB116" s="1242">
        <f t="shared" si="22"/>
        <v>0</v>
      </c>
      <c r="AC116" s="1244">
        <f t="shared" si="16"/>
        <v>0</v>
      </c>
      <c r="AD116" s="838">
        <f t="shared" si="17"/>
        <v>0</v>
      </c>
      <c r="AE116" s="838"/>
    </row>
    <row r="117" spans="1:31" ht="15.75" customHeight="1" x14ac:dyDescent="0.2">
      <c r="A117" s="88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1242" t="e">
        <f t="shared" si="21"/>
        <v>#DIV/0!</v>
      </c>
      <c r="AA117" s="4">
        <f>IF(H117*G117,LOOKUP(Z117,'Daniel''s Tables'!$Z$135:$Z$214,'Daniel''s Tables'!$AB$135:$AB$214),0)</f>
        <v>0</v>
      </c>
      <c r="AB117" s="1242">
        <f t="shared" si="22"/>
        <v>0</v>
      </c>
      <c r="AC117" s="1244">
        <f t="shared" si="16"/>
        <v>0</v>
      </c>
      <c r="AD117" s="838">
        <f t="shared" si="17"/>
        <v>0</v>
      </c>
      <c r="AE117" s="838"/>
    </row>
    <row r="118" spans="1:31" ht="15.75" customHeight="1" x14ac:dyDescent="0.2">
      <c r="A118" s="88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1.5534027777777777</v>
      </c>
      <c r="Q118" s="865"/>
      <c r="R118" s="4"/>
      <c r="S118" s="4"/>
      <c r="T118" s="16">
        <f t="shared" si="15"/>
        <v>0</v>
      </c>
      <c r="U118" s="868">
        <f t="shared" si="18"/>
        <v>0</v>
      </c>
      <c r="V118" s="4">
        <v>70</v>
      </c>
      <c r="W118" s="4">
        <f t="shared" si="19"/>
        <v>65</v>
      </c>
      <c r="X118" s="868">
        <f t="shared" si="20"/>
        <v>65</v>
      </c>
      <c r="Y118" s="4"/>
      <c r="Z118" s="1242" t="e">
        <f t="shared" si="21"/>
        <v>#DIV/0!</v>
      </c>
      <c r="AA118" s="4">
        <f>IF(H118*G118,LOOKUP(Z118,'Daniel''s Tables'!$Z$135:$Z$214,'Daniel''s Tables'!$AB$135:$AB$214),0)</f>
        <v>0</v>
      </c>
      <c r="AB118" s="1242">
        <f t="shared" si="22"/>
        <v>0</v>
      </c>
      <c r="AC118" s="1244">
        <f t="shared" si="16"/>
        <v>0</v>
      </c>
      <c r="AD118" s="838">
        <f t="shared" si="17"/>
        <v>0</v>
      </c>
      <c r="AE118" s="838"/>
    </row>
    <row r="119" spans="1:31" ht="15.75" customHeight="1" x14ac:dyDescent="0.2">
      <c r="A119" s="88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292.23</v>
      </c>
      <c r="Q119" s="866"/>
      <c r="R119" s="4"/>
      <c r="S119" s="4"/>
      <c r="T119" s="16">
        <f t="shared" si="15"/>
        <v>0</v>
      </c>
      <c r="U119" s="868">
        <f t="shared" si="18"/>
        <v>0</v>
      </c>
      <c r="V119" s="4">
        <v>70</v>
      </c>
      <c r="W119" s="4">
        <f t="shared" si="19"/>
        <v>66</v>
      </c>
      <c r="X119" s="868">
        <f t="shared" si="20"/>
        <v>65</v>
      </c>
      <c r="Y119" s="4"/>
      <c r="Z119" s="1242" t="e">
        <f t="shared" si="21"/>
        <v>#DIV/0!</v>
      </c>
      <c r="AA119" s="4">
        <f>IF(H119*G119,LOOKUP(Z119,'Daniel''s Tables'!$Z$135:$Z$214,'Daniel''s Tables'!$AB$135:$AB$214),0)</f>
        <v>0</v>
      </c>
      <c r="AB119" s="1242">
        <f t="shared" si="22"/>
        <v>0</v>
      </c>
      <c r="AC119" s="1244">
        <f t="shared" si="16"/>
        <v>0</v>
      </c>
      <c r="AD119" s="838">
        <f t="shared" si="17"/>
        <v>0</v>
      </c>
      <c r="AE119" s="838"/>
    </row>
    <row r="120" spans="1:31" ht="15.75" customHeight="1" x14ac:dyDescent="0.2">
      <c r="A120" s="88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1150</v>
      </c>
      <c r="Q120" s="862">
        <f>P119/P120</f>
        <v>0.25411304347826086</v>
      </c>
      <c r="R120" s="4"/>
      <c r="S120" s="4"/>
      <c r="T120" s="16">
        <f t="shared" si="15"/>
        <v>0</v>
      </c>
      <c r="U120" s="868">
        <f t="shared" si="18"/>
        <v>0</v>
      </c>
      <c r="V120" s="4">
        <v>70</v>
      </c>
      <c r="W120" s="4">
        <f t="shared" si="19"/>
        <v>66</v>
      </c>
      <c r="X120" s="868">
        <f t="shared" si="20"/>
        <v>64.714285714285708</v>
      </c>
      <c r="Y120" s="4"/>
      <c r="Z120" s="1242" t="e">
        <f t="shared" si="21"/>
        <v>#DIV/0!</v>
      </c>
      <c r="AA120" s="4">
        <f>IF(H120*G120,LOOKUP(Z120,'Daniel''s Tables'!$Z$135:$Z$214,'Daniel''s Tables'!$AB$135:$AB$214),0)</f>
        <v>0</v>
      </c>
      <c r="AB120" s="1242">
        <f t="shared" si="22"/>
        <v>0</v>
      </c>
      <c r="AC120" s="1244">
        <f t="shared" si="16"/>
        <v>0</v>
      </c>
      <c r="AD120" s="838">
        <f t="shared" si="17"/>
        <v>0</v>
      </c>
      <c r="AE120" s="838">
        <f>AC120</f>
        <v>0</v>
      </c>
    </row>
    <row r="121" spans="1:31" ht="15.75" customHeight="1" x14ac:dyDescent="0.2">
      <c r="A121" s="887"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1242" t="e">
        <f t="shared" si="21"/>
        <v>#DIV/0!</v>
      </c>
      <c r="AA121" s="4">
        <f>IF(H121*G121,LOOKUP(Z121,'Daniel''s Tables'!$Z$135:$Z$214,'Daniel''s Tables'!$AB$135:$AB$214),0)</f>
        <v>0</v>
      </c>
      <c r="AB121" s="1242">
        <f t="shared" si="22"/>
        <v>0</v>
      </c>
      <c r="AC121" s="1244">
        <f t="shared" si="16"/>
        <v>0</v>
      </c>
      <c r="AD121" s="838">
        <f t="shared" si="17"/>
        <v>0</v>
      </c>
      <c r="AE121" s="838"/>
    </row>
    <row r="122" spans="1:31" ht="15.75" customHeight="1" x14ac:dyDescent="0.2">
      <c r="A122" s="887"/>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1242" t="e">
        <f t="shared" si="21"/>
        <v>#DIV/0!</v>
      </c>
      <c r="AA122" s="4">
        <f>IF(H122*G122,LOOKUP(Z122,'Daniel''s Tables'!$Z$135:$Z$214,'Daniel''s Tables'!$AB$135:$AB$214),0)</f>
        <v>0</v>
      </c>
      <c r="AB122" s="1242">
        <f t="shared" si="22"/>
        <v>0</v>
      </c>
      <c r="AC122" s="1244">
        <f t="shared" si="16"/>
        <v>0</v>
      </c>
      <c r="AD122" s="838">
        <f t="shared" si="17"/>
        <v>0</v>
      </c>
      <c r="AE122" s="838"/>
    </row>
    <row r="123" spans="1:31" ht="15.75" customHeight="1" x14ac:dyDescent="0.2">
      <c r="A123" s="887"/>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1242" t="e">
        <f t="shared" si="21"/>
        <v>#DIV/0!</v>
      </c>
      <c r="AA123" s="4">
        <f>IF(H123*G123,LOOKUP(Z123,'Daniel''s Tables'!$Z$135:$Z$214,'Daniel''s Tables'!$AB$135:$AB$214),0)</f>
        <v>0</v>
      </c>
      <c r="AB123" s="1242">
        <f t="shared" si="22"/>
        <v>0</v>
      </c>
      <c r="AC123" s="1244">
        <f t="shared" si="16"/>
        <v>0</v>
      </c>
      <c r="AD123" s="838">
        <f t="shared" si="17"/>
        <v>0</v>
      </c>
      <c r="AE123" s="838"/>
    </row>
    <row r="124" spans="1:31" ht="15.75" customHeight="1" x14ac:dyDescent="0.2">
      <c r="A124" s="887"/>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1242" t="e">
        <f t="shared" si="21"/>
        <v>#DIV/0!</v>
      </c>
      <c r="AA124" s="4">
        <f>IF(H124*G124,LOOKUP(Z124,'Daniel''s Tables'!$Z$135:$Z$214,'Daniel''s Tables'!$AB$135:$AB$214),0)</f>
        <v>0</v>
      </c>
      <c r="AB124" s="1242">
        <f t="shared" si="22"/>
        <v>0</v>
      </c>
      <c r="AC124" s="1244">
        <f t="shared" si="16"/>
        <v>0</v>
      </c>
      <c r="AD124" s="838">
        <f t="shared" si="17"/>
        <v>0</v>
      </c>
      <c r="AE124" s="838"/>
    </row>
    <row r="125" spans="1:31" ht="15.75" customHeight="1" x14ac:dyDescent="0.2">
      <c r="A125" s="887"/>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1.5534027777777777</v>
      </c>
      <c r="Q125" s="865"/>
      <c r="R125" s="4"/>
      <c r="S125" s="4"/>
      <c r="T125" s="16">
        <f t="shared" si="15"/>
        <v>0</v>
      </c>
      <c r="U125" s="868">
        <f t="shared" si="18"/>
        <v>0</v>
      </c>
      <c r="V125" s="4">
        <v>70</v>
      </c>
      <c r="W125" s="4">
        <f t="shared" si="19"/>
        <v>61</v>
      </c>
      <c r="X125" s="868">
        <f t="shared" si="20"/>
        <v>64.285714285714292</v>
      </c>
      <c r="Y125" s="4"/>
      <c r="Z125" s="1242" t="e">
        <f t="shared" si="21"/>
        <v>#DIV/0!</v>
      </c>
      <c r="AA125" s="4">
        <f>IF(H125*G125,LOOKUP(Z125,'Daniel''s Tables'!$Z$135:$Z$214,'Daniel''s Tables'!$AB$135:$AB$214),0)</f>
        <v>0</v>
      </c>
      <c r="AB125" s="1242">
        <f t="shared" si="22"/>
        <v>0</v>
      </c>
      <c r="AC125" s="1244">
        <f t="shared" si="16"/>
        <v>0</v>
      </c>
      <c r="AD125" s="838">
        <f t="shared" si="17"/>
        <v>0</v>
      </c>
      <c r="AE125" s="838"/>
    </row>
    <row r="126" spans="1:31" ht="15.75" customHeight="1" x14ac:dyDescent="0.2">
      <c r="A126" s="887"/>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292.23</v>
      </c>
      <c r="Q126" s="866"/>
      <c r="R126" s="4"/>
      <c r="S126" s="4"/>
      <c r="T126" s="16">
        <f t="shared" si="15"/>
        <v>0</v>
      </c>
      <c r="U126" s="868">
        <f t="shared" si="18"/>
        <v>0</v>
      </c>
      <c r="V126" s="4">
        <v>70</v>
      </c>
      <c r="W126" s="4">
        <f t="shared" si="19"/>
        <v>60</v>
      </c>
      <c r="X126" s="868">
        <f t="shared" si="20"/>
        <v>63.428571428571431</v>
      </c>
      <c r="Y126" s="4"/>
      <c r="Z126" s="1242" t="e">
        <f t="shared" si="21"/>
        <v>#DIV/0!</v>
      </c>
      <c r="AA126" s="4">
        <f>IF(H126*G126,LOOKUP(Z126,'Daniel''s Tables'!$Z$135:$Z$214,'Daniel''s Tables'!$AB$135:$AB$214),0)</f>
        <v>0</v>
      </c>
      <c r="AB126" s="1242">
        <f t="shared" si="22"/>
        <v>0</v>
      </c>
      <c r="AC126" s="1244">
        <f t="shared" si="16"/>
        <v>0</v>
      </c>
      <c r="AD126" s="838">
        <f t="shared" si="17"/>
        <v>0</v>
      </c>
      <c r="AE126" s="838"/>
    </row>
    <row r="127" spans="1:31" ht="15.75" customHeight="1" x14ac:dyDescent="0.2">
      <c r="A127" s="887"/>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1208</v>
      </c>
      <c r="Q127" s="862">
        <f>P126/P127</f>
        <v>0.24191225165562916</v>
      </c>
      <c r="R127" s="4"/>
      <c r="S127" s="4"/>
      <c r="T127" s="16">
        <f t="shared" si="15"/>
        <v>0</v>
      </c>
      <c r="U127" s="868">
        <f t="shared" si="18"/>
        <v>0</v>
      </c>
      <c r="V127" s="4">
        <v>70</v>
      </c>
      <c r="W127" s="4">
        <f t="shared" si="19"/>
        <v>58</v>
      </c>
      <c r="X127" s="868">
        <f t="shared" si="20"/>
        <v>62.285714285714285</v>
      </c>
      <c r="Y127" s="4"/>
      <c r="Z127" s="1242" t="e">
        <f t="shared" si="21"/>
        <v>#DIV/0!</v>
      </c>
      <c r="AA127" s="4">
        <f>IF(H127*G127,LOOKUP(Z127,'Daniel''s Tables'!$Z$135:$Z$214,'Daniel''s Tables'!$AB$135:$AB$214),0)</f>
        <v>0</v>
      </c>
      <c r="AB127" s="1242">
        <f t="shared" si="22"/>
        <v>0</v>
      </c>
      <c r="AC127" s="1244">
        <f t="shared" si="16"/>
        <v>0</v>
      </c>
      <c r="AD127" s="838">
        <f t="shared" si="17"/>
        <v>0</v>
      </c>
      <c r="AE127" s="838">
        <f>AC127</f>
        <v>0</v>
      </c>
    </row>
    <row r="128" spans="1:31" ht="15.75" customHeight="1" x14ac:dyDescent="0.2">
      <c r="A128" s="88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1242" t="e">
        <f t="shared" si="21"/>
        <v>#DIV/0!</v>
      </c>
      <c r="AA128" s="4">
        <f>IF(H128*G128,LOOKUP(Z128,'Daniel''s Tables'!$Z$135:$Z$214,'Daniel''s Tables'!$AB$135:$AB$214),0)</f>
        <v>0</v>
      </c>
      <c r="AB128" s="1242">
        <f t="shared" si="22"/>
        <v>0</v>
      </c>
      <c r="AC128" s="1244">
        <f t="shared" si="16"/>
        <v>0</v>
      </c>
      <c r="AD128" s="838">
        <f t="shared" si="17"/>
        <v>0</v>
      </c>
      <c r="AE128" s="838"/>
    </row>
    <row r="129" spans="1:31" ht="15.75" customHeight="1" x14ac:dyDescent="0.2">
      <c r="A129" s="88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1242" t="e">
        <f t="shared" si="21"/>
        <v>#DIV/0!</v>
      </c>
      <c r="AA129" s="4">
        <f>IF(H129*G129,LOOKUP(Z129,'Daniel''s Tables'!$Z$135:$Z$214,'Daniel''s Tables'!$AB$135:$AB$214),0)</f>
        <v>0</v>
      </c>
      <c r="AB129" s="1242">
        <f t="shared" si="22"/>
        <v>0</v>
      </c>
      <c r="AC129" s="1244">
        <f t="shared" si="16"/>
        <v>0</v>
      </c>
      <c r="AD129" s="838">
        <f t="shared" si="17"/>
        <v>0</v>
      </c>
      <c r="AE129" s="838"/>
    </row>
    <row r="130" spans="1:31" ht="15.75" customHeight="1" x14ac:dyDescent="0.2">
      <c r="A130" s="88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1242" t="e">
        <f t="shared" si="21"/>
        <v>#DIV/0!</v>
      </c>
      <c r="AA130" s="4">
        <f>IF(H130*G130,LOOKUP(Z130,'Daniel''s Tables'!$Z$135:$Z$214,'Daniel''s Tables'!$AB$135:$AB$214),0)</f>
        <v>0</v>
      </c>
      <c r="AB130" s="1242">
        <f t="shared" si="22"/>
        <v>0</v>
      </c>
      <c r="AC130" s="1244">
        <f t="shared" si="16"/>
        <v>0</v>
      </c>
      <c r="AD130" s="838">
        <f t="shared" si="17"/>
        <v>0</v>
      </c>
      <c r="AE130" s="838"/>
    </row>
    <row r="131" spans="1:31" ht="15.75" customHeight="1" x14ac:dyDescent="0.2">
      <c r="A131" s="88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1242" t="e">
        <f t="shared" si="21"/>
        <v>#DIV/0!</v>
      </c>
      <c r="AA131" s="4">
        <f>IF(H131*G131,LOOKUP(Z131,'Daniel''s Tables'!$Z$135:$Z$214,'Daniel''s Tables'!$AB$135:$AB$214),0)</f>
        <v>0</v>
      </c>
      <c r="AB131" s="1242">
        <f t="shared" si="22"/>
        <v>0</v>
      </c>
      <c r="AC131" s="1244">
        <f t="shared" si="16"/>
        <v>0</v>
      </c>
      <c r="AD131" s="838">
        <f t="shared" si="17"/>
        <v>0</v>
      </c>
      <c r="AE131" s="838"/>
    </row>
    <row r="132" spans="1:31" ht="15.75" customHeight="1" x14ac:dyDescent="0.2">
      <c r="A132" s="88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1.5534027777777777</v>
      </c>
      <c r="Q132" s="865"/>
      <c r="R132" s="4"/>
      <c r="S132" s="4"/>
      <c r="T132" s="16">
        <f t="shared" si="15"/>
        <v>0</v>
      </c>
      <c r="U132" s="868">
        <f t="shared" si="18"/>
        <v>0</v>
      </c>
      <c r="V132" s="4">
        <v>70</v>
      </c>
      <c r="W132" s="4">
        <f t="shared" si="19"/>
        <v>60</v>
      </c>
      <c r="X132" s="868">
        <f t="shared" si="20"/>
        <v>61.428571428571431</v>
      </c>
      <c r="Y132" s="4"/>
      <c r="Z132" s="1242" t="e">
        <f t="shared" si="21"/>
        <v>#DIV/0!</v>
      </c>
      <c r="AA132" s="4">
        <f>IF(H132*G132,LOOKUP(Z132,'Daniel''s Tables'!$Z$135:$Z$214,'Daniel''s Tables'!$AB$135:$AB$214),0)</f>
        <v>0</v>
      </c>
      <c r="AB132" s="1242">
        <f t="shared" si="22"/>
        <v>0</v>
      </c>
      <c r="AC132" s="1244">
        <f t="shared" si="16"/>
        <v>0</v>
      </c>
      <c r="AD132" s="838">
        <f t="shared" si="17"/>
        <v>0</v>
      </c>
      <c r="AE132" s="838"/>
    </row>
    <row r="133" spans="1:31" ht="15.75" customHeight="1" x14ac:dyDescent="0.2">
      <c r="A133" s="88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292.23</v>
      </c>
      <c r="Q133" s="866"/>
      <c r="R133" s="4"/>
      <c r="S133" s="4"/>
      <c r="T133" s="16">
        <f t="shared" si="15"/>
        <v>0</v>
      </c>
      <c r="U133" s="868">
        <f t="shared" si="18"/>
        <v>0</v>
      </c>
      <c r="V133" s="4">
        <v>70</v>
      </c>
      <c r="W133" s="4">
        <f t="shared" si="19"/>
        <v>58</v>
      </c>
      <c r="X133" s="868">
        <f t="shared" si="20"/>
        <v>61.142857142857146</v>
      </c>
      <c r="Y133" s="4"/>
      <c r="Z133" s="1242" t="e">
        <f t="shared" si="21"/>
        <v>#DIV/0!</v>
      </c>
      <c r="AA133" s="4">
        <f>IF(H133*G133,LOOKUP(Z133,'Daniel''s Tables'!$Z$135:$Z$214,'Daniel''s Tables'!$AB$135:$AB$214),0)</f>
        <v>0</v>
      </c>
      <c r="AB133" s="1242">
        <f t="shared" si="22"/>
        <v>0</v>
      </c>
      <c r="AC133" s="1244">
        <f t="shared" si="16"/>
        <v>0</v>
      </c>
      <c r="AD133" s="838">
        <f t="shared" si="17"/>
        <v>0</v>
      </c>
      <c r="AE133" s="838"/>
    </row>
    <row r="134" spans="1:31" ht="15.75" customHeight="1" x14ac:dyDescent="0.2">
      <c r="A134" s="88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1253</v>
      </c>
      <c r="Q134" s="862">
        <f>P133/P134</f>
        <v>0.23322426177174782</v>
      </c>
      <c r="R134" s="4"/>
      <c r="S134" s="4"/>
      <c r="T134" s="16">
        <f t="shared" si="15"/>
        <v>0</v>
      </c>
      <c r="U134" s="868">
        <f t="shared" si="18"/>
        <v>0</v>
      </c>
      <c r="V134" s="4">
        <v>70</v>
      </c>
      <c r="W134" s="4">
        <f t="shared" si="19"/>
        <v>45</v>
      </c>
      <c r="X134" s="868">
        <f t="shared" si="20"/>
        <v>59.285714285714285</v>
      </c>
      <c r="Y134" s="4"/>
      <c r="Z134" s="1242" t="e">
        <f t="shared" si="21"/>
        <v>#DIV/0!</v>
      </c>
      <c r="AA134" s="4">
        <f>IF(H134*G134,LOOKUP(Z134,'Daniel''s Tables'!$Z$135:$Z$214,'Daniel''s Tables'!$AB$135:$AB$214),0)</f>
        <v>0</v>
      </c>
      <c r="AB134" s="1242">
        <f t="shared" si="22"/>
        <v>0</v>
      </c>
      <c r="AC134" s="1244">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1242" t="e">
        <f t="shared" si="21"/>
        <v>#DIV/0!</v>
      </c>
      <c r="AA135" s="4">
        <f>IF(H135*G135,LOOKUP(Z135,'Daniel''s Tables'!$Z$135:$Z$214,'Daniel''s Tables'!$AB$135:$AB$214),0)</f>
        <v>0</v>
      </c>
      <c r="AB135" s="1242">
        <f t="shared" si="22"/>
        <v>0</v>
      </c>
      <c r="AC135" s="1244">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K43" workbookViewId="0">
      <selection activeCell="L56" sqref="L56"/>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44.94</v>
      </c>
      <c r="L7" s="838">
        <f>(K7-K6)/((K7+K6)/2)*100</f>
        <v>-47.905914205939595</v>
      </c>
    </row>
    <row r="8" spans="1:12" x14ac:dyDescent="0.2">
      <c r="A8">
        <v>6</v>
      </c>
      <c r="B8">
        <v>13</v>
      </c>
      <c r="C8">
        <v>0.8</v>
      </c>
      <c r="D8">
        <v>0.8</v>
      </c>
      <c r="E8">
        <v>0.8</v>
      </c>
      <c r="G8">
        <f t="shared" si="1"/>
        <v>44</v>
      </c>
      <c r="H8">
        <f t="shared" si="0"/>
        <v>56</v>
      </c>
      <c r="I8">
        <f t="shared" si="2"/>
        <v>64</v>
      </c>
      <c r="K8">
        <f>'2Q - 80'!N50</f>
        <v>0</v>
      </c>
      <c r="L8" s="838">
        <f>(K8-K7)/((K8+K7)/2)*100</f>
        <v>-200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B2" workbookViewId="0">
      <selection activeCell="D42" sqref="D4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91">
        <f>'Daniel''s Metrics'!G3 - ('Q Sessions'!D3+'Q Sessions'!D4)</f>
        <v>12</v>
      </c>
      <c r="I3" s="890">
        <v>18</v>
      </c>
      <c r="J3" s="825" t="s">
        <v>314</v>
      </c>
      <c r="K3" s="825" t="s">
        <v>390</v>
      </c>
      <c r="L3">
        <v>18</v>
      </c>
      <c r="M3" s="891">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91">
        <f>'Daniel''s Metrics'!G5 - ('Q Sessions'!D5+'Q Sessions'!D6)</f>
        <v>24.375</v>
      </c>
      <c r="I5" s="890">
        <v>17</v>
      </c>
      <c r="J5" s="825" t="s">
        <v>314</v>
      </c>
      <c r="K5" s="825" t="s">
        <v>392</v>
      </c>
      <c r="L5">
        <v>18</v>
      </c>
      <c r="M5" s="891">
        <f>'Daniel''s Metrics'!I4 -(L5+L6)</f>
        <v>31</v>
      </c>
    </row>
    <row r="6" spans="1:13" x14ac:dyDescent="0.2">
      <c r="A6" s="890"/>
      <c r="B6" s="825" t="s">
        <v>335</v>
      </c>
      <c r="C6" s="825" t="s">
        <v>354</v>
      </c>
      <c r="D6" s="838">
        <f>4+ (5*(1000/1600)) + (4*(400/1600)) +2</f>
        <v>10.125</v>
      </c>
      <c r="E6">
        <v>13</v>
      </c>
      <c r="F6" s="890"/>
      <c r="I6" s="890"/>
      <c r="J6" s="825" t="s">
        <v>335</v>
      </c>
      <c r="K6" s="825" t="s">
        <v>396</v>
      </c>
      <c r="L6">
        <v>15</v>
      </c>
      <c r="M6" s="891"/>
    </row>
    <row r="7" spans="1:13" x14ac:dyDescent="0.2">
      <c r="A7" s="890">
        <v>16</v>
      </c>
      <c r="B7" s="825" t="s">
        <v>314</v>
      </c>
      <c r="C7" s="825" t="s">
        <v>339</v>
      </c>
      <c r="D7" s="838">
        <v>16</v>
      </c>
      <c r="E7">
        <v>16</v>
      </c>
      <c r="F7" s="891">
        <f>'Daniel''s Metrics'!G7 - ('Q Sessions'!D7+'Q Sessions'!D8)</f>
        <v>20.5</v>
      </c>
      <c r="I7" s="890">
        <v>16</v>
      </c>
      <c r="J7" s="825" t="s">
        <v>314</v>
      </c>
      <c r="K7" s="825" t="s">
        <v>393</v>
      </c>
      <c r="L7">
        <v>18</v>
      </c>
      <c r="M7" s="891">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91">
        <f>'Daniel''s Metrics'!G9 - ('Q Sessions'!D9+'Q Sessions'!D10)</f>
        <v>24.666666666666668</v>
      </c>
      <c r="I9" s="890">
        <v>15</v>
      </c>
      <c r="J9" s="825" t="s">
        <v>314</v>
      </c>
      <c r="K9" s="825" t="s">
        <v>395</v>
      </c>
      <c r="L9">
        <v>18</v>
      </c>
      <c r="M9" s="891">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91">
        <f>'Daniel''s Metrics'!G11 - ('Q Sessions'!D11+'Q Sessions'!D12)</f>
        <v>19.75</v>
      </c>
      <c r="I11" s="890">
        <v>14</v>
      </c>
      <c r="J11" s="825" t="s">
        <v>314</v>
      </c>
      <c r="K11" s="825" t="s">
        <v>400</v>
      </c>
      <c r="L11">
        <v>18</v>
      </c>
      <c r="M11" s="891">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91">
        <f>'Daniel''s Metrics'!G13 - ('Q Sessions'!D13+'Q Sessions'!D14)</f>
        <v>23.666666666666668</v>
      </c>
      <c r="I13" s="890">
        <v>13</v>
      </c>
      <c r="J13" s="825" t="s">
        <v>314</v>
      </c>
      <c r="K13" s="825" t="s">
        <v>397</v>
      </c>
      <c r="L13">
        <v>19</v>
      </c>
      <c r="M13" s="891">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91">
        <f>'Daniel''s Metrics'!G15 - ('Q Sessions'!D15+'Q Sessions'!D16)</f>
        <v>24</v>
      </c>
      <c r="I15" s="890">
        <v>12</v>
      </c>
      <c r="J15" s="825" t="s">
        <v>314</v>
      </c>
      <c r="K15" s="825" t="s">
        <v>402</v>
      </c>
      <c r="L15">
        <v>19</v>
      </c>
      <c r="M15" s="891">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91">
        <f>'Daniel''s Metrics'!G17 - ('Q Sessions'!D17+'Q Sessions'!D18)</f>
        <v>20.375</v>
      </c>
      <c r="I17" s="890">
        <v>11</v>
      </c>
      <c r="J17" s="825" t="s">
        <v>314</v>
      </c>
      <c r="K17" s="825" t="s">
        <v>404</v>
      </c>
      <c r="L17">
        <v>19</v>
      </c>
      <c r="M17" s="891">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91">
        <f>'Daniel''s Metrics'!G19 - ('Q Sessions'!D19+'Q Sessions'!D20)</f>
        <v>10</v>
      </c>
      <c r="I19" s="890">
        <v>10</v>
      </c>
      <c r="J19" s="825" t="s">
        <v>314</v>
      </c>
      <c r="K19" s="825" t="s">
        <v>411</v>
      </c>
      <c r="L19">
        <v>20</v>
      </c>
      <c r="M19" s="891">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91">
        <f>'Daniel''s Metrics'!G21 - ('Q Sessions'!D21+'Q Sessions'!D22)</f>
        <v>-31</v>
      </c>
      <c r="I21" s="890">
        <v>9</v>
      </c>
      <c r="J21" s="825" t="s">
        <v>314</v>
      </c>
      <c r="K21" s="825" t="s">
        <v>407</v>
      </c>
      <c r="L21">
        <v>18</v>
      </c>
      <c r="M21" s="891">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91">
        <f>'Daniel''s Metrics'!G23 - ('Q Sessions'!D23+'Q Sessions'!D24)</f>
        <v>-30.321428571428569</v>
      </c>
      <c r="I23" s="890">
        <v>8</v>
      </c>
      <c r="J23" s="825" t="s">
        <v>314</v>
      </c>
      <c r="K23" s="825" t="s">
        <v>409</v>
      </c>
      <c r="L23">
        <v>18</v>
      </c>
      <c r="M23" s="891">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91">
        <f>'Daniel''s Metrics'!G25 - ('Q Sessions'!D25+'Q Sessions'!D26)</f>
        <v>-36</v>
      </c>
      <c r="I25" s="890">
        <v>7</v>
      </c>
      <c r="J25" s="825" t="s">
        <v>314</v>
      </c>
      <c r="K25" s="825" t="s">
        <v>411</v>
      </c>
      <c r="L25">
        <v>20</v>
      </c>
      <c r="M25" s="891">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91">
        <f>'Daniel''s Metrics'!G27 - ('Q Sessions'!D27+'Q Sessions'!D28)</f>
        <v>-33.333333333333329</v>
      </c>
      <c r="I27" s="890">
        <v>6</v>
      </c>
      <c r="J27" s="825" t="s">
        <v>314</v>
      </c>
      <c r="K27" s="825" t="s">
        <v>413</v>
      </c>
      <c r="L27">
        <v>18</v>
      </c>
      <c r="M27" s="891">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91">
        <f>'Daniel''s Metrics'!G29 - ('Q Sessions'!D29+'Q Sessions'!D30)</f>
        <v>-29.875</v>
      </c>
      <c r="I29" s="890">
        <v>5</v>
      </c>
      <c r="J29" s="825" t="s">
        <v>314</v>
      </c>
      <c r="K29" s="825" t="s">
        <v>415</v>
      </c>
      <c r="L29">
        <v>16</v>
      </c>
      <c r="M29" s="891">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91">
        <f>'Daniel''s Metrics'!G31 - ('Q Sessions'!D31+'Q Sessions'!D32)</f>
        <v>-33.125</v>
      </c>
      <c r="I31" s="890">
        <v>4</v>
      </c>
      <c r="J31" s="825" t="s">
        <v>314</v>
      </c>
      <c r="K31" s="825" t="s">
        <v>393</v>
      </c>
      <c r="L31">
        <v>18</v>
      </c>
      <c r="M31" s="891">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91">
        <f>'Daniel''s Metrics'!G33 - ('Q Sessions'!D33+'Q Sessions'!D34)</f>
        <v>-29</v>
      </c>
      <c r="I33" s="890">
        <v>3</v>
      </c>
      <c r="J33" s="825" t="s">
        <v>314</v>
      </c>
      <c r="K33" s="825" t="s">
        <v>418</v>
      </c>
      <c r="L33">
        <v>18</v>
      </c>
      <c r="M33" s="891">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91">
        <f>'Daniel''s Metrics'!G35 - ('Q Sessions'!D35+'Q Sessions'!D36)</f>
        <v>-26</v>
      </c>
      <c r="I35" s="890">
        <v>2</v>
      </c>
      <c r="J35" s="825" t="s">
        <v>314</v>
      </c>
      <c r="K35" s="825" t="s">
        <v>419</v>
      </c>
      <c r="L35">
        <v>16</v>
      </c>
      <c r="M35" s="891">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17" workbookViewId="0">
      <selection activeCell="E7" sqref="E7:G7"/>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5" thickBot="1" x14ac:dyDescent="0.25">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5" thickBot="1" x14ac:dyDescent="0.25">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25" thickTop="1" thickBot="1" x14ac:dyDescent="0.25">
      <c r="B5" s="917" t="s">
        <v>59</v>
      </c>
      <c r="C5" s="918"/>
      <c r="D5" s="918"/>
      <c r="E5" s="54">
        <f ca="1">IF(AND(DATEDIF($E$2,NOW(),"y")&gt;=0,DATEDIF($E$2,NOW(),"y")&lt;110),DATEDIF($E$2,NOW(),"y"),"Birthdate?")</f>
        <v>31</v>
      </c>
      <c r="G5" s="24" t="s">
        <v>60</v>
      </c>
      <c r="H5" s="55"/>
      <c r="I5" s="919" t="str">
        <f ca="1">IF(R5="No Std","Custom Entry - No Std",IF(R5="Birthdate?",R5,"AGP  " &amp; IF($C$4,"M-","F-")&amp;$E$5&amp;":   "&amp;TEXT($R$5/$G$6,"0.00%")))</f>
        <v>AGP  M-31:   77.52%</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5">
        <f>IF(AND($E$6&gt;0,$G$6&gt;0),(-4.6 + 0.182258 * (F8/G6/1440) + 0.000104 *(F8/G6/1440)^2)/D9,1)</f>
        <v>61.766335932854794</v>
      </c>
      <c r="J6" s="926"/>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2">
        <f>IF($G$6&gt;0,0.8+0.1894393 * EXP(-0.012778*G6*1440)+0.2989558* EXP(-0.1932605*G6*1440),0)</f>
        <v>0.92228339421748917</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6" t="s">
        <v>88</v>
      </c>
      <c r="I17" s="946"/>
      <c r="J17" s="946"/>
      <c r="K17" s="946"/>
      <c r="L17" s="946"/>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7" t="s">
        <v>92</v>
      </c>
      <c r="N27" s="948"/>
      <c r="O27" s="948"/>
      <c r="P27" s="948"/>
      <c r="Q27" s="948"/>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1: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9" t="s">
        <v>106</v>
      </c>
      <c r="N42" s="950"/>
      <c r="O42" s="950"/>
      <c r="P42" s="950"/>
      <c r="Q42" s="950"/>
      <c r="R42" s="951"/>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2" t="s">
        <v>107</v>
      </c>
      <c r="N43" s="893"/>
      <c r="O43" s="893"/>
      <c r="P43" s="893" t="s">
        <v>108</v>
      </c>
      <c r="Q43" s="893"/>
      <c r="R43" s="894"/>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2" t="s">
        <v>109</v>
      </c>
      <c r="N44" s="933"/>
      <c r="O44" s="933"/>
      <c r="P44" s="933" t="s">
        <v>110</v>
      </c>
      <c r="Q44" s="933"/>
      <c r="R44" s="934"/>
    </row>
    <row r="45" spans="2:28" ht="13.5" thickBot="1" x14ac:dyDescent="0.25">
      <c r="B45" s="935" t="s">
        <v>111</v>
      </c>
      <c r="C45" s="936"/>
      <c r="D45" s="936"/>
      <c r="E45" s="936"/>
      <c r="F45" s="936"/>
      <c r="G45" s="936"/>
      <c r="H45" s="936"/>
      <c r="I45" s="936"/>
      <c r="J45" s="936"/>
      <c r="K45" s="936"/>
      <c r="L45" s="936"/>
      <c r="M45" s="936"/>
      <c r="N45" s="936"/>
      <c r="O45" s="936"/>
      <c r="P45" s="936"/>
      <c r="Q45" s="936"/>
      <c r="R45" s="937"/>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5" thickBot="1" x14ac:dyDescent="0.25">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3" t="s">
        <v>132</v>
      </c>
      <c r="D52" s="953"/>
      <c r="E52" s="953"/>
      <c r="F52" s="953"/>
      <c r="G52" s="953"/>
      <c r="H52" s="953"/>
      <c r="I52" s="953"/>
      <c r="J52" s="953"/>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78" t="str">
        <f>IF($L$52,"Pace / km","Pace / mile")</f>
        <v>Pace / mile</v>
      </c>
      <c r="C54" s="97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88" t="s">
        <v>143</v>
      </c>
      <c r="C57" s="989"/>
      <c r="D57" s="989"/>
      <c r="E57" s="989"/>
      <c r="F57" s="989"/>
      <c r="G57" s="989" t="s">
        <v>144</v>
      </c>
      <c r="H57" s="989"/>
      <c r="I57" s="989"/>
      <c r="J57" s="989"/>
      <c r="K57" s="989"/>
      <c r="L57" s="99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68">
        <f>B61-(IF(L58,1000,1609.344)/400) * TIME(0,0,6)</f>
        <v>2.1063461147120799E-3</v>
      </c>
      <c r="C60" s="96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70">
        <f>IF(AND($E$6&gt;0,$G$6&gt;0),(1/(29.54 + 5.000663 * ($I$6*0.98) - 0.007546 * ($I$6*0.98)^2)*IF($L$58,1000,1609.344)/1440),"-")</f>
        <v>2.2799572258231909E-3</v>
      </c>
      <c r="C61" s="97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2">
        <f>IF(AND($E$6&gt;0,$G$6&gt;0),(1/(29.54 + 5.000663 * ($I$6*0.88) - 0.007546 * ($I$6*0.88)^2)*IF($L$58,1000,1609.344)/1440),"-")</f>
        <v>2.4885662925217037E-3</v>
      </c>
      <c r="C62" s="97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4">
        <f>IF($L$58, R15,R14)</f>
        <v>2.1471161368400772E-3</v>
      </c>
      <c r="C63" s="97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5">
        <f>IF($L$58, P15,P14)</f>
        <v>2.2982369516722965E-3</v>
      </c>
      <c r="C64" s="1006"/>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7">
        <f>IF($L$58,N15,N14)</f>
        <v>2.3958333324182401E-3</v>
      </c>
      <c r="C65" s="1008"/>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09" t="s">
        <v>152</v>
      </c>
      <c r="C66" s="1010"/>
      <c r="D66" s="1010"/>
      <c r="E66" s="1010"/>
      <c r="F66" s="1010"/>
      <c r="G66" s="1010"/>
      <c r="H66" s="1010"/>
      <c r="I66" s="1010"/>
      <c r="J66" s="1010"/>
      <c r="K66" s="1010"/>
      <c r="L66" s="1011"/>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2" t="s">
        <v>156</v>
      </c>
      <c r="C68" s="1013"/>
      <c r="D68" s="1013"/>
      <c r="E68" s="1013"/>
      <c r="F68" s="1014" t="s">
        <v>157</v>
      </c>
      <c r="G68" s="1014"/>
      <c r="H68" s="1014"/>
      <c r="I68" s="1014"/>
      <c r="J68" s="1014"/>
      <c r="K68" s="1015"/>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5" thickBot="1" x14ac:dyDescent="0.25">
      <c r="B71" s="998" t="str">
        <f>IF($L$68,"Pace / km","Pace / mile")</f>
        <v>Pace / mile</v>
      </c>
      <c r="C71" s="999"/>
      <c r="D71" s="1000"/>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1" t="s">
        <v>181</v>
      </c>
      <c r="R71" s="1002"/>
    </row>
    <row r="72" spans="2:28" ht="14.25" thickTop="1" thickBot="1" x14ac:dyDescent="0.25">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5" thickBot="1" x14ac:dyDescent="0.25">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2.3958333333333331E-2</v>
      </c>
      <c r="P74" s="460"/>
      <c r="Q74" s="461" t="s">
        <v>185</v>
      </c>
      <c r="R74" s="462">
        <f>IF(R72="No","No Std",LOOKUP($D$8,$S$50:$S$69,IF($C$4,$T$50:$T$69,$U$50:$U$69)))</f>
        <v>1.8553240740740742E-2</v>
      </c>
      <c r="T74" s="458"/>
      <c r="U74" s="458"/>
      <c r="V74" s="33"/>
      <c r="W74" s="33"/>
    </row>
    <row r="75" spans="2:28" ht="13.5" thickBot="1" x14ac:dyDescent="0.25">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3.85572E-3</v>
      </c>
      <c r="P76" s="1019" t="s">
        <v>195</v>
      </c>
      <c r="Q76" s="1020"/>
      <c r="R76" s="471">
        <f ca="1">IF($O$85="Yes",$E$5,"Birthdate?")</f>
        <v>31</v>
      </c>
      <c r="T76" s="458"/>
      <c r="U76" s="458"/>
      <c r="V76" s="33"/>
      <c r="W76" s="33"/>
    </row>
    <row r="77" spans="2:28" ht="13.5" thickBot="1" x14ac:dyDescent="0.25">
      <c r="B77" s="998" t="str">
        <f>IF($L$74,"Zone Pace / km","Zone Pace / mile")</f>
        <v>Zone Pace / mile</v>
      </c>
      <c r="C77" s="999"/>
      <c r="D77" s="999"/>
      <c r="E77" s="1000"/>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1" t="s">
        <v>196</v>
      </c>
      <c r="N77" s="1022"/>
      <c r="O77" s="473" t="s">
        <v>101</v>
      </c>
      <c r="P77" s="1019" t="s">
        <v>197</v>
      </c>
      <c r="Q77" s="1023"/>
      <c r="R77" s="474">
        <f>IF(AND($C$2&gt;0,$C$3&gt;0),IF($B$4,$C$3 / ($C$2/100)^2,$C$3 / $C$2^2*703),"Wght / Hght?")</f>
        <v>22.313033128347552</v>
      </c>
      <c r="T77" s="458"/>
      <c r="U77" s="458"/>
      <c r="V77" s="33"/>
      <c r="W77" s="33"/>
    </row>
    <row r="78" spans="2:28" ht="13.5" thickBot="1" x14ac:dyDescent="0.25">
      <c r="B78" s="475" t="s">
        <v>198</v>
      </c>
      <c r="C78" s="476">
        <f>IF($E$3&lt;&gt;"",$E$3*0.9,"")</f>
        <v>180.9</v>
      </c>
      <c r="D78" s="1055" t="b">
        <v>0</v>
      </c>
      <c r="E78" s="1056"/>
      <c r="F78" s="477">
        <v>157</v>
      </c>
      <c r="G78" s="478"/>
      <c r="H78" s="479" t="s">
        <v>199</v>
      </c>
      <c r="I78" s="480">
        <f>+L6</f>
        <v>4.0049592314720488E-3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5" thickBot="1" x14ac:dyDescent="0.25">
      <c r="B79" s="483"/>
      <c r="M79" s="484"/>
      <c r="N79" s="24"/>
      <c r="O79" s="485"/>
      <c r="P79" s="1021" t="s">
        <v>201</v>
      </c>
      <c r="Q79" s="1022"/>
      <c r="R79" s="486">
        <f>IF(AND($C$2&gt;0,$P$80&gt;0),IF($B$4,$P$80 / ($C$2/100)^2,$P$80 / $C$2^2*703),"")</f>
        <v>18.498158078143003</v>
      </c>
      <c r="T79" s="458"/>
      <c r="U79" s="458"/>
      <c r="V79" s="33"/>
      <c r="W79" s="33"/>
    </row>
    <row r="80" spans="2:28" ht="13.5" thickBot="1" x14ac:dyDescent="0.25">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25" thickTop="1" thickBot="1" x14ac:dyDescent="0.25">
      <c r="B82" s="1041" t="s">
        <v>203</v>
      </c>
      <c r="C82" s="1042"/>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3" t="s">
        <v>204</v>
      </c>
      <c r="N82" s="1044"/>
      <c r="O82" s="495">
        <v>25</v>
      </c>
      <c r="P82" s="1045" t="s">
        <v>205</v>
      </c>
      <c r="Q82" s="1046"/>
      <c r="R82" s="1047"/>
    </row>
    <row r="83" spans="2:23" ht="13.5" thickTop="1" x14ac:dyDescent="0.2">
      <c r="B83" s="1048" t="str">
        <f>IF($L$80,"Adj Pace / km","Adj Pace / mile")</f>
        <v>Adj Pace / mile</v>
      </c>
      <c r="C83" s="1049"/>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50" t="s">
        <v>206</v>
      </c>
      <c r="N83" s="1051"/>
      <c r="O83" s="499">
        <f ca="1">ABS(IF($O$85="yes",$O$74-$O$84,0))</f>
        <v>2.4118055555556739E-5</v>
      </c>
      <c r="P83" s="1052" t="s">
        <v>207</v>
      </c>
      <c r="Q83" s="1053"/>
      <c r="R83" s="1054"/>
      <c r="T83" s="500"/>
    </row>
    <row r="84" spans="2:23" ht="13.5" thickBot="1" x14ac:dyDescent="0.25">
      <c r="B84" s="1070" t="str">
        <f>IF($L$80,"Drop in Seconds / km","Drop in Seconds / mile")</f>
        <v>Drop in Seconds / mile</v>
      </c>
      <c r="C84" s="1071"/>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2" t="str">
        <f>IF(M100,"Age Grade Equivalent","No Age Grading")</f>
        <v>Age Grade Equivalent</v>
      </c>
      <c r="N84" s="1073"/>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6">
        <f>ROUND((-4.6 + 0.182258 * ((P85*IF(R86,1000,1))/Q85/1440*(IF(R86,1,1609.344))) + 0.000104 *((P85*IF(R86,1000,1))/Q85/1440*(IF(R86,1,1609.344)))^2)/R85,1)</f>
        <v>83.3</v>
      </c>
      <c r="Q86" s="1077"/>
      <c r="R86" s="520" t="b">
        <v>0</v>
      </c>
    </row>
    <row r="87" spans="2:23" ht="14.25" thickTop="1" thickBot="1" x14ac:dyDescent="0.25">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5" thickBot="1" x14ac:dyDescent="0.25">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3.4493934814051122E-3</v>
      </c>
      <c r="P88" s="1063" t="s">
        <v>213</v>
      </c>
      <c r="Q88" s="1064"/>
      <c r="R88" s="1065"/>
    </row>
    <row r="89" spans="2:23" ht="14.25" thickTop="1" thickBot="1" x14ac:dyDescent="0.25">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5" thickBot="1" x14ac:dyDescent="0.25">
      <c r="B90" s="1068" t="s">
        <v>216</v>
      </c>
      <c r="C90" s="1069"/>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7"/>
      <c r="P90" s="512">
        <v>26.218800000000002</v>
      </c>
      <c r="Q90" s="513">
        <v>0.17318287037037036</v>
      </c>
      <c r="R90" s="540">
        <f>Q90/P90</f>
        <v>6.6052935439596915E-3</v>
      </c>
    </row>
    <row r="91" spans="2:23" ht="13.5" thickBot="1" x14ac:dyDescent="0.25">
      <c r="B91" s="1084" t="s">
        <v>217</v>
      </c>
      <c r="C91" s="1085"/>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6" t="str">
        <f>IF(M101,"Weight Adjusted Time","No Weight Grading")</f>
        <v>Weight Adjusted Time</v>
      </c>
      <c r="N91" s="1087"/>
      <c r="O91" s="545">
        <f ca="1">IF(AND($N$89&gt;0,$N$90&gt;0,$N$90&lt;&gt;"",$M$101),$O$84*(IF(N89&gt;=MIN(D98,F100,C3),$N$89,MIN(F100,D98,C3))/C3)^$I$93,O84)</f>
        <v>2.0484821796372663E-2</v>
      </c>
      <c r="P91" s="546" t="s">
        <v>218</v>
      </c>
      <c r="Q91" s="547" t="s">
        <v>99</v>
      </c>
      <c r="R91" s="548" t="s">
        <v>101</v>
      </c>
    </row>
    <row r="92" spans="2:23" ht="13.5" thickBot="1" x14ac:dyDescent="0.25">
      <c r="B92" s="1088" t="str">
        <f>IF($L$88,"Est Pace / km","Est Pace / mile")</f>
        <v>Est Pace / mile</v>
      </c>
      <c r="C92" s="1089"/>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25" thickTop="1" thickBot="1" x14ac:dyDescent="0.25">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5" thickBot="1" x14ac:dyDescent="0.25">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25" thickTop="1" thickBot="1" x14ac:dyDescent="0.25">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5" thickBot="1" x14ac:dyDescent="0.25">
      <c r="B100" s="119"/>
      <c r="C100" s="593"/>
      <c r="D100" s="593"/>
      <c r="E100" s="593"/>
      <c r="F100" s="594">
        <v>144.92499999999998</v>
      </c>
      <c r="G100" s="1123" t="s">
        <v>240</v>
      </c>
      <c r="H100" s="1124"/>
      <c r="I100" s="1125" t="s">
        <v>241</v>
      </c>
      <c r="J100" s="1126"/>
      <c r="K100" s="1125" t="s">
        <v>242</v>
      </c>
      <c r="L100" s="1127"/>
      <c r="M100" s="1128" t="b">
        <v>1</v>
      </c>
      <c r="N100" s="1129" t="b">
        <v>1</v>
      </c>
      <c r="O100" s="569">
        <f ca="1">$O$83</f>
        <v>2.4118055555556739E-5</v>
      </c>
      <c r="P100" s="595">
        <v>0.7</v>
      </c>
      <c r="Q100" s="1130">
        <f>IF($C$8=4,(P100/(1+$C$9)-0.37182)/0.6463,IF($C$8=3,1.303*P100/(1+$C$9)-0.345,IF($C$8=2,1.3*P100/(1+$C$9)-0.293,(P100/(1+$C$9)-0.1578)/0.855)))</f>
        <v>0.6341520467836258</v>
      </c>
      <c r="R100" s="1131"/>
    </row>
    <row r="101" spans="2:21" x14ac:dyDescent="0.2">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3.4493934814051122E-3</v>
      </c>
      <c r="P101" s="546" t="s">
        <v>243</v>
      </c>
      <c r="Q101" s="1144" t="s">
        <v>239</v>
      </c>
      <c r="R101" s="1145"/>
      <c r="U101" s="592"/>
    </row>
    <row r="102" spans="2:21" ht="13.5" thickBot="1" x14ac:dyDescent="0.25">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6.6384485996385633E-4</v>
      </c>
      <c r="P102" s="596">
        <v>0.57499999999999996</v>
      </c>
      <c r="Q102" s="1156">
        <f>IF($C$8=4,((P102/$E$3*($E$3-$E$4)+E$4/$E$3)/(1+$C$9)-0.37182)/0.6463,IF($C$8=3,1.303*(P102/$E$3*($E$3-$E$4)+E$4/$E$3)/(1+$C$9) - 0.345,IF($C$8=2,(1.3*(P102/$E$3*($E$3-$E$4)+E$4/$E$3)/(1+$C$9)-0.293),((P102/$E$3*($E$3-$E$4)+E$4/$E$3)/(1+$C$9)-0.1578)/0.855)))</f>
        <v>0.62149602862878595</v>
      </c>
      <c r="R102" s="1157"/>
    </row>
    <row r="103" spans="2:21" ht="13.5" thickBot="1" x14ac:dyDescent="0.25">
      <c r="B103" s="483"/>
      <c r="I103" s="597"/>
      <c r="J103" s="597"/>
      <c r="M103" s="1174" t="s">
        <v>244</v>
      </c>
      <c r="N103" s="1175"/>
      <c r="O103" s="598">
        <f ca="1">$O$74+IF(O84&lt;O74,-$O$100,$O$100)+IF($N$89&lt;$M$88,-$O$101,$O$101)+IF($M$97,$O$102,-$O$102)</f>
        <v>2.114866665633652E-2</v>
      </c>
      <c r="P103" s="1176" t="str">
        <f>"HR Profile "&amp;IF(AND(C8&gt;=1,C8&lt;=4),C8,1)</f>
        <v>HR Profile 1</v>
      </c>
      <c r="Q103" s="1177"/>
      <c r="R103" s="1178"/>
    </row>
    <row r="104" spans="2:21" ht="13.5" thickBot="1" x14ac:dyDescent="0.25">
      <c r="B104" s="1078" t="s">
        <v>245</v>
      </c>
      <c r="C104" s="1079"/>
      <c r="D104" s="1079"/>
      <c r="E104" s="1079"/>
      <c r="F104" s="599" t="str">
        <f>E6</f>
        <v>10k</v>
      </c>
      <c r="G104" s="1179">
        <f>$F$8</f>
        <v>10000</v>
      </c>
      <c r="H104" s="1179"/>
      <c r="I104" s="1180">
        <f>$G$6*1440</f>
        <v>34.5</v>
      </c>
      <c r="J104" s="1180"/>
      <c r="K104" s="1181">
        <f>G104/I104</f>
        <v>289.85507246376812</v>
      </c>
      <c r="L104" s="1182"/>
      <c r="M104" s="1183" t="str">
        <f>E6&amp;IF($L$80," Pace / km"," Pace / mile")</f>
        <v>10k Pace / mile</v>
      </c>
      <c r="N104" s="1184"/>
      <c r="O104" s="600">
        <f ca="1">O103/IF(L80,F8/1000,D8)</f>
        <v>3.4035479791375244E-3</v>
      </c>
      <c r="P104" s="1185" t="s">
        <v>246</v>
      </c>
      <c r="Q104" s="1186"/>
      <c r="R104" s="1187"/>
    </row>
    <row r="105" spans="2:21" ht="14.25" thickTop="1" thickBot="1" x14ac:dyDescent="0.25">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4.5217202086247563E-4</v>
      </c>
      <c r="P105" s="606">
        <v>3.1</v>
      </c>
      <c r="Q105" s="1162">
        <f>P105*1.609344</f>
        <v>4.9889664000000007</v>
      </c>
      <c r="R105" s="1163"/>
    </row>
    <row r="106" spans="2:21" x14ac:dyDescent="0.2">
      <c r="B106" s="1164" t="str">
        <f>"Entry Weight &amp; VDOT"</f>
        <v>Entry Weight &amp; VDOT</v>
      </c>
      <c r="C106" s="1165"/>
      <c r="D106" s="1166"/>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7">
        <f>P106/1.609344/60</f>
        <v>4.3150777238703747E-3</v>
      </c>
      <c r="R106" s="1168"/>
    </row>
    <row r="107" spans="2:21" ht="13.5" thickBot="1" x14ac:dyDescent="0.25">
      <c r="B107" s="1169" t="s">
        <v>249</v>
      </c>
      <c r="C107" s="1170"/>
      <c r="D107" s="1171"/>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2">
        <f>P107*0.45359237</f>
        <v>58.967008100000001</v>
      </c>
      <c r="R107" s="1173"/>
    </row>
    <row r="108" spans="2:21" ht="13.5" thickBot="1" x14ac:dyDescent="0.25">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5" thickBot="1" x14ac:dyDescent="0.25">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5" thickBot="1" x14ac:dyDescent="0.25">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25" thickTop="1" thickBot="1" x14ac:dyDescent="0.25">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5" thickBot="1" x14ac:dyDescent="0.25">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5" thickBot="1" x14ac:dyDescent="0.25">
      <c r="B113" s="667" t="s">
        <v>53</v>
      </c>
      <c r="C113" s="668">
        <v>170</v>
      </c>
      <c r="D113" s="669" t="s">
        <v>255</v>
      </c>
      <c r="E113" s="668">
        <v>50</v>
      </c>
      <c r="F113" s="669" t="s">
        <v>256</v>
      </c>
      <c r="G113" s="668">
        <v>149</v>
      </c>
      <c r="H113" s="670" t="s">
        <v>17</v>
      </c>
      <c r="I113" s="671">
        <v>0.33124999999999999</v>
      </c>
      <c r="J113" s="1194" t="str">
        <f>"vVO2max  =  "&amp;TEXT(I113*(G113-E113)/(C113-E113),"h:mm")</f>
        <v>vVO2max  =  6:33</v>
      </c>
      <c r="K113" s="1195"/>
      <c r="L113" s="1196"/>
      <c r="N113" s="625"/>
      <c r="O113" s="625"/>
      <c r="P113" s="672">
        <v>188</v>
      </c>
      <c r="Q113" s="1197">
        <f>P113*0.393700787</f>
        <v>74.015747955999998</v>
      </c>
      <c r="R113" s="1198"/>
    </row>
    <row r="114" spans="2:34" ht="13.5" thickBot="1" x14ac:dyDescent="0.25">
      <c r="B114" s="673"/>
      <c r="C114" s="674"/>
      <c r="D114" s="674"/>
      <c r="E114" s="674"/>
      <c r="F114" s="674"/>
      <c r="G114" s="674"/>
      <c r="H114" s="674"/>
      <c r="I114" s="674"/>
      <c r="J114" s="674"/>
      <c r="K114" s="674"/>
      <c r="L114" s="675"/>
      <c r="N114" s="625"/>
      <c r="O114" s="625"/>
      <c r="P114" s="1216" t="s">
        <v>257</v>
      </c>
      <c r="Q114" s="1186"/>
      <c r="R114" s="1187"/>
    </row>
    <row r="115" spans="2:34" ht="14.25" thickTop="1" thickBot="1" x14ac:dyDescent="0.25">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5" thickBot="1" x14ac:dyDescent="0.25">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5" thickBot="1" x14ac:dyDescent="0.25">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0" t="s">
        <v>290</v>
      </c>
      <c r="X131" s="1231"/>
      <c r="Y131" s="1231"/>
      <c r="Z131" s="1231"/>
      <c r="AA131" s="1231"/>
      <c r="AB131" s="1231"/>
      <c r="AC131" s="1231"/>
      <c r="AD131" s="1231"/>
      <c r="AE131" s="1231"/>
      <c r="AF131" s="1231"/>
      <c r="AG131" s="123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3" t="s">
        <v>291</v>
      </c>
      <c r="AE133" s="1234"/>
      <c r="AF133" s="123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5" thickBot="1" x14ac:dyDescent="0.25">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2" t="s">
        <v>203</v>
      </c>
      <c r="X234" s="1223"/>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5" thickBot="1" x14ac:dyDescent="0.25">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2" t="s">
        <v>203</v>
      </c>
      <c r="X238" s="1223"/>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5" thickBot="1" x14ac:dyDescent="0.25">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2" t="s">
        <v>203</v>
      </c>
      <c r="X242" s="1223"/>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5" thickBot="1" x14ac:dyDescent="0.25">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2" t="s">
        <v>203</v>
      </c>
      <c r="X246" s="1223"/>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5" thickBot="1" x14ac:dyDescent="0.25">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2" t="s">
        <v>203</v>
      </c>
      <c r="X250" s="1223"/>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6" t="s">
        <v>310</v>
      </c>
      <c r="AG252" s="1236"/>
    </row>
    <row r="253" spans="23:33" x14ac:dyDescent="0.2">
      <c r="Y253" s="1236" t="s">
        <v>311</v>
      </c>
      <c r="Z253" s="1236"/>
      <c r="AA253" s="1236" t="s">
        <v>312</v>
      </c>
      <c r="AB253" s="1236"/>
      <c r="AE253" s="805" t="s">
        <v>313</v>
      </c>
      <c r="AF253" s="806">
        <f>0.0015437*IF($L$80,($N$95*9/5)+32,$N$95)-0.09108933</f>
        <v>3.2406670000000012E-2</v>
      </c>
      <c r="AG253" s="807">
        <f ca="1">IF($M$102,MAX(AF253*$O$91,0),0)</f>
        <v>6.6384485996385633E-4</v>
      </c>
    </row>
    <row r="254" spans="23:33" x14ac:dyDescent="0.2">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6" t="s">
        <v>324</v>
      </c>
      <c r="AG261" s="1236"/>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1">
      <formula>AND(ROUND(N89,1)&lt;ROUND(D98,1),ROUND(D98,1)&lt;ROUND(IF(C4,K101,K102),1))</formula>
    </cfRule>
    <cfRule type="expression" dxfId="35" priority="42">
      <formula>ROUND(D98,1)=ROUND($N$89,1)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0" t="s">
        <v>1</v>
      </c>
      <c r="D1" s="871"/>
      <c r="E1" s="872"/>
      <c r="F1" s="3" t="s">
        <v>382</v>
      </c>
      <c r="G1" s="873" t="s">
        <v>453</v>
      </c>
      <c r="H1" s="873"/>
      <c r="I1" s="23" t="s">
        <v>2</v>
      </c>
      <c r="J1" s="873" t="s">
        <v>451</v>
      </c>
      <c r="K1" s="873"/>
      <c r="L1" s="874"/>
      <c r="M1" s="871"/>
      <c r="N1" s="872"/>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79" t="s">
        <v>5</v>
      </c>
      <c r="D2" s="875"/>
      <c r="E2" s="876"/>
      <c r="F2" s="7" t="s">
        <v>33</v>
      </c>
      <c r="G2" s="873" t="s">
        <v>452</v>
      </c>
      <c r="H2" s="873"/>
      <c r="I2" s="6"/>
      <c r="J2" s="4"/>
      <c r="L2" s="875"/>
      <c r="M2" s="875"/>
      <c r="N2" s="876"/>
      <c r="O2" s="16"/>
      <c r="P2" s="8"/>
      <c r="Q2" s="9"/>
      <c r="R2" s="4"/>
      <c r="S2" s="4"/>
      <c r="T2" s="4"/>
      <c r="U2" s="4"/>
      <c r="V2" s="4"/>
      <c r="W2" s="4"/>
      <c r="X2" s="4"/>
      <c r="Y2" s="4"/>
      <c r="Z2" s="4"/>
      <c r="AA2" s="4"/>
    </row>
    <row r="3" spans="1:27" ht="15.75" customHeight="1" x14ac:dyDescent="0.2">
      <c r="A3" s="10" t="s">
        <v>6</v>
      </c>
      <c r="B3" s="11">
        <v>45963</v>
      </c>
      <c r="C3" s="880" t="s">
        <v>7</v>
      </c>
      <c r="D3" s="877"/>
      <c r="E3" s="878"/>
      <c r="F3" s="7" t="s">
        <v>34</v>
      </c>
      <c r="G3" s="873" t="s">
        <v>449</v>
      </c>
      <c r="H3" s="873"/>
      <c r="I3" s="6"/>
      <c r="J3" s="4"/>
      <c r="L3" s="875"/>
      <c r="M3" s="875"/>
      <c r="N3" s="876"/>
      <c r="O3" s="16"/>
      <c r="P3" s="6"/>
      <c r="Q3" s="4"/>
      <c r="R3" s="4"/>
      <c r="S3" s="4"/>
      <c r="T3" s="4"/>
      <c r="U3" s="4"/>
      <c r="V3" s="4"/>
      <c r="W3" s="4"/>
      <c r="X3" s="4"/>
      <c r="Y3" s="4"/>
      <c r="Z3" s="4"/>
      <c r="AA3" s="4"/>
    </row>
    <row r="4" spans="1:27" ht="15.75" customHeight="1" x14ac:dyDescent="0.2">
      <c r="A4" s="16"/>
      <c r="B4" s="6"/>
      <c r="C4" s="6"/>
      <c r="D4" s="6"/>
      <c r="E4" s="4"/>
      <c r="F4" s="12" t="s">
        <v>383</v>
      </c>
      <c r="G4" s="882" t="s">
        <v>450</v>
      </c>
      <c r="H4" s="882"/>
      <c r="I4" s="13"/>
      <c r="J4" s="850"/>
      <c r="K4" s="851"/>
      <c r="L4" s="877"/>
      <c r="M4" s="877"/>
      <c r="N4" s="878"/>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3" t="s">
        <v>9</v>
      </c>
      <c r="F6" s="875"/>
      <c r="G6" s="875"/>
      <c r="H6" s="875"/>
      <c r="I6" s="875"/>
      <c r="J6" s="875"/>
      <c r="K6" s="875"/>
      <c r="L6" s="875"/>
      <c r="M6" s="875"/>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8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8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8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8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8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8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8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8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8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8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8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8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8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8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8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8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8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8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8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8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8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8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8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8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8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8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8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8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8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8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8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8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8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8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8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8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8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8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8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8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8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8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8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8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8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8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8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8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8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8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8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8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8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8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8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8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8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8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8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8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8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8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8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8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8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8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8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8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8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8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8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2025-07-10T16:53:18Z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