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DA8311F5-389C-4998-9B65-BA6CF5D9914F}"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9" l="1"/>
  <c r="G34" i="9"/>
  <c r="G33" i="9"/>
  <c r="K32" i="9"/>
  <c r="M35" i="8" l="1"/>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28" i="9"/>
  <c r="W30" i="9"/>
  <c r="W34" i="9"/>
  <c r="W35" i="9"/>
  <c r="W36" i="9"/>
  <c r="W37" i="9"/>
  <c r="W38" i="9"/>
  <c r="W39" i="9"/>
  <c r="W40" i="9"/>
  <c r="W41" i="9"/>
  <c r="W42" i="9"/>
  <c r="W44" i="9"/>
  <c r="W46" i="9"/>
  <c r="W49" i="9"/>
  <c r="W50" i="9"/>
  <c r="W51" i="9"/>
  <c r="W52" i="9"/>
  <c r="W53" i="9"/>
  <c r="W54" i="9"/>
  <c r="W55" i="9"/>
  <c r="W56" i="9"/>
  <c r="W57" i="9"/>
  <c r="W58" i="9"/>
  <c r="W59" i="9"/>
  <c r="W60" i="9"/>
  <c r="W61" i="9"/>
  <c r="W62" i="9"/>
  <c r="W63" i="9"/>
  <c r="X69" i="9" s="1"/>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X128" i="9" s="1"/>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102" i="9" l="1"/>
  <c r="U78" i="9"/>
  <c r="X127" i="9"/>
  <c r="X71" i="9"/>
  <c r="U134" i="9"/>
  <c r="U110" i="9"/>
  <c r="U86" i="9"/>
  <c r="U62" i="9"/>
  <c r="X135" i="9"/>
  <c r="U133" i="9"/>
  <c r="U125" i="9"/>
  <c r="U117" i="9"/>
  <c r="U109" i="9"/>
  <c r="U101" i="9"/>
  <c r="U93" i="9"/>
  <c r="U85" i="9"/>
  <c r="W80" i="9"/>
  <c r="W48" i="9"/>
  <c r="W29" i="9"/>
  <c r="U126" i="9"/>
  <c r="U94" i="9"/>
  <c r="U70" i="9"/>
  <c r="U132" i="9"/>
  <c r="U124" i="9"/>
  <c r="U116" i="9"/>
  <c r="U108" i="9"/>
  <c r="U100" i="9"/>
  <c r="U92" i="9"/>
  <c r="U84" i="9"/>
  <c r="W79" i="9"/>
  <c r="X80" i="9" s="1"/>
  <c r="W47" i="9"/>
  <c r="X50" i="9" s="1"/>
  <c r="U118" i="9"/>
  <c r="U131" i="9"/>
  <c r="U121" i="9"/>
  <c r="U115" i="9"/>
  <c r="U107" i="9"/>
  <c r="U97" i="9"/>
  <c r="U91" i="9"/>
  <c r="U83" i="9"/>
  <c r="X132" i="9"/>
  <c r="W78" i="9"/>
  <c r="X68" i="9"/>
  <c r="U130" i="9"/>
  <c r="U122" i="9"/>
  <c r="U114" i="9"/>
  <c r="U106" i="9"/>
  <c r="U98" i="9"/>
  <c r="U90" i="9"/>
  <c r="X131" i="9"/>
  <c r="W45" i="9"/>
  <c r="U135" i="9"/>
  <c r="U119" i="9"/>
  <c r="U87" i="9"/>
  <c r="U127" i="9"/>
  <c r="U111" i="9"/>
  <c r="U103" i="9"/>
  <c r="U95" i="9"/>
  <c r="X130" i="9"/>
  <c r="X70" i="9"/>
  <c r="X129" i="9"/>
  <c r="W43" i="9"/>
  <c r="X45" i="9" s="1"/>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7" i="9"/>
  <c r="X76" i="9"/>
  <c r="X81" i="9"/>
  <c r="X75" i="9"/>
  <c r="X73" i="9"/>
  <c r="X67" i="9"/>
  <c r="X30" i="9"/>
  <c r="X58" i="9"/>
  <c r="X57" i="9"/>
  <c r="X56" i="9"/>
  <c r="X66" i="9"/>
  <c r="X60" i="9"/>
  <c r="X61" i="9"/>
  <c r="X65" i="9"/>
  <c r="X64" i="9"/>
  <c r="X63" i="9"/>
  <c r="X62" i="9"/>
  <c r="X59" i="9"/>
  <c r="X55" i="9"/>
  <c r="X54" i="9"/>
  <c r="X49" i="9"/>
  <c r="X48" i="9"/>
  <c r="X46" i="9"/>
  <c r="X42" i="9"/>
  <c r="X41" i="9"/>
  <c r="X40" i="9"/>
  <c r="X16" i="9"/>
  <c r="X27" i="9"/>
  <c r="X25" i="9"/>
  <c r="X28" i="9"/>
  <c r="X26" i="9"/>
  <c r="X24" i="9"/>
  <c r="X23" i="9"/>
  <c r="X22" i="9"/>
  <c r="U26" i="9"/>
  <c r="U25" i="9"/>
  <c r="U24" i="9"/>
  <c r="U23" i="9"/>
  <c r="U22" i="9"/>
  <c r="X21" i="9"/>
  <c r="X20" i="9"/>
  <c r="X19" i="9"/>
  <c r="X18" i="9"/>
  <c r="X17" i="9"/>
  <c r="X52" i="9" l="1"/>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<sst xmlns="http://schemas.openxmlformats.org/spreadsheetml/2006/main" count="1232" uniqueCount="490">
  <si>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</si>
  <si>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</si>
  <si>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</si>
  <si>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</si>
  <si>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</si>
  <si>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</si>
  <si>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</si>
  <si>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</si>
  <si>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</si>
  <si>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</si>
  <si>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</si>
  <si>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</si>
  <si>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</si>
  <si>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</si>
  <si>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</si>
  <si>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</si>
  <si>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</si>
  <si>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</si>
  <si>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</si>
  <si>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</si>
  <si>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</si>
  <si>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</si>
  <si>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</si>
  <si>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</si>
  <si>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</si>
  <si>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</si>
  <si>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</si>
  <si>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</si>
  <si>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</si>
  <si>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</si>
  <si>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</si>
  <si>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</si>
  <si>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</si>
  <si>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</si>
  <si>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</si>
  <si>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</si>
  <si>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</si>
  <si>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</si>
  <si>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</si>
  <si>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</si>
  <si>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</si>
  <si>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</si>
  <si>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</si>
  <si>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</si>
  <si>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</si>
  <si>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</si>
  <si>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</si>
  <si>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</si>
  <si>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</si>
  <si>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</si>
  <si>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</si>
  <si>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</si>
  <si>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</si>
  <si>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</si>
  <si>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</si>
  <si>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</si>
  <si>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</si>
  <si>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</si>
  <si>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</si>
  <si>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</si>
  <si>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</si>
  <si>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</si>
  <si>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</si>
  <si>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</si>
  <si>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</si>
  <si>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</si>
  <si>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</si>
  <si>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</si>
  <si>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</si>
  <si>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</si>
  <si>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</si>
  <si>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</si>
  <si>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</si>
  <si>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</si>
  <si>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</si>
  <si>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</si>
  <si>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</si>
  <si>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</si>
  <si>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</si>
  <si>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</si>
  <si>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</si>
  <si>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</si>
  <si>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</si>
  <si>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</si>
  <si>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</si>
  <si>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</si>
  <si>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</si>
  <si>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</si>
  <si>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</si>
  <si>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</si>
  <si>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</si>
  <si>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</si>
  <si>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</si>
  <si>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</si>
  <si>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</si>
  <si>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</si>
  <si>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</si>
  <si>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</si>
  <si>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</si>
  <si>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</si>
  <si>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</si>
  <si>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</si>
  <si>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</si>
  <si>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</si>
  <si>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</si>
  <si>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</si>
  <si>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</si>
  <si>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</si>
  <si>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</si>
  <si>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</si>
  <si>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</si>
  <si>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</si>
  <si>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</si>
  <si>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</si>
  <si>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</si>
  <si>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</si>
  <si>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</si>
  <si>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</si>
  <si>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</si>
  <si>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</si>
  <si>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</si>
  <si>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</si>
  <si>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</si>
  <si>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</si>
  <si>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</si>
  <si>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</si>
  <si>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</si>
  <si>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</si>
  <si>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</si>
  <si>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</si>
  <si>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</si>
  <si>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</si>
  <si>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</si>
  <si>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</si>
  <si>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</si>
  <si>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</si>
  <si>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</si>
  <si>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</si>
  <si>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</si>
  <si>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</si>
  <si>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</si>
  <si>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</si>
  <si>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</si>
  <si>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</si>
  <si>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</si>
  <si>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</si>
  <si>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</si>
  <si>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</si>
  <si>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</si>
  <si>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</si>
  <si>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</si>
  <si>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</si>
  <si>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</si>
  <si>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</si>
  <si>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</si>
  <si>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</si>
  <si>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</si>
  <si>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</si>
  <si>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</si>
  <si>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</si>
  <si>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</si>
  <si>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</si>
  <si>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</si>
  <si>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</si>
  <si>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</si>
  <si>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</si>
  <si>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</si>
  <si>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</si>
  <si>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</si>
  <si>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</si>
  <si>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</si>
  <si>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</si>
  <si>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</si>
  <si>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</si>
  <si>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</si>
  <si>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</si>
  <si>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</si>
  <si>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</si>
  <si>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</si>
  <si>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</si>
  <si>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</si>
  <si>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</si>
  <si>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</si>
  <si>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</si>
  <si>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</si>
  <si>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</si>
  <si>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</si>
  <si>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</si>
  <si>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</si>
  <si>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</si>
  <si>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</si>
  <si>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</si>
  <si>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</si>
  <si>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</si>
  <si>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</si>
  <si>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</si>
  <si>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</si>
  <si>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</si>
  <si>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</si>
  <si>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</si>
  <si>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</si>
  <si>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</si>
  <si>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</si>
  <si>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</si>
  <si>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</si>
  <si>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</si>
  <si>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</si>
  <si>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</si>
  <si>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</si>
  <si>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</si>
  <si>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</si>
  <si>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</si>
  <si>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</si>
  <si>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</si>
  <si>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</si>
  <si>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</si>
  <si>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</si>
  <si>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</si>
  <si>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</si>
  <si>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</si>
  <si>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</si>
  <si>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</si>
  <si>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</si>
  <si>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</si>
  <si>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</si>
  <si>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</si>
  <si>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</si>
  <si>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</si>
  <si>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</si>
  <si>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</si>
  <si>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</si>
  <si>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</si>
  <si>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</si>
  <si>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</si>
  <si>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</si>
  <si>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</si>
  <si>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</si>
  <si>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</si>
  <si>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</si>
  <si>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</si>
  <si>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</si>
  <si>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</si>
  <si>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</si>
  <si>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</si>
  <si>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</si>
  <si>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</si>
  <si>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</si>
  <si>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</si>
  <si>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</si>
  <si>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</si>
  <si>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</si>
  <si>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</si>
  <si>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</si>
  <si>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</si>
  <si>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</si>
  <si>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</si>
  <si>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</si>
  <si>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</si>
  <si>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</si>
  <si>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</si>
  <si>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</si>
  <si>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</si>
  <si>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</si>
  <si>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</si>
  <si>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</si>
  <si>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</si>
  <si>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</si>
  <si>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</si>
  <si>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</si>
  <si>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</si>
  <si>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</si>
  <si>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</si>
  <si>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</si>
  <si>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</si>
  <si>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</si>
  <si>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</si>
  <si>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</si>
  <si>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</si>
  <si>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</si>
  <si>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</si>
  <si>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</si>
  <si>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</si>
  <si>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</si>
  <si>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</si>
  <si>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</si>
  <si>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</si>
  <si>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</si>
  <si>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</si>
  <si>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</si>
  <si>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</si>
  <si>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</si>
  <si>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</si>
  <si>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</si>
  <si>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</si>
  <si>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</si>
  <si>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</si>
  <si>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</si>
  <si>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</si>
  <si>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</si>
  <si>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</si>
  <si>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</si>
  <si>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</si>
  <si>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</si>
  <si>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</si>
  <si>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</si>
  <si>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</si>
  <si>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</si>
  <si>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</si>
  <si>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</si>
  <si>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</si>
  <si>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</si>
  <si>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</si>
  <si>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</si>
  <si>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</si>
  <si>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</si>
  <si>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</si>
  <si>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</si>
  <si>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</si>
  <si>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</si>
  <si>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</si>
  <si>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</si>
  <si>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</si>
  <si>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</si>
  <si>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</si>
  <si>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</si>
  <si>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</si>
  <si>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</si>
  <si>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</si>
  <si>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</si>
  <si>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</si>
  <si>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</si>
  <si>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</si>
  <si>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</si>
  <si>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</si>
  <si>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</si>
  <si>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</si>
  <si>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</si>
  <si>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</si>
  <si>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</si>
  <si>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</si>
  <si>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</si>
  <si>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</si>
  <si>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</si>
  <si>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</si>
  <si>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</si>
  <si>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</si>
  <si>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</si>
  <si>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</si>
  <si>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</si>
  <si>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</si>
  <si>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</si>
  <si>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</si>
  <si>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</si>
  <si>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</si>
  <si>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</si>
  <si>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</si>
  <si>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</si>
  <si>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</si>
  <si>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</si>
  <si>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</si>
  <si>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</si>
  <si>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</si>
  <si>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</si>
  <si>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</si>
  <si>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</si>
  <si>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</si>
  <si>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</si>
  <si>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</si>
  <si>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</si>
  <si>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</si>
  <si>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</si>
  <si>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</si>
  <si>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</si>
  <si>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</si>
  <si>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</si>
  <si>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</si>
  <si>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</si>
  <si>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</si>
  <si>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</si>
  <si>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</si>
  <si>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</si>
  <si>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</si>
  <si>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</si>
  <si>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</si>
  <si>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</si>
  <si>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</si>
  <si>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</si>
  <si>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</si>
  <si>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</si>
  <si>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</si>
  <si>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</si>
  <si>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</si>
  <si>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</si>
  <si>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</si>
  <si>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</si>
  <si>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</si>
  <si>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</si>
  <si>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</si>
  <si>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</si>
  <si>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</si>
  <si>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</si>
  <si>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</si>
  <si>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</si>
  <si>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</si>
  <si>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</si>
  <si>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</si>
  <si>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</si>
  <si>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</si>
  <si>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</si>
  <si>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</si>
  <si>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</si>
  <si>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</si>
  <si>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</si>
  <si>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</si>
  <si>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</si>
  <si>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</si>
  <si>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</si>
  <si>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</si>
  <si>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</si>
  <si>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</si>
  <si>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</si>
  <si>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</si>
  <si>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</si>
  <si>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</si>
  <si>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</si>
  <si>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</si>
  <si>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</si>
  <si>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</si>
  <si>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</si>
  <si>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</si>
  <si>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</si>
  <si>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</si>
  <si>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</si>
  <si>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</si>
  <si>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</si>
  <si>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</si>
  <si>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</si>
  <si>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</si>
  <si>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</si>
  <si>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</si>
  <si>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</si>
  <si>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</si>
  <si>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</si>
  <si>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</si>
  <si>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</si>
  <si>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</si>
  <si>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</si>
  <si>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</si>
  <si>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</si>
  <si>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</si>
  <si>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</si>
  <si>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</si>
  <si>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</si>
  <si>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</si>
  <si>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</si>
  <si>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</si>
  <si>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</si>
  <si>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</si>
  <si>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</si>
  <si>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</si>
  <si>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</si>
  <si>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</si>
  <si>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</si>
  <si>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</si>
  <si>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</si>
  <si>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</si>
  <si>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</si>
  <si>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</si>
  <si>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</si>
  <si>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</si>
  <si>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</si>
  <si>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</si>
  <si>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</si>
  <si>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</si>
  <si>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</si>
  <si>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</si>
  <si>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</si>
  <si>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</si>
  <si>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</si>
  <si>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</si>
  <si>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</si>
  <si>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</si>
  <si>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</si>
  <si>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</si>
  <si>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</si>
  <si>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</si>
  <si>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</si>
  <si>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8E + 5x[600 + 500 + 400 + 300 + 200] + 2E</t>
  </si>
  <si>
    <t>2E + 8M + 1T + 2M + 1E + 2M + 2E</t>
  </si>
  <si>
    <t>4E + 8M + 1T + 4M + 1T + 2E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</si>
</sst>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73.25</c:v>
                </c:pt>
                <c:pt idx="4">
                  <c:v>13.7</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59.83</c:v>
                </c:pt>
                <c:pt idx="32">
                  <c:v>51.22</c:v>
                </c:pt>
                <c:pt idx="33">
                  <c:v>41.03</c:v>
                </c:pt>
                <c:pt idx="34">
                  <c:v>22.71</c:v>
                </c:pt>
                <c:pt idx="35">
                  <c:v>13.7</c:v>
                </c:pt>
                <c:pt idx="36">
                  <c:v>8.11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71.837142857142851</c:v>
                </c:pt>
                <c:pt idx="32" formatCode="0">
                  <c:v>68.717142857142861</c:v>
                </c:pt>
                <c:pt idx="33" formatCode="0">
                  <c:v>64.752857142857138</c:v>
                </c:pt>
                <c:pt idx="34" formatCode="0">
                  <c:v>56.244285714285709</c:v>
                </c:pt>
                <c:pt idx="35" formatCode="0">
                  <c:v>47.73714285714285</c:v>
                </c:pt>
                <c:pt idx="36" formatCode="0">
                  <c:v>38.492857142857147</c:v>
                </c:pt>
                <c:pt idx="37" formatCode="0">
                  <c:v>28.085714285714282</c:v>
                </c:pt>
                <c:pt idx="38" formatCode="0">
                  <c:v>19.538571428571426</c:v>
                </c:pt>
                <c:pt idx="39" formatCode="0">
                  <c:v>12.221428571428572</c:v>
                </c:pt>
                <c:pt idx="40" formatCode="0">
                  <c:v>6.3599999999999994</c:v>
                </c:pt>
                <c:pt idx="41" formatCode="0">
                  <c:v>3.1157142857142857</c:v>
                </c:pt>
                <c:pt idx="42" formatCode="0">
                  <c:v>1.1585714285714286</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59.83</c:v>
                      </c:pt>
                      <c:pt idx="32">
                        <c:v>51.22</c:v>
                      </c:pt>
                      <c:pt idx="33">
                        <c:v>41.03</c:v>
                      </c:pt>
                      <c:pt idx="34">
                        <c:v>22.71</c:v>
                      </c:pt>
                      <c:pt idx="35">
                        <c:v>13.7</c:v>
                      </c:pt>
                      <c:pt idx="36">
                        <c:v>8.11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69" t="s">
        <v>1</v>
      </c>
      <c r="D1" s="870"/>
      <c r="E1" s="871"/>
      <c r="F1" s="3" t="s">
        <v>382</v>
      </c>
      <c r="G1" s="872" t="s">
        <v>453</v>
      </c>
      <c r="H1" s="872"/>
      <c r="I1" s="23" t="s">
        <v>2</v>
      </c>
      <c r="J1" s="872" t="s">
        <v>451</v>
      </c>
      <c r="K1" s="872"/>
      <c r="L1" s="873"/>
      <c r="M1" s="870"/>
      <c r="N1" s="87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78" t="s">
        <v>5</v>
      </c>
      <c r="D2" s="874"/>
      <c r="E2" s="875"/>
      <c r="F2" s="7" t="s">
        <v>33</v>
      </c>
      <c r="G2" s="872" t="s">
        <v>452</v>
      </c>
      <c r="H2" s="872"/>
      <c r="I2" s="6"/>
      <c r="J2" s="4"/>
      <c r="L2" s="874"/>
      <c r="M2" s="874"/>
      <c r="N2" s="875"/>
      <c r="O2" s="16"/>
      <c r="P2" s="8"/>
      <c r="Q2" s="9"/>
      <c r="R2" s="4"/>
      <c r="S2" s="4"/>
      <c r="T2" s="4"/>
      <c r="U2" s="4"/>
      <c r="V2" s="4"/>
      <c r="W2" s="4"/>
      <c r="X2" s="4"/>
      <c r="Y2" s="4"/>
      <c r="Z2" s="4"/>
      <c r="AA2" s="4"/>
    </row>
    <row r="3" spans="1:27" ht="15.75" customHeight="1" x14ac:dyDescent="0.25">
      <c r="A3" s="10" t="s">
        <v>6</v>
      </c>
      <c r="B3" s="11">
        <v>45963</v>
      </c>
      <c r="C3" s="879" t="s">
        <v>7</v>
      </c>
      <c r="D3" s="876"/>
      <c r="E3" s="877"/>
      <c r="F3" s="7" t="s">
        <v>34</v>
      </c>
      <c r="G3" s="872" t="s">
        <v>449</v>
      </c>
      <c r="H3" s="872"/>
      <c r="I3" s="6"/>
      <c r="J3" s="4"/>
      <c r="L3" s="874"/>
      <c r="M3" s="874"/>
      <c r="N3" s="875"/>
      <c r="O3" s="16"/>
      <c r="P3" s="6"/>
      <c r="Q3" s="4"/>
      <c r="R3" s="4"/>
      <c r="S3" s="4"/>
      <c r="T3" s="4"/>
      <c r="U3" s="4"/>
      <c r="V3" s="4"/>
      <c r="W3" s="4"/>
      <c r="X3" s="4"/>
      <c r="Y3" s="4"/>
      <c r="Z3" s="4"/>
      <c r="AA3" s="4"/>
    </row>
    <row r="4" spans="1:27" ht="15.75" customHeight="1" x14ac:dyDescent="0.25">
      <c r="A4" s="16"/>
      <c r="B4" s="6"/>
      <c r="C4" s="6"/>
      <c r="D4" s="6"/>
      <c r="E4" s="4"/>
      <c r="F4" s="12" t="s">
        <v>383</v>
      </c>
      <c r="G4" s="881" t="s">
        <v>450</v>
      </c>
      <c r="H4" s="881"/>
      <c r="I4" s="13"/>
      <c r="J4" s="850"/>
      <c r="K4" s="851"/>
      <c r="L4" s="876"/>
      <c r="M4" s="876"/>
      <c r="N4" s="877"/>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8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8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8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8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8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8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8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8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8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8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8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8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8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8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8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8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8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8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8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8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8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8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8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8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8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8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8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8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8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8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8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8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8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8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8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8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8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8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8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8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8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8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8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8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8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8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8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8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8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8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8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8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8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8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8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8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8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8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8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8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8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8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8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8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8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8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8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8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8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8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8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31" activePane="bottomLeft" state="frozen"/>
      <selection pane="bottomLeft" activeCell="E41" sqref="E41"/>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69" t="s">
        <v>1</v>
      </c>
      <c r="D1" s="870"/>
      <c r="E1" s="871"/>
      <c r="F1" s="3" t="s">
        <v>382</v>
      </c>
      <c r="G1" s="872" t="s">
        <v>460</v>
      </c>
      <c r="H1" s="872"/>
      <c r="I1" s="23" t="s">
        <v>2</v>
      </c>
      <c r="J1" s="872" t="s">
        <v>462</v>
      </c>
      <c r="K1" s="872"/>
      <c r="L1" s="885"/>
      <c r="M1" s="870"/>
      <c r="N1" s="871"/>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78" t="s">
        <v>5</v>
      </c>
      <c r="D2" s="874"/>
      <c r="E2" s="875"/>
      <c r="F2" s="7" t="s">
        <v>33</v>
      </c>
      <c r="G2" s="872" t="s">
        <v>457</v>
      </c>
      <c r="H2" s="872"/>
      <c r="I2" s="6"/>
      <c r="J2" s="4"/>
      <c r="L2" s="874"/>
      <c r="M2" s="874"/>
      <c r="N2" s="875"/>
      <c r="O2" s="16"/>
      <c r="P2" s="8"/>
      <c r="Q2" s="9"/>
      <c r="R2" s="4"/>
      <c r="S2" s="4"/>
      <c r="T2" s="4"/>
      <c r="U2" s="4"/>
      <c r="V2" s="4"/>
      <c r="W2" s="4"/>
      <c r="X2" s="4"/>
      <c r="Y2" s="4"/>
      <c r="Z2" s="4"/>
      <c r="AA2" s="4"/>
      <c r="AB2" s="4"/>
    </row>
    <row r="3" spans="1:28" ht="15.75" customHeight="1" x14ac:dyDescent="0.25">
      <c r="A3" s="10" t="s">
        <v>6</v>
      </c>
      <c r="B3" s="11">
        <v>45942</v>
      </c>
      <c r="C3" s="879" t="s">
        <v>7</v>
      </c>
      <c r="D3" s="876"/>
      <c r="E3" s="877"/>
      <c r="F3" s="7" t="s">
        <v>34</v>
      </c>
      <c r="G3" s="872" t="s">
        <v>458</v>
      </c>
      <c r="H3" s="872"/>
      <c r="I3" s="6"/>
      <c r="J3" s="4"/>
      <c r="L3" s="874"/>
      <c r="M3" s="874"/>
      <c r="N3" s="875"/>
      <c r="O3" s="16"/>
      <c r="P3" s="6"/>
      <c r="Q3" s="4"/>
      <c r="R3" s="4"/>
      <c r="S3" s="4"/>
      <c r="T3" s="4"/>
      <c r="U3" s="4"/>
      <c r="V3" s="4"/>
      <c r="W3" s="4"/>
      <c r="X3" s="4"/>
      <c r="Y3" s="4"/>
      <c r="Z3" s="4"/>
      <c r="AA3" s="4"/>
      <c r="AB3" s="4"/>
    </row>
    <row r="4" spans="1:28" ht="15.75" customHeight="1" x14ac:dyDescent="0.25">
      <c r="A4" s="16"/>
      <c r="B4" s="6"/>
      <c r="C4" s="6"/>
      <c r="D4" s="6"/>
      <c r="E4" s="4"/>
      <c r="F4" s="12" t="s">
        <v>383</v>
      </c>
      <c r="G4" s="881" t="s">
        <v>461</v>
      </c>
      <c r="H4" s="881"/>
      <c r="I4" s="13"/>
      <c r="J4" s="850"/>
      <c r="K4" s="851"/>
      <c r="L4" s="876"/>
      <c r="M4" s="876"/>
      <c r="N4" s="877"/>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6"/>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6"/>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5">
      <c r="A29" s="886"/>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3"/>
        <v>73.059999999999988</v>
      </c>
      <c r="U33" s="868">
        <f t="shared" si="4"/>
        <v>67.574285714285708</v>
      </c>
      <c r="V33" s="4">
        <v>70</v>
      </c>
      <c r="W33" s="4">
        <f t="shared" si="5"/>
        <v>77</v>
      </c>
      <c r="X33" s="868">
        <f t="shared" si="6"/>
        <v>71.714285714285708</v>
      </c>
      <c r="Y33" s="4"/>
      <c r="Z33" s="4"/>
      <c r="AA33" s="4"/>
      <c r="AB33" s="4"/>
    </row>
    <row r="34" spans="1:28"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3"/>
        <v>68.78</v>
      </c>
      <c r="U34" s="868">
        <f t="shared" si="4"/>
        <v>70.031428571428563</v>
      </c>
      <c r="V34" s="4">
        <v>70</v>
      </c>
      <c r="W34" s="4">
        <f t="shared" si="5"/>
        <v>70</v>
      </c>
      <c r="X34" s="868">
        <f t="shared" si="6"/>
        <v>70.857142857142861</v>
      </c>
      <c r="Y34" s="4"/>
      <c r="Z34" s="4"/>
      <c r="AA34" s="4"/>
      <c r="AB34" s="4"/>
    </row>
    <row r="35" spans="1:28" ht="15.75" customHeight="1" x14ac:dyDescent="0.25">
      <c r="A35" s="884"/>
      <c r="B35" s="6">
        <v>100</v>
      </c>
      <c r="C35" s="17">
        <f t="shared" si="0"/>
        <v>45842</v>
      </c>
      <c r="D35" s="6" t="s">
        <v>28</v>
      </c>
      <c r="E35" s="4" t="s">
        <v>488</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3"/>
        <v>82.27000000000001</v>
      </c>
      <c r="U35" s="868">
        <f t="shared" si="4"/>
        <v>73.725714285714275</v>
      </c>
      <c r="V35" s="4">
        <v>70</v>
      </c>
      <c r="W35" s="4">
        <f t="shared" si="5"/>
        <v>82</v>
      </c>
      <c r="X35" s="868">
        <f t="shared" si="6"/>
        <v>73.571428571428569</v>
      </c>
      <c r="Y35" s="4"/>
      <c r="Z35" s="4"/>
      <c r="AA35" s="4"/>
      <c r="AB35" s="4"/>
    </row>
    <row r="36" spans="1:28"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3"/>
        <v>73.25</v>
      </c>
      <c r="U36" s="868">
        <f t="shared" si="4"/>
        <v>73.555714285714288</v>
      </c>
      <c r="V36" s="4">
        <v>70</v>
      </c>
      <c r="W36" s="4">
        <f t="shared" si="5"/>
        <v>74</v>
      </c>
      <c r="X36" s="868">
        <f t="shared" si="6"/>
        <v>73.714285714285708</v>
      </c>
      <c r="Y36" s="4"/>
      <c r="Z36" s="4"/>
      <c r="AA36" s="4"/>
      <c r="AB36" s="4"/>
    </row>
    <row r="37" spans="1:28" ht="15.75" customHeight="1" x14ac:dyDescent="0.25">
      <c r="A37" s="886"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3"/>
        <v>72.820000000000007</v>
      </c>
      <c r="U37" s="868">
        <f t="shared" si="4"/>
        <v>73.628571428571419</v>
      </c>
      <c r="V37" s="4">
        <v>70</v>
      </c>
      <c r="W37" s="4">
        <f t="shared" si="5"/>
        <v>74</v>
      </c>
      <c r="X37" s="868">
        <f t="shared" si="6"/>
        <v>74.428571428571431</v>
      </c>
      <c r="Y37" s="4"/>
      <c r="Z37" s="4"/>
      <c r="AA37" s="4"/>
      <c r="AB37" s="4"/>
    </row>
    <row r="38" spans="1:28" ht="15.75" customHeight="1" x14ac:dyDescent="0.25">
      <c r="A38" s="886"/>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3"/>
        <v>72.849999999999994</v>
      </c>
      <c r="U38" s="868">
        <f t="shared" si="4"/>
        <v>73.727142857142852</v>
      </c>
      <c r="V38" s="4">
        <v>70</v>
      </c>
      <c r="W38" s="4">
        <f t="shared" si="5"/>
        <v>74</v>
      </c>
      <c r="X38" s="868">
        <f t="shared" si="6"/>
        <v>75.142857142857139</v>
      </c>
      <c r="Y38" s="4"/>
      <c r="Z38" s="4"/>
      <c r="AA38" s="4"/>
      <c r="AB38" s="4"/>
    </row>
    <row r="39" spans="1:28" ht="15.75" customHeight="1" x14ac:dyDescent="0.25">
      <c r="A39" s="886"/>
      <c r="B39" s="854">
        <v>96</v>
      </c>
      <c r="C39" s="855">
        <f t="shared" si="0"/>
        <v>45846</v>
      </c>
      <c r="D39" s="854" t="s">
        <v>34</v>
      </c>
      <c r="E39" s="856" t="s">
        <v>487</v>
      </c>
      <c r="F39" s="854">
        <v>17</v>
      </c>
      <c r="G39" s="854"/>
      <c r="H39" s="857"/>
      <c r="I39" s="854" t="str">
        <f>CONCATENATE(FLOOR((HOUR(H39)*60+MINUTE(H39)+SECOND(H39)/60)/IF(ISBLANK(G39),1,G39),1),":",TEXT(ROUND((((HOUR(H39)*60+MINUTE(H39)+SECOND(H39)/60)/IF(ISBLANK(G39),1,G39))-(FLOOR((HOUR(H39)*60+MINUTE(H39)+SECOND(H39)/60)/IF(ISBLANK(G39),1,G39),1)))*60,0),"00"))</f>
        <v>0:00</v>
      </c>
      <c r="J39" s="857"/>
      <c r="K39" s="854"/>
      <c r="L39" s="854" t="str">
        <f t="shared" si="2"/>
        <v>0:00</v>
      </c>
      <c r="M39" s="854"/>
      <c r="N39" s="854"/>
      <c r="O39" s="858"/>
      <c r="P39" s="863"/>
      <c r="Q39" s="864"/>
      <c r="R39" s="4"/>
      <c r="T39" s="16">
        <f>SUM(G33:G39)</f>
        <v>59.83</v>
      </c>
      <c r="U39" s="868">
        <f t="shared" si="4"/>
        <v>71.837142857142851</v>
      </c>
      <c r="V39" s="4">
        <v>70</v>
      </c>
      <c r="W39" s="4">
        <f t="shared" si="5"/>
        <v>75</v>
      </c>
      <c r="X39" s="868">
        <f t="shared" si="6"/>
        <v>75.142857142857139</v>
      </c>
      <c r="Y39" s="4"/>
      <c r="Z39" s="4"/>
      <c r="AA39" s="4"/>
      <c r="AB39" s="4"/>
    </row>
    <row r="40" spans="1:28" ht="15.75" customHeight="1" x14ac:dyDescent="0.25">
      <c r="A40" s="886"/>
      <c r="B40" s="854">
        <v>95</v>
      </c>
      <c r="C40" s="855">
        <f t="shared" si="0"/>
        <v>45847</v>
      </c>
      <c r="D40" s="854" t="s">
        <v>26</v>
      </c>
      <c r="E40" s="856" t="s">
        <v>384</v>
      </c>
      <c r="F40" s="854">
        <v>7</v>
      </c>
      <c r="G40" s="854"/>
      <c r="H40" s="857"/>
      <c r="I40" s="854" t="str">
        <f>CONCATENATE(FLOOR((HOUR(H40)*60+MINUTE(H40)+SECOND(H40)/60)/IF(ISBLANK(G40),1,G40),1),":",TEXT(ROUND((((HOUR(H40)*60+MINUTE(H40)+SECOND(H40)/60)/IF(ISBLANK(G40),1,G40))-(FLOOR((HOUR(H40)*60+MINUTE(H40)+SECOND(H40)/60)/IF(ISBLANK(G40),1,G40),1)))*60,0),"00"))</f>
        <v>0:00</v>
      </c>
      <c r="J40" s="854"/>
      <c r="K40" s="854"/>
      <c r="L40" s="854" t="str">
        <f t="shared" si="2"/>
        <v>0:00</v>
      </c>
      <c r="M40" s="854"/>
      <c r="N40" s="854"/>
      <c r="O40" s="858"/>
      <c r="P40" s="861"/>
      <c r="Q40" s="865"/>
      <c r="R40" s="4"/>
      <c r="T40" s="16">
        <f>SUM(G34:G40)</f>
        <v>51.22</v>
      </c>
      <c r="U40" s="868">
        <f t="shared" si="4"/>
        <v>68.717142857142861</v>
      </c>
      <c r="V40" s="4">
        <v>70</v>
      </c>
      <c r="W40" s="4">
        <f t="shared" si="5"/>
        <v>74</v>
      </c>
      <c r="X40" s="868">
        <f t="shared" si="6"/>
        <v>74.714285714285708</v>
      </c>
      <c r="Y40" s="4"/>
      <c r="Z40" s="4"/>
      <c r="AA40" s="4"/>
      <c r="AB40" s="4"/>
    </row>
    <row r="41" spans="1:28" ht="15.75" customHeight="1" x14ac:dyDescent="0.25">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1.3878356481481482</v>
      </c>
      <c r="Q41" s="865"/>
      <c r="R41" s="4"/>
      <c r="T41" s="16">
        <f t="shared" si="3"/>
        <v>41.03</v>
      </c>
      <c r="U41" s="868">
        <f t="shared" si="4"/>
        <v>64.752857142857138</v>
      </c>
      <c r="V41" s="4">
        <v>70</v>
      </c>
      <c r="W41" s="4">
        <f t="shared" si="5"/>
        <v>76</v>
      </c>
      <c r="X41" s="868">
        <f t="shared" si="6"/>
        <v>75.571428571428569</v>
      </c>
      <c r="Y41" s="4"/>
      <c r="Z41" s="4"/>
      <c r="AA41" s="4"/>
      <c r="AB41" s="4"/>
    </row>
    <row r="42" spans="1:28" ht="15.75" customHeight="1" x14ac:dyDescent="0.25">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7.3576388888888886E-2</v>
      </c>
      <c r="O42" s="858"/>
      <c r="P42" s="863">
        <f>N43+P35</f>
        <v>260.99</v>
      </c>
      <c r="Q42" s="866"/>
      <c r="R42" s="4"/>
      <c r="T42" s="16">
        <f t="shared" si="3"/>
        <v>22.71</v>
      </c>
      <c r="U42" s="868">
        <f t="shared" si="4"/>
        <v>56.244285714285709</v>
      </c>
      <c r="V42" s="4">
        <v>70</v>
      </c>
      <c r="W42" s="4">
        <f t="shared" si="5"/>
        <v>64</v>
      </c>
      <c r="X42" s="868">
        <f t="shared" si="6"/>
        <v>73</v>
      </c>
      <c r="Y42" s="4"/>
      <c r="Z42" s="4"/>
      <c r="AA42" s="4"/>
      <c r="AB42" s="4"/>
    </row>
    <row r="43" spans="1:28" ht="15.75" customHeight="1" x14ac:dyDescent="0.25">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13.7</v>
      </c>
      <c r="O43" s="858"/>
      <c r="P43" s="863">
        <f>M43+P36</f>
        <v>352</v>
      </c>
      <c r="Q43" s="862">
        <f>P42/P43</f>
        <v>0.74144886363636364</v>
      </c>
      <c r="R43" s="4"/>
      <c r="T43" s="16">
        <f t="shared" si="3"/>
        <v>13.7</v>
      </c>
      <c r="U43" s="868">
        <f t="shared" si="4"/>
        <v>47.73714285714285</v>
      </c>
      <c r="V43" s="4">
        <v>70</v>
      </c>
      <c r="W43" s="4">
        <f t="shared" si="5"/>
        <v>72</v>
      </c>
      <c r="X43" s="868">
        <f t="shared" si="6"/>
        <v>72.714285714285708</v>
      </c>
      <c r="Y43" s="4"/>
      <c r="Z43" s="4"/>
      <c r="AA43" s="4"/>
      <c r="AB43" s="4"/>
    </row>
    <row r="44" spans="1:28" ht="15.75" customHeight="1" x14ac:dyDescent="0.25">
      <c r="A44" s="884"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8.11</v>
      </c>
      <c r="U44" s="868">
        <f t="shared" si="4"/>
        <v>38.492857142857147</v>
      </c>
      <c r="V44" s="4">
        <v>70</v>
      </c>
      <c r="W44" s="4">
        <f t="shared" si="5"/>
        <v>74</v>
      </c>
      <c r="X44" s="868">
        <f t="shared" si="6"/>
        <v>72.714285714285708</v>
      </c>
      <c r="Y44" s="4"/>
      <c r="Z44" s="4"/>
      <c r="AA44" s="4"/>
      <c r="AB44" s="4"/>
    </row>
    <row r="45" spans="1:28" ht="15.75" customHeight="1" x14ac:dyDescent="0.25">
      <c r="A45" s="884"/>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SUM(G39:G45)</f>
        <v>0</v>
      </c>
      <c r="U45" s="868">
        <f t="shared" si="4"/>
        <v>28.085714285714282</v>
      </c>
      <c r="V45" s="4">
        <v>70</v>
      </c>
      <c r="W45" s="4">
        <f t="shared" si="5"/>
        <v>71</v>
      </c>
      <c r="X45" s="868">
        <f t="shared" si="6"/>
        <v>72.285714285714292</v>
      </c>
      <c r="Y45" s="4"/>
      <c r="Z45" s="4"/>
      <c r="AA45" s="4"/>
      <c r="AB45" s="4"/>
    </row>
    <row r="46" spans="1:28" ht="15.75" customHeight="1" x14ac:dyDescent="0.25">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0</v>
      </c>
      <c r="U46" s="868">
        <f t="shared" si="4"/>
        <v>19.538571428571426</v>
      </c>
      <c r="V46" s="4">
        <v>70</v>
      </c>
      <c r="W46" s="4">
        <f t="shared" si="5"/>
        <v>62</v>
      </c>
      <c r="X46" s="868">
        <f t="shared" si="6"/>
        <v>70.428571428571431</v>
      </c>
      <c r="Y46" s="4"/>
      <c r="Z46" s="4"/>
      <c r="AA46" s="4"/>
      <c r="AB46" s="4"/>
    </row>
    <row r="47" spans="1:28" ht="15.75" customHeight="1" x14ac:dyDescent="0.25">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12.221428571428572</v>
      </c>
      <c r="V47" s="4">
        <v>70</v>
      </c>
      <c r="W47" s="4">
        <f t="shared" si="5"/>
        <v>61</v>
      </c>
      <c r="X47" s="868">
        <f t="shared" si="6"/>
        <v>68.571428571428569</v>
      </c>
      <c r="Y47" s="4"/>
      <c r="Z47" s="4"/>
      <c r="AA47" s="4"/>
      <c r="AB47" s="4"/>
    </row>
    <row r="48" spans="1:28" ht="15.75" customHeight="1" x14ac:dyDescent="0.25">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1.3878356481481482</v>
      </c>
      <c r="Q48" s="865"/>
      <c r="R48" s="4"/>
      <c r="T48" s="16">
        <f t="shared" si="3"/>
        <v>0</v>
      </c>
      <c r="U48" s="868">
        <f t="shared" si="4"/>
        <v>6.3599999999999994</v>
      </c>
      <c r="V48" s="4">
        <v>70</v>
      </c>
      <c r="W48" s="4">
        <f t="shared" si="5"/>
        <v>68</v>
      </c>
      <c r="X48" s="868">
        <f t="shared" si="6"/>
        <v>67.428571428571431</v>
      </c>
      <c r="Y48" s="4"/>
      <c r="Z48" s="4"/>
      <c r="AA48" s="4"/>
      <c r="AB48" s="4"/>
    </row>
    <row r="49" spans="1:28" ht="15.75" customHeight="1" x14ac:dyDescent="0.25">
      <c r="A49" s="884"/>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260.99</v>
      </c>
      <c r="Q49" s="866"/>
      <c r="R49" s="25"/>
      <c r="T49" s="16">
        <f t="shared" si="3"/>
        <v>0</v>
      </c>
      <c r="U49" s="868">
        <f t="shared" si="4"/>
        <v>3.1157142857142857</v>
      </c>
      <c r="V49" s="4">
        <v>70</v>
      </c>
      <c r="W49" s="4">
        <f t="shared" si="5"/>
        <v>68</v>
      </c>
      <c r="X49" s="868">
        <f t="shared" si="6"/>
        <v>68</v>
      </c>
      <c r="Y49" s="4"/>
      <c r="Z49" s="4"/>
      <c r="AA49" s="4"/>
      <c r="AB49" s="4"/>
    </row>
    <row r="50" spans="1:28" ht="15.75" customHeight="1" x14ac:dyDescent="0.25">
      <c r="A50" s="884"/>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0.61992874109263663</v>
      </c>
      <c r="R50" s="4"/>
      <c r="T50" s="16">
        <f t="shared" si="3"/>
        <v>0</v>
      </c>
      <c r="U50" s="868">
        <f t="shared" si="4"/>
        <v>1.1585714285714286</v>
      </c>
      <c r="V50" s="4">
        <v>70</v>
      </c>
      <c r="W50" s="4">
        <f t="shared" si="5"/>
        <v>69</v>
      </c>
      <c r="X50" s="868">
        <f t="shared" si="6"/>
        <v>67.571428571428569</v>
      </c>
      <c r="Y50" s="4"/>
      <c r="Z50" s="4"/>
      <c r="AA50" s="4"/>
      <c r="AB50" s="4"/>
    </row>
    <row r="51" spans="1:28" ht="15.75" customHeight="1" x14ac:dyDescent="0.25">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1.3878356481481482</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260.99</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6"/>
      <c r="B57" s="854">
        <v>78</v>
      </c>
      <c r="C57" s="855">
        <f t="shared" si="0"/>
        <v>45864</v>
      </c>
      <c r="D57" s="854" t="s">
        <v>30</v>
      </c>
      <c r="E57" s="856" t="s">
        <v>489</v>
      </c>
      <c r="F57" s="854">
        <v>20</v>
      </c>
      <c r="G57" s="854"/>
      <c r="H57" s="857"/>
      <c r="I57" s="854" t="str">
        <f t="shared" si="7"/>
        <v>0:00</v>
      </c>
      <c r="J57" s="857"/>
      <c r="K57" s="854"/>
      <c r="L57" s="854" t="str">
        <f t="shared" si="2"/>
        <v>0:00</v>
      </c>
      <c r="M57" s="856">
        <f>SUM(F51:F57)</f>
        <v>80</v>
      </c>
      <c r="N57" s="854">
        <f>SUM(G51:G57)</f>
        <v>0</v>
      </c>
      <c r="O57" s="858"/>
      <c r="P57" s="863">
        <f>M57+P50</f>
        <v>501</v>
      </c>
      <c r="Q57" s="862">
        <f>P56/P57</f>
        <v>0.52093812375249504</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84"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84"/>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84"/>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84"/>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1.3878356481481482</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84"/>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260.99</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84"/>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0.45547993019197208</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1.3878356481481482</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260.99</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0.41036163522012581</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84"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84"/>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84"/>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84"/>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84"/>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1.3878356481481482</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84"/>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260.99</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84"/>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0.36451117318435755</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1.3878356481481482</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260.99</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6"/>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0.33036708860759495</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84"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84"/>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84"/>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84"/>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1.3878356481481482</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260.99</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84"/>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0.30277262180974479</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1.3878356481481482</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260.99</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0.27705944798301485</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84"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84"/>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84"/>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84"/>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84"/>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1.3878356481481482</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84"/>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260.99</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84"/>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0.25687992125984255</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1.3878356481481482</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260.99</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0.24076568265682657</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84"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84"/>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84"/>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84"/>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84"/>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1.3878356481481482</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84"/>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260.99</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84"/>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0.22694782608695652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1.3878356481481482</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260.99</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0.21605132450331127</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84"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84"/>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84"/>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84"/>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84"/>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1.3878356481481482</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84"/>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260.99</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84"/>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0.20829209896249004</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A21" sqref="A2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13.7</v>
      </c>
      <c r="L7" s="838">
        <f>(K7-K6)/((K7+K6)/2)*100</f>
        <v>-136.97527314548589</v>
      </c>
    </row>
    <row r="8" spans="1:12" x14ac:dyDescent="0.25">
      <c r="A8">
        <v>6</v>
      </c>
      <c r="B8">
        <v>13</v>
      </c>
      <c r="C8">
        <v>0.8</v>
      </c>
      <c r="D8">
        <v>0.8</v>
      </c>
      <c r="E8">
        <v>0.8</v>
      </c>
      <c r="G8">
        <f t="shared" si="1"/>
        <v>44</v>
      </c>
      <c r="H8">
        <f t="shared" si="0"/>
        <v>56</v>
      </c>
      <c r="I8">
        <f t="shared" si="2"/>
        <v>64</v>
      </c>
      <c r="K8">
        <f>'2Q - 80'!N50</f>
        <v>0</v>
      </c>
      <c r="L8" s="838">
        <f>(K8-K7)/((K8+K7)/2)*100</f>
        <v>-200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8" workbookViewId="0">
      <selection activeCell="K27" sqref="K27"/>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Mileage'!G3 - ('Q Sessions'!D3+'Q Sessions'!D4)</f>
        <v>12</v>
      </c>
      <c r="I3" s="889">
        <v>18</v>
      </c>
      <c r="J3" s="825" t="s">
        <v>314</v>
      </c>
      <c r="K3" s="825" t="s">
        <v>390</v>
      </c>
      <c r="L3">
        <v>18</v>
      </c>
      <c r="M3" s="890">
        <f>'Daniel''s Mileage'!I3 -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Mileage'!G5 - ('Q Sessions'!D5+'Q Sessions'!D6)</f>
        <v>24.375</v>
      </c>
      <c r="I5" s="889">
        <v>17</v>
      </c>
      <c r="J5" s="825" t="s">
        <v>314</v>
      </c>
      <c r="K5" s="825" t="s">
        <v>392</v>
      </c>
      <c r="L5">
        <v>18</v>
      </c>
      <c r="M5" s="890">
        <f>'Daniel''s Mileage'!I4 -(L5+L6)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Mileage'!G7 - ('Q Sessions'!D7+'Q Sessions'!D8)</f>
        <v>20.5</v>
      </c>
      <c r="I7" s="889">
        <v>16</v>
      </c>
      <c r="J7" s="825" t="s">
        <v>314</v>
      </c>
      <c r="K7" s="825" t="s">
        <v>393</v>
      </c>
      <c r="L7">
        <v>18</v>
      </c>
      <c r="M7" s="890">
        <f>'Daniel''s Mileage'!I5 -(L7+L8)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Mileage'!G9 - ('Q Sessions'!D9+'Q Sessions'!D10)</f>
        <v>24.666666666666668</v>
      </c>
      <c r="I9" s="889">
        <v>15</v>
      </c>
      <c r="J9" s="825" t="s">
        <v>314</v>
      </c>
      <c r="K9" s="825" t="s">
        <v>395</v>
      </c>
      <c r="L9">
        <v>18</v>
      </c>
      <c r="M9" s="890">
        <f>'Daniel''s Mileage'!I6 -(L9+L10)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Mileage'!G11 - ('Q Sessions'!D11+'Q Sessions'!D12)</f>
        <v>19.75</v>
      </c>
      <c r="I11" s="889">
        <v>14</v>
      </c>
      <c r="J11" s="825" t="s">
        <v>314</v>
      </c>
      <c r="K11" s="825" t="s">
        <v>400</v>
      </c>
      <c r="L11">
        <v>18</v>
      </c>
      <c r="M11" s="890">
        <f>'Daniel''s Mileage'!I7 -(L11+L12)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Mileage'!G13 - ('Q Sessions'!D13+'Q Sessions'!D14)</f>
        <v>23.666666666666668</v>
      </c>
      <c r="I13" s="889">
        <v>13</v>
      </c>
      <c r="J13" s="825" t="s">
        <v>314</v>
      </c>
      <c r="K13" s="825" t="s">
        <v>397</v>
      </c>
      <c r="L13">
        <v>19</v>
      </c>
      <c r="M13" s="890">
        <f>'Daniel''s Mileage'!I8 -(L13+L14)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Mileage'!G15 - ('Q Sessions'!D15+'Q Sessions'!D16)</f>
        <v>24</v>
      </c>
      <c r="I15" s="889">
        <v>12</v>
      </c>
      <c r="J15" s="825" t="s">
        <v>314</v>
      </c>
      <c r="K15" s="825" t="s">
        <v>402</v>
      </c>
      <c r="L15">
        <v>19</v>
      </c>
      <c r="M15" s="890">
        <f>'Daniel''s Mileage'!I9 -(L15+L16)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Mileage'!G17 - ('Q Sessions'!D17+'Q Sessions'!D18)</f>
        <v>20.375</v>
      </c>
      <c r="I17" s="889">
        <v>11</v>
      </c>
      <c r="J17" s="825" t="s">
        <v>314</v>
      </c>
      <c r="K17" s="825" t="s">
        <v>404</v>
      </c>
      <c r="L17">
        <v>19</v>
      </c>
      <c r="M17" s="890">
        <f>'Daniel''s Mileage'!I10 -(L17+L18)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Mileage'!G19 - ('Q Sessions'!D19+'Q Sessions'!D20)</f>
        <v>10</v>
      </c>
      <c r="I19" s="889">
        <v>10</v>
      </c>
      <c r="J19" s="825" t="s">
        <v>314</v>
      </c>
      <c r="K19" s="825" t="s">
        <v>411</v>
      </c>
      <c r="L19">
        <v>20</v>
      </c>
      <c r="M19" s="890">
        <f>'Daniel''s Mileage'!I11 -(L19+L20)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Mileage'!G21 - ('Q Sessions'!D21+'Q Sessions'!D22)</f>
        <v>-31</v>
      </c>
      <c r="I21" s="889">
        <v>9</v>
      </c>
      <c r="J21" s="825" t="s">
        <v>314</v>
      </c>
      <c r="K21" s="825" t="s">
        <v>407</v>
      </c>
      <c r="L21">
        <v>18</v>
      </c>
      <c r="M21" s="890">
        <f>'Daniel''s Mileage'!I12 -(L21+L22)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Mileage'!G23 - ('Q Sessions'!D23+'Q Sessions'!D24)</f>
        <v>-30.321428571428569</v>
      </c>
      <c r="I23" s="889">
        <v>8</v>
      </c>
      <c r="J23" s="825" t="s">
        <v>314</v>
      </c>
      <c r="K23" s="825" t="s">
        <v>409</v>
      </c>
      <c r="L23">
        <v>18</v>
      </c>
      <c r="M23" s="890">
        <f>'Daniel''s Mileage'!I13 -(L23+L24)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Mileage'!G25 - ('Q Sessions'!D25+'Q Sessions'!D26)</f>
        <v>-36</v>
      </c>
      <c r="I25" s="889">
        <v>7</v>
      </c>
      <c r="J25" s="825" t="s">
        <v>314</v>
      </c>
      <c r="K25" s="825" t="s">
        <v>411</v>
      </c>
      <c r="L25">
        <v>20</v>
      </c>
      <c r="M25" s="890">
        <f>'Daniel''s Mileage'!I14 -(L25+L26)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Mileage'!G27 - ('Q Sessions'!D27+'Q Sessions'!D28)</f>
        <v>-33.333333333333329</v>
      </c>
      <c r="I27" s="889">
        <v>6</v>
      </c>
      <c r="J27" s="825" t="s">
        <v>314</v>
      </c>
      <c r="K27" s="825" t="s">
        <v>413</v>
      </c>
      <c r="L27">
        <v>18</v>
      </c>
      <c r="M27" s="890">
        <f>'Daniel''s Mileage'!I15 -(L27+L28)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Mileage'!G29 - ('Q Sessions'!D29+'Q Sessions'!D30)</f>
        <v>-29.875</v>
      </c>
      <c r="I29" s="889">
        <v>5</v>
      </c>
      <c r="J29" s="825" t="s">
        <v>314</v>
      </c>
      <c r="K29" s="825" t="s">
        <v>415</v>
      </c>
      <c r="L29">
        <v>16</v>
      </c>
      <c r="M29" s="890">
        <f>'Daniel''s Mileage'!I16 -(L29+L30)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Mileage'!G31 - ('Q Sessions'!D31+'Q Sessions'!D32)</f>
        <v>-33.125</v>
      </c>
      <c r="I31" s="889">
        <v>4</v>
      </c>
      <c r="J31" s="825" t="s">
        <v>314</v>
      </c>
      <c r="K31" s="825" t="s">
        <v>393</v>
      </c>
      <c r="L31">
        <v>18</v>
      </c>
      <c r="M31" s="890">
        <f>'Daniel''s Mileage'!I17 -(L31+L32)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Mileage'!G33 - ('Q Sessions'!D33+'Q Sessions'!D34)</f>
        <v>-29</v>
      </c>
      <c r="I33" s="889">
        <v>3</v>
      </c>
      <c r="J33" s="825" t="s">
        <v>314</v>
      </c>
      <c r="K33" s="825" t="s">
        <v>418</v>
      </c>
      <c r="L33">
        <v>18</v>
      </c>
      <c r="M33" s="890">
        <f>'Daniel''s Mileage'!I18 -(L33+L34)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Mileage'!G35 - ('Q Sessions'!D35+'Q Sessions'!D36)</f>
        <v>-26</v>
      </c>
      <c r="I35" s="889">
        <v>2</v>
      </c>
      <c r="J35" s="825" t="s">
        <v>314</v>
      </c>
      <c r="K35" s="825" t="s">
        <v>419</v>
      </c>
      <c r="L35">
        <v>16</v>
      </c>
      <c r="M35" s="890">
        <f>'Daniel''s Mileage'!I19 -(L35+L36)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77.26%</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924">
        <f>IF(AND($E$6&gt;0,$G$6&gt;0),(-4.6 + 0.182258 * (F8/G6/1440) + 0.000104 *(F8/G6/1440)^2)/D9,1)</f>
        <v>61.522215640700502</v>
      </c>
      <c r="J6" s="92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0.92209332497414398</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6" t="s">
        <v>92</v>
      </c>
      <c r="N27" s="947"/>
      <c r="O27" s="947"/>
      <c r="P27" s="947"/>
      <c r="Q27" s="947"/>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2.1136921503280112E-3</v>
      </c>
      <c r="C60" s="968"/>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2.2873032614391222E-3</v>
      </c>
      <c r="C61" s="970"/>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2.4966039334112667E-3</v>
      </c>
      <c r="C62" s="972"/>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2.1543769160467831E-3</v>
      </c>
      <c r="C63" s="974"/>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004">
        <f>IF($L$58, P15,P14)</f>
        <v>2.3060087674508984E-3</v>
      </c>
      <c r="C64" s="1005"/>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2.4039351842669978E-3</v>
      </c>
      <c r="C65" s="1007"/>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2.4039351851851853E-2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3.8687586666666671E-3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4.017894560611821E-3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49" t="s">
        <v>206</v>
      </c>
      <c r="N83" s="1050"/>
      <c r="O83" s="499">
        <f ca="1">ABS(IF($O$85="yes",$O$74-$O$84,0))</f>
        <v>2.4199614197532165E-5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1" t="str">
        <f>IF(M100,"Age Grade Equivalent","No Age Grading")</f>
        <v>Age Grade Equivalent</v>
      </c>
      <c r="N84" s="1072"/>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3.4610580970427136E-3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5" t="str">
        <f>IF(M101,"Weight Adjusted Time","No Weight Grading")</f>
        <v>Weight Adjusted Time</v>
      </c>
      <c r="N91" s="1086"/>
      <c r="O91" s="545">
        <f ca="1">IF(AND($N$89&gt;0,$N$90&gt;0,$N$90&lt;&gt;"",$M$101),$O$84*(IF(N89&gt;=MIN(D98,F100,C3),$N$89,MIN(F100,D98,C3))/C3)^$I$93,O84)</f>
        <v>2.0554094140611608E-2</v>
      </c>
      <c r="P91" s="546" t="s">
        <v>218</v>
      </c>
      <c r="Q91" s="547" t="s">
        <v>99</v>
      </c>
      <c r="R91" s="548" t="s">
        <v>101</v>
      </c>
    </row>
    <row r="92" spans="2:23" ht="13.8" thickBot="1" x14ac:dyDescent="0.3">
      <c r="B92" s="1087" t="str">
        <f>IF($L$88,"Est Pace / km","Est Pace / mile")</f>
        <v>Est Pace / mile</v>
      </c>
      <c r="C92" s="1088"/>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2.4199614197532165E-5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3.4610580970427136E-3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6.6608974596373417E-4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2.1220183886575341E-2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34.616666666666667</v>
      </c>
      <c r="J104" s="1179"/>
      <c r="K104" s="1180">
        <f>G104/I104</f>
        <v>288.87818969667791</v>
      </c>
      <c r="L104" s="1181"/>
      <c r="M104" s="1182" t="str">
        <f>E6&amp;IF($L$80," Pace / km"," Pace / mile")</f>
        <v>10k Pace / mile</v>
      </c>
      <c r="N104" s="1183"/>
      <c r="O104" s="600">
        <f ca="1">O103/IF(L80,F8/1000,D8)</f>
        <v>3.4150575616756708E-3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4.537011049909963E-4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6.6608974596373417E-4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1">
      <formula>AND(ROUND(N89,1)&lt;ROUND(D98,1),ROUND(D98,1)&lt;ROUND(IF(C4,K101,K102),1))</formula>
    </cfRule>
    <cfRule type="expression" dxfId="35" priority="42">
      <formula>ROUND(D98,1)=ROUND($N$89,1)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2025-07-08T04:02:00Z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