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DED56897-F779-440B-A178-06CB04DD30AD}" xr6:coauthVersionLast="47" xr6:coauthVersionMax="47" xr10:uidLastSave="{00000000-0000-0000-0000-000000000000}"/>
  <bookViews>
    <workbookView xWindow="-108" yWindow="-84" windowWidth="23256" windowHeight="13872"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1" i="9" l="1"/>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84" i="9"/>
  <c r="AB84" i="9" s="1"/>
  <c r="AA85" i="9"/>
  <c r="AB85" i="9" s="1"/>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C126" i="9"/>
  <c r="AC125" i="9"/>
  <c r="AC103" i="9"/>
  <c r="AC116" i="9"/>
  <c r="AC135" i="9"/>
  <c r="AC112" i="9"/>
  <c r="AC95" i="9"/>
  <c r="AC133" i="9"/>
  <c r="AC102" i="9"/>
  <c r="AC92" i="9"/>
  <c r="AC91" i="9"/>
  <c r="AD97" i="9" s="1"/>
  <c r="AC101" i="9"/>
  <c r="AC121" i="9"/>
  <c r="AC120" i="9"/>
  <c r="AC107" i="9"/>
  <c r="AC109" i="9"/>
  <c r="AC119" i="9"/>
  <c r="AC100" i="9"/>
  <c r="AC108" i="9"/>
  <c r="AC106" i="9"/>
  <c r="AC90" i="9"/>
  <c r="AD96" i="9" s="1"/>
  <c r="AC111" i="9"/>
  <c r="AC110" i="9"/>
  <c r="AC128" i="9"/>
  <c r="AC118" i="9"/>
  <c r="AC134" i="9"/>
  <c r="AC132" i="9"/>
  <c r="AC122" i="9"/>
  <c r="AC99" i="9"/>
  <c r="AC130" i="9"/>
  <c r="AC117" i="9"/>
  <c r="AC97" i="9"/>
  <c r="AC131" i="9"/>
  <c r="AC127" i="9"/>
  <c r="AC98" i="9"/>
  <c r="AC96" i="9"/>
  <c r="AC94" i="9"/>
  <c r="AC104" i="9"/>
  <c r="AC93"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113" i="9" l="1"/>
  <c r="AE106" i="9"/>
  <c r="AE99" i="9"/>
  <c r="AE120" i="9"/>
  <c r="AE92"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Z106" i="9"/>
  <c r="Z95" i="9"/>
  <c r="Z18" i="9"/>
  <c r="AA18" i="9" s="1"/>
  <c r="AB18" i="9" s="1"/>
  <c r="AC24" i="9" s="1"/>
  <c r="Z68" i="9"/>
  <c r="AA68" i="9" s="1"/>
  <c r="AB68" i="9" s="1"/>
  <c r="Z97" i="9"/>
  <c r="Z125" i="9"/>
  <c r="Z85" i="9"/>
  <c r="Z64" i="9"/>
  <c r="AA64" i="9" s="1"/>
  <c r="AB64" i="9" s="1"/>
  <c r="Z88" i="9"/>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AC89" i="9" s="1"/>
  <c r="AD95" i="9" s="1"/>
  <c r="Z20" i="9"/>
  <c r="AA20" i="9" s="1"/>
  <c r="AB20" i="9" s="1"/>
  <c r="Z22" i="9"/>
  <c r="Z51" i="9"/>
  <c r="AA51" i="9" s="1"/>
  <c r="AB51" i="9" s="1"/>
  <c r="Z134" i="9"/>
  <c r="Z78" i="9"/>
  <c r="Z49" i="9"/>
  <c r="AA49" i="9" s="1"/>
  <c r="AB49" i="9" s="1"/>
  <c r="Z135" i="9"/>
  <c r="Z108" i="9"/>
  <c r="Z19" i="9"/>
  <c r="AA19" i="9" s="1"/>
  <c r="AB19" i="9" s="1"/>
  <c r="AC25" i="9" s="1"/>
  <c r="Z87" i="9"/>
  <c r="Z8" i="9"/>
  <c r="AA8" i="9" s="1"/>
  <c r="AB8" i="9" s="1"/>
  <c r="Z124" i="9"/>
  <c r="Z58" i="9"/>
  <c r="AA58" i="9" s="1"/>
  <c r="AB58" i="9" s="1"/>
  <c r="Z50" i="9"/>
  <c r="AA50" i="9" s="1"/>
  <c r="AB50" i="9" s="1"/>
  <c r="Z67" i="9"/>
  <c r="AA67" i="9" s="1"/>
  <c r="AB67" i="9" s="1"/>
  <c r="Z82" i="9"/>
  <c r="AA82" i="9" s="1"/>
  <c r="AB82" i="9" s="1"/>
  <c r="AC88" i="9" s="1"/>
  <c r="AD94" i="9" s="1"/>
  <c r="Z119" i="9"/>
  <c r="Z102" i="9"/>
  <c r="Z132" i="9"/>
  <c r="Z111" i="9"/>
  <c r="Z11" i="9"/>
  <c r="AA11" i="9" s="1"/>
  <c r="AB11" i="9" s="1"/>
  <c r="AC17" i="9" s="1"/>
  <c r="Z89" i="9"/>
  <c r="Z105" i="9"/>
  <c r="Z59" i="9"/>
  <c r="AA59" i="9" s="1"/>
  <c r="AB59" i="9" s="1"/>
  <c r="Z9" i="9"/>
  <c r="AA9" i="9" s="1"/>
  <c r="AB9" i="9" s="1"/>
  <c r="Z29" i="9"/>
  <c r="AA29" i="9" s="1"/>
  <c r="AB29" i="9" s="1"/>
  <c r="Z38" i="9"/>
  <c r="AA38" i="9" s="1"/>
  <c r="AB38" i="9" s="1"/>
  <c r="Z133" i="9"/>
  <c r="Z84" i="9"/>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AA76" i="9" s="1"/>
  <c r="AB76" i="9" s="1"/>
  <c r="Z41" i="9"/>
  <c r="AA41" i="9" s="1"/>
  <c r="AB41" i="9" s="1"/>
  <c r="Z43" i="9"/>
  <c r="AA43" i="9" s="1"/>
  <c r="AB43" i="9" s="1"/>
  <c r="Z104" i="9"/>
  <c r="Z90" i="9"/>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86" i="9" l="1"/>
  <c r="AC87" i="9"/>
  <c r="AD93" i="9" s="1"/>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92" i="9" l="1"/>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<sst xmlns="http://schemas.openxmlformats.org/spreadsheetml/2006/main" count="1246" uniqueCount="503">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</sst>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45.54</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45.54</c:v>
                </c:pt>
                <c:pt idx="77">
                  <c:v>45.54</c:v>
                </c:pt>
                <c:pt idx="78">
                  <c:v>40.839999999999996</c:v>
                </c:pt>
                <c:pt idx="79">
                  <c:v>30.180000000000003</c:v>
                </c:pt>
                <c:pt idx="80">
                  <c:v>14.149999999999999</c:v>
                </c:pt>
                <c:pt idx="81">
                  <c:v>6.12</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56.25</c:v>
                </c:pt>
                <c:pt idx="77" formatCode="0">
                  <c:v>53.730000000000004</c:v>
                </c:pt>
                <c:pt idx="78" formatCode="0">
                  <c:v>50.944285714285719</c:v>
                </c:pt>
                <c:pt idx="79" formatCode="0">
                  <c:v>47.134285714285717</c:v>
                </c:pt>
                <c:pt idx="80" formatCode="0">
                  <c:v>40.069999999999993</c:v>
                </c:pt>
                <c:pt idx="81" formatCode="0">
                  <c:v>33.571428571428577</c:v>
                </c:pt>
                <c:pt idx="82" formatCode="0">
                  <c:v>26.052857142857142</c:v>
                </c:pt>
                <c:pt idx="83" formatCode="0">
                  <c:v>19.547142857142859</c:v>
                </c:pt>
                <c:pt idx="84" formatCode="0">
                  <c:v>13.04142857142857</c:v>
                </c:pt>
                <c:pt idx="85" formatCode="0">
                  <c:v>7.2071428571428564</c:v>
                </c:pt>
                <c:pt idx="86" formatCode="0">
                  <c:v>2.8957142857142855</c:v>
                </c:pt>
                <c:pt idx="87" formatCode="0">
                  <c:v>0.87428571428571433</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45.54</c:v>
                      </c:pt>
                      <c:pt idx="77">
                        <c:v>45.54</c:v>
                      </c:pt>
                      <c:pt idx="78">
                        <c:v>40.839999999999996</c:v>
                      </c:pt>
                      <c:pt idx="79">
                        <c:v>30.180000000000003</c:v>
                      </c:pt>
                      <c:pt idx="80">
                        <c:v>14.149999999999999</c:v>
                      </c:pt>
                      <c:pt idx="81">
                        <c:v>6.12</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52.455216666666672</c:v>
                </c:pt>
                <c:pt idx="71">
                  <c:v>52.455216666666672</c:v>
                </c:pt>
                <c:pt idx="72">
                  <c:v>48.681883333333332</c:v>
                </c:pt>
                <c:pt idx="73">
                  <c:v>37.686133333333331</c:v>
                </c:pt>
                <c:pt idx="74">
                  <c:v>12.789</c:v>
                </c:pt>
                <c:pt idx="75">
                  <c:v>5.5274000000000001</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45.54</c:v>
                </c:pt>
                <c:pt idx="77">
                  <c:v>45.54</c:v>
                </c:pt>
                <c:pt idx="78">
                  <c:v>40.839999999999996</c:v>
                </c:pt>
                <c:pt idx="79">
                  <c:v>30.180000000000003</c:v>
                </c:pt>
                <c:pt idx="80">
                  <c:v>14.149999999999999</c:v>
                </c:pt>
                <c:pt idx="81">
                  <c:v>6.12</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52.455216666666672</c:v>
                </c:pt>
                <c:pt idx="77" formatCode="0.0">
                  <c:v>52.455216666666672</c:v>
                </c:pt>
                <c:pt idx="78" formatCode="0.0">
                  <c:v>48.681883333333332</c:v>
                </c:pt>
                <c:pt idx="79" formatCode="0.0">
                  <c:v>37.686133333333331</c:v>
                </c:pt>
                <c:pt idx="80" formatCode="0.0">
                  <c:v>12.789</c:v>
                </c:pt>
                <c:pt idx="81" formatCode="0.0">
                  <c:v>5.5274000000000001</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71" activePane="bottomLeft" state="frozen"/>
      <selection pane="bottomLeft" activeCell="G84" sqref="G84"/>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5">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5">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5">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5">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5">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5">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5">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5">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5">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5">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5">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5">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5">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5">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5">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5">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5">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5">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5">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5">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5">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5">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5">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5">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5">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5">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5">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5">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5">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5">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5">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5">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5">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5">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5">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5">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5">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5">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5">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5">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5">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5">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5">
      <c r="A55" s="87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5">
      <c r="A56" s="87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5">
      <c r="A57" s="87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5">
      <c r="A58" s="87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5">
      <c r="A59" s="87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5">
      <c r="A60" s="87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5">
      <c r="A61" s="87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5">
      <c r="A62" s="87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5">
      <c r="A63" s="87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5">
      <c r="A64" s="87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5">
      <c r="A65" s="87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5">
      <c r="A66" s="87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5">
      <c r="A67" s="87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5">
      <c r="A68" s="87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5">
      <c r="A69" s="87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5">
      <c r="A70" s="87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5">
      <c r="A71" s="87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5">
      <c r="A72" s="87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5">
      <c r="A73" s="87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5">
      <c r="A74" s="87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5">
      <c r="A75" s="87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5">
      <c r="A76" s="87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5">
      <c r="A77" s="87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5">
      <c r="A78" s="87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5">
      <c r="A79" s="87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5">
      <c r="A80" s="87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5">
      <c r="A81" s="87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5">
      <c r="A82" s="87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5">
      <c r="A83" s="87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3.7364699074074079</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5">
      <c r="A84" s="874"/>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0.23900462962962962</v>
      </c>
      <c r="O84" s="858"/>
      <c r="P84" s="863">
        <f>N85+P77</f>
        <v>724.34999999999991</v>
      </c>
      <c r="Q84" s="866"/>
      <c r="R84" s="4"/>
      <c r="S84" s="4"/>
      <c r="T84" s="16">
        <f t="shared" si="15"/>
        <v>45.54</v>
      </c>
      <c r="U84" s="868">
        <f t="shared" si="18"/>
        <v>56.25</v>
      </c>
      <c r="V84" s="4">
        <v>70</v>
      </c>
      <c r="W84" s="4">
        <f t="shared" si="19"/>
        <v>64</v>
      </c>
      <c r="X84" s="868">
        <f t="shared" si="20"/>
        <v>71.428571428571431</v>
      </c>
      <c r="Y84" s="4"/>
      <c r="Z84" s="869" t="e">
        <f t="shared" si="21"/>
        <v>#DIV/0!</v>
      </c>
      <c r="AA84" s="4">
        <f>IF(H84*G84,LOOKUP(Z84,'Daniel''s Tables'!$Z$135:$Z$214,'Daniel''s Tables'!$AB$135:$AB$214),0)</f>
        <v>0</v>
      </c>
      <c r="AB84" s="869">
        <f t="shared" si="22"/>
        <v>0</v>
      </c>
      <c r="AC84" s="871">
        <f t="shared" si="16"/>
        <v>52.455216666666672</v>
      </c>
      <c r="AD84" s="838">
        <f t="shared" si="17"/>
        <v>77.210559523809522</v>
      </c>
      <c r="AE84" s="838"/>
    </row>
    <row r="85" spans="1:31" ht="15.75" customHeight="1" x14ac:dyDescent="0.25">
      <c r="A85" s="874"/>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45.54</v>
      </c>
      <c r="O85" s="858"/>
      <c r="P85" s="863">
        <f>M85+P78</f>
        <v>796</v>
      </c>
      <c r="Q85" s="862">
        <f>P84/P85</f>
        <v>0.90998743718592956</v>
      </c>
      <c r="R85" s="4"/>
      <c r="S85" s="4"/>
      <c r="T85" s="16">
        <f t="shared" si="15"/>
        <v>45.54</v>
      </c>
      <c r="U85" s="868">
        <f t="shared" si="18"/>
        <v>53.730000000000004</v>
      </c>
      <c r="V85" s="4">
        <v>70</v>
      </c>
      <c r="W85" s="4">
        <f t="shared" si="19"/>
        <v>74</v>
      </c>
      <c r="X85" s="868">
        <f t="shared" si="20"/>
        <v>70.571428571428569</v>
      </c>
      <c r="Y85" s="4"/>
      <c r="Z85" s="869" t="e">
        <f t="shared" si="21"/>
        <v>#DIV/0!</v>
      </c>
      <c r="AA85" s="4">
        <f>IF(H85*G85,LOOKUP(Z85,'Daniel''s Tables'!$Z$135:$Z$214,'Daniel''s Tables'!$AB$135:$AB$214),0)</f>
        <v>0</v>
      </c>
      <c r="AB85" s="869">
        <f t="shared" si="22"/>
        <v>0</v>
      </c>
      <c r="AC85" s="871">
        <f t="shared" si="16"/>
        <v>52.455216666666672</v>
      </c>
      <c r="AD85" s="838">
        <f t="shared" si="17"/>
        <v>70.192078571428581</v>
      </c>
      <c r="AE85" s="838">
        <f>AC85</f>
        <v>52.455216666666672</v>
      </c>
    </row>
    <row r="86" spans="1:31" ht="15.75" customHeight="1" x14ac:dyDescent="0.25">
      <c r="A86" s="875"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40.839999999999996</v>
      </c>
      <c r="U86" s="868">
        <f t="shared" si="18"/>
        <v>50.944285714285719</v>
      </c>
      <c r="V86" s="4">
        <v>70</v>
      </c>
      <c r="W86" s="4">
        <f t="shared" si="19"/>
        <v>77</v>
      </c>
      <c r="X86" s="868">
        <f t="shared" si="20"/>
        <v>70.571428571428569</v>
      </c>
      <c r="Y86" s="4"/>
      <c r="Z86" s="869" t="e">
        <f t="shared" si="21"/>
        <v>#DIV/0!</v>
      </c>
      <c r="AA86" s="4">
        <f>IF(H86*G86,LOOKUP(Z86,'Daniel''s Tables'!$Z$135:$Z$214,'Daniel''s Tables'!$AB$135:$AB$214),0)</f>
        <v>0</v>
      </c>
      <c r="AB86" s="869">
        <f t="shared" si="22"/>
        <v>0</v>
      </c>
      <c r="AC86" s="871">
        <f t="shared" si="16"/>
        <v>48.681883333333332</v>
      </c>
      <c r="AD86" s="838">
        <f t="shared" si="17"/>
        <v>63.112169047619055</v>
      </c>
      <c r="AE86" s="838"/>
    </row>
    <row r="87" spans="1:31" ht="15.75" customHeight="1" x14ac:dyDescent="0.25">
      <c r="A87" s="875"/>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30.180000000000003</v>
      </c>
      <c r="U87" s="868">
        <f t="shared" si="18"/>
        <v>47.134285714285717</v>
      </c>
      <c r="V87" s="4">
        <v>70</v>
      </c>
      <c r="W87" s="4">
        <f t="shared" si="19"/>
        <v>76</v>
      </c>
      <c r="X87" s="868">
        <f t="shared" si="20"/>
        <v>71.571428571428569</v>
      </c>
      <c r="Y87" s="4"/>
      <c r="Z87" s="869" t="e">
        <f t="shared" si="21"/>
        <v>#DIV/0!</v>
      </c>
      <c r="AA87" s="4">
        <f>IF(H87*G87,LOOKUP(Z87,'Daniel''s Tables'!$Z$135:$Z$214,'Daniel''s Tables'!$AB$135:$AB$214),0)</f>
        <v>0</v>
      </c>
      <c r="AB87" s="869">
        <f t="shared" si="22"/>
        <v>0</v>
      </c>
      <c r="AC87" s="871">
        <f t="shared" si="16"/>
        <v>37.686133333333331</v>
      </c>
      <c r="AD87" s="838">
        <f t="shared" si="17"/>
        <v>57.356780952380952</v>
      </c>
      <c r="AE87" s="838"/>
    </row>
    <row r="88" spans="1:31" ht="15.75" customHeight="1" x14ac:dyDescent="0.25">
      <c r="A88" s="875"/>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14.149999999999999</v>
      </c>
      <c r="U88" s="868">
        <f t="shared" si="18"/>
        <v>40.069999999999993</v>
      </c>
      <c r="V88" s="4">
        <v>70</v>
      </c>
      <c r="W88" s="4">
        <f t="shared" si="19"/>
        <v>74</v>
      </c>
      <c r="X88" s="868">
        <f t="shared" si="20"/>
        <v>71</v>
      </c>
      <c r="Y88" s="4"/>
      <c r="Z88" s="869" t="e">
        <f t="shared" si="21"/>
        <v>#DIV/0!</v>
      </c>
      <c r="AA88" s="4">
        <f>IF(H88*G88,LOOKUP(Z88,'Daniel''s Tables'!$Z$135:$Z$214,'Daniel''s Tables'!$AB$135:$AB$214),0)</f>
        <v>0</v>
      </c>
      <c r="AB88" s="869">
        <f t="shared" si="22"/>
        <v>0</v>
      </c>
      <c r="AC88" s="871">
        <f t="shared" si="16"/>
        <v>12.789</v>
      </c>
      <c r="AD88" s="838">
        <f t="shared" si="17"/>
        <v>45.63166428571428</v>
      </c>
      <c r="AE88" s="838"/>
    </row>
    <row r="89" spans="1:31" ht="15.75" customHeight="1" x14ac:dyDescent="0.25">
      <c r="A89" s="87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6.12</v>
      </c>
      <c r="U89" s="868">
        <f t="shared" si="18"/>
        <v>33.571428571428577</v>
      </c>
      <c r="V89" s="4">
        <v>70</v>
      </c>
      <c r="W89" s="4">
        <f t="shared" si="19"/>
        <v>72</v>
      </c>
      <c r="X89" s="868">
        <f t="shared" si="20"/>
        <v>72</v>
      </c>
      <c r="Y89" s="4"/>
      <c r="Z89" s="869" t="e">
        <f t="shared" si="21"/>
        <v>#DIV/0!</v>
      </c>
      <c r="AA89" s="4">
        <f>IF(H89*G89,LOOKUP(Z89,'Daniel''s Tables'!$Z$135:$Z$214,'Daniel''s Tables'!$AB$135:$AB$214),0)</f>
        <v>0</v>
      </c>
      <c r="AB89" s="869">
        <f t="shared" si="22"/>
        <v>0</v>
      </c>
      <c r="AC89" s="871">
        <f t="shared" si="16"/>
        <v>5.5274000000000001</v>
      </c>
      <c r="AD89" s="838">
        <f t="shared" si="17"/>
        <v>38.274771428571434</v>
      </c>
      <c r="AE89" s="838"/>
    </row>
    <row r="90" spans="1:31" ht="15.75" customHeight="1" x14ac:dyDescent="0.25">
      <c r="A90" s="87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3.7364699074074079</v>
      </c>
      <c r="Q90" s="865"/>
      <c r="R90" s="4"/>
      <c r="S90" s="4"/>
      <c r="T90" s="16">
        <f t="shared" si="15"/>
        <v>0</v>
      </c>
      <c r="U90" s="868">
        <f t="shared" si="18"/>
        <v>26.052857142857142</v>
      </c>
      <c r="V90" s="4">
        <v>70</v>
      </c>
      <c r="W90" s="4">
        <f t="shared" si="19"/>
        <v>72</v>
      </c>
      <c r="X90" s="868">
        <f t="shared" si="20"/>
        <v>72.714285714285708</v>
      </c>
      <c r="Y90" s="4"/>
      <c r="Z90" s="869" t="e">
        <f t="shared" si="21"/>
        <v>#DIV/0!</v>
      </c>
      <c r="AA90" s="4">
        <f>IF(H90*G90,LOOKUP(Z90,'Daniel''s Tables'!$Z$135:$Z$214,'Daniel''s Tables'!$AB$135:$AB$214),0)</f>
        <v>0</v>
      </c>
      <c r="AB90" s="869">
        <f t="shared" si="22"/>
        <v>0</v>
      </c>
      <c r="AC90" s="871">
        <f t="shared" si="16"/>
        <v>0</v>
      </c>
      <c r="AD90" s="838">
        <f t="shared" si="17"/>
        <v>29.942121428571429</v>
      </c>
      <c r="AE90" s="838"/>
    </row>
    <row r="91" spans="1:31" ht="15.75" customHeight="1" x14ac:dyDescent="0.25">
      <c r="A91" s="87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724.34999999999991</v>
      </c>
      <c r="Q91" s="866"/>
      <c r="R91" s="4"/>
      <c r="S91" s="6"/>
      <c r="T91" s="16">
        <f t="shared" si="15"/>
        <v>0</v>
      </c>
      <c r="U91" s="868">
        <f t="shared" si="18"/>
        <v>19.547142857142859</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22.448519047619047</v>
      </c>
      <c r="AE91" s="838"/>
    </row>
    <row r="92" spans="1:31" ht="15.75" customHeight="1" x14ac:dyDescent="0.25">
      <c r="A92" s="875"/>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0.83450460829493078</v>
      </c>
      <c r="R92" s="4"/>
      <c r="S92" s="6"/>
      <c r="T92" s="16">
        <f t="shared" si="15"/>
        <v>0</v>
      </c>
      <c r="U92" s="868">
        <f t="shared" si="18"/>
        <v>13.04142857142857</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14.954916666666666</v>
      </c>
      <c r="AE92" s="838">
        <f>AC92</f>
        <v>0</v>
      </c>
    </row>
    <row r="93" spans="1:31" ht="15.75" customHeight="1" x14ac:dyDescent="0.25">
      <c r="A93" s="87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7.2071428571428564</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8.0003619047619043</v>
      </c>
      <c r="AE93" s="838"/>
    </row>
    <row r="94" spans="1:31" ht="15.75" customHeight="1" x14ac:dyDescent="0.25">
      <c r="A94" s="87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2.8957142857142855</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2.6166285714285715</v>
      </c>
      <c r="AE94" s="838"/>
    </row>
    <row r="95" spans="1:31" ht="15.75" customHeight="1" x14ac:dyDescent="0.25">
      <c r="A95" s="87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0.87428571428571433</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0.78962857142857146</v>
      </c>
      <c r="AE95" s="838"/>
    </row>
    <row r="96" spans="1:31" ht="15.75" customHeight="1" x14ac:dyDescent="0.25">
      <c r="A96" s="87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7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3.7364699074074079</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7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724.34999999999991</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7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0.76408227848101251</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7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7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7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7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7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3.7364699074074079</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724.34999999999991</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0.70875733855185896</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7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7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3.7364699074074079</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724.34999999999991</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0.66454128440366966</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7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7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3.7364699074074079</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7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724.34999999999991</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7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0.6266003460207612</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3.7364699074074079</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724.34999999999991</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0.59666392092256992</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3.7364699074074079</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724.34999999999991</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0.5753375694996028</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2" workbookViewId="0">
      <selection activeCell="L58" sqref="L58"/>
    </sheetView>
  </sheetViews>
  <sheetFormatPr defaultRowHeight="13.2" x14ac:dyDescent="0.25"/>
  <cols>
    <col min="12" max="12" width="17.88671875" customWidth="1"/>
  </cols>
  <sheetData>
    <row r="1" spans="1:12" x14ac:dyDescent="0.25">
      <c r="C1" s="888" t="s">
        <v>333</v>
      </c>
      <c r="D1" s="889"/>
      <c r="G1" s="888" t="s">
        <v>477</v>
      </c>
      <c r="H1" s="889"/>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45.54</v>
      </c>
      <c r="L13" s="838">
        <f>(K13-K12)/((K13+K12)/2)*100</f>
        <v>-32.450331125827802</v>
      </c>
    </row>
    <row r="14" spans="1:12" x14ac:dyDescent="0.25">
      <c r="A14">
        <v>12</v>
      </c>
      <c r="B14">
        <v>7</v>
      </c>
      <c r="C14" s="825">
        <v>0.9</v>
      </c>
      <c r="D14" s="825">
        <v>0.9</v>
      </c>
      <c r="E14" s="825">
        <v>0.9</v>
      </c>
      <c r="F14" s="825"/>
      <c r="G14">
        <f t="shared" si="1"/>
        <v>49.5</v>
      </c>
      <c r="H14">
        <f t="shared" si="0"/>
        <v>63</v>
      </c>
      <c r="I14">
        <f t="shared" si="2"/>
        <v>72</v>
      </c>
      <c r="J14">
        <f t="shared" si="3"/>
        <v>76.5</v>
      </c>
      <c r="K14">
        <f>'2Q - 80'!N92</f>
        <v>0</v>
      </c>
      <c r="L14" s="838">
        <f>(K14-K13)/((K14+K13)/2)*100</f>
        <v>-200</v>
      </c>
    </row>
    <row r="15" spans="1:12" x14ac:dyDescent="0.25">
      <c r="A15">
        <v>13</v>
      </c>
      <c r="B15">
        <v>6</v>
      </c>
      <c r="C15" s="825">
        <v>1</v>
      </c>
      <c r="D15" s="825">
        <v>1</v>
      </c>
      <c r="E15" s="825">
        <v>1</v>
      </c>
      <c r="F15" s="825"/>
      <c r="G15">
        <f t="shared" si="1"/>
        <v>55</v>
      </c>
      <c r="H15">
        <f t="shared" si="0"/>
        <v>70</v>
      </c>
      <c r="I15">
        <f t="shared" si="2"/>
        <v>80</v>
      </c>
      <c r="J15">
        <f t="shared" si="3"/>
        <v>85</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5">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2" t="s">
        <v>378</v>
      </c>
      <c r="B1" s="892"/>
      <c r="C1" s="892"/>
      <c r="D1" s="892"/>
      <c r="E1" s="892"/>
      <c r="F1" s="892"/>
      <c r="I1" s="892" t="s">
        <v>389</v>
      </c>
      <c r="J1" s="892"/>
      <c r="K1" s="892"/>
      <c r="L1" s="892"/>
      <c r="M1" s="892"/>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5">
      <c r="A4" s="891"/>
      <c r="B4" s="825" t="s">
        <v>335</v>
      </c>
      <c r="C4" s="825" t="s">
        <v>337</v>
      </c>
      <c r="D4" s="838">
        <f>8+3+2+3</f>
        <v>16</v>
      </c>
      <c r="E4">
        <v>15</v>
      </c>
      <c r="F4" s="891"/>
      <c r="I4" s="891"/>
      <c r="J4" s="825" t="s">
        <v>335</v>
      </c>
      <c r="K4" s="825" t="s">
        <v>391</v>
      </c>
      <c r="L4">
        <v>17</v>
      </c>
      <c r="M4" s="891"/>
    </row>
    <row r="5" spans="1:13" x14ac:dyDescent="0.25">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5">
      <c r="A6" s="891"/>
      <c r="B6" s="825" t="s">
        <v>335</v>
      </c>
      <c r="C6" s="825" t="s">
        <v>354</v>
      </c>
      <c r="D6" s="838">
        <f>4+ (5*(1000/1600)) + (4*(400/1600)) +2</f>
        <v>10.125</v>
      </c>
      <c r="E6">
        <v>13</v>
      </c>
      <c r="F6" s="891"/>
      <c r="I6" s="891"/>
      <c r="J6" s="825" t="s">
        <v>335</v>
      </c>
      <c r="K6" s="825" t="s">
        <v>396</v>
      </c>
      <c r="L6">
        <v>15</v>
      </c>
      <c r="M6" s="890"/>
    </row>
    <row r="7" spans="1:13" x14ac:dyDescent="0.25">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5">
      <c r="A8" s="891"/>
      <c r="B8" s="825" t="s">
        <v>335</v>
      </c>
      <c r="C8" s="825" t="s">
        <v>341</v>
      </c>
      <c r="D8" s="838">
        <f>6+3+2+1+1</f>
        <v>13</v>
      </c>
      <c r="E8">
        <v>14</v>
      </c>
      <c r="F8" s="891"/>
      <c r="I8" s="891"/>
      <c r="J8" s="825" t="s">
        <v>335</v>
      </c>
      <c r="K8" s="825" t="s">
        <v>394</v>
      </c>
      <c r="L8">
        <v>17</v>
      </c>
      <c r="M8" s="891"/>
    </row>
    <row r="9" spans="1:13" x14ac:dyDescent="0.25">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5">
      <c r="A10" s="891"/>
      <c r="B10" s="825" t="s">
        <v>335</v>
      </c>
      <c r="C10" s="825" t="s">
        <v>342</v>
      </c>
      <c r="D10" s="839">
        <f>(40/7.5) + (3*2) + (2*1) + 1</f>
        <v>14.333333333333332</v>
      </c>
      <c r="E10">
        <v>15</v>
      </c>
      <c r="F10" s="891"/>
      <c r="I10" s="891"/>
      <c r="J10" s="825" t="s">
        <v>335</v>
      </c>
      <c r="K10" s="825" t="s">
        <v>399</v>
      </c>
      <c r="L10">
        <v>16</v>
      </c>
      <c r="M10" s="891"/>
    </row>
    <row r="11" spans="1:13" x14ac:dyDescent="0.25">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5">
      <c r="A12" s="891"/>
      <c r="B12" s="825" t="s">
        <v>335</v>
      </c>
      <c r="C12" s="825" t="s">
        <v>348</v>
      </c>
      <c r="D12" s="838">
        <f xml:space="preserve"> 8+(6*(1/1.6))+2</f>
        <v>13.75</v>
      </c>
      <c r="E12">
        <v>14</v>
      </c>
      <c r="F12" s="891"/>
      <c r="I12" s="891"/>
      <c r="J12" s="825" t="s">
        <v>335</v>
      </c>
      <c r="K12" s="825" t="s">
        <v>401</v>
      </c>
      <c r="L12">
        <v>17</v>
      </c>
      <c r="M12" s="891"/>
    </row>
    <row r="13" spans="1:13" x14ac:dyDescent="0.25">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5">
      <c r="A14" s="891"/>
      <c r="B14" s="825" t="s">
        <v>335</v>
      </c>
      <c r="C14" s="825" t="s">
        <v>351</v>
      </c>
      <c r="D14" s="838">
        <f>(40/7.5)+3+(2*2)+2</f>
        <v>14.333333333333332</v>
      </c>
      <c r="E14">
        <v>15</v>
      </c>
      <c r="F14" s="891"/>
      <c r="I14" s="891"/>
      <c r="J14" s="825" t="s">
        <v>335</v>
      </c>
      <c r="K14" s="825" t="s">
        <v>398</v>
      </c>
      <c r="L14">
        <v>17</v>
      </c>
      <c r="M14" s="891"/>
    </row>
    <row r="15" spans="1:13" x14ac:dyDescent="0.25">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5">
      <c r="A16" s="891"/>
      <c r="B16" s="825" t="s">
        <v>335</v>
      </c>
      <c r="C16" s="825" t="s">
        <v>352</v>
      </c>
      <c r="D16" s="838">
        <f>4+3+2+2+1+2</f>
        <v>14</v>
      </c>
      <c r="E16">
        <v>14</v>
      </c>
      <c r="F16" s="891"/>
      <c r="I16" s="891"/>
      <c r="J16" s="825" t="s">
        <v>335</v>
      </c>
      <c r="K16" s="825" t="s">
        <v>403</v>
      </c>
      <c r="L16">
        <v>15</v>
      </c>
      <c r="M16" s="891"/>
    </row>
    <row r="17" spans="1:13" x14ac:dyDescent="0.25">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5">
      <c r="A18" s="891"/>
      <c r="B18" s="825" t="s">
        <v>335</v>
      </c>
      <c r="C18" s="825" t="s">
        <v>355</v>
      </c>
      <c r="D18" s="838">
        <f>8+(5*(1/1.6))+(4*0.25)+1</f>
        <v>13.125</v>
      </c>
      <c r="E18">
        <v>15</v>
      </c>
      <c r="F18" s="891"/>
      <c r="I18" s="891"/>
      <c r="J18" s="825" t="s">
        <v>335</v>
      </c>
      <c r="K18" s="825" t="s">
        <v>405</v>
      </c>
      <c r="L18">
        <v>17</v>
      </c>
      <c r="M18" s="891"/>
    </row>
    <row r="19" spans="1:13" x14ac:dyDescent="0.25">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5">
      <c r="A20" s="891"/>
      <c r="B20" s="825" t="s">
        <v>335</v>
      </c>
      <c r="C20" s="825" t="s">
        <v>358</v>
      </c>
      <c r="D20" s="838">
        <f>2+12+2</f>
        <v>16</v>
      </c>
      <c r="E20">
        <v>16</v>
      </c>
      <c r="F20" s="891"/>
      <c r="I20" s="891"/>
      <c r="J20" s="825" t="s">
        <v>335</v>
      </c>
      <c r="K20" s="825" t="s">
        <v>406</v>
      </c>
      <c r="L20">
        <v>18</v>
      </c>
      <c r="M20" s="891"/>
    </row>
    <row r="21" spans="1:13" x14ac:dyDescent="0.25">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5">
      <c r="A22" s="891"/>
      <c r="B22" s="825" t="s">
        <v>335</v>
      </c>
      <c r="C22" s="825" t="s">
        <v>360</v>
      </c>
      <c r="D22" s="838">
        <f>5+(4*2)+2</f>
        <v>15</v>
      </c>
      <c r="E22">
        <v>15</v>
      </c>
      <c r="F22" s="891"/>
      <c r="I22" s="891"/>
      <c r="J22" s="825" t="s">
        <v>335</v>
      </c>
      <c r="K22" s="825" t="s">
        <v>408</v>
      </c>
      <c r="L22">
        <v>16</v>
      </c>
      <c r="M22" s="891"/>
    </row>
    <row r="23" spans="1:13" x14ac:dyDescent="0.25">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5">
      <c r="A24" s="891"/>
      <c r="B24" s="825" t="s">
        <v>335</v>
      </c>
      <c r="C24" s="825" t="s">
        <v>348</v>
      </c>
      <c r="D24" s="838">
        <f xml:space="preserve"> 8+(6*(1/1.6))+2</f>
        <v>13.75</v>
      </c>
      <c r="E24">
        <v>16</v>
      </c>
      <c r="F24" s="891"/>
      <c r="I24" s="891"/>
      <c r="J24" s="825" t="s">
        <v>335</v>
      </c>
      <c r="K24" s="825" t="s">
        <v>410</v>
      </c>
      <c r="L24">
        <v>17</v>
      </c>
      <c r="M24" s="891"/>
    </row>
    <row r="25" spans="1:13" x14ac:dyDescent="0.25">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5">
      <c r="A26" s="891"/>
      <c r="B26" s="825" t="s">
        <v>335</v>
      </c>
      <c r="C26" s="825" t="s">
        <v>365</v>
      </c>
      <c r="D26" s="838">
        <f>2+8+(2*2)+2</f>
        <v>16</v>
      </c>
      <c r="E26">
        <v>16</v>
      </c>
      <c r="F26" s="891"/>
      <c r="I26" s="891"/>
      <c r="J26" s="825" t="s">
        <v>335</v>
      </c>
      <c r="K26" s="825" t="s">
        <v>412</v>
      </c>
      <c r="L26">
        <v>15</v>
      </c>
      <c r="M26" s="891"/>
    </row>
    <row r="27" spans="1:13" x14ac:dyDescent="0.25">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5">
      <c r="A28" s="891"/>
      <c r="B28" s="825" t="s">
        <v>335</v>
      </c>
      <c r="C28" s="825" t="s">
        <v>367</v>
      </c>
      <c r="D28" s="839">
        <f>(40/7.5) + (4*2) + (2*1) + 1</f>
        <v>16.333333333333332</v>
      </c>
      <c r="E28">
        <v>17</v>
      </c>
      <c r="F28" s="891"/>
      <c r="I28" s="891"/>
      <c r="J28" s="825" t="s">
        <v>335</v>
      </c>
      <c r="K28" s="825" t="s">
        <v>414</v>
      </c>
      <c r="L28">
        <v>14</v>
      </c>
      <c r="M28" s="891"/>
    </row>
    <row r="29" spans="1:13" x14ac:dyDescent="0.25">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5">
      <c r="A30" s="891"/>
      <c r="B30" s="825" t="s">
        <v>335</v>
      </c>
      <c r="C30" s="825" t="s">
        <v>369</v>
      </c>
      <c r="D30" s="838">
        <f>8+(5*(1/1.6))+(6*0.125)+1</f>
        <v>12.875</v>
      </c>
      <c r="E30">
        <v>16</v>
      </c>
      <c r="F30" s="891"/>
      <c r="I30" s="891"/>
      <c r="J30" s="825" t="s">
        <v>335</v>
      </c>
      <c r="K30" s="825" t="s">
        <v>416</v>
      </c>
      <c r="L30">
        <v>14</v>
      </c>
      <c r="M30" s="891"/>
    </row>
    <row r="31" spans="1:13" x14ac:dyDescent="0.25">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5">
      <c r="A32" s="891"/>
      <c r="B32" s="825" t="s">
        <v>335</v>
      </c>
      <c r="C32" s="825" t="s">
        <v>371</v>
      </c>
      <c r="D32" s="838">
        <f>6+(5*(1/1.6))+4</f>
        <v>13.125</v>
      </c>
      <c r="E32">
        <v>15</v>
      </c>
      <c r="F32" s="891"/>
      <c r="I32" s="891"/>
      <c r="J32" s="825" t="s">
        <v>335</v>
      </c>
      <c r="K32" s="825" t="s">
        <v>417</v>
      </c>
      <c r="L32">
        <v>12</v>
      </c>
      <c r="M32" s="891"/>
    </row>
    <row r="33" spans="1:13" x14ac:dyDescent="0.25">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5">
      <c r="A34" s="891"/>
      <c r="B34" s="825" t="s">
        <v>335</v>
      </c>
      <c r="C34" s="825" t="s">
        <v>373</v>
      </c>
      <c r="D34" s="838">
        <f>2+(4*2)+2</f>
        <v>12</v>
      </c>
      <c r="E34">
        <v>12</v>
      </c>
      <c r="F34" s="891"/>
      <c r="I34" s="891"/>
      <c r="J34" s="825" t="s">
        <v>335</v>
      </c>
      <c r="K34" s="825" t="s">
        <v>420</v>
      </c>
      <c r="L34">
        <v>12</v>
      </c>
      <c r="M34" s="891"/>
    </row>
    <row r="35" spans="1:13" x14ac:dyDescent="0.25">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5">
      <c r="A36" s="891"/>
      <c r="B36" s="825" t="s">
        <v>335</v>
      </c>
      <c r="C36" s="825" t="s">
        <v>375</v>
      </c>
      <c r="D36" s="838">
        <f>3+1+2+1+2+2</f>
        <v>11</v>
      </c>
      <c r="E36">
        <v>11</v>
      </c>
      <c r="F36" s="891"/>
      <c r="I36" s="891"/>
      <c r="J36" s="825" t="s">
        <v>335</v>
      </c>
      <c r="K36" s="825" t="s">
        <v>421</v>
      </c>
      <c r="L36">
        <v>12</v>
      </c>
      <c r="M36" s="891"/>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8" thickBot="1" x14ac:dyDescent="0.3">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8" thickBot="1" x14ac:dyDescent="0.3">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4" thickTop="1" thickBot="1" x14ac:dyDescent="0.3">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8" thickBot="1" x14ac:dyDescent="0.3">
      <c r="B45" s="1204" t="s">
        <v>111</v>
      </c>
      <c r="C45" s="1205"/>
      <c r="D45" s="1205"/>
      <c r="E45" s="1205"/>
      <c r="F45" s="1205"/>
      <c r="G45" s="1205"/>
      <c r="H45" s="1205"/>
      <c r="I45" s="1205"/>
      <c r="J45" s="1205"/>
      <c r="K45" s="1205"/>
      <c r="L45" s="1205"/>
      <c r="M45" s="1205"/>
      <c r="N45" s="1205"/>
      <c r="O45" s="1205"/>
      <c r="P45" s="1205"/>
      <c r="Q45" s="1205"/>
      <c r="R45" s="120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3" t="s">
        <v>112</v>
      </c>
      <c r="X46" s="873"/>
    </row>
    <row r="47" spans="2:28" ht="14.4" thickTop="1" thickBot="1" x14ac:dyDescent="0.3">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8" thickBot="1" x14ac:dyDescent="0.3">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8" thickBot="1" x14ac:dyDescent="0.3">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4" thickTop="1" thickBot="1" x14ac:dyDescent="0.3">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8" thickBot="1" x14ac:dyDescent="0.3">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8" thickBot="1" x14ac:dyDescent="0.3">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8" thickBot="1" x14ac:dyDescent="0.3">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8" thickBot="1" x14ac:dyDescent="0.3">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8" thickBot="1" x14ac:dyDescent="0.3">
      <c r="B79" s="483"/>
      <c r="M79" s="484"/>
      <c r="N79" s="24"/>
      <c r="O79" s="485"/>
      <c r="P79" s="1101" t="s">
        <v>201</v>
      </c>
      <c r="Q79" s="1102"/>
      <c r="R79" s="486">
        <f>IF(AND($C$2&gt;0,$P$80&gt;0),IF($B$4,$P$80 / ($C$2/100)^2,$P$80 / $C$2^2*703),"")</f>
        <v>18.498158078143003</v>
      </c>
      <c r="T79" s="458"/>
      <c r="U79" s="458"/>
      <c r="V79" s="33"/>
      <c r="W79" s="33"/>
    </row>
    <row r="80" spans="2:28" ht="13.8" thickBot="1" x14ac:dyDescent="0.3">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4" thickTop="1" thickBot="1" x14ac:dyDescent="0.3">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8" thickTop="1" x14ac:dyDescent="0.25">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8" thickBot="1" x14ac:dyDescent="0.3">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4">
        <f>ROUND((-4.6 + 0.182258 * ((P85*IF(R86,1000,1))/Q85/1440*(IF(R86,1,1609.344))) + 0.000104 *((P85*IF(R86,1000,1))/Q85/1440*(IF(R86,1,1609.344)))^2)/R85,1)</f>
        <v>83.3</v>
      </c>
      <c r="Q86" s="1075"/>
      <c r="R86" s="520" t="b">
        <v>0</v>
      </c>
    </row>
    <row r="87" spans="2:23" ht="14.4" thickTop="1" thickBot="1" x14ac:dyDescent="0.3">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8" thickBot="1" x14ac:dyDescent="0.3">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4" thickTop="1" thickBot="1" x14ac:dyDescent="0.3">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8" thickBot="1" x14ac:dyDescent="0.3">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8" thickBot="1" x14ac:dyDescent="0.3">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8" thickBot="1" x14ac:dyDescent="0.3">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4" thickTop="1" thickBot="1" x14ac:dyDescent="0.3">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8" thickBot="1" x14ac:dyDescent="0.3">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4" thickTop="1" thickBot="1" x14ac:dyDescent="0.3">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8" thickBot="1" x14ac:dyDescent="0.3">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5">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8" thickBot="1" x14ac:dyDescent="0.3">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8" thickBot="1" x14ac:dyDescent="0.3">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8" thickBot="1" x14ac:dyDescent="0.3">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4" thickTop="1" thickBot="1" x14ac:dyDescent="0.3">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5">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8" thickBot="1" x14ac:dyDescent="0.3">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8" thickBot="1" x14ac:dyDescent="0.3">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8" thickBot="1" x14ac:dyDescent="0.3">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8" thickBot="1" x14ac:dyDescent="0.3">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4" thickTop="1" thickBot="1" x14ac:dyDescent="0.3">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8" thickBot="1" x14ac:dyDescent="0.3">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8" thickBot="1" x14ac:dyDescent="0.3">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8" thickBot="1" x14ac:dyDescent="0.3">
      <c r="B114" s="673"/>
      <c r="C114" s="674"/>
      <c r="D114" s="674"/>
      <c r="E114" s="674"/>
      <c r="F114" s="674"/>
      <c r="G114" s="674"/>
      <c r="H114" s="674"/>
      <c r="I114" s="674"/>
      <c r="J114" s="674"/>
      <c r="K114" s="674"/>
      <c r="L114" s="675"/>
      <c r="N114" s="625"/>
      <c r="O114" s="625"/>
      <c r="P114" s="925" t="s">
        <v>257</v>
      </c>
      <c r="Q114" s="921"/>
      <c r="R114" s="922"/>
    </row>
    <row r="115" spans="2:34" ht="14.4" thickTop="1" thickBot="1" x14ac:dyDescent="0.3">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8" thickBot="1" x14ac:dyDescent="0.3">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8" thickBot="1" x14ac:dyDescent="0.3">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10" t="s">
        <v>290</v>
      </c>
      <c r="X131" s="911"/>
      <c r="Y131" s="911"/>
      <c r="Z131" s="911"/>
      <c r="AA131" s="911"/>
      <c r="AB131" s="911"/>
      <c r="AC131" s="911"/>
      <c r="AD131" s="911"/>
      <c r="AE131" s="911"/>
      <c r="AF131" s="911"/>
      <c r="AG131" s="912"/>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3" t="s">
        <v>291</v>
      </c>
      <c r="AE133" s="914"/>
      <c r="AF133" s="915"/>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8" thickBot="1" x14ac:dyDescent="0.3">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8" thickBot="1" x14ac:dyDescent="0.3">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8" thickBot="1" x14ac:dyDescent="0.3">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8" thickBot="1" x14ac:dyDescent="0.3">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8" thickBot="1" x14ac:dyDescent="0.3">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893" t="s">
        <v>310</v>
      </c>
      <c r="AG252" s="893"/>
    </row>
    <row r="253" spans="23:33" x14ac:dyDescent="0.25">
      <c r="Y253" s="893" t="s">
        <v>311</v>
      </c>
      <c r="Z253" s="893"/>
      <c r="AA253" s="893" t="s">
        <v>312</v>
      </c>
      <c r="AB253" s="893"/>
      <c r="AE253" s="805" t="s">
        <v>313</v>
      </c>
      <c r="AF253" s="806">
        <f>0.0015437*IF($L$80,($N$95*9/5)+32,$N$95)-0.09108933</f>
        <v>3.2406670000000012E-2</v>
      </c>
      <c r="AG253" s="807">
        <f ca="1">IF($M$102,MAX(AF253*$O$91,0),0)</f>
        <v>6.6384485996385633E-4</v>
      </c>
    </row>
    <row r="254" spans="23:33" x14ac:dyDescent="0.25">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5">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5">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3" t="s">
        <v>324</v>
      </c>
      <c r="AG261" s="893"/>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5">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5">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2025-08-21T15:50:40Z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