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8CB2CD66-A5B5-4857-A1A9-58A4825F2375}" xr6:coauthVersionLast="47" xr6:coauthVersionMax="47" xr10:uidLastSave="{00000000-0000-0000-0000-000000000000}"/>
  <bookViews>
    <workbookView xWindow="28680" yWindow="-90" windowWidth="29040" windowHeight="15690" activeTab="1" xr2:uid="{00000000-000D-0000-FFFF-FFFF00000000}"/>
  </bookViews>
  <sheets>
    <sheet name="2Q - 55" sheetId="4" r:id="rId1"/>
    <sheet name="2Q - 80" sheetId="9" r:id="rId2"/>
    <sheet name="Daniel's Mileage" sheetId="7" r:id="rId3"/>
    <sheet name="Q Sessions" sheetId="8" r:id="rId4"/>
    <sheet name="Daniel's Tabl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5" i="8" l="1"/>
  <c r="M33" i="8"/>
  <c r="M31" i="8"/>
  <c r="M29" i="8"/>
  <c r="M27" i="8"/>
  <c r="M25" i="8"/>
  <c r="M23" i="8"/>
  <c r="M21" i="8"/>
  <c r="M19" i="8"/>
  <c r="M17" i="8"/>
  <c r="M15" i="8"/>
  <c r="M13" i="8"/>
  <c r="M11" i="8"/>
  <c r="M9" i="8"/>
  <c r="M7" i="8"/>
  <c r="M5" i="8"/>
  <c r="M3" i="8"/>
  <c r="F78" i="9"/>
  <c r="M43" i="9"/>
  <c r="I7" i="7"/>
  <c r="F43" i="9"/>
  <c r="F27" i="9"/>
  <c r="I4" i="7"/>
  <c r="I5" i="7"/>
  <c r="I6" i="7"/>
  <c r="I8" i="7"/>
  <c r="I9" i="7"/>
  <c r="I10" i="7"/>
  <c r="I11" i="7"/>
  <c r="I12" i="7"/>
  <c r="I13" i="7"/>
  <c r="I14" i="7"/>
  <c r="I15" i="7"/>
  <c r="I16" i="7"/>
  <c r="I17" i="7"/>
  <c r="I18" i="7"/>
  <c r="I19" i="7"/>
  <c r="I3" i="7"/>
  <c r="K20" i="7"/>
  <c r="K19" i="7"/>
  <c r="K18" i="7"/>
  <c r="K17" i="7"/>
  <c r="K16" i="7"/>
  <c r="K15" i="7"/>
  <c r="K14" i="7"/>
  <c r="K13" i="7"/>
  <c r="K12" i="7"/>
  <c r="K11" i="7"/>
  <c r="K10" i="7"/>
  <c r="K9" i="7"/>
  <c r="K8" i="7"/>
  <c r="K7" i="7"/>
  <c r="K6" i="7"/>
  <c r="I20" i="7"/>
  <c r="N15" i="9"/>
  <c r="K3" i="7" s="1"/>
  <c r="K11"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7" i="9"/>
  <c r="U78" i="9"/>
  <c r="U79" i="9"/>
  <c r="U80" i="9"/>
  <c r="U81" i="9"/>
  <c r="U82" i="9"/>
  <c r="U83" i="9"/>
  <c r="U84" i="9"/>
  <c r="U85" i="9"/>
  <c r="U86" i="9"/>
  <c r="U87" i="9"/>
  <c r="U88" i="9"/>
  <c r="U89" i="9"/>
  <c r="U90" i="9"/>
  <c r="U91" i="9"/>
  <c r="U92" i="9"/>
  <c r="U93" i="9"/>
  <c r="U94" i="9"/>
  <c r="U95" i="9"/>
  <c r="U96" i="9"/>
  <c r="U97" i="9"/>
  <c r="U98" i="9"/>
  <c r="U99" i="9"/>
  <c r="U100" i="9"/>
  <c r="U101" i="9"/>
  <c r="U102" i="9"/>
  <c r="U103" i="9"/>
  <c r="U104" i="9"/>
  <c r="U105" i="9"/>
  <c r="U106" i="9"/>
  <c r="U107" i="9"/>
  <c r="U108" i="9"/>
  <c r="U109" i="9"/>
  <c r="U110" i="9"/>
  <c r="U111" i="9"/>
  <c r="U112" i="9"/>
  <c r="U113" i="9"/>
  <c r="U114" i="9"/>
  <c r="U115" i="9"/>
  <c r="U116" i="9"/>
  <c r="U117" i="9"/>
  <c r="U118" i="9"/>
  <c r="U119" i="9"/>
  <c r="U120" i="9"/>
  <c r="U121" i="9"/>
  <c r="U122" i="9"/>
  <c r="U123" i="9"/>
  <c r="U124" i="9"/>
  <c r="U125" i="9"/>
  <c r="U126" i="9"/>
  <c r="U127" i="9"/>
  <c r="U128" i="9"/>
  <c r="U129" i="9"/>
  <c r="U130" i="9"/>
  <c r="U131" i="9"/>
  <c r="U132" i="9"/>
  <c r="U133" i="9"/>
  <c r="U134" i="9"/>
  <c r="U135" i="9"/>
  <c r="X68" i="9"/>
  <c r="X69" i="9"/>
  <c r="X70" i="9"/>
  <c r="X71" i="9"/>
  <c r="X127" i="9"/>
  <c r="X128" i="9"/>
  <c r="X129" i="9"/>
  <c r="X130" i="9"/>
  <c r="X131" i="9"/>
  <c r="X132" i="9"/>
  <c r="X13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X74" i="9" s="1"/>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X126" i="9" s="1"/>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U38" i="9" l="1"/>
  <c r="U37" i="9"/>
  <c r="U39" i="9"/>
  <c r="U36" i="9"/>
  <c r="U35" i="9"/>
  <c r="U34" i="9"/>
  <c r="U33" i="9"/>
  <c r="U32" i="9"/>
  <c r="U30" i="9"/>
  <c r="U31" i="9"/>
  <c r="U29" i="9"/>
  <c r="U28" i="9"/>
  <c r="U27" i="9"/>
  <c r="X133" i="9"/>
  <c r="X134" i="9"/>
  <c r="X125" i="9"/>
  <c r="X84" i="9"/>
  <c r="X83" i="9"/>
  <c r="X72" i="9"/>
  <c r="X8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5" i="9"/>
  <c r="X88" i="9"/>
  <c r="X87" i="9"/>
  <c r="X86" i="9"/>
  <c r="X90" i="9"/>
  <c r="X92" i="9"/>
  <c r="X78" i="9"/>
  <c r="X79" i="9"/>
  <c r="X77" i="9"/>
  <c r="X76" i="9"/>
  <c r="X81" i="9"/>
  <c r="X75" i="9"/>
  <c r="X80" i="9"/>
  <c r="X73" i="9"/>
  <c r="X67" i="9"/>
  <c r="X30" i="9"/>
  <c r="X58" i="9"/>
  <c r="X57" i="9"/>
  <c r="X56" i="9"/>
  <c r="X66" i="9"/>
  <c r="X60" i="9"/>
  <c r="X61" i="9"/>
  <c r="X65" i="9"/>
  <c r="X64" i="9"/>
  <c r="X63" i="9"/>
  <c r="X62" i="9"/>
  <c r="X59" i="9"/>
  <c r="X55" i="9"/>
  <c r="X54" i="9"/>
  <c r="X50" i="9"/>
  <c r="X51" i="9"/>
  <c r="X53" i="9"/>
  <c r="X52" i="9"/>
  <c r="X49" i="9"/>
  <c r="X48" i="9"/>
  <c r="X46" i="9"/>
  <c r="X33" i="9"/>
  <c r="X38" i="9"/>
  <c r="X45" i="9"/>
  <c r="X43" i="9"/>
  <c r="X47" i="9"/>
  <c r="X44" i="9"/>
  <c r="X42" i="9"/>
  <c r="X41" i="9"/>
  <c r="X40" i="9"/>
  <c r="X39" i="9"/>
  <c r="X36" i="9"/>
  <c r="X35" i="9"/>
  <c r="X16" i="9"/>
  <c r="X34" i="9"/>
  <c r="X32" i="9"/>
  <c r="X37" i="9"/>
  <c r="X31" i="9"/>
  <c r="X29" i="9"/>
  <c r="X27" i="9"/>
  <c r="X25" i="9"/>
  <c r="X28" i="9"/>
  <c r="X26" i="9"/>
  <c r="X24" i="9"/>
  <c r="X23" i="9"/>
  <c r="X22" i="9"/>
  <c r="U26" i="9"/>
  <c r="U25" i="9"/>
  <c r="U24" i="9"/>
  <c r="U23" i="9"/>
  <c r="U22" i="9"/>
  <c r="X21" i="9"/>
  <c r="X20" i="9"/>
  <c r="X19" i="9"/>
  <c r="X18" i="9"/>
  <c r="X17" i="9"/>
  <c r="M15" i="9" l="1"/>
  <c r="P14" i="9"/>
  <c r="N14" i="9"/>
  <c r="P13" i="9" s="1"/>
  <c r="N134" i="9"/>
  <c r="N133" i="9"/>
  <c r="N127" i="9"/>
  <c r="N126" i="9"/>
  <c r="N120" i="9"/>
  <c r="N119" i="9"/>
  <c r="N113" i="9"/>
  <c r="N112" i="9"/>
  <c r="N106" i="9"/>
  <c r="N105" i="9"/>
  <c r="N99" i="9"/>
  <c r="N98" i="9"/>
  <c r="N92" i="9"/>
  <c r="N91" i="9"/>
  <c r="N85" i="9"/>
  <c r="N84" i="9"/>
  <c r="N78" i="9"/>
  <c r="N77" i="9"/>
  <c r="N71" i="9"/>
  <c r="N70" i="9"/>
  <c r="N64" i="9"/>
  <c r="N63" i="9"/>
  <c r="N57" i="9"/>
  <c r="N56" i="9"/>
  <c r="N50" i="9"/>
  <c r="N49" i="9"/>
  <c r="N43" i="9"/>
  <c r="N42" i="9"/>
  <c r="N36" i="9"/>
  <c r="N35" i="9"/>
  <c r="N29" i="9"/>
  <c r="K5" i="7" s="1"/>
  <c r="N28" i="9"/>
  <c r="N22" i="9"/>
  <c r="K4" i="7" s="1"/>
  <c r="N21" i="9"/>
  <c r="M134" i="9"/>
  <c r="M120" i="9"/>
  <c r="M106" i="9"/>
  <c r="M92" i="9"/>
  <c r="M78" i="9"/>
  <c r="M64" i="9"/>
  <c r="M50" i="9"/>
  <c r="M36" i="9"/>
  <c r="M127" i="9"/>
  <c r="M113" i="9"/>
  <c r="M99" i="9"/>
  <c r="M85" i="9"/>
  <c r="M71" i="9"/>
  <c r="M57" i="9"/>
  <c r="M22" i="9"/>
  <c r="M29" i="9"/>
  <c r="P15"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M64" i="6" s="1"/>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Q39" i="6" s="1"/>
  <c r="R39" i="6" s="1"/>
  <c r="X39" i="6"/>
  <c r="W39" i="6"/>
  <c r="C39" i="6"/>
  <c r="Z38" i="6"/>
  <c r="Y38" i="6"/>
  <c r="X38" i="6"/>
  <c r="W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F21" i="8" l="1"/>
  <c r="F11" i="8"/>
  <c r="F17" i="8"/>
  <c r="F35" i="8"/>
  <c r="F9" i="8"/>
  <c r="U20" i="9"/>
  <c r="U18" i="9"/>
  <c r="U17" i="9"/>
  <c r="U16" i="9"/>
  <c r="U15" i="9"/>
  <c r="U14" i="9"/>
  <c r="U19" i="9"/>
  <c r="Q50" i="9"/>
  <c r="P56" i="9"/>
  <c r="L13" i="7"/>
  <c r="L10" i="7"/>
  <c r="L11" i="7"/>
  <c r="L9" i="7"/>
  <c r="L16" i="7"/>
  <c r="L19" i="7"/>
  <c r="L12" i="7"/>
  <c r="L20" i="7"/>
  <c r="Q40" i="6"/>
  <c r="R40" i="6" s="1"/>
  <c r="Q38" i="6"/>
  <c r="R38"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Q57" i="9" l="1"/>
  <c r="P63" i="9"/>
  <c r="L15" i="7"/>
  <c r="L18" i="7"/>
  <c r="R14" i="6"/>
  <c r="K90" i="6"/>
  <c r="K91" i="6" s="1"/>
  <c r="K92" i="6" s="1"/>
  <c r="W35" i="6"/>
  <c r="W36" i="6"/>
  <c r="X37" i="6"/>
  <c r="W31"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N22" i="6" l="1"/>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H65" i="6" l="1"/>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E15" i="6"/>
  <c r="E19" i="6"/>
  <c r="E31" i="6"/>
  <c r="E21" i="6"/>
  <c r="E24" i="6"/>
  <c r="E26" i="6"/>
  <c r="E29" i="6"/>
  <c r="I77" i="6"/>
  <c r="H77" i="6"/>
  <c r="L77" i="6"/>
  <c r="K77" i="6"/>
  <c r="J77" i="6"/>
  <c r="G77" i="6"/>
  <c r="F77" i="6"/>
  <c r="K24" i="6"/>
  <c r="K27" i="6"/>
  <c r="K22" i="6"/>
  <c r="K21" i="6"/>
  <c r="K29" i="6"/>
  <c r="K30" i="6"/>
  <c r="K25" i="6"/>
  <c r="K26" i="6"/>
  <c r="K19" i="6"/>
  <c r="K23" i="6"/>
  <c r="K20" i="6"/>
  <c r="K28" i="6"/>
  <c r="K31" i="6"/>
  <c r="J13" i="6"/>
  <c r="J12" i="6" s="1"/>
  <c r="J18" i="6"/>
  <c r="R5" i="6"/>
  <c r="I5" i="6" s="1"/>
  <c r="R78" i="6"/>
  <c r="D15" i="6"/>
  <c r="D38" i="6"/>
  <c r="D37" i="6"/>
  <c r="D42" i="6"/>
  <c r="D31" i="6"/>
  <c r="D34" i="6"/>
  <c r="D44" i="6"/>
  <c r="D20" i="6"/>
  <c r="D25" i="6"/>
  <c r="J54" i="6"/>
  <c r="J55" i="6" s="1"/>
  <c r="I54" i="6"/>
  <c r="I55" i="6" s="1"/>
  <c r="L54" i="6"/>
  <c r="L55" i="6" s="1"/>
  <c r="K54" i="6"/>
  <c r="K55" i="6" s="1"/>
  <c r="H54" i="6"/>
  <c r="H55" i="6" s="1"/>
  <c r="G54" i="6"/>
  <c r="G55" i="6" s="1"/>
  <c r="E54" i="6"/>
  <c r="E55" i="6" s="1"/>
  <c r="D55" i="6"/>
  <c r="F54" i="6"/>
  <c r="F55" i="6" s="1"/>
  <c r="Y219" i="6"/>
  <c r="F14" i="6" s="1"/>
  <c r="G107" i="6"/>
  <c r="H107" i="6" s="1"/>
  <c r="K107" i="6"/>
  <c r="L107" i="6" s="1"/>
  <c r="G27" i="6"/>
  <c r="G23" i="6"/>
  <c r="G41" i="6"/>
  <c r="G24" i="6"/>
  <c r="G22" i="6"/>
  <c r="G39" i="6"/>
  <c r="G44" i="6"/>
  <c r="G30" i="6"/>
  <c r="G19" i="6"/>
  <c r="G36" i="6"/>
  <c r="G21" i="6"/>
  <c r="G40" i="6"/>
  <c r="G28" i="6"/>
  <c r="G25" i="6"/>
  <c r="G35" i="6"/>
  <c r="G15" i="6"/>
  <c r="G37" i="6"/>
  <c r="G38" i="6"/>
  <c r="G20" i="6"/>
  <c r="AB218" i="6"/>
  <c r="AB217" i="6"/>
  <c r="I11" i="6"/>
  <c r="D23" i="6" l="1"/>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<sst xmlns="http://schemas.openxmlformats.org/spreadsheetml/2006/main" count="1231" uniqueCount="486">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</sst>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2">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0" fontId="1" fillId="0" borderId="0" xfId="0" applyFont="1" applyAlignment="1">
      <alignment horizontal="center"/>
    </xf>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1" fillId="0" borderId="0" xfId="0" applyFont="1" applyAlignment="1">
      <alignment horizontal="center"/>
    </xf>
    <xf numFmtId="0" fontId="1" fillId="2" borderId="2" xfId="0" applyFont="1" applyFill="1" applyBorder="1" applyAlignment="1">
      <alignment horizontal="center" vertical="center" wrapText="1"/>
    </xf>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4" borderId="0" xfId="0" applyFont="1" applyFill="1" applyAlignment="1">
      <alignment horizontal="center" vertical="center" wrapText="1"/>
    </xf>
    <xf numFmtId="0" fontId="1" fillId="0" borderId="7" xfId="0" applyFont="1" applyBorder="1" applyAlignment="1">
      <alignment horizontal="center"/>
    </xf>
    <xf numFmtId="0" fontId="3" fillId="0" borderId="0" xfId="0" applyFont="1" applyAlignment="1">
      <alignment horizontal="center"/>
    </xf>
    <xf numFmtId="0" fontId="1" fillId="4" borderId="0" xfId="0" applyFont="1" applyFill="1" applyAlignment="1">
      <alignment horizontal="center" vertical="center"/>
    </xf>
    <xf numFmtId="0" fontId="1" fillId="0" borderId="0" xfId="0" applyFont="1" applyAlignment="1">
      <alignment horizontal="center" vertical="center" wrapText="1"/>
    </xf>
    <xf numFmtId="0" fontId="2" fillId="2" borderId="2" xfId="0" applyFont="1" applyFill="1" applyBorder="1" applyAlignment="1">
      <alignment horizontal="center" vertical="center" wrapText="1"/>
    </xf>
    <xf numFmtId="0" fontId="1" fillId="36" borderId="0" xfId="0" applyFont="1" applyFill="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Mileage'!$G$2</c:f>
              <c:strCache>
                <c:ptCount val="1"/>
                <c:pt idx="0">
                  <c:v>40-55</c:v>
                </c:pt>
              </c:strCache>
            </c:strRef>
          </c:tx>
          <c:spPr>
            <a:ln w="19050" cap="rnd">
              <a:solidFill>
                <a:srgbClr val="00B050"/>
              </a:solidFill>
              <a:round/>
            </a:ln>
            <a:effectLst/>
          </c:spPr>
          <c:marker>
            <c:symbol val="none"/>
          </c:marker>
          <c:xVal>
            <c:numRef>
              <c:f>'Daniel''s Mileage'!$A$3:$A$19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Mileage'!$H$3:$H$20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Mileage'!$H$2</c:f>
              <c:strCache>
                <c:ptCount val="1"/>
                <c:pt idx="0">
                  <c:v>56 - 70</c:v>
                </c:pt>
              </c:strCache>
            </c:strRef>
          </c:tx>
          <c:spPr>
            <a:ln w="19050" cap="rnd">
              <a:solidFill>
                <a:srgbClr val="FF0000"/>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Mileage'!$J$2</c:f>
              <c:strCache>
                <c:ptCount val="1"/>
              </c:strCache>
            </c:strRef>
          </c:tx>
          <c:spPr>
            <a:ln w="19050" cap="rnd">
              <a:solidFill>
                <a:schemeClr val="bg1">
                  <a:lumMod val="50000"/>
                </a:schemeClr>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Mileage'!$K$2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Mileage'!$K$3:$K$20</c:f>
              <c:numCache>
                <c:formatCode>General</c:formatCode>
                <c:ptCount val="18"/>
                <c:pt idx="0">
                  <c:v>58.79</c:v>
                </c:pt>
                <c:pt idx="1">
                  <c:v>40.81</c:v>
                </c:pt>
                <c:pt idx="2">
                  <c:v>51.58</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Mileage'!$I$2</c:f>
              <c:strCache>
                <c:ptCount val="1"/>
                <c:pt idx="0">
                  <c:v>71-85</c:v>
                </c:pt>
              </c:strCache>
            </c:strRef>
          </c:tx>
          <c:spPr>
            <a:ln w="19050" cap="rnd">
              <a:solidFill>
                <a:schemeClr val="accent2"/>
              </a:solidFill>
              <a:round/>
            </a:ln>
            <a:effectLst/>
          </c:spPr>
          <c:marker>
            <c:symbol val="none"/>
          </c:marker>
          <c:xVal>
            <c:numRef>
              <c:f>'Daniel''s Mileage'!$A$3:$A$21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51.58</c:v>
                </c:pt>
                <c:pt idx="21">
                  <c:v>51.58</c:v>
                </c:pt>
                <c:pt idx="22">
                  <c:v>43.43</c:v>
                </c:pt>
                <c:pt idx="23">
                  <c:v>35.199999999999996</c:v>
                </c:pt>
                <c:pt idx="24">
                  <c:v>23.08</c:v>
                </c:pt>
                <c:pt idx="25">
                  <c:v>14.47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71</c:v>
                </c:pt>
                <c:pt idx="16">
                  <c:v>69</c:v>
                </c:pt>
                <c:pt idx="17">
                  <c:v>75</c:v>
                </c:pt>
                <c:pt idx="18">
                  <c:v>75</c:v>
                </c:pt>
                <c:pt idx="19">
                  <c:v>70</c:v>
                </c:pt>
                <c:pt idx="20">
                  <c:v>82</c:v>
                </c:pt>
                <c:pt idx="21">
                  <c:v>74</c:v>
                </c:pt>
                <c:pt idx="22">
                  <c:v>74</c:v>
                </c:pt>
                <c:pt idx="23">
                  <c:v>74</c:v>
                </c:pt>
                <c:pt idx="24">
                  <c:v>75</c:v>
                </c:pt>
                <c:pt idx="25">
                  <c:v>76</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70.714285714285708</c:v>
                      </c:pt>
                      <c:pt idx="23" formatCode="0">
                        <c:v>70</c:v>
                      </c:pt>
                      <c:pt idx="24" formatCode="0">
                        <c:v>70.857142857142861</c:v>
                      </c:pt>
                      <c:pt idx="25" formatCode="0">
                        <c:v>71.714285714285708</c:v>
                      </c:pt>
                      <c:pt idx="26" formatCode="0">
                        <c:v>70.857142857142861</c:v>
                      </c:pt>
                      <c:pt idx="27" formatCode="0">
                        <c:v>73.571428571428569</c:v>
                      </c:pt>
                      <c:pt idx="28" formatCode="0">
                        <c:v>73.714285714285708</c:v>
                      </c:pt>
                      <c:pt idx="29" formatCode="0">
                        <c:v>74.142857142857139</c:v>
                      </c:pt>
                      <c:pt idx="30" formatCode="0">
                        <c:v>74.857142857142861</c:v>
                      </c:pt>
                      <c:pt idx="31" formatCode="0">
                        <c:v>74.857142857142861</c:v>
                      </c:pt>
                      <c:pt idx="32" formatCode="0">
                        <c:v>75</c:v>
                      </c:pt>
                      <c:pt idx="33" formatCode="0">
                        <c:v>75.857142857142861</c:v>
                      </c:pt>
                      <c:pt idx="34" formatCode="0">
                        <c:v>73.285714285714292</c:v>
                      </c:pt>
                      <c:pt idx="35" formatCode="0">
                        <c:v>73</c:v>
                      </c:pt>
                      <c:pt idx="36" formatCode="0">
                        <c:v>72.714285714285708</c:v>
                      </c:pt>
                      <c:pt idx="37" formatCode="0">
                        <c:v>72.285714285714292</c:v>
                      </c:pt>
                      <c:pt idx="38" formatCode="0">
                        <c:v>70.428571428571431</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70.714285714285708</c:v>
                </c:pt>
                <c:pt idx="23" formatCode="0">
                  <c:v>70</c:v>
                </c:pt>
                <c:pt idx="24" formatCode="0">
                  <c:v>70.857142857142861</c:v>
                </c:pt>
                <c:pt idx="25" formatCode="0">
                  <c:v>71.714285714285708</c:v>
                </c:pt>
                <c:pt idx="26" formatCode="0">
                  <c:v>70.857142857142861</c:v>
                </c:pt>
                <c:pt idx="27" formatCode="0">
                  <c:v>73.571428571428569</c:v>
                </c:pt>
                <c:pt idx="28" formatCode="0">
                  <c:v>73.714285714285708</c:v>
                </c:pt>
                <c:pt idx="29" formatCode="0">
                  <c:v>74.142857142857139</c:v>
                </c:pt>
                <c:pt idx="30" formatCode="0">
                  <c:v>74.857142857142861</c:v>
                </c:pt>
                <c:pt idx="31" formatCode="0">
                  <c:v>74.857142857142861</c:v>
                </c:pt>
                <c:pt idx="32" formatCode="0">
                  <c:v>75</c:v>
                </c:pt>
                <c:pt idx="33" formatCode="0">
                  <c:v>75.857142857142861</c:v>
                </c:pt>
                <c:pt idx="34" formatCode="0">
                  <c:v>73.285714285714292</c:v>
                </c:pt>
                <c:pt idx="35" formatCode="0">
                  <c:v>73</c:v>
                </c:pt>
                <c:pt idx="36" formatCode="0">
                  <c:v>72.714285714285708</c:v>
                </c:pt>
                <c:pt idx="37" formatCode="0">
                  <c:v>72.285714285714292</c:v>
                </c:pt>
                <c:pt idx="38" formatCode="0">
                  <c:v>70.428571428571431</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46.295714285714283</c:v>
                </c:pt>
                <c:pt idx="21" formatCode="0">
                  <c:v>47.834285714285713</c:v>
                </c:pt>
                <c:pt idx="22" formatCode="0">
                  <c:v>47.905714285714282</c:v>
                </c:pt>
                <c:pt idx="23" formatCode="0">
                  <c:v>46.661428571428566</c:v>
                </c:pt>
                <c:pt idx="24" formatCode="0">
                  <c:v>43.529999999999994</c:v>
                </c:pt>
                <c:pt idx="25" formatCode="0">
                  <c:v>38.702857142857148</c:v>
                </c:pt>
                <c:pt idx="26" formatCode="0">
                  <c:v>31.334285714285716</c:v>
                </c:pt>
                <c:pt idx="27" formatCode="0">
                  <c:v>23.965714285714281</c:v>
                </c:pt>
                <c:pt idx="28" formatCode="0">
                  <c:v>16.597142857142856</c:v>
                </c:pt>
                <c:pt idx="29" formatCode="0">
                  <c:v>10.392857142857142</c:v>
                </c:pt>
                <c:pt idx="30" formatCode="0">
                  <c:v>5.3642857142857139</c:v>
                </c:pt>
                <c:pt idx="31" formatCode="0">
                  <c:v>2.0671428571428572</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51.58</c:v>
                      </c:pt>
                      <c:pt idx="21">
                        <c:v>51.58</c:v>
                      </c:pt>
                      <c:pt idx="22">
                        <c:v>43.43</c:v>
                      </c:pt>
                      <c:pt idx="23">
                        <c:v>35.199999999999996</c:v>
                      </c:pt>
                      <c:pt idx="24">
                        <c:v>23.08</c:v>
                      </c:pt>
                      <c:pt idx="25">
                        <c:v>14.47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71</c:v>
                      </c:pt>
                      <c:pt idx="16">
                        <c:v>69</c:v>
                      </c:pt>
                      <c:pt idx="17">
                        <c:v>75</c:v>
                      </c:pt>
                      <c:pt idx="18">
                        <c:v>75</c:v>
                      </c:pt>
                      <c:pt idx="19">
                        <c:v>70</c:v>
                      </c:pt>
                      <c:pt idx="20">
                        <c:v>82</c:v>
                      </c:pt>
                      <c:pt idx="21">
                        <c:v>74</c:v>
                      </c:pt>
                      <c:pt idx="22">
                        <c:v>74</c:v>
                      </c:pt>
                      <c:pt idx="23">
                        <c:v>74</c:v>
                      </c:pt>
                      <c:pt idx="24">
                        <c:v>75</c:v>
                      </c:pt>
                      <c:pt idx="25">
                        <c:v>76</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4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4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4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4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4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4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4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4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4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4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4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4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4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4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4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4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4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4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4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4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4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4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4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4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4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4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4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4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4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4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4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3.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70" t="s">
        <v>1</v>
      </c>
      <c r="D1" s="871"/>
      <c r="E1" s="872"/>
      <c r="F1" s="3" t="s">
        <v>382</v>
      </c>
      <c r="G1" s="873" t="s">
        <v>453</v>
      </c>
      <c r="H1" s="873"/>
      <c r="I1" s="23" t="s">
        <v>2</v>
      </c>
      <c r="J1" s="873" t="s">
        <v>451</v>
      </c>
      <c r="K1" s="873"/>
      <c r="L1" s="874"/>
      <c r="M1" s="871"/>
      <c r="N1" s="872"/>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79" t="s">
        <v>5</v>
      </c>
      <c r="D2" s="875"/>
      <c r="E2" s="876"/>
      <c r="F2" s="7" t="s">
        <v>33</v>
      </c>
      <c r="G2" s="873" t="s">
        <v>452</v>
      </c>
      <c r="H2" s="873"/>
      <c r="I2" s="6"/>
      <c r="J2" s="4"/>
      <c r="L2" s="875"/>
      <c r="M2" s="875"/>
      <c r="N2" s="876"/>
      <c r="O2" s="16"/>
      <c r="P2" s="8"/>
      <c r="Q2" s="9"/>
      <c r="R2" s="4"/>
      <c r="S2" s="4"/>
      <c r="T2" s="4"/>
      <c r="U2" s="4"/>
      <c r="V2" s="4"/>
      <c r="W2" s="4"/>
      <c r="X2" s="4"/>
      <c r="Y2" s="4"/>
      <c r="Z2" s="4"/>
      <c r="AA2" s="4"/>
    </row>
    <row r="3" spans="1:27" ht="15.75" customHeight="1" x14ac:dyDescent="0.25">
      <c r="A3" s="10" t="s">
        <v>6</v>
      </c>
      <c r="B3" s="11">
        <v>45963</v>
      </c>
      <c r="C3" s="880" t="s">
        <v>7</v>
      </c>
      <c r="D3" s="877"/>
      <c r="E3" s="878"/>
      <c r="F3" s="7" t="s">
        <v>34</v>
      </c>
      <c r="G3" s="873" t="s">
        <v>449</v>
      </c>
      <c r="H3" s="873"/>
      <c r="I3" s="6"/>
      <c r="J3" s="4"/>
      <c r="L3" s="875"/>
      <c r="M3" s="875"/>
      <c r="N3" s="876"/>
      <c r="O3" s="16"/>
      <c r="P3" s="6"/>
      <c r="Q3" s="4"/>
      <c r="R3" s="4"/>
      <c r="S3" s="4"/>
      <c r="T3" s="4"/>
      <c r="U3" s="4"/>
      <c r="V3" s="4"/>
      <c r="W3" s="4"/>
      <c r="X3" s="4"/>
      <c r="Y3" s="4"/>
      <c r="Z3" s="4"/>
      <c r="AA3" s="4"/>
    </row>
    <row r="4" spans="1:27" ht="15.75" customHeight="1" x14ac:dyDescent="0.25">
      <c r="A4" s="16"/>
      <c r="B4" s="6"/>
      <c r="C4" s="6"/>
      <c r="D4" s="6"/>
      <c r="E4" s="4"/>
      <c r="F4" s="12" t="s">
        <v>383</v>
      </c>
      <c r="G4" s="882" t="s">
        <v>450</v>
      </c>
      <c r="H4" s="882"/>
      <c r="I4" s="13"/>
      <c r="J4" s="850"/>
      <c r="K4" s="851"/>
      <c r="L4" s="877"/>
      <c r="M4" s="877"/>
      <c r="N4" s="878"/>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83" t="s">
        <v>9</v>
      </c>
      <c r="F6" s="875"/>
      <c r="G6" s="875"/>
      <c r="H6" s="875"/>
      <c r="I6" s="875"/>
      <c r="J6" s="875"/>
      <c r="K6" s="875"/>
      <c r="L6" s="875"/>
      <c r="M6" s="875"/>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884"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884"/>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884"/>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884"/>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884"/>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884"/>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884"/>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85"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85"/>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85"/>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85"/>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85"/>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85"/>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85"/>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881"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881"/>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881"/>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881"/>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881"/>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881"/>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881"/>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85"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85"/>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85"/>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85"/>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85"/>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85"/>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85"/>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881"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881"/>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881"/>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881"/>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881"/>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881"/>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881"/>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85"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85"/>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85"/>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85"/>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85"/>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85"/>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85"/>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881"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881"/>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881"/>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881"/>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881"/>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881"/>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881"/>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85"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85"/>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85"/>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85"/>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85"/>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85"/>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85"/>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881"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881"/>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881"/>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881"/>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881"/>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881"/>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881"/>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85"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85"/>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85"/>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85"/>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85"/>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85"/>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85"/>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881"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881"/>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881"/>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881"/>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881"/>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881"/>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881"/>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85"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85"/>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85"/>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85"/>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85"/>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85"/>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85"/>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881"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881"/>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881"/>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881"/>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881"/>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881"/>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881"/>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85"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85"/>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85"/>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85"/>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85"/>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85"/>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85"/>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881"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881"/>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881"/>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881"/>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881"/>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881"/>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881"/>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85"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85"/>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85"/>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85"/>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85"/>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85"/>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85"/>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881"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881"/>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881"/>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881"/>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881"/>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881"/>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881"/>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85"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85"/>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85"/>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85"/>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85"/>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85"/>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85"/>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881"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881"/>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881"/>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881"/>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881"/>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881"/>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881"/>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881"/>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B999"/>
  <sheetViews>
    <sheetView tabSelected="1" zoomScale="90" zoomScaleNormal="90" workbookViewId="0">
      <pane ySplit="7" topLeftCell="A11" activePane="bottomLeft" state="frozen"/>
      <selection pane="bottomLeft" activeCell="G28" sqref="G28:G29"/>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8" ht="15.75" customHeight="1" x14ac:dyDescent="0.25">
      <c r="A1" s="1" t="s">
        <v>0</v>
      </c>
      <c r="B1" s="2">
        <v>0.10989583333333335</v>
      </c>
      <c r="C1" s="870" t="s">
        <v>1</v>
      </c>
      <c r="D1" s="871"/>
      <c r="E1" s="872"/>
      <c r="F1" s="3" t="s">
        <v>382</v>
      </c>
      <c r="G1" s="873" t="s">
        <v>460</v>
      </c>
      <c r="H1" s="873"/>
      <c r="I1" s="23" t="s">
        <v>2</v>
      </c>
      <c r="J1" s="873" t="s">
        <v>462</v>
      </c>
      <c r="K1" s="873"/>
      <c r="L1" s="886"/>
      <c r="M1" s="871"/>
      <c r="N1" s="872"/>
      <c r="O1" s="16"/>
      <c r="P1" s="6"/>
      <c r="Q1" s="4" t="s">
        <v>3</v>
      </c>
      <c r="R1" s="4">
        <f>FLOOR((HOUR(B1)*3600+MINUTE(B1)*60+SECOND(B1))/26.2,1)+ROUND((((HOUR(B1)*3600+MINUTE(B1)*60+SECOND(B1))/26.2)-(FLOOR((HOUR(B1)*3600+MINUTE(B1)*60+SECOND(B1))/26.2,1))),0)</f>
        <v>362</v>
      </c>
      <c r="S1" s="4"/>
      <c r="T1" s="4"/>
      <c r="U1" s="4"/>
      <c r="V1" s="4"/>
      <c r="W1" s="4"/>
      <c r="X1" s="4"/>
      <c r="Y1" s="4"/>
      <c r="Z1" s="4"/>
      <c r="AA1" s="4"/>
      <c r="AB1" s="4"/>
    </row>
    <row r="2" spans="1:28" ht="15.75" customHeight="1" x14ac:dyDescent="0.25">
      <c r="A2" s="5" t="s">
        <v>4</v>
      </c>
      <c r="B2" s="6" t="str">
        <f>CONCATENATE(FLOOR((HOUR(B1)*60+MINUTE(B1)+SECOND(B1)/60)/26.2,1),":",ROUND((((HOUR(B1)*60+MINUTE(B1)+SECOND(B1)/60)/26.2)-(FLOOR((HOUR(B1)*60+MINUTE(B1)+SECOND(B1)/60)/26.2,1)))*60,0))</f>
        <v>6:2</v>
      </c>
      <c r="C2" s="879" t="s">
        <v>5</v>
      </c>
      <c r="D2" s="875"/>
      <c r="E2" s="876"/>
      <c r="F2" s="7" t="s">
        <v>33</v>
      </c>
      <c r="G2" s="873" t="s">
        <v>457</v>
      </c>
      <c r="H2" s="873"/>
      <c r="I2" s="6"/>
      <c r="J2" s="4"/>
      <c r="L2" s="875"/>
      <c r="M2" s="875"/>
      <c r="N2" s="876"/>
      <c r="O2" s="16"/>
      <c r="P2" s="8"/>
      <c r="Q2" s="9"/>
      <c r="R2" s="4"/>
      <c r="S2" s="4"/>
      <c r="T2" s="4"/>
      <c r="U2" s="4"/>
      <c r="V2" s="4"/>
      <c r="W2" s="4"/>
      <c r="X2" s="4"/>
      <c r="Y2" s="4"/>
      <c r="Z2" s="4"/>
      <c r="AA2" s="4"/>
      <c r="AB2" s="4"/>
    </row>
    <row r="3" spans="1:28" ht="15.75" customHeight="1" x14ac:dyDescent="0.25">
      <c r="A3" s="10" t="s">
        <v>6</v>
      </c>
      <c r="B3" s="11">
        <v>45942</v>
      </c>
      <c r="C3" s="880" t="s">
        <v>7</v>
      </c>
      <c r="D3" s="877"/>
      <c r="E3" s="878"/>
      <c r="F3" s="7" t="s">
        <v>34</v>
      </c>
      <c r="G3" s="873" t="s">
        <v>458</v>
      </c>
      <c r="H3" s="873"/>
      <c r="I3" s="6"/>
      <c r="J3" s="4"/>
      <c r="L3" s="875"/>
      <c r="M3" s="875"/>
      <c r="N3" s="876"/>
      <c r="O3" s="16"/>
      <c r="P3" s="6"/>
      <c r="Q3" s="4"/>
      <c r="R3" s="4"/>
      <c r="S3" s="4"/>
      <c r="T3" s="4"/>
      <c r="U3" s="4"/>
      <c r="V3" s="4"/>
      <c r="W3" s="4"/>
      <c r="X3" s="4"/>
      <c r="Y3" s="4"/>
      <c r="Z3" s="4"/>
      <c r="AA3" s="4"/>
      <c r="AB3" s="4"/>
    </row>
    <row r="4" spans="1:28" ht="15.75" customHeight="1" x14ac:dyDescent="0.25">
      <c r="A4" s="16"/>
      <c r="B4" s="6"/>
      <c r="C4" s="6"/>
      <c r="D4" s="6"/>
      <c r="E4" s="4"/>
      <c r="F4" s="12" t="s">
        <v>383</v>
      </c>
      <c r="G4" s="882" t="s">
        <v>461</v>
      </c>
      <c r="H4" s="882"/>
      <c r="I4" s="13"/>
      <c r="J4" s="850"/>
      <c r="K4" s="851"/>
      <c r="L4" s="877"/>
      <c r="M4" s="877"/>
      <c r="N4" s="878"/>
      <c r="O4" s="16"/>
      <c r="P4" s="6"/>
      <c r="Q4" s="4"/>
      <c r="R4" s="4"/>
      <c r="S4" s="4"/>
      <c r="T4" s="4"/>
      <c r="U4" s="4"/>
      <c r="V4" s="4"/>
      <c r="W4" s="4"/>
      <c r="X4" s="4"/>
      <c r="Y4" s="4"/>
      <c r="Z4" s="4"/>
      <c r="AA4" s="4"/>
      <c r="AB4" s="4"/>
    </row>
    <row r="5" spans="1:28"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4"/>
      <c r="AA5" s="4"/>
      <c r="AB5" s="4"/>
    </row>
    <row r="6" spans="1:28" ht="15.75" customHeight="1" x14ac:dyDescent="0.25">
      <c r="A6" s="16"/>
      <c r="B6" s="6"/>
      <c r="C6" s="6"/>
      <c r="D6" s="6"/>
      <c r="E6" s="883" t="s">
        <v>9</v>
      </c>
      <c r="F6" s="875"/>
      <c r="G6" s="875"/>
      <c r="H6" s="875"/>
      <c r="I6" s="875"/>
      <c r="J6" s="875"/>
      <c r="K6" s="875"/>
      <c r="L6" s="875"/>
      <c r="M6" s="875"/>
      <c r="N6" s="6"/>
      <c r="O6" s="16"/>
      <c r="P6" s="6"/>
      <c r="Q6" s="4"/>
      <c r="R6" s="4"/>
      <c r="S6" s="4"/>
      <c r="T6" s="4"/>
      <c r="U6" s="4"/>
      <c r="V6" s="4"/>
      <c r="W6" s="4"/>
      <c r="X6" s="4"/>
      <c r="Y6" s="4"/>
      <c r="Z6" s="4"/>
      <c r="AA6" s="4"/>
      <c r="AB6" s="4"/>
    </row>
    <row r="7" spans="1:28"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c r="AA7" s="16"/>
      <c r="AB7" s="16"/>
    </row>
    <row r="8" spans="1:28"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4"/>
      <c r="AA8" s="4"/>
      <c r="AB8" s="4"/>
    </row>
    <row r="9" spans="1:28" ht="15.75" customHeight="1" x14ac:dyDescent="0.25">
      <c r="A9" s="887"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4"/>
      <c r="AA9" s="4"/>
      <c r="AB9" s="4"/>
    </row>
    <row r="10" spans="1:28" ht="15.75" customHeight="1" x14ac:dyDescent="0.25">
      <c r="A10" s="887"/>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4"/>
      <c r="AA10" s="4"/>
      <c r="AB10" s="4"/>
    </row>
    <row r="11" spans="1:28" ht="15.75" customHeight="1" x14ac:dyDescent="0.25">
      <c r="A11" s="887"/>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4"/>
      <c r="AA11" s="4"/>
      <c r="AB11" s="4"/>
    </row>
    <row r="12" spans="1:28" ht="15.75" customHeight="1" x14ac:dyDescent="0.25">
      <c r="A12" s="887"/>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4"/>
      <c r="AA12" s="4"/>
      <c r="AB12" s="4"/>
    </row>
    <row r="13" spans="1:28" ht="15.75" customHeight="1" x14ac:dyDescent="0.25">
      <c r="A13" s="887"/>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4"/>
      <c r="AA13" s="4"/>
      <c r="AB13" s="4"/>
    </row>
    <row r="14" spans="1:28" ht="15.75" customHeight="1" x14ac:dyDescent="0.25">
      <c r="A14" s="887"/>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3">SUM(G8:G14)</f>
        <v>55.18</v>
      </c>
      <c r="U14" s="868">
        <f>SUM(T8:T14)/7</f>
        <v>33.064285714285717</v>
      </c>
      <c r="V14" s="4">
        <v>70</v>
      </c>
      <c r="W14" s="4"/>
      <c r="Y14" s="4"/>
      <c r="Z14" s="4"/>
      <c r="AA14" s="4"/>
      <c r="AB14" s="4"/>
    </row>
    <row r="15" spans="1:28" ht="15.75" customHeight="1" x14ac:dyDescent="0.25">
      <c r="A15" s="887"/>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3"/>
        <v>58.79</v>
      </c>
      <c r="U15" s="868">
        <f>SUM(T9:T15)/7</f>
        <v>39.687142857142867</v>
      </c>
      <c r="V15" s="4">
        <v>70</v>
      </c>
      <c r="W15" s="4">
        <f>SUM(F9:F15)</f>
        <v>63</v>
      </c>
      <c r="X15" s="868">
        <f>SUM(W9:W15)/7</f>
        <v>9</v>
      </c>
      <c r="Y15" s="4"/>
      <c r="Z15" s="4"/>
      <c r="AA15" s="4"/>
      <c r="AB15" s="4"/>
    </row>
    <row r="16" spans="1:28" ht="15.75" customHeight="1" x14ac:dyDescent="0.25">
      <c r="A16" s="885"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3"/>
        <v>61.699999999999996</v>
      </c>
      <c r="U16" s="868">
        <f t="shared" ref="U16:U79" si="4">SUM(T10:T16)/7</f>
        <v>46.280000000000008</v>
      </c>
      <c r="V16" s="4">
        <v>70</v>
      </c>
      <c r="W16" s="4">
        <f t="shared" ref="W16:W79" si="5">SUM(F10:F16)</f>
        <v>65</v>
      </c>
      <c r="X16" s="868">
        <f t="shared" ref="X16:X79" si="6">SUM(W10:W16)/7</f>
        <v>18.285714285714285</v>
      </c>
      <c r="Y16" s="4"/>
      <c r="Z16" s="4"/>
      <c r="AA16" s="4"/>
      <c r="AB16" s="4"/>
    </row>
    <row r="17" spans="1:28" ht="15.75" customHeight="1" x14ac:dyDescent="0.25">
      <c r="A17" s="885"/>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3"/>
        <v>62.92</v>
      </c>
      <c r="U17" s="868">
        <f t="shared" si="4"/>
        <v>52.18571428571429</v>
      </c>
      <c r="V17" s="4">
        <v>70</v>
      </c>
      <c r="W17" s="4">
        <f t="shared" si="5"/>
        <v>64</v>
      </c>
      <c r="X17" s="868">
        <f t="shared" si="6"/>
        <v>27.428571428571427</v>
      </c>
      <c r="Y17" s="4"/>
      <c r="Z17" s="4"/>
      <c r="AA17" s="4"/>
      <c r="AB17" s="4"/>
    </row>
    <row r="18" spans="1:28" ht="15.75" customHeight="1" x14ac:dyDescent="0.25">
      <c r="A18" s="885"/>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3"/>
        <v>61.11</v>
      </c>
      <c r="U18" s="868">
        <f t="shared" si="4"/>
        <v>55.998571428571431</v>
      </c>
      <c r="V18" s="4">
        <v>70</v>
      </c>
      <c r="W18" s="4">
        <f t="shared" si="5"/>
        <v>64</v>
      </c>
      <c r="X18" s="868">
        <f t="shared" si="6"/>
        <v>36.571428571428569</v>
      </c>
      <c r="Y18" s="4"/>
      <c r="Z18" s="4"/>
      <c r="AA18" s="4"/>
      <c r="AB18" s="4"/>
    </row>
    <row r="19" spans="1:28" ht="15.75" customHeight="1" x14ac:dyDescent="0.25">
      <c r="A19" s="885"/>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3"/>
        <v>57.76</v>
      </c>
      <c r="U19" s="868">
        <f t="shared" si="4"/>
        <v>58.089999999999996</v>
      </c>
      <c r="V19" s="4">
        <v>70</v>
      </c>
      <c r="W19" s="4">
        <f t="shared" si="5"/>
        <v>63</v>
      </c>
      <c r="X19" s="868">
        <f t="shared" si="6"/>
        <v>45.571428571428569</v>
      </c>
      <c r="Y19" s="4"/>
      <c r="Z19" s="4"/>
      <c r="AA19" s="4"/>
      <c r="AB19" s="4"/>
    </row>
    <row r="20" spans="1:28" ht="15.75" customHeight="1" x14ac:dyDescent="0.25">
      <c r="A20" s="885"/>
      <c r="B20" s="6">
        <v>115</v>
      </c>
      <c r="C20" s="17">
        <f t="shared" si="0"/>
        <v>45827</v>
      </c>
      <c r="D20" s="6" t="s">
        <v>27</v>
      </c>
      <c r="E20" s="4" t="s">
        <v>385</v>
      </c>
      <c r="F20" s="6">
        <v>8</v>
      </c>
      <c r="G20" s="869">
        <v>11.15</v>
      </c>
      <c r="H20" s="29">
        <v>6.475694444444445E-2</v>
      </c>
      <c r="I20" s="6" t="str">
        <f t="shared" si="1"/>
        <v>8:22</v>
      </c>
      <c r="J20" s="6"/>
      <c r="K20" s="6"/>
      <c r="L20" s="6" t="str">
        <f t="shared" si="2"/>
        <v>0:00</v>
      </c>
      <c r="M20" s="6"/>
      <c r="N20" s="28"/>
      <c r="O20" s="16"/>
      <c r="P20" s="861">
        <f>N21+P13</f>
        <v>0.57994212962962965</v>
      </c>
      <c r="Q20" s="865"/>
      <c r="R20" s="4"/>
      <c r="S20" s="4"/>
      <c r="T20" s="16">
        <f t="shared" si="3"/>
        <v>62.86</v>
      </c>
      <c r="U20" s="868">
        <f t="shared" si="4"/>
        <v>60.045714285714283</v>
      </c>
      <c r="V20" s="4">
        <v>70</v>
      </c>
      <c r="W20" s="4">
        <f t="shared" si="5"/>
        <v>65</v>
      </c>
      <c r="X20" s="868">
        <f t="shared" si="6"/>
        <v>54.857142857142854</v>
      </c>
      <c r="Y20" s="4"/>
      <c r="Z20" s="4"/>
      <c r="AA20" s="4"/>
      <c r="AB20" s="4"/>
    </row>
    <row r="21" spans="1:28" ht="15.75" customHeight="1" x14ac:dyDescent="0.25">
      <c r="A21" s="885"/>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3"/>
        <v>56.85</v>
      </c>
      <c r="U21" s="868">
        <f t="shared" si="4"/>
        <v>60.284285714285716</v>
      </c>
      <c r="V21" s="4">
        <v>70</v>
      </c>
      <c r="W21" s="4">
        <f t="shared" si="5"/>
        <v>78</v>
      </c>
      <c r="X21" s="868">
        <f t="shared" si="6"/>
        <v>66</v>
      </c>
      <c r="Y21" s="4"/>
      <c r="Z21" s="4"/>
      <c r="AA21" s="4"/>
      <c r="AB21" s="4"/>
    </row>
    <row r="22" spans="1:28" ht="15.75" customHeight="1" x14ac:dyDescent="0.25">
      <c r="A22" s="885"/>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3"/>
        <v>40.81</v>
      </c>
      <c r="U22" s="868">
        <f t="shared" si="4"/>
        <v>57.715714285714292</v>
      </c>
      <c r="V22" s="4">
        <v>70</v>
      </c>
      <c r="W22" s="4">
        <f t="shared" si="5"/>
        <v>70</v>
      </c>
      <c r="X22" s="868">
        <f t="shared" si="6"/>
        <v>67</v>
      </c>
      <c r="Y22" s="4"/>
      <c r="Z22" s="4"/>
      <c r="AA22" s="4"/>
      <c r="AB22" s="4"/>
    </row>
    <row r="23" spans="1:28" ht="15.75" customHeight="1" x14ac:dyDescent="0.25">
      <c r="A23" s="887"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3"/>
        <v>42.93</v>
      </c>
      <c r="U23" s="868">
        <f t="shared" si="4"/>
        <v>55.034285714285716</v>
      </c>
      <c r="V23" s="4">
        <v>70</v>
      </c>
      <c r="W23" s="4">
        <f t="shared" si="5"/>
        <v>72</v>
      </c>
      <c r="X23" s="868">
        <f t="shared" si="6"/>
        <v>68</v>
      </c>
      <c r="Y23" s="4"/>
      <c r="Z23" s="4"/>
      <c r="AA23" s="4"/>
      <c r="AB23" s="4"/>
    </row>
    <row r="24" spans="1:28" ht="15.75" customHeight="1" x14ac:dyDescent="0.25">
      <c r="A24" s="887"/>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3"/>
        <v>43.91</v>
      </c>
      <c r="U24" s="868">
        <f t="shared" si="4"/>
        <v>52.318571428571431</v>
      </c>
      <c r="V24" s="4">
        <v>70</v>
      </c>
      <c r="W24" s="4">
        <f t="shared" si="5"/>
        <v>74</v>
      </c>
      <c r="X24" s="868">
        <f t="shared" si="6"/>
        <v>69.428571428571431</v>
      </c>
      <c r="Y24" s="4"/>
      <c r="Z24" s="4"/>
      <c r="AA24" s="4"/>
      <c r="AB24" s="4"/>
    </row>
    <row r="25" spans="1:28" ht="15.75" customHeight="1" x14ac:dyDescent="0.25">
      <c r="A25" s="887"/>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3"/>
        <v>44.999999999999993</v>
      </c>
      <c r="U25" s="868">
        <f t="shared" si="4"/>
        <v>50.017142857142858</v>
      </c>
      <c r="V25" s="4">
        <v>70</v>
      </c>
      <c r="W25" s="4">
        <f t="shared" si="5"/>
        <v>69</v>
      </c>
      <c r="X25" s="868">
        <f t="shared" si="6"/>
        <v>70.142857142857139</v>
      </c>
      <c r="Y25" s="4"/>
      <c r="Z25" s="4"/>
      <c r="AA25" s="4"/>
      <c r="AB25" s="4"/>
    </row>
    <row r="26" spans="1:28" ht="15.75" customHeight="1" x14ac:dyDescent="0.25">
      <c r="A26" s="887"/>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3"/>
        <v>48.26</v>
      </c>
      <c r="U26" s="868">
        <f t="shared" si="4"/>
        <v>48.660000000000004</v>
      </c>
      <c r="V26" s="4">
        <v>70</v>
      </c>
      <c r="W26" s="4">
        <f t="shared" si="5"/>
        <v>69</v>
      </c>
      <c r="X26" s="868">
        <f t="shared" si="6"/>
        <v>71</v>
      </c>
      <c r="Y26" s="4"/>
      <c r="Z26" s="4"/>
      <c r="AA26" s="4"/>
      <c r="AB26" s="4"/>
    </row>
    <row r="27" spans="1:28" ht="15.75" customHeight="1" x14ac:dyDescent="0.25">
      <c r="A27" s="887"/>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0.83822916666666669</v>
      </c>
      <c r="Q27" s="865"/>
      <c r="R27" s="4"/>
      <c r="S27" s="4"/>
      <c r="T27" s="16">
        <f t="shared" si="3"/>
        <v>51.58</v>
      </c>
      <c r="U27" s="868">
        <f t="shared" si="4"/>
        <v>47.048571428571428</v>
      </c>
      <c r="V27" s="4">
        <v>70</v>
      </c>
      <c r="W27" s="4">
        <f t="shared" si="5"/>
        <v>76</v>
      </c>
      <c r="X27" s="868">
        <f t="shared" si="6"/>
        <v>72.571428571428569</v>
      </c>
      <c r="Y27" s="4"/>
      <c r="Z27" s="4"/>
      <c r="AA27" s="4"/>
      <c r="AB27" s="4"/>
    </row>
    <row r="28" spans="1:28" ht="15.75" customHeight="1" x14ac:dyDescent="0.25">
      <c r="A28" s="887"/>
      <c r="B28" s="854">
        <v>107</v>
      </c>
      <c r="C28" s="855">
        <f t="shared" si="0"/>
        <v>45835</v>
      </c>
      <c r="D28" s="854" t="s">
        <v>28</v>
      </c>
      <c r="E28" s="856" t="s">
        <v>379</v>
      </c>
      <c r="F28" s="854">
        <v>6</v>
      </c>
      <c r="G28" s="854"/>
      <c r="H28" s="857"/>
      <c r="I28" s="854" t="str">
        <f t="shared" si="1"/>
        <v>0:00</v>
      </c>
      <c r="J28" s="854"/>
      <c r="K28" s="854"/>
      <c r="L28" s="854" t="str">
        <f t="shared" si="2"/>
        <v>0:00</v>
      </c>
      <c r="M28" s="854"/>
      <c r="N28" s="859">
        <f>SUM(H23:H29)</f>
        <v>0.25828703703703704</v>
      </c>
      <c r="O28" s="858"/>
      <c r="P28" s="863">
        <f>N29+P21</f>
        <v>151.18</v>
      </c>
      <c r="Q28" s="866"/>
      <c r="R28" s="4"/>
      <c r="S28" s="16"/>
      <c r="T28" s="16">
        <f t="shared" si="3"/>
        <v>51.58</v>
      </c>
      <c r="U28" s="868">
        <f t="shared" si="4"/>
        <v>46.295714285714283</v>
      </c>
      <c r="V28" s="4">
        <v>70</v>
      </c>
      <c r="W28" s="4">
        <f t="shared" si="5"/>
        <v>63</v>
      </c>
      <c r="X28" s="868">
        <f t="shared" si="6"/>
        <v>70.428571428571431</v>
      </c>
      <c r="Y28" s="4"/>
      <c r="Z28" s="4"/>
      <c r="AA28" s="4"/>
      <c r="AB28" s="4"/>
    </row>
    <row r="29" spans="1:28" ht="15.75" customHeight="1" x14ac:dyDescent="0.25">
      <c r="A29" s="887"/>
      <c r="B29" s="854">
        <v>106</v>
      </c>
      <c r="C29" s="855">
        <f t="shared" si="0"/>
        <v>45836</v>
      </c>
      <c r="D29" s="854" t="s">
        <v>30</v>
      </c>
      <c r="E29" s="856" t="s">
        <v>393</v>
      </c>
      <c r="F29" s="854">
        <v>18</v>
      </c>
      <c r="G29" s="854"/>
      <c r="H29" s="857"/>
      <c r="I29" s="854" t="str">
        <f t="shared" si="1"/>
        <v>0:00</v>
      </c>
      <c r="J29" s="854"/>
      <c r="K29" s="854"/>
      <c r="L29" s="854" t="str">
        <f t="shared" si="2"/>
        <v>0:00</v>
      </c>
      <c r="M29" s="856">
        <f>SUM(F23:F29)</f>
        <v>73</v>
      </c>
      <c r="N29" s="854">
        <f>SUM(G23:G29)</f>
        <v>51.58</v>
      </c>
      <c r="O29" s="858"/>
      <c r="P29" s="863">
        <f>M29+P22</f>
        <v>206</v>
      </c>
      <c r="Q29" s="862">
        <f>P28/P29</f>
        <v>0.73388349514563112</v>
      </c>
      <c r="R29" s="4"/>
      <c r="T29" s="16">
        <f t="shared" si="3"/>
        <v>51.58</v>
      </c>
      <c r="U29" s="868">
        <f t="shared" si="4"/>
        <v>47.834285714285713</v>
      </c>
      <c r="V29" s="4">
        <v>70</v>
      </c>
      <c r="W29" s="4">
        <f t="shared" si="5"/>
        <v>73</v>
      </c>
      <c r="X29" s="868">
        <f t="shared" si="6"/>
        <v>70.857142857142861</v>
      </c>
      <c r="Y29" s="4"/>
      <c r="Z29" s="4"/>
      <c r="AA29" s="4"/>
      <c r="AB29" s="4"/>
    </row>
    <row r="30" spans="1:28" ht="15.75" customHeight="1" x14ac:dyDescent="0.25">
      <c r="A30" s="885" t="s">
        <v>36</v>
      </c>
      <c r="B30" s="6">
        <v>105</v>
      </c>
      <c r="C30" s="17">
        <f t="shared" si="0"/>
        <v>45837</v>
      </c>
      <c r="D30" s="6" t="s">
        <v>31</v>
      </c>
      <c r="E30" s="4" t="s">
        <v>385</v>
      </c>
      <c r="F30" s="6">
        <v>8</v>
      </c>
      <c r="G30" s="6"/>
      <c r="H30" s="29"/>
      <c r="I30" s="6" t="str">
        <f t="shared" si="1"/>
        <v>0:00</v>
      </c>
      <c r="J30" s="6"/>
      <c r="K30" s="6"/>
      <c r="L30" s="6" t="str">
        <f t="shared" si="2"/>
        <v>0:00</v>
      </c>
      <c r="M30" s="4"/>
      <c r="N30" s="4"/>
      <c r="O30" s="16"/>
      <c r="P30" s="863"/>
      <c r="Q30" s="862"/>
      <c r="R30" s="4"/>
      <c r="T30" s="16">
        <f t="shared" si="3"/>
        <v>43.43</v>
      </c>
      <c r="U30" s="868">
        <f t="shared" si="4"/>
        <v>47.905714285714282</v>
      </c>
      <c r="V30" s="4">
        <v>70</v>
      </c>
      <c r="W30" s="4">
        <f t="shared" si="5"/>
        <v>71</v>
      </c>
      <c r="X30" s="868">
        <f t="shared" si="6"/>
        <v>70.714285714285708</v>
      </c>
      <c r="Y30" s="4"/>
      <c r="Z30" s="4"/>
      <c r="AA30" s="4"/>
      <c r="AB30" s="4"/>
    </row>
    <row r="31" spans="1:28" ht="15.75" customHeight="1" x14ac:dyDescent="0.25">
      <c r="A31" s="885"/>
      <c r="B31" s="6">
        <v>104</v>
      </c>
      <c r="C31" s="17">
        <f t="shared" si="0"/>
        <v>45838</v>
      </c>
      <c r="D31" s="6" t="s">
        <v>33</v>
      </c>
      <c r="E31" s="4" t="s">
        <v>381</v>
      </c>
      <c r="F31" s="6">
        <v>6</v>
      </c>
      <c r="G31" s="6"/>
      <c r="H31" s="29"/>
      <c r="I31" s="6" t="str">
        <f t="shared" si="1"/>
        <v>0:00</v>
      </c>
      <c r="J31" s="6"/>
      <c r="K31" s="6"/>
      <c r="L31" s="6" t="str">
        <f t="shared" si="2"/>
        <v>0:00</v>
      </c>
      <c r="M31" s="6"/>
      <c r="N31" s="6"/>
      <c r="O31" s="16"/>
      <c r="P31" s="863"/>
      <c r="Q31" s="864"/>
      <c r="R31" s="4"/>
      <c r="T31" s="16">
        <f t="shared" si="3"/>
        <v>35.199999999999996</v>
      </c>
      <c r="U31" s="868">
        <f t="shared" si="4"/>
        <v>46.661428571428566</v>
      </c>
      <c r="V31" s="4">
        <v>70</v>
      </c>
      <c r="W31" s="4">
        <f t="shared" si="5"/>
        <v>69</v>
      </c>
      <c r="X31" s="868">
        <f t="shared" si="6"/>
        <v>70</v>
      </c>
      <c r="Y31" s="4"/>
      <c r="Z31" s="4"/>
      <c r="AA31" s="4"/>
      <c r="AB31" s="4"/>
    </row>
    <row r="32" spans="1:28" ht="15.75" customHeight="1" x14ac:dyDescent="0.25">
      <c r="A32" s="885"/>
      <c r="B32" s="6">
        <v>103</v>
      </c>
      <c r="C32" s="17">
        <f t="shared" si="0"/>
        <v>45839</v>
      </c>
      <c r="D32" s="6" t="s">
        <v>34</v>
      </c>
      <c r="E32" s="4" t="s">
        <v>399</v>
      </c>
      <c r="F32" s="6">
        <v>16</v>
      </c>
      <c r="G32" s="6"/>
      <c r="H32" s="29"/>
      <c r="I32" s="6" t="str">
        <f t="shared" si="1"/>
        <v>0:00</v>
      </c>
      <c r="J32" s="6"/>
      <c r="K32" s="6"/>
      <c r="L32" s="6" t="str">
        <f t="shared" si="2"/>
        <v>0:00</v>
      </c>
      <c r="M32" s="6"/>
      <c r="N32" s="6"/>
      <c r="O32" s="16"/>
      <c r="P32" s="863"/>
      <c r="Q32" s="864"/>
      <c r="R32" s="4"/>
      <c r="T32" s="16">
        <f t="shared" si="3"/>
        <v>23.08</v>
      </c>
      <c r="U32" s="868">
        <f t="shared" si="4"/>
        <v>43.529999999999994</v>
      </c>
      <c r="V32" s="4">
        <v>70</v>
      </c>
      <c r="W32" s="4">
        <f t="shared" si="5"/>
        <v>75</v>
      </c>
      <c r="X32" s="868">
        <f t="shared" si="6"/>
        <v>70.857142857142861</v>
      </c>
      <c r="Y32" s="4"/>
      <c r="Z32" s="4"/>
      <c r="AA32" s="4"/>
      <c r="AB32" s="4"/>
    </row>
    <row r="33" spans="1:28" ht="15.75" customHeight="1" x14ac:dyDescent="0.25">
      <c r="A33" s="885"/>
      <c r="B33" s="6">
        <v>102</v>
      </c>
      <c r="C33" s="17">
        <f t="shared" si="0"/>
        <v>45840</v>
      </c>
      <c r="D33" s="6" t="s">
        <v>26</v>
      </c>
      <c r="E33" s="4" t="s">
        <v>381</v>
      </c>
      <c r="F33" s="6">
        <v>6</v>
      </c>
      <c r="G33" s="6"/>
      <c r="H33" s="29"/>
      <c r="I33" s="6" t="str">
        <f t="shared" si="1"/>
        <v>0:00</v>
      </c>
      <c r="J33" s="6"/>
      <c r="K33" s="6"/>
      <c r="L33" s="6" t="str">
        <f t="shared" si="2"/>
        <v>0:00</v>
      </c>
      <c r="M33" s="6"/>
      <c r="N33" s="6"/>
      <c r="O33" s="16"/>
      <c r="P33" s="863"/>
      <c r="Q33" s="865"/>
      <c r="R33" s="4"/>
      <c r="T33" s="16">
        <f t="shared" si="3"/>
        <v>14.47</v>
      </c>
      <c r="U33" s="868">
        <f t="shared" si="4"/>
        <v>38.702857142857148</v>
      </c>
      <c r="V33" s="4">
        <v>70</v>
      </c>
      <c r="W33" s="4">
        <f t="shared" si="5"/>
        <v>75</v>
      </c>
      <c r="X33" s="868">
        <f t="shared" si="6"/>
        <v>71.714285714285708</v>
      </c>
      <c r="Y33" s="4"/>
      <c r="Z33" s="4"/>
      <c r="AA33" s="4"/>
      <c r="AB33" s="4"/>
    </row>
    <row r="34" spans="1:28" ht="15.75" customHeight="1" x14ac:dyDescent="0.25">
      <c r="A34" s="885"/>
      <c r="B34" s="6">
        <v>101</v>
      </c>
      <c r="C34" s="17">
        <f t="shared" si="0"/>
        <v>45841</v>
      </c>
      <c r="D34" s="6" t="s">
        <v>27</v>
      </c>
      <c r="E34" s="4" t="s">
        <v>437</v>
      </c>
      <c r="F34" s="6">
        <v>10</v>
      </c>
      <c r="G34" s="6"/>
      <c r="H34" s="29"/>
      <c r="I34" s="6" t="str">
        <f t="shared" si="1"/>
        <v>0:00</v>
      </c>
      <c r="J34" s="6"/>
      <c r="K34" s="6"/>
      <c r="L34" s="6" t="str">
        <f t="shared" si="2"/>
        <v>0:00</v>
      </c>
      <c r="M34" s="6"/>
      <c r="N34" s="28"/>
      <c r="O34" s="16"/>
      <c r="P34" s="861">
        <f>N35+P27</f>
        <v>0.83822916666666669</v>
      </c>
      <c r="Q34" s="865"/>
      <c r="R34" s="4"/>
      <c r="T34" s="16">
        <f t="shared" si="3"/>
        <v>0</v>
      </c>
      <c r="U34" s="868">
        <f t="shared" si="4"/>
        <v>31.334285714285716</v>
      </c>
      <c r="V34" s="4">
        <v>70</v>
      </c>
      <c r="W34" s="4">
        <f t="shared" si="5"/>
        <v>70</v>
      </c>
      <c r="X34" s="868">
        <f t="shared" si="6"/>
        <v>70.857142857142861</v>
      </c>
      <c r="Y34" s="4"/>
      <c r="Z34" s="4"/>
      <c r="AA34" s="4"/>
      <c r="AB34" s="4"/>
    </row>
    <row r="35" spans="1:28" ht="15.75" customHeight="1" x14ac:dyDescent="0.25">
      <c r="A35" s="885"/>
      <c r="B35" s="6">
        <v>100</v>
      </c>
      <c r="C35" s="17">
        <f t="shared" si="0"/>
        <v>45842</v>
      </c>
      <c r="D35" s="6" t="s">
        <v>28</v>
      </c>
      <c r="E35" s="4" t="s">
        <v>395</v>
      </c>
      <c r="F35" s="6">
        <v>18</v>
      </c>
      <c r="G35" s="6"/>
      <c r="H35" s="29"/>
      <c r="I35" s="6" t="str">
        <f t="shared" si="1"/>
        <v>0:00</v>
      </c>
      <c r="J35" s="6"/>
      <c r="K35" s="6"/>
      <c r="L35" s="6" t="str">
        <f t="shared" si="2"/>
        <v>0:00</v>
      </c>
      <c r="M35" s="6"/>
      <c r="N35" s="28">
        <f>SUM(H30:H36)</f>
        <v>0</v>
      </c>
      <c r="O35" s="16"/>
      <c r="P35" s="863">
        <f>N36+P28</f>
        <v>151.18</v>
      </c>
      <c r="Q35" s="866"/>
      <c r="R35" s="4"/>
      <c r="T35" s="16">
        <f t="shared" si="3"/>
        <v>0</v>
      </c>
      <c r="U35" s="868">
        <f t="shared" si="4"/>
        <v>23.965714285714281</v>
      </c>
      <c r="V35" s="4">
        <v>70</v>
      </c>
      <c r="W35" s="4">
        <f t="shared" si="5"/>
        <v>82</v>
      </c>
      <c r="X35" s="868">
        <f t="shared" si="6"/>
        <v>73.571428571428569</v>
      </c>
      <c r="Y35" s="4"/>
      <c r="Z35" s="4"/>
      <c r="AA35" s="4"/>
      <c r="AB35" s="4"/>
    </row>
    <row r="36" spans="1:28" ht="15.75" customHeight="1" x14ac:dyDescent="0.25">
      <c r="A36" s="885"/>
      <c r="B36" s="6">
        <v>99</v>
      </c>
      <c r="C36" s="17">
        <f t="shared" si="0"/>
        <v>45843</v>
      </c>
      <c r="D36" s="6" t="s">
        <v>30</v>
      </c>
      <c r="E36" s="4" t="s">
        <v>437</v>
      </c>
      <c r="F36" s="6">
        <v>10</v>
      </c>
      <c r="G36" s="6"/>
      <c r="H36" s="29"/>
      <c r="I36" s="6" t="str">
        <f t="shared" si="1"/>
        <v>0:00</v>
      </c>
      <c r="J36" s="6"/>
      <c r="K36" s="6"/>
      <c r="L36" s="6" t="str">
        <f t="shared" si="2"/>
        <v>0:00</v>
      </c>
      <c r="M36" s="4">
        <f>SUM(F30:F36)</f>
        <v>74</v>
      </c>
      <c r="N36" s="6">
        <f>SUM(G30:G36)</f>
        <v>0</v>
      </c>
      <c r="O36" s="16"/>
      <c r="P36" s="863">
        <f>M36+P29</f>
        <v>280</v>
      </c>
      <c r="Q36" s="862">
        <f>P35/P36</f>
        <v>0.53992857142857142</v>
      </c>
      <c r="R36" s="4"/>
      <c r="T36" s="16">
        <f t="shared" si="3"/>
        <v>0</v>
      </c>
      <c r="U36" s="868">
        <f t="shared" si="4"/>
        <v>16.597142857142856</v>
      </c>
      <c r="V36" s="4">
        <v>70</v>
      </c>
      <c r="W36" s="4">
        <f t="shared" si="5"/>
        <v>74</v>
      </c>
      <c r="X36" s="868">
        <f t="shared" si="6"/>
        <v>73.714285714285708</v>
      </c>
      <c r="Y36" s="4"/>
      <c r="Z36" s="4"/>
      <c r="AA36" s="4"/>
      <c r="AB36" s="4"/>
    </row>
    <row r="37" spans="1:28" ht="15.75" customHeight="1" x14ac:dyDescent="0.25">
      <c r="A37" s="887" t="s">
        <v>37</v>
      </c>
      <c r="B37" s="854">
        <v>98</v>
      </c>
      <c r="C37" s="855">
        <f t="shared" si="0"/>
        <v>45844</v>
      </c>
      <c r="D37" s="854" t="s">
        <v>31</v>
      </c>
      <c r="E37" s="856" t="s">
        <v>385</v>
      </c>
      <c r="F37" s="854">
        <v>8</v>
      </c>
      <c r="G37" s="854"/>
      <c r="H37" s="857"/>
      <c r="I37" s="854" t="str">
        <f t="shared" si="1"/>
        <v>0:00</v>
      </c>
      <c r="J37" s="854"/>
      <c r="K37" s="854"/>
      <c r="L37" s="854" t="str">
        <f t="shared" si="2"/>
        <v>0:00</v>
      </c>
      <c r="M37" s="856"/>
      <c r="N37" s="856"/>
      <c r="O37" s="858"/>
      <c r="P37" s="863"/>
      <c r="Q37" s="862"/>
      <c r="R37" s="4"/>
      <c r="T37" s="16">
        <f t="shared" si="3"/>
        <v>0</v>
      </c>
      <c r="U37" s="868">
        <f t="shared" si="4"/>
        <v>10.392857142857142</v>
      </c>
      <c r="V37" s="4">
        <v>70</v>
      </c>
      <c r="W37" s="4">
        <f t="shared" si="5"/>
        <v>74</v>
      </c>
      <c r="X37" s="868">
        <f t="shared" si="6"/>
        <v>74.142857142857139</v>
      </c>
      <c r="Y37" s="4"/>
      <c r="Z37" s="4"/>
      <c r="AA37" s="4"/>
      <c r="AB37" s="4"/>
    </row>
    <row r="38" spans="1:28" ht="15.75" customHeight="1" x14ac:dyDescent="0.25">
      <c r="A38" s="887"/>
      <c r="B38" s="854">
        <v>97</v>
      </c>
      <c r="C38" s="855">
        <f t="shared" si="0"/>
        <v>45845</v>
      </c>
      <c r="D38" s="854" t="s">
        <v>33</v>
      </c>
      <c r="E38" s="856" t="s">
        <v>381</v>
      </c>
      <c r="F38" s="854">
        <v>6</v>
      </c>
      <c r="G38" s="854"/>
      <c r="H38" s="857"/>
      <c r="I38" s="854" t="str">
        <f t="shared" si="1"/>
        <v>0:00</v>
      </c>
      <c r="J38" s="854"/>
      <c r="K38" s="854"/>
      <c r="L38" s="854" t="str">
        <f t="shared" si="2"/>
        <v>0:00</v>
      </c>
      <c r="M38" s="854"/>
      <c r="N38" s="854"/>
      <c r="O38" s="858"/>
      <c r="P38" s="863"/>
      <c r="Q38" s="864"/>
      <c r="R38" s="4"/>
      <c r="T38" s="16">
        <f t="shared" si="3"/>
        <v>0</v>
      </c>
      <c r="U38" s="868">
        <f t="shared" si="4"/>
        <v>5.3642857142857139</v>
      </c>
      <c r="V38" s="4">
        <v>70</v>
      </c>
      <c r="W38" s="4">
        <f t="shared" si="5"/>
        <v>74</v>
      </c>
      <c r="X38" s="868">
        <f t="shared" si="6"/>
        <v>74.857142857142861</v>
      </c>
      <c r="Y38" s="4"/>
      <c r="Z38" s="4"/>
      <c r="AA38" s="4"/>
      <c r="AB38" s="4"/>
    </row>
    <row r="39" spans="1:28" ht="15.75" customHeight="1" x14ac:dyDescent="0.25">
      <c r="A39" s="887"/>
      <c r="B39" s="854">
        <v>96</v>
      </c>
      <c r="C39" s="855">
        <f t="shared" si="0"/>
        <v>45846</v>
      </c>
      <c r="D39" s="854" t="s">
        <v>34</v>
      </c>
      <c r="E39" s="856" t="s">
        <v>401</v>
      </c>
      <c r="F39" s="854">
        <v>17</v>
      </c>
      <c r="G39" s="854"/>
      <c r="H39" s="857"/>
      <c r="I39" s="854" t="str">
        <f t="shared" si="1"/>
        <v>0:00</v>
      </c>
      <c r="J39" s="857"/>
      <c r="K39" s="854"/>
      <c r="L39" s="854" t="str">
        <f t="shared" si="2"/>
        <v>0:00</v>
      </c>
      <c r="M39" s="854"/>
      <c r="N39" s="854"/>
      <c r="O39" s="858"/>
      <c r="P39" s="863"/>
      <c r="Q39" s="864"/>
      <c r="R39" s="4"/>
      <c r="T39" s="16">
        <f t="shared" si="3"/>
        <v>0</v>
      </c>
      <c r="U39" s="868">
        <f t="shared" si="4"/>
        <v>2.0671428571428572</v>
      </c>
      <c r="V39" s="4">
        <v>70</v>
      </c>
      <c r="W39" s="4">
        <f t="shared" si="5"/>
        <v>75</v>
      </c>
      <c r="X39" s="868">
        <f t="shared" si="6"/>
        <v>74.857142857142861</v>
      </c>
      <c r="Y39" s="4"/>
      <c r="Z39" s="4"/>
      <c r="AA39" s="4"/>
      <c r="AB39" s="4"/>
    </row>
    <row r="40" spans="1:28" ht="15.75" customHeight="1" x14ac:dyDescent="0.25">
      <c r="A40" s="887"/>
      <c r="B40" s="854">
        <v>95</v>
      </c>
      <c r="C40" s="855">
        <f t="shared" si="0"/>
        <v>45847</v>
      </c>
      <c r="D40" s="854" t="s">
        <v>26</v>
      </c>
      <c r="E40" s="856" t="s">
        <v>384</v>
      </c>
      <c r="F40" s="854">
        <v>7</v>
      </c>
      <c r="G40" s="854"/>
      <c r="H40" s="857"/>
      <c r="I40" s="854" t="str">
        <f t="shared" si="1"/>
        <v>0:00</v>
      </c>
      <c r="J40" s="854"/>
      <c r="K40" s="854"/>
      <c r="L40" s="854" t="str">
        <f t="shared" si="2"/>
        <v>0:00</v>
      </c>
      <c r="M40" s="854"/>
      <c r="N40" s="854"/>
      <c r="O40" s="858"/>
      <c r="P40" s="861"/>
      <c r="Q40" s="865"/>
      <c r="R40" s="4"/>
      <c r="T40" s="16">
        <f t="shared" si="3"/>
        <v>0</v>
      </c>
      <c r="U40" s="868">
        <f t="shared" si="4"/>
        <v>0</v>
      </c>
      <c r="V40" s="4">
        <v>70</v>
      </c>
      <c r="W40" s="4">
        <f t="shared" si="5"/>
        <v>76</v>
      </c>
      <c r="X40" s="868">
        <f t="shared" si="6"/>
        <v>75</v>
      </c>
      <c r="Y40" s="4"/>
      <c r="Z40" s="4"/>
      <c r="AA40" s="4"/>
      <c r="AB40" s="4"/>
    </row>
    <row r="41" spans="1:28" ht="15.75" customHeight="1" x14ac:dyDescent="0.25">
      <c r="A41" s="887"/>
      <c r="B41" s="854">
        <v>94</v>
      </c>
      <c r="C41" s="855">
        <f t="shared" si="0"/>
        <v>45848</v>
      </c>
      <c r="D41" s="854" t="s">
        <v>27</v>
      </c>
      <c r="E41" s="856" t="s">
        <v>437</v>
      </c>
      <c r="F41" s="854">
        <v>10</v>
      </c>
      <c r="G41" s="854"/>
      <c r="H41" s="857"/>
      <c r="I41" s="854" t="str">
        <f t="shared" si="1"/>
        <v>0:00</v>
      </c>
      <c r="J41" s="854"/>
      <c r="K41" s="854"/>
      <c r="L41" s="854" t="str">
        <f t="shared" si="2"/>
        <v>0:00</v>
      </c>
      <c r="M41" s="854"/>
      <c r="N41" s="859"/>
      <c r="O41" s="858"/>
      <c r="P41" s="861">
        <f>N42+P34</f>
        <v>0.83822916666666669</v>
      </c>
      <c r="Q41" s="865"/>
      <c r="R41" s="4"/>
      <c r="T41" s="16">
        <f t="shared" si="3"/>
        <v>0</v>
      </c>
      <c r="U41" s="868">
        <f t="shared" si="4"/>
        <v>0</v>
      </c>
      <c r="V41" s="4">
        <v>70</v>
      </c>
      <c r="W41" s="4">
        <f t="shared" si="5"/>
        <v>76</v>
      </c>
      <c r="X41" s="868">
        <f t="shared" si="6"/>
        <v>75.857142857142861</v>
      </c>
      <c r="Y41" s="4"/>
      <c r="Z41" s="4"/>
      <c r="AA41" s="4"/>
      <c r="AB41" s="4"/>
    </row>
    <row r="42" spans="1:28" ht="15.75" customHeight="1" x14ac:dyDescent="0.25">
      <c r="A42" s="887"/>
      <c r="B42" s="854">
        <v>93</v>
      </c>
      <c r="C42" s="855">
        <f t="shared" si="0"/>
        <v>45849</v>
      </c>
      <c r="D42" s="854" t="s">
        <v>28</v>
      </c>
      <c r="E42" s="856" t="s">
        <v>381</v>
      </c>
      <c r="F42" s="854">
        <v>6</v>
      </c>
      <c r="G42" s="854"/>
      <c r="H42" s="857"/>
      <c r="I42" s="854" t="str">
        <f t="shared" si="1"/>
        <v>0:00</v>
      </c>
      <c r="J42" s="854"/>
      <c r="K42" s="854"/>
      <c r="L42" s="854" t="str">
        <f t="shared" si="2"/>
        <v>0:00</v>
      </c>
      <c r="M42" s="854"/>
      <c r="N42" s="859">
        <f>SUM(H37:H43)</f>
        <v>0</v>
      </c>
      <c r="O42" s="858"/>
      <c r="P42" s="863">
        <f>N43+P35</f>
        <v>151.18</v>
      </c>
      <c r="Q42" s="866"/>
      <c r="R42" s="4"/>
      <c r="T42" s="16">
        <f t="shared" si="3"/>
        <v>0</v>
      </c>
      <c r="U42" s="868">
        <f t="shared" si="4"/>
        <v>0</v>
      </c>
      <c r="V42" s="4">
        <v>70</v>
      </c>
      <c r="W42" s="4">
        <f t="shared" si="5"/>
        <v>64</v>
      </c>
      <c r="X42" s="868">
        <f t="shared" si="6"/>
        <v>73.285714285714292</v>
      </c>
      <c r="Y42" s="4"/>
      <c r="Z42" s="4"/>
      <c r="AA42" s="4"/>
      <c r="AB42" s="4"/>
    </row>
    <row r="43" spans="1:28" ht="15.75" customHeight="1" x14ac:dyDescent="0.25">
      <c r="A43" s="887"/>
      <c r="B43" s="854">
        <v>92</v>
      </c>
      <c r="C43" s="855">
        <f t="shared" si="0"/>
        <v>45850</v>
      </c>
      <c r="D43" s="854" t="s">
        <v>30</v>
      </c>
      <c r="E43" s="856" t="s">
        <v>400</v>
      </c>
      <c r="F43" s="854">
        <f>2+(2*2) + (60/7.5) +2+2</f>
        <v>18</v>
      </c>
      <c r="G43" s="854"/>
      <c r="H43" s="857"/>
      <c r="I43" s="854" t="str">
        <f t="shared" si="1"/>
        <v>0:00</v>
      </c>
      <c r="J43" s="854"/>
      <c r="K43" s="854"/>
      <c r="L43" s="854" t="str">
        <f t="shared" si="2"/>
        <v>0:00</v>
      </c>
      <c r="M43" s="856">
        <f>SUM(F37:F43)</f>
        <v>72</v>
      </c>
      <c r="N43" s="854">
        <f>SUM(G37:G43)</f>
        <v>0</v>
      </c>
      <c r="O43" s="858"/>
      <c r="P43" s="863">
        <f>M43+P36</f>
        <v>352</v>
      </c>
      <c r="Q43" s="862">
        <f>P42/P43</f>
        <v>0.42948863636363638</v>
      </c>
      <c r="R43" s="4"/>
      <c r="T43" s="16">
        <f t="shared" si="3"/>
        <v>0</v>
      </c>
      <c r="U43" s="868">
        <f t="shared" si="4"/>
        <v>0</v>
      </c>
      <c r="V43" s="4">
        <v>70</v>
      </c>
      <c r="W43" s="4">
        <f t="shared" si="5"/>
        <v>72</v>
      </c>
      <c r="X43" s="868">
        <f t="shared" si="6"/>
        <v>73</v>
      </c>
      <c r="Y43" s="4"/>
      <c r="Z43" s="4"/>
      <c r="AA43" s="4"/>
      <c r="AB43" s="4"/>
    </row>
    <row r="44" spans="1:28" ht="15.75" customHeight="1" x14ac:dyDescent="0.25">
      <c r="A44" s="885" t="s">
        <v>38</v>
      </c>
      <c r="B44" s="6">
        <v>91</v>
      </c>
      <c r="C44" s="17">
        <f t="shared" si="0"/>
        <v>45851</v>
      </c>
      <c r="D44" s="6" t="s">
        <v>31</v>
      </c>
      <c r="E44" s="4" t="s">
        <v>385</v>
      </c>
      <c r="F44" s="6">
        <v>8</v>
      </c>
      <c r="G44" s="6"/>
      <c r="H44" s="29"/>
      <c r="I44" s="6" t="str">
        <f t="shared" si="1"/>
        <v>0:00</v>
      </c>
      <c r="J44" s="6"/>
      <c r="K44" s="6"/>
      <c r="L44" s="6" t="str">
        <f t="shared" si="2"/>
        <v>0:00</v>
      </c>
      <c r="M44" s="4"/>
      <c r="N44" s="4"/>
      <c r="O44" s="16"/>
      <c r="P44" s="863"/>
      <c r="Q44" s="862"/>
      <c r="R44" s="4"/>
      <c r="T44" s="16">
        <f t="shared" si="3"/>
        <v>0</v>
      </c>
      <c r="U44" s="868">
        <f t="shared" si="4"/>
        <v>0</v>
      </c>
      <c r="V44" s="4">
        <v>70</v>
      </c>
      <c r="W44" s="4">
        <f t="shared" si="5"/>
        <v>72</v>
      </c>
      <c r="X44" s="868">
        <f t="shared" si="6"/>
        <v>72.714285714285708</v>
      </c>
      <c r="Y44" s="4"/>
      <c r="Z44" s="4"/>
      <c r="AA44" s="4"/>
      <c r="AB44" s="4"/>
    </row>
    <row r="45" spans="1:28" ht="15.75" customHeight="1" x14ac:dyDescent="0.25">
      <c r="A45" s="885"/>
      <c r="B45" s="6">
        <v>90</v>
      </c>
      <c r="C45" s="17">
        <f t="shared" si="0"/>
        <v>45852</v>
      </c>
      <c r="D45" s="6" t="s">
        <v>33</v>
      </c>
      <c r="E45" s="4" t="s">
        <v>380</v>
      </c>
      <c r="F45" s="6">
        <v>5</v>
      </c>
      <c r="G45" s="6"/>
      <c r="H45" s="29"/>
      <c r="I45" s="6" t="str">
        <f t="shared" si="1"/>
        <v>0:00</v>
      </c>
      <c r="J45" s="6"/>
      <c r="K45" s="6"/>
      <c r="L45" s="6" t="str">
        <f t="shared" si="2"/>
        <v>0:00</v>
      </c>
      <c r="M45" s="6"/>
      <c r="N45" s="6"/>
      <c r="O45" s="16"/>
      <c r="P45" s="863"/>
      <c r="Q45" s="864"/>
      <c r="R45" s="4"/>
      <c r="T45" s="16">
        <f t="shared" si="3"/>
        <v>0</v>
      </c>
      <c r="U45" s="868">
        <f t="shared" si="4"/>
        <v>0</v>
      </c>
      <c r="V45" s="4">
        <v>70</v>
      </c>
      <c r="W45" s="4">
        <f t="shared" si="5"/>
        <v>71</v>
      </c>
      <c r="X45" s="868">
        <f t="shared" si="6"/>
        <v>72.285714285714292</v>
      </c>
      <c r="Y45" s="4"/>
      <c r="Z45" s="4"/>
      <c r="AA45" s="4"/>
      <c r="AB45" s="4"/>
    </row>
    <row r="46" spans="1:28" ht="15.75" customHeight="1" x14ac:dyDescent="0.25">
      <c r="A46" s="885"/>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 t="shared" si="3"/>
        <v>0</v>
      </c>
      <c r="U46" s="868">
        <f t="shared" si="4"/>
        <v>0</v>
      </c>
      <c r="V46" s="4">
        <v>70</v>
      </c>
      <c r="W46" s="4">
        <f t="shared" si="5"/>
        <v>62</v>
      </c>
      <c r="X46" s="868">
        <f t="shared" si="6"/>
        <v>70.428571428571431</v>
      </c>
      <c r="Y46" s="4"/>
      <c r="Z46" s="4"/>
      <c r="AA46" s="4"/>
      <c r="AB46" s="4"/>
    </row>
    <row r="47" spans="1:28" ht="15.75" customHeight="1" x14ac:dyDescent="0.25">
      <c r="A47" s="885"/>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3"/>
        <v>0</v>
      </c>
      <c r="U47" s="868">
        <f t="shared" si="4"/>
        <v>0</v>
      </c>
      <c r="V47" s="4">
        <v>70</v>
      </c>
      <c r="W47" s="4">
        <f t="shared" si="5"/>
        <v>61</v>
      </c>
      <c r="X47" s="868">
        <f t="shared" si="6"/>
        <v>68.285714285714292</v>
      </c>
      <c r="Y47" s="4"/>
      <c r="Z47" s="4"/>
      <c r="AA47" s="4"/>
      <c r="AB47" s="4"/>
    </row>
    <row r="48" spans="1:28" ht="15.75" customHeight="1" x14ac:dyDescent="0.25">
      <c r="A48" s="885"/>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0.83822916666666669</v>
      </c>
      <c r="Q48" s="865"/>
      <c r="R48" s="4"/>
      <c r="T48" s="16">
        <f t="shared" si="3"/>
        <v>0</v>
      </c>
      <c r="U48" s="868">
        <f t="shared" si="4"/>
        <v>0</v>
      </c>
      <c r="V48" s="4">
        <v>70</v>
      </c>
      <c r="W48" s="4">
        <f t="shared" si="5"/>
        <v>68</v>
      </c>
      <c r="X48" s="868">
        <f t="shared" si="6"/>
        <v>67.142857142857139</v>
      </c>
      <c r="Y48" s="4"/>
      <c r="Z48" s="4"/>
      <c r="AA48" s="4"/>
      <c r="AB48" s="4"/>
    </row>
    <row r="49" spans="1:28" ht="15.75" customHeight="1" x14ac:dyDescent="0.25">
      <c r="A49" s="885"/>
      <c r="B49" s="6">
        <v>86</v>
      </c>
      <c r="C49" s="17">
        <f t="shared" si="0"/>
        <v>45856</v>
      </c>
      <c r="D49" s="6" t="s">
        <v>28</v>
      </c>
      <c r="E49" s="4" t="s">
        <v>381</v>
      </c>
      <c r="F49" s="6">
        <v>6</v>
      </c>
      <c r="G49" s="6"/>
      <c r="H49" s="29"/>
      <c r="I49" s="6" t="str">
        <f t="shared" si="1"/>
        <v>0:00</v>
      </c>
      <c r="J49" s="6"/>
      <c r="K49" s="6"/>
      <c r="L49" s="6" t="str">
        <f t="shared" si="2"/>
        <v>0:00</v>
      </c>
      <c r="M49" s="6"/>
      <c r="N49" s="28">
        <f>SUM(H44:H50)</f>
        <v>0</v>
      </c>
      <c r="O49" s="16"/>
      <c r="P49" s="863">
        <f>N50+P42</f>
        <v>151.18</v>
      </c>
      <c r="Q49" s="866"/>
      <c r="R49" s="25"/>
      <c r="T49" s="16">
        <f t="shared" si="3"/>
        <v>0</v>
      </c>
      <c r="U49" s="868">
        <f t="shared" si="4"/>
        <v>0</v>
      </c>
      <c r="V49" s="4">
        <v>70</v>
      </c>
      <c r="W49" s="4">
        <f t="shared" si="5"/>
        <v>68</v>
      </c>
      <c r="X49" s="868">
        <f t="shared" si="6"/>
        <v>67.714285714285708</v>
      </c>
      <c r="Y49" s="4"/>
      <c r="Z49" s="4"/>
      <c r="AA49" s="4"/>
      <c r="AB49" s="4"/>
    </row>
    <row r="50" spans="1:28" ht="15.75" customHeight="1" x14ac:dyDescent="0.25">
      <c r="A50" s="885"/>
      <c r="B50" s="6">
        <v>85</v>
      </c>
      <c r="C50" s="17">
        <f t="shared" si="0"/>
        <v>45857</v>
      </c>
      <c r="D50" s="6" t="s">
        <v>30</v>
      </c>
      <c r="E50" s="4" t="s">
        <v>397</v>
      </c>
      <c r="F50" s="6">
        <v>19</v>
      </c>
      <c r="G50" s="6"/>
      <c r="H50" s="29"/>
      <c r="I50" s="6" t="str">
        <f t="shared" si="1"/>
        <v>0:00</v>
      </c>
      <c r="J50" s="29"/>
      <c r="K50" s="6"/>
      <c r="L50" s="6" t="str">
        <f t="shared" si="2"/>
        <v>0:00</v>
      </c>
      <c r="M50" s="4">
        <f>SUM(F44:F50)</f>
        <v>69</v>
      </c>
      <c r="N50" s="6">
        <f>SUM(G44:G50)</f>
        <v>0</v>
      </c>
      <c r="O50" s="16"/>
      <c r="P50" s="863">
        <f>M50+P43</f>
        <v>421</v>
      </c>
      <c r="Q50" s="862">
        <f>P49/P50</f>
        <v>0.35909738717339668</v>
      </c>
      <c r="R50" s="4"/>
      <c r="T50" s="16">
        <f t="shared" si="3"/>
        <v>0</v>
      </c>
      <c r="U50" s="868">
        <f t="shared" si="4"/>
        <v>0</v>
      </c>
      <c r="V50" s="4">
        <v>70</v>
      </c>
      <c r="W50" s="4">
        <f t="shared" si="5"/>
        <v>69</v>
      </c>
      <c r="X50" s="868">
        <f t="shared" si="6"/>
        <v>67.285714285714292</v>
      </c>
      <c r="Y50" s="4"/>
      <c r="Z50" s="4"/>
      <c r="AA50" s="4"/>
      <c r="AB50" s="4"/>
    </row>
    <row r="51" spans="1:28" ht="15.75" customHeight="1" x14ac:dyDescent="0.25">
      <c r="A51" s="887"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3"/>
        <v>0</v>
      </c>
      <c r="U51" s="868">
        <f t="shared" si="4"/>
        <v>0</v>
      </c>
      <c r="V51" s="4">
        <v>70</v>
      </c>
      <c r="W51" s="4">
        <f t="shared" si="5"/>
        <v>69</v>
      </c>
      <c r="X51" s="868">
        <f t="shared" si="6"/>
        <v>66.857142857142861</v>
      </c>
      <c r="Y51" s="4"/>
      <c r="Z51" s="4"/>
      <c r="AA51" s="4"/>
      <c r="AB51" s="4"/>
    </row>
    <row r="52" spans="1:28" ht="15.75" customHeight="1" x14ac:dyDescent="0.25">
      <c r="A52" s="887"/>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3"/>
        <v>0</v>
      </c>
      <c r="U52" s="868">
        <f t="shared" si="4"/>
        <v>0</v>
      </c>
      <c r="V52" s="4">
        <v>70</v>
      </c>
      <c r="W52" s="4">
        <f t="shared" si="5"/>
        <v>74</v>
      </c>
      <c r="X52" s="868">
        <f t="shared" si="6"/>
        <v>67.285714285714292</v>
      </c>
      <c r="Y52" s="4"/>
      <c r="Z52" s="4"/>
      <c r="AA52" s="4"/>
      <c r="AB52" s="4"/>
    </row>
    <row r="53" spans="1:28" ht="15.75" customHeight="1" x14ac:dyDescent="0.25">
      <c r="A53" s="887"/>
      <c r="B53" s="854">
        <v>82</v>
      </c>
      <c r="C53" s="855">
        <f t="shared" si="0"/>
        <v>45860</v>
      </c>
      <c r="D53" s="854" t="s">
        <v>34</v>
      </c>
      <c r="E53" s="856" t="s">
        <v>385</v>
      </c>
      <c r="F53" s="854">
        <v>8</v>
      </c>
      <c r="G53" s="854"/>
      <c r="H53" s="857"/>
      <c r="I53" s="854" t="str">
        <f t="shared" ref="I53:I58" si="7">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3"/>
        <v>0</v>
      </c>
      <c r="U53" s="868">
        <f t="shared" si="4"/>
        <v>0</v>
      </c>
      <c r="V53" s="4">
        <v>70</v>
      </c>
      <c r="W53" s="4">
        <f t="shared" si="5"/>
        <v>74</v>
      </c>
      <c r="X53" s="868">
        <f t="shared" si="6"/>
        <v>69</v>
      </c>
      <c r="Y53" s="4"/>
      <c r="Z53" s="4"/>
      <c r="AA53" s="4"/>
      <c r="AB53" s="4"/>
    </row>
    <row r="54" spans="1:28" ht="15.75" customHeight="1" x14ac:dyDescent="0.25">
      <c r="A54" s="887"/>
      <c r="B54" s="854">
        <v>81</v>
      </c>
      <c r="C54" s="855">
        <f t="shared" si="0"/>
        <v>45861</v>
      </c>
      <c r="D54" s="854" t="s">
        <v>26</v>
      </c>
      <c r="E54" s="856" t="s">
        <v>394</v>
      </c>
      <c r="F54" s="854">
        <v>16</v>
      </c>
      <c r="G54" s="854"/>
      <c r="H54" s="857"/>
      <c r="I54" s="854" t="str">
        <f t="shared" si="7"/>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3"/>
        <v>0</v>
      </c>
      <c r="U54" s="868">
        <f t="shared" si="4"/>
        <v>0</v>
      </c>
      <c r="V54" s="4">
        <v>70</v>
      </c>
      <c r="W54" s="4">
        <f t="shared" si="5"/>
        <v>84</v>
      </c>
      <c r="X54" s="868">
        <f t="shared" si="6"/>
        <v>72.285714285714292</v>
      </c>
      <c r="Y54" s="4"/>
      <c r="Z54" s="4"/>
      <c r="AA54" s="4"/>
      <c r="AB54" s="4"/>
    </row>
    <row r="55" spans="1:28" ht="15.75" customHeight="1" x14ac:dyDescent="0.25">
      <c r="A55" s="887"/>
      <c r="B55" s="854">
        <v>80</v>
      </c>
      <c r="C55" s="855">
        <f t="shared" si="0"/>
        <v>45862</v>
      </c>
      <c r="D55" s="854" t="s">
        <v>27</v>
      </c>
      <c r="E55" s="856" t="s">
        <v>437</v>
      </c>
      <c r="F55" s="854">
        <v>10</v>
      </c>
      <c r="G55" s="854"/>
      <c r="H55" s="857"/>
      <c r="I55" s="854" t="str">
        <f t="shared" si="7"/>
        <v>0:00</v>
      </c>
      <c r="J55" s="854"/>
      <c r="K55" s="854"/>
      <c r="L55" s="854" t="str">
        <f t="shared" si="2"/>
        <v>0:00</v>
      </c>
      <c r="M55" s="854"/>
      <c r="N55" s="859"/>
      <c r="O55" s="858"/>
      <c r="P55" s="861">
        <f>N56+P48</f>
        <v>0.83822916666666669</v>
      </c>
      <c r="Q55" s="865"/>
      <c r="R55" s="4"/>
      <c r="T55" s="16">
        <f t="shared" si="3"/>
        <v>0</v>
      </c>
      <c r="U55" s="868">
        <f t="shared" si="4"/>
        <v>0</v>
      </c>
      <c r="V55" s="4">
        <v>70</v>
      </c>
      <c r="W55" s="4">
        <f t="shared" si="5"/>
        <v>77</v>
      </c>
      <c r="X55" s="868">
        <f t="shared" si="6"/>
        <v>73.571428571428569</v>
      </c>
      <c r="Y55" s="4"/>
      <c r="Z55" s="4"/>
      <c r="AA55" s="4"/>
      <c r="AB55" s="4"/>
    </row>
    <row r="56" spans="1:28" ht="15.75" customHeight="1" x14ac:dyDescent="0.25">
      <c r="A56" s="887"/>
      <c r="B56" s="854">
        <v>79</v>
      </c>
      <c r="C56" s="855">
        <f t="shared" si="0"/>
        <v>45863</v>
      </c>
      <c r="D56" s="854" t="s">
        <v>28</v>
      </c>
      <c r="E56" s="856" t="s">
        <v>385</v>
      </c>
      <c r="F56" s="854">
        <v>8</v>
      </c>
      <c r="G56" s="854"/>
      <c r="H56" s="857"/>
      <c r="I56" s="854" t="str">
        <f t="shared" si="7"/>
        <v>0:00</v>
      </c>
      <c r="J56" s="854"/>
      <c r="K56" s="854"/>
      <c r="L56" s="854" t="str">
        <f t="shared" si="2"/>
        <v>0:00</v>
      </c>
      <c r="M56" s="854"/>
      <c r="N56" s="859">
        <f>SUM(H51:H57)</f>
        <v>0</v>
      </c>
      <c r="O56" s="858"/>
      <c r="P56" s="863">
        <f>N57+P49</f>
        <v>151.18</v>
      </c>
      <c r="Q56" s="866"/>
      <c r="R56" s="4"/>
      <c r="T56" s="16">
        <f t="shared" si="3"/>
        <v>0</v>
      </c>
      <c r="U56" s="868">
        <f t="shared" si="4"/>
        <v>0</v>
      </c>
      <c r="V56" s="4">
        <v>70</v>
      </c>
      <c r="W56" s="4">
        <f t="shared" si="5"/>
        <v>79</v>
      </c>
      <c r="X56" s="868">
        <f t="shared" si="6"/>
        <v>75.142857142857139</v>
      </c>
      <c r="Y56" s="4"/>
      <c r="Z56" s="4"/>
      <c r="AA56" s="4"/>
      <c r="AB56" s="4"/>
    </row>
    <row r="57" spans="1:28" ht="15.75" customHeight="1" x14ac:dyDescent="0.25">
      <c r="A57" s="887"/>
      <c r="B57" s="854">
        <v>78</v>
      </c>
      <c r="C57" s="855">
        <f t="shared" si="0"/>
        <v>45864</v>
      </c>
      <c r="D57" s="854" t="s">
        <v>30</v>
      </c>
      <c r="E57" s="856" t="s">
        <v>402</v>
      </c>
      <c r="F57" s="854">
        <v>20</v>
      </c>
      <c r="G57" s="854"/>
      <c r="H57" s="857"/>
      <c r="I57" s="854" t="str">
        <f t="shared" si="7"/>
        <v>0:00</v>
      </c>
      <c r="J57" s="857"/>
      <c r="K57" s="854"/>
      <c r="L57" s="854" t="str">
        <f t="shared" si="2"/>
        <v>0:00</v>
      </c>
      <c r="M57" s="856">
        <f>SUM(F51:F57)</f>
        <v>80</v>
      </c>
      <c r="N57" s="854">
        <f>SUM(G51:G57)</f>
        <v>0</v>
      </c>
      <c r="O57" s="858"/>
      <c r="P57" s="863">
        <f>M57+P50</f>
        <v>501</v>
      </c>
      <c r="Q57" s="862">
        <f>P56/P57</f>
        <v>0.30175648702594809</v>
      </c>
      <c r="R57" s="4"/>
      <c r="T57" s="16">
        <f t="shared" si="3"/>
        <v>0</v>
      </c>
      <c r="U57" s="868">
        <f t="shared" si="4"/>
        <v>0</v>
      </c>
      <c r="V57" s="4">
        <v>70</v>
      </c>
      <c r="W57" s="4">
        <f t="shared" si="5"/>
        <v>80</v>
      </c>
      <c r="X57" s="868">
        <f t="shared" si="6"/>
        <v>76.714285714285708</v>
      </c>
      <c r="Y57" s="4"/>
      <c r="Z57" s="4"/>
      <c r="AA57" s="4"/>
      <c r="AB57" s="4"/>
    </row>
    <row r="58" spans="1:28" ht="15.75" customHeight="1" x14ac:dyDescent="0.25">
      <c r="A58" s="885" t="s">
        <v>39</v>
      </c>
      <c r="B58" s="6">
        <v>77</v>
      </c>
      <c r="C58" s="17">
        <f t="shared" si="0"/>
        <v>45865</v>
      </c>
      <c r="D58" s="6" t="s">
        <v>31</v>
      </c>
      <c r="E58" s="4" t="s">
        <v>384</v>
      </c>
      <c r="F58" s="6">
        <v>7</v>
      </c>
      <c r="G58" s="6"/>
      <c r="H58" s="29"/>
      <c r="I58" s="6" t="str">
        <f t="shared" si="7"/>
        <v>0:00</v>
      </c>
      <c r="J58" s="6"/>
      <c r="K58" s="6"/>
      <c r="L58" s="6" t="str">
        <f t="shared" si="2"/>
        <v>0:00</v>
      </c>
      <c r="M58" s="4"/>
      <c r="N58" s="4"/>
      <c r="O58" s="16"/>
      <c r="P58" s="863"/>
      <c r="Q58" s="862"/>
      <c r="R58" s="4"/>
      <c r="T58" s="16">
        <f t="shared" si="3"/>
        <v>0</v>
      </c>
      <c r="U58" s="868">
        <f t="shared" si="4"/>
        <v>0</v>
      </c>
      <c r="V58" s="4">
        <v>70</v>
      </c>
      <c r="W58" s="4">
        <f t="shared" si="5"/>
        <v>79</v>
      </c>
      <c r="X58" s="868">
        <f t="shared" si="6"/>
        <v>78.142857142857139</v>
      </c>
      <c r="Y58" s="4"/>
      <c r="Z58" s="4"/>
      <c r="AA58" s="4"/>
      <c r="AB58" s="4"/>
    </row>
    <row r="59" spans="1:28" ht="15.75" customHeight="1" x14ac:dyDescent="0.25">
      <c r="A59" s="885"/>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3"/>
        <v>0</v>
      </c>
      <c r="U59" s="868">
        <f t="shared" si="4"/>
        <v>0</v>
      </c>
      <c r="V59" s="4">
        <v>70</v>
      </c>
      <c r="W59" s="4">
        <f t="shared" si="5"/>
        <v>76</v>
      </c>
      <c r="X59" s="868">
        <f t="shared" si="6"/>
        <v>78.428571428571431</v>
      </c>
      <c r="Y59" s="4"/>
      <c r="Z59" s="4"/>
      <c r="AA59" s="4"/>
      <c r="AB59" s="4"/>
    </row>
    <row r="60" spans="1:28" ht="15.75" customHeight="1" x14ac:dyDescent="0.25">
      <c r="A60" s="885"/>
      <c r="B60" s="6">
        <v>75</v>
      </c>
      <c r="C60" s="17">
        <f t="shared" si="0"/>
        <v>45867</v>
      </c>
      <c r="D60" s="6" t="s">
        <v>34</v>
      </c>
      <c r="E60" s="4" t="s">
        <v>405</v>
      </c>
      <c r="F60" s="6">
        <v>17</v>
      </c>
      <c r="G60" s="6"/>
      <c r="H60" s="29"/>
      <c r="I60" s="6" t="str">
        <f t="shared" ref="I60:I123" si="8">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3"/>
        <v>0</v>
      </c>
      <c r="U60" s="868">
        <f t="shared" si="4"/>
        <v>0</v>
      </c>
      <c r="V60" s="4">
        <v>70</v>
      </c>
      <c r="W60" s="4">
        <f t="shared" si="5"/>
        <v>85</v>
      </c>
      <c r="X60" s="868">
        <f t="shared" si="6"/>
        <v>80</v>
      </c>
      <c r="Y60" s="4"/>
      <c r="Z60" s="4"/>
      <c r="AA60" s="4"/>
      <c r="AB60" s="4"/>
    </row>
    <row r="61" spans="1:28" ht="15.75" customHeight="1" x14ac:dyDescent="0.25">
      <c r="A61" s="885"/>
      <c r="B61" s="6">
        <v>74</v>
      </c>
      <c r="C61" s="17">
        <f t="shared" si="0"/>
        <v>45868</v>
      </c>
      <c r="D61" s="6" t="s">
        <v>26</v>
      </c>
      <c r="E61" s="4" t="s">
        <v>385</v>
      </c>
      <c r="F61" s="6">
        <v>8</v>
      </c>
      <c r="G61" s="6"/>
      <c r="H61" s="29"/>
      <c r="I61" s="6" t="str">
        <f t="shared" si="8"/>
        <v>0:00</v>
      </c>
      <c r="J61" s="6"/>
      <c r="K61" s="6"/>
      <c r="L61" s="6" t="str">
        <f t="shared" si="2"/>
        <v>0:00</v>
      </c>
      <c r="M61" s="6"/>
      <c r="N61" s="6"/>
      <c r="O61" s="16"/>
      <c r="P61" s="861"/>
      <c r="Q61" s="865"/>
      <c r="R61" s="4"/>
      <c r="T61" s="16">
        <f t="shared" si="3"/>
        <v>0</v>
      </c>
      <c r="U61" s="868">
        <f t="shared" si="4"/>
        <v>0</v>
      </c>
      <c r="V61" s="4">
        <v>70</v>
      </c>
      <c r="W61" s="4">
        <f t="shared" si="5"/>
        <v>77</v>
      </c>
      <c r="X61" s="868">
        <f t="shared" si="6"/>
        <v>79</v>
      </c>
      <c r="Y61" s="4"/>
      <c r="Z61" s="4"/>
      <c r="AA61" s="4"/>
      <c r="AB61" s="4"/>
    </row>
    <row r="62" spans="1:28" ht="15.75" customHeight="1" x14ac:dyDescent="0.25">
      <c r="A62" s="885"/>
      <c r="B62" s="6">
        <v>73</v>
      </c>
      <c r="C62" s="17">
        <f t="shared" si="0"/>
        <v>45869</v>
      </c>
      <c r="D62" s="6" t="s">
        <v>27</v>
      </c>
      <c r="E62" s="4" t="s">
        <v>433</v>
      </c>
      <c r="F62" s="6">
        <v>9</v>
      </c>
      <c r="G62" s="6"/>
      <c r="H62" s="29"/>
      <c r="I62" s="6" t="str">
        <f t="shared" si="8"/>
        <v>0:00</v>
      </c>
      <c r="J62" s="6"/>
      <c r="K62" s="6"/>
      <c r="L62" s="6" t="str">
        <f t="shared" si="2"/>
        <v>0:00</v>
      </c>
      <c r="M62" s="6"/>
      <c r="N62" s="28"/>
      <c r="O62" s="16"/>
      <c r="P62" s="861">
        <f>N63+P55</f>
        <v>0.83822916666666669</v>
      </c>
      <c r="Q62" s="865"/>
      <c r="R62" s="4"/>
      <c r="T62" s="16">
        <f t="shared" si="3"/>
        <v>0</v>
      </c>
      <c r="U62" s="868">
        <f t="shared" si="4"/>
        <v>0</v>
      </c>
      <c r="V62" s="4">
        <v>70</v>
      </c>
      <c r="W62" s="4">
        <f t="shared" si="5"/>
        <v>76</v>
      </c>
      <c r="X62" s="868">
        <f t="shared" si="6"/>
        <v>78.857142857142861</v>
      </c>
      <c r="Y62" s="4"/>
      <c r="Z62" s="4"/>
      <c r="AA62" s="4"/>
      <c r="AB62" s="4"/>
    </row>
    <row r="63" spans="1:28" ht="15.75" customHeight="1" x14ac:dyDescent="0.25">
      <c r="A63" s="885"/>
      <c r="B63" s="6">
        <v>72</v>
      </c>
      <c r="C63" s="17">
        <f t="shared" si="0"/>
        <v>45870</v>
      </c>
      <c r="D63" s="6" t="s">
        <v>28</v>
      </c>
      <c r="E63" s="4" t="s">
        <v>442</v>
      </c>
      <c r="F63" s="6">
        <v>5</v>
      </c>
      <c r="G63" s="6"/>
      <c r="H63" s="29"/>
      <c r="I63" s="6" t="str">
        <f t="shared" si="8"/>
        <v>0:00</v>
      </c>
      <c r="J63" s="6"/>
      <c r="K63" s="6"/>
      <c r="L63" s="6" t="str">
        <f t="shared" si="2"/>
        <v>0:00</v>
      </c>
      <c r="M63" s="6"/>
      <c r="N63" s="28">
        <f>SUM(H58:H64)</f>
        <v>0</v>
      </c>
      <c r="O63" s="16"/>
      <c r="P63" s="863">
        <f>N64+P56</f>
        <v>151.18</v>
      </c>
      <c r="Q63" s="866"/>
      <c r="R63" s="4"/>
      <c r="T63" s="16">
        <f t="shared" si="3"/>
        <v>0</v>
      </c>
      <c r="U63" s="868">
        <f t="shared" si="4"/>
        <v>0</v>
      </c>
      <c r="V63" s="4">
        <v>70</v>
      </c>
      <c r="W63" s="4">
        <f t="shared" si="5"/>
        <v>73</v>
      </c>
      <c r="X63" s="868">
        <f t="shared" si="6"/>
        <v>78</v>
      </c>
      <c r="Y63" s="4"/>
      <c r="Z63" s="4"/>
      <c r="AA63" s="4"/>
      <c r="AB63" s="4"/>
    </row>
    <row r="64" spans="1:28" ht="15.75" customHeight="1" x14ac:dyDescent="0.25">
      <c r="A64" s="885"/>
      <c r="B64" s="6">
        <v>71</v>
      </c>
      <c r="C64" s="17">
        <f t="shared" si="0"/>
        <v>45871</v>
      </c>
      <c r="D64" s="6" t="s">
        <v>30</v>
      </c>
      <c r="E64" s="4" t="s">
        <v>404</v>
      </c>
      <c r="F64" s="6">
        <v>19</v>
      </c>
      <c r="G64" s="6"/>
      <c r="H64" s="29"/>
      <c r="I64" s="6" t="str">
        <f t="shared" si="8"/>
        <v>0:00</v>
      </c>
      <c r="J64" s="6"/>
      <c r="K64" s="6"/>
      <c r="L64" s="6" t="str">
        <f t="shared" si="2"/>
        <v>0:00</v>
      </c>
      <c r="M64" s="4">
        <f>SUM(F58:F64)</f>
        <v>72</v>
      </c>
      <c r="N64" s="6">
        <f>SUM(G58:G64)</f>
        <v>0</v>
      </c>
      <c r="O64" s="16"/>
      <c r="P64" s="863">
        <f>M64+P57</f>
        <v>573</v>
      </c>
      <c r="Q64" s="862">
        <f>P63/P64</f>
        <v>0.26383944153577665</v>
      </c>
      <c r="R64" s="4"/>
      <c r="T64" s="16">
        <f t="shared" si="3"/>
        <v>0</v>
      </c>
      <c r="U64" s="868">
        <f t="shared" si="4"/>
        <v>0</v>
      </c>
      <c r="V64" s="4">
        <v>70</v>
      </c>
      <c r="W64" s="4">
        <f t="shared" si="5"/>
        <v>72</v>
      </c>
      <c r="X64" s="868">
        <f t="shared" si="6"/>
        <v>76.857142857142861</v>
      </c>
      <c r="Y64" s="4"/>
      <c r="Z64" s="4"/>
      <c r="AA64" s="4"/>
      <c r="AB64" s="4"/>
    </row>
    <row r="65" spans="1:28" ht="15.75" customHeight="1" x14ac:dyDescent="0.25">
      <c r="A65" s="887" t="s">
        <v>40</v>
      </c>
      <c r="B65" s="854">
        <v>70</v>
      </c>
      <c r="C65" s="855">
        <f t="shared" si="0"/>
        <v>45872</v>
      </c>
      <c r="D65" s="854" t="s">
        <v>31</v>
      </c>
      <c r="E65" s="856" t="s">
        <v>380</v>
      </c>
      <c r="F65" s="854">
        <v>5</v>
      </c>
      <c r="G65" s="854"/>
      <c r="H65" s="857"/>
      <c r="I65" s="854" t="str">
        <f t="shared" si="8"/>
        <v>0:00</v>
      </c>
      <c r="J65" s="854"/>
      <c r="K65" s="854"/>
      <c r="L65" s="854" t="str">
        <f t="shared" si="2"/>
        <v>0:00</v>
      </c>
      <c r="M65" s="856"/>
      <c r="N65" s="856"/>
      <c r="O65" s="858"/>
      <c r="P65" s="863"/>
      <c r="Q65" s="862"/>
      <c r="R65" s="4"/>
      <c r="T65" s="16">
        <f t="shared" si="3"/>
        <v>0</v>
      </c>
      <c r="U65" s="868">
        <f t="shared" si="4"/>
        <v>0</v>
      </c>
      <c r="V65" s="4">
        <v>70</v>
      </c>
      <c r="W65" s="4">
        <f t="shared" si="5"/>
        <v>70</v>
      </c>
      <c r="X65" s="868">
        <f t="shared" si="6"/>
        <v>75.571428571428569</v>
      </c>
      <c r="Y65" s="4"/>
      <c r="Z65" s="4"/>
      <c r="AA65" s="4"/>
      <c r="AB65" s="4"/>
    </row>
    <row r="66" spans="1:28" ht="15.75" customHeight="1" x14ac:dyDescent="0.25">
      <c r="A66" s="887"/>
      <c r="B66" s="854">
        <v>69</v>
      </c>
      <c r="C66" s="855">
        <f t="shared" si="0"/>
        <v>45873</v>
      </c>
      <c r="D66" s="854" t="s">
        <v>33</v>
      </c>
      <c r="E66" s="856" t="s">
        <v>380</v>
      </c>
      <c r="F66" s="854">
        <v>5</v>
      </c>
      <c r="G66" s="854"/>
      <c r="H66" s="857"/>
      <c r="I66" s="854" t="str">
        <f t="shared" si="8"/>
        <v>0:00</v>
      </c>
      <c r="J66" s="854"/>
      <c r="K66" s="854"/>
      <c r="L66" s="854" t="str">
        <f t="shared" si="2"/>
        <v>0:00</v>
      </c>
      <c r="M66" s="854"/>
      <c r="N66" s="854"/>
      <c r="O66" s="858"/>
      <c r="P66" s="863"/>
      <c r="Q66" s="864"/>
      <c r="R66" s="4"/>
      <c r="T66" s="16">
        <f t="shared" si="3"/>
        <v>0</v>
      </c>
      <c r="U66" s="868">
        <f t="shared" si="4"/>
        <v>0</v>
      </c>
      <c r="V66" s="4">
        <v>70</v>
      </c>
      <c r="W66" s="4">
        <f t="shared" si="5"/>
        <v>68</v>
      </c>
      <c r="X66" s="868">
        <f t="shared" si="6"/>
        <v>74.428571428571431</v>
      </c>
      <c r="Y66" s="4"/>
      <c r="Z66" s="4"/>
      <c r="AA66" s="4"/>
      <c r="AB66" s="4"/>
    </row>
    <row r="67" spans="1:28" ht="15.75" customHeight="1" x14ac:dyDescent="0.25">
      <c r="A67" s="887"/>
      <c r="B67" s="854">
        <v>68</v>
      </c>
      <c r="C67" s="855">
        <f t="shared" si="0"/>
        <v>45874</v>
      </c>
      <c r="D67" s="854" t="s">
        <v>34</v>
      </c>
      <c r="E67" s="856" t="s">
        <v>406</v>
      </c>
      <c r="F67" s="854">
        <v>18</v>
      </c>
      <c r="G67" s="854"/>
      <c r="H67" s="857"/>
      <c r="I67" s="854" t="str">
        <f t="shared" si="8"/>
        <v>0:00</v>
      </c>
      <c r="J67" s="857"/>
      <c r="K67" s="854"/>
      <c r="L67" s="854" t="str">
        <f t="shared" si="2"/>
        <v>0:00</v>
      </c>
      <c r="M67" s="854"/>
      <c r="N67" s="854"/>
      <c r="O67" s="858"/>
      <c r="P67" s="863"/>
      <c r="Q67" s="864"/>
      <c r="R67" s="4"/>
      <c r="T67" s="16">
        <f t="shared" si="3"/>
        <v>0</v>
      </c>
      <c r="U67" s="868">
        <f t="shared" si="4"/>
        <v>0</v>
      </c>
      <c r="V67" s="4">
        <v>70</v>
      </c>
      <c r="W67" s="4">
        <f t="shared" si="5"/>
        <v>69</v>
      </c>
      <c r="X67" s="868">
        <f t="shared" si="6"/>
        <v>72.142857142857139</v>
      </c>
      <c r="Y67" s="4"/>
      <c r="Z67" s="4"/>
      <c r="AA67" s="4"/>
      <c r="AB67" s="4"/>
    </row>
    <row r="68" spans="1:28" ht="15.75" customHeight="1" x14ac:dyDescent="0.25">
      <c r="A68" s="887"/>
      <c r="B68" s="854">
        <v>67</v>
      </c>
      <c r="C68" s="855">
        <f t="shared" si="0"/>
        <v>45875</v>
      </c>
      <c r="D68" s="854" t="s">
        <v>26</v>
      </c>
      <c r="E68" s="856" t="s">
        <v>380</v>
      </c>
      <c r="F68" s="854">
        <v>5</v>
      </c>
      <c r="G68" s="854"/>
      <c r="H68" s="857"/>
      <c r="I68" s="854" t="str">
        <f t="shared" si="8"/>
        <v>0:00</v>
      </c>
      <c r="J68" s="854"/>
      <c r="K68" s="854"/>
      <c r="L68" s="854" t="str">
        <f t="shared" si="2"/>
        <v>0:00</v>
      </c>
      <c r="M68" s="854"/>
      <c r="N68" s="854"/>
      <c r="O68" s="858"/>
      <c r="P68" s="861"/>
      <c r="Q68" s="865"/>
      <c r="R68" s="4"/>
      <c r="T68" s="16">
        <f t="shared" si="3"/>
        <v>0</v>
      </c>
      <c r="U68" s="868">
        <f t="shared" si="4"/>
        <v>0</v>
      </c>
      <c r="V68" s="4">
        <v>70</v>
      </c>
      <c r="W68" s="4">
        <f t="shared" si="5"/>
        <v>66</v>
      </c>
      <c r="X68" s="868">
        <f t="shared" si="6"/>
        <v>70.571428571428569</v>
      </c>
      <c r="Y68" s="4"/>
      <c r="Z68" s="4"/>
      <c r="AA68" s="4"/>
      <c r="AB68" s="4"/>
    </row>
    <row r="69" spans="1:28" ht="15.75" customHeight="1" x14ac:dyDescent="0.25">
      <c r="A69" s="887"/>
      <c r="B69" s="854">
        <v>66</v>
      </c>
      <c r="C69" s="855">
        <f t="shared" si="0"/>
        <v>45876</v>
      </c>
      <c r="D69" s="854" t="s">
        <v>27</v>
      </c>
      <c r="E69" s="856" t="s">
        <v>380</v>
      </c>
      <c r="F69" s="854">
        <v>5</v>
      </c>
      <c r="G69" s="854"/>
      <c r="H69" s="857"/>
      <c r="I69" s="854" t="str">
        <f t="shared" si="8"/>
        <v>0:00</v>
      </c>
      <c r="J69" s="854"/>
      <c r="K69" s="854"/>
      <c r="L69" s="854" t="str">
        <f t="shared" si="2"/>
        <v>0:00</v>
      </c>
      <c r="M69" s="854"/>
      <c r="N69" s="859"/>
      <c r="O69" s="858"/>
      <c r="P69" s="861">
        <f>N70+P62</f>
        <v>0.83822916666666669</v>
      </c>
      <c r="Q69" s="865"/>
      <c r="R69" s="4"/>
      <c r="T69" s="16">
        <f t="shared" si="3"/>
        <v>0</v>
      </c>
      <c r="U69" s="868">
        <f t="shared" si="4"/>
        <v>0</v>
      </c>
      <c r="V69" s="4">
        <v>70</v>
      </c>
      <c r="W69" s="4">
        <f t="shared" si="5"/>
        <v>62</v>
      </c>
      <c r="X69" s="868">
        <f t="shared" si="6"/>
        <v>68.571428571428569</v>
      </c>
      <c r="Y69" s="4"/>
      <c r="Z69" s="4"/>
      <c r="AA69" s="4"/>
      <c r="AB69" s="4"/>
    </row>
    <row r="70" spans="1:28" ht="15.75" customHeight="1" x14ac:dyDescent="0.25">
      <c r="A70" s="887"/>
      <c r="B70" s="854">
        <v>65</v>
      </c>
      <c r="C70" s="855">
        <f t="shared" si="0"/>
        <v>45877</v>
      </c>
      <c r="D70" s="854" t="s">
        <v>28</v>
      </c>
      <c r="E70" s="856" t="s">
        <v>442</v>
      </c>
      <c r="F70" s="854">
        <v>5</v>
      </c>
      <c r="G70" s="854"/>
      <c r="H70" s="857"/>
      <c r="I70" s="854" t="str">
        <f t="shared" si="8"/>
        <v>0:00</v>
      </c>
      <c r="J70" s="854"/>
      <c r="K70" s="854"/>
      <c r="L70" s="854" t="str">
        <f t="shared" si="2"/>
        <v>0:00</v>
      </c>
      <c r="M70" s="854"/>
      <c r="N70" s="859">
        <f>SUM(H65:H71)</f>
        <v>0</v>
      </c>
      <c r="O70" s="858"/>
      <c r="P70" s="863">
        <f>N71+P63</f>
        <v>151.18</v>
      </c>
      <c r="Q70" s="866"/>
      <c r="R70" s="4"/>
      <c r="T70" s="16">
        <f t="shared" si="3"/>
        <v>0</v>
      </c>
      <c r="U70" s="868">
        <f t="shared" si="4"/>
        <v>0</v>
      </c>
      <c r="V70" s="4">
        <v>70</v>
      </c>
      <c r="W70" s="4">
        <f t="shared" si="5"/>
        <v>62</v>
      </c>
      <c r="X70" s="868">
        <f t="shared" si="6"/>
        <v>67</v>
      </c>
      <c r="Y70" s="4"/>
      <c r="Z70" s="4"/>
      <c r="AA70" s="4"/>
      <c r="AB70" s="4"/>
    </row>
    <row r="71" spans="1:28" ht="15.75" customHeight="1" x14ac:dyDescent="0.25">
      <c r="A71" s="887"/>
      <c r="B71" s="854">
        <v>64</v>
      </c>
      <c r="C71" s="855">
        <f t="shared" si="0"/>
        <v>45878</v>
      </c>
      <c r="D71" s="854" t="s">
        <v>30</v>
      </c>
      <c r="E71" s="856" t="s">
        <v>411</v>
      </c>
      <c r="F71" s="854">
        <v>20</v>
      </c>
      <c r="G71" s="854"/>
      <c r="H71" s="857"/>
      <c r="I71" s="854" t="str">
        <f t="shared" si="8"/>
        <v>0:00</v>
      </c>
      <c r="J71" s="857"/>
      <c r="K71" s="854"/>
      <c r="L71" s="854" t="str">
        <f t="shared" si="2"/>
        <v>0:00</v>
      </c>
      <c r="M71" s="856">
        <f>SUM(F65:F71)</f>
        <v>63</v>
      </c>
      <c r="N71" s="854">
        <f>SUM(G65:G71)</f>
        <v>0</v>
      </c>
      <c r="O71" s="858"/>
      <c r="P71" s="863">
        <f>M71+P64</f>
        <v>636</v>
      </c>
      <c r="Q71" s="862">
        <f>P70/P71</f>
        <v>0.23770440251572328</v>
      </c>
      <c r="R71" s="4"/>
      <c r="T71" s="16">
        <f t="shared" si="3"/>
        <v>0</v>
      </c>
      <c r="U71" s="868">
        <f t="shared" si="4"/>
        <v>0</v>
      </c>
      <c r="V71" s="4">
        <v>70</v>
      </c>
      <c r="W71" s="4">
        <f t="shared" si="5"/>
        <v>63</v>
      </c>
      <c r="X71" s="868">
        <f t="shared" si="6"/>
        <v>65.714285714285708</v>
      </c>
      <c r="Y71" s="4"/>
      <c r="Z71" s="4"/>
      <c r="AA71" s="4"/>
      <c r="AB71" s="4"/>
    </row>
    <row r="72" spans="1:28" ht="15.75" customHeight="1" x14ac:dyDescent="0.25">
      <c r="A72" s="885" t="s">
        <v>41</v>
      </c>
      <c r="B72" s="6">
        <v>63</v>
      </c>
      <c r="C72" s="17">
        <f t="shared" si="0"/>
        <v>45879</v>
      </c>
      <c r="D72" s="6" t="s">
        <v>31</v>
      </c>
      <c r="E72" s="4" t="s">
        <v>437</v>
      </c>
      <c r="F72" s="6">
        <v>10</v>
      </c>
      <c r="G72" s="6"/>
      <c r="H72" s="29"/>
      <c r="I72" s="6" t="str">
        <f t="shared" si="8"/>
        <v>0:00</v>
      </c>
      <c r="J72" s="6"/>
      <c r="K72" s="6"/>
      <c r="L72" s="6" t="str">
        <f t="shared" si="2"/>
        <v>0:00</v>
      </c>
      <c r="M72" s="4"/>
      <c r="N72" s="4"/>
      <c r="O72" s="16"/>
      <c r="P72" s="863"/>
      <c r="Q72" s="862"/>
      <c r="R72" s="4"/>
      <c r="T72" s="16">
        <f t="shared" si="3"/>
        <v>0</v>
      </c>
      <c r="U72" s="868">
        <f t="shared" si="4"/>
        <v>0</v>
      </c>
      <c r="V72" s="4">
        <v>70</v>
      </c>
      <c r="W72" s="4">
        <f t="shared" si="5"/>
        <v>68</v>
      </c>
      <c r="X72" s="868">
        <f t="shared" si="6"/>
        <v>65.428571428571431</v>
      </c>
      <c r="Y72" s="4"/>
      <c r="Z72" s="4"/>
      <c r="AA72" s="4"/>
      <c r="AB72" s="4"/>
    </row>
    <row r="73" spans="1:28" ht="15.75" customHeight="1" x14ac:dyDescent="0.25">
      <c r="A73" s="885"/>
      <c r="B73" s="6">
        <v>62</v>
      </c>
      <c r="C73" s="17">
        <f t="shared" si="0"/>
        <v>45880</v>
      </c>
      <c r="D73" s="6" t="s">
        <v>33</v>
      </c>
      <c r="E73" s="4" t="s">
        <v>385</v>
      </c>
      <c r="F73" s="6">
        <v>8</v>
      </c>
      <c r="G73" s="6"/>
      <c r="H73" s="29"/>
      <c r="I73" s="6" t="str">
        <f t="shared" si="8"/>
        <v>0:00</v>
      </c>
      <c r="J73" s="6"/>
      <c r="K73" s="6"/>
      <c r="L73" s="6" t="str">
        <f t="shared" si="2"/>
        <v>0:00</v>
      </c>
      <c r="M73" s="6"/>
      <c r="N73" s="6"/>
      <c r="O73" s="16"/>
      <c r="P73" s="863"/>
      <c r="Q73" s="864"/>
      <c r="R73" s="4"/>
      <c r="T73" s="16">
        <f t="shared" si="3"/>
        <v>0</v>
      </c>
      <c r="U73" s="868">
        <f t="shared" si="4"/>
        <v>0</v>
      </c>
      <c r="V73" s="4">
        <v>70</v>
      </c>
      <c r="W73" s="4">
        <f t="shared" si="5"/>
        <v>71</v>
      </c>
      <c r="X73" s="868">
        <f t="shared" si="6"/>
        <v>65.857142857142861</v>
      </c>
      <c r="Y73" s="4"/>
      <c r="Z73" s="4"/>
      <c r="AA73" s="4"/>
      <c r="AB73" s="4"/>
    </row>
    <row r="74" spans="1:28" ht="15.75" customHeight="1" x14ac:dyDescent="0.25">
      <c r="A74" s="885"/>
      <c r="B74" s="6">
        <v>61</v>
      </c>
      <c r="C74" s="17">
        <f t="shared" si="0"/>
        <v>45881</v>
      </c>
      <c r="D74" s="6" t="s">
        <v>34</v>
      </c>
      <c r="E74" s="4" t="s">
        <v>408</v>
      </c>
      <c r="F74" s="6">
        <v>16</v>
      </c>
      <c r="G74" s="6"/>
      <c r="H74" s="29"/>
      <c r="I74" s="6" t="str">
        <f t="shared" si="8"/>
        <v>0:00</v>
      </c>
      <c r="J74" s="29"/>
      <c r="K74" s="6"/>
      <c r="L74" s="6" t="str">
        <f t="shared" si="2"/>
        <v>0:00</v>
      </c>
      <c r="M74" s="6"/>
      <c r="N74" s="6"/>
      <c r="O74" s="16"/>
      <c r="P74" s="863"/>
      <c r="Q74" s="864"/>
      <c r="R74" s="4"/>
      <c r="T74" s="16">
        <f t="shared" si="3"/>
        <v>0</v>
      </c>
      <c r="U74" s="868">
        <f t="shared" si="4"/>
        <v>0</v>
      </c>
      <c r="V74" s="4">
        <v>70</v>
      </c>
      <c r="W74" s="4">
        <f t="shared" si="5"/>
        <v>69</v>
      </c>
      <c r="X74" s="868">
        <f t="shared" si="6"/>
        <v>65.857142857142861</v>
      </c>
      <c r="Y74" s="4"/>
      <c r="Z74" s="4"/>
      <c r="AA74" s="4"/>
      <c r="AB74" s="4"/>
    </row>
    <row r="75" spans="1:28" ht="15.75" customHeight="1" x14ac:dyDescent="0.25">
      <c r="A75" s="885"/>
      <c r="B75" s="6">
        <v>60</v>
      </c>
      <c r="C75" s="17">
        <f t="shared" si="0"/>
        <v>45882</v>
      </c>
      <c r="D75" s="6" t="s">
        <v>26</v>
      </c>
      <c r="E75" s="4" t="s">
        <v>385</v>
      </c>
      <c r="F75" s="6">
        <v>8</v>
      </c>
      <c r="G75" s="6"/>
      <c r="H75" s="29"/>
      <c r="I75" s="6" t="str">
        <f t="shared" si="8"/>
        <v>0:00</v>
      </c>
      <c r="J75" s="6"/>
      <c r="K75" s="6"/>
      <c r="L75" s="6" t="str">
        <f t="shared" si="2"/>
        <v>0:00</v>
      </c>
      <c r="M75" s="6"/>
      <c r="N75" s="6"/>
      <c r="O75" s="16"/>
      <c r="P75" s="861"/>
      <c r="Q75" s="865"/>
      <c r="R75" s="4"/>
      <c r="S75" s="4"/>
      <c r="T75" s="16">
        <f t="shared" si="3"/>
        <v>0</v>
      </c>
      <c r="U75" s="868">
        <f t="shared" si="4"/>
        <v>0</v>
      </c>
      <c r="V75" s="4">
        <v>70</v>
      </c>
      <c r="W75" s="4">
        <f t="shared" si="5"/>
        <v>72</v>
      </c>
      <c r="X75" s="868">
        <f t="shared" si="6"/>
        <v>66.714285714285708</v>
      </c>
      <c r="Y75" s="4"/>
      <c r="Z75" s="4"/>
      <c r="AA75" s="4"/>
      <c r="AB75" s="4"/>
    </row>
    <row r="76" spans="1:28" ht="15.75" customHeight="1" x14ac:dyDescent="0.25">
      <c r="A76" s="885"/>
      <c r="B76" s="6">
        <v>59</v>
      </c>
      <c r="C76" s="17">
        <f t="shared" si="0"/>
        <v>45883</v>
      </c>
      <c r="D76" s="6" t="s">
        <v>27</v>
      </c>
      <c r="E76" s="4" t="s">
        <v>437</v>
      </c>
      <c r="F76" s="6">
        <v>10</v>
      </c>
      <c r="G76" s="6"/>
      <c r="H76" s="29"/>
      <c r="I76" s="6" t="str">
        <f t="shared" si="8"/>
        <v>0:00</v>
      </c>
      <c r="J76" s="6"/>
      <c r="K76" s="6"/>
      <c r="L76" s="6" t="str">
        <f t="shared" si="2"/>
        <v>0:00</v>
      </c>
      <c r="M76" s="6"/>
      <c r="N76" s="28"/>
      <c r="O76" s="16"/>
      <c r="P76" s="861">
        <f>N77+P69</f>
        <v>0.83822916666666669</v>
      </c>
      <c r="Q76" s="865"/>
      <c r="R76" s="4"/>
      <c r="S76" s="4"/>
      <c r="T76" s="16">
        <f t="shared" si="3"/>
        <v>0</v>
      </c>
      <c r="U76" s="868">
        <f t="shared" si="4"/>
        <v>0</v>
      </c>
      <c r="V76" s="4">
        <v>70</v>
      </c>
      <c r="W76" s="4">
        <f t="shared" si="5"/>
        <v>77</v>
      </c>
      <c r="X76" s="868">
        <f t="shared" si="6"/>
        <v>68.857142857142861</v>
      </c>
      <c r="Y76" s="4"/>
      <c r="Z76" s="4"/>
      <c r="AA76" s="4"/>
      <c r="AB76" s="4"/>
    </row>
    <row r="77" spans="1:28" ht="15.75" customHeight="1" x14ac:dyDescent="0.25">
      <c r="A77" s="885"/>
      <c r="B77" s="6">
        <v>58</v>
      </c>
      <c r="C77" s="17">
        <f t="shared" si="0"/>
        <v>45884</v>
      </c>
      <c r="D77" s="6" t="s">
        <v>28</v>
      </c>
      <c r="E77" s="4" t="s">
        <v>385</v>
      </c>
      <c r="F77" s="6">
        <v>8</v>
      </c>
      <c r="G77" s="6"/>
      <c r="H77" s="29"/>
      <c r="I77" s="6" t="str">
        <f t="shared" si="8"/>
        <v>0:00</v>
      </c>
      <c r="J77" s="6"/>
      <c r="K77" s="6"/>
      <c r="L77" s="6" t="str">
        <f t="shared" si="2"/>
        <v>0:00</v>
      </c>
      <c r="M77" s="6"/>
      <c r="N77" s="28">
        <f>SUM(H72:H78)</f>
        <v>0</v>
      </c>
      <c r="O77" s="16"/>
      <c r="P77" s="863">
        <f>N78+P70</f>
        <v>151.18</v>
      </c>
      <c r="Q77" s="866"/>
      <c r="R77" s="4"/>
      <c r="T77" s="16">
        <f t="shared" si="3"/>
        <v>0</v>
      </c>
      <c r="U77" s="868">
        <f t="shared" si="4"/>
        <v>0</v>
      </c>
      <c r="V77" s="4">
        <v>70</v>
      </c>
      <c r="W77" s="4">
        <f t="shared" si="5"/>
        <v>80</v>
      </c>
      <c r="X77" s="868">
        <f t="shared" si="6"/>
        <v>71.428571428571431</v>
      </c>
      <c r="Y77" s="4"/>
      <c r="Z77" s="4"/>
      <c r="AA77" s="4"/>
      <c r="AB77" s="4"/>
    </row>
    <row r="78" spans="1:28" ht="15.75" customHeight="1" x14ac:dyDescent="0.25">
      <c r="A78" s="885"/>
      <c r="B78" s="6">
        <v>57</v>
      </c>
      <c r="C78" s="17">
        <f t="shared" si="0"/>
        <v>45885</v>
      </c>
      <c r="D78" s="6" t="s">
        <v>30</v>
      </c>
      <c r="E78" s="4" t="s">
        <v>479</v>
      </c>
      <c r="F78" s="6">
        <f>5+6+1+5+3</f>
        <v>20</v>
      </c>
      <c r="G78" s="6"/>
      <c r="H78" s="29"/>
      <c r="I78" s="6" t="str">
        <f t="shared" si="8"/>
        <v>0:00</v>
      </c>
      <c r="J78" s="29"/>
      <c r="K78" s="6"/>
      <c r="L78" s="6" t="str">
        <f t="shared" si="2"/>
        <v>0:00</v>
      </c>
      <c r="M78" s="4">
        <f>SUM(F72:F78)</f>
        <v>80</v>
      </c>
      <c r="N78" s="6">
        <f>SUM(G72:G78)</f>
        <v>0</v>
      </c>
      <c r="O78" s="16"/>
      <c r="P78" s="863">
        <f>M78+P71</f>
        <v>716</v>
      </c>
      <c r="Q78" s="862">
        <f>P77/P78</f>
        <v>0.21114525139664805</v>
      </c>
      <c r="R78" s="4"/>
      <c r="T78" s="16">
        <f t="shared" ref="T78:T135" si="9">SUM(G72:G78)</f>
        <v>0</v>
      </c>
      <c r="U78" s="868">
        <f t="shared" si="4"/>
        <v>0</v>
      </c>
      <c r="V78" s="4">
        <v>70</v>
      </c>
      <c r="W78" s="4">
        <f t="shared" si="5"/>
        <v>80</v>
      </c>
      <c r="X78" s="868">
        <f t="shared" si="6"/>
        <v>73.857142857142861</v>
      </c>
      <c r="Y78" s="4"/>
      <c r="Z78" s="4"/>
      <c r="AA78" s="4"/>
      <c r="AB78" s="4"/>
    </row>
    <row r="79" spans="1:28" ht="15.75" customHeight="1" x14ac:dyDescent="0.25">
      <c r="A79" s="887" t="s">
        <v>345</v>
      </c>
      <c r="B79" s="854">
        <v>56</v>
      </c>
      <c r="C79" s="855">
        <f t="shared" si="0"/>
        <v>45886</v>
      </c>
      <c r="D79" s="854" t="s">
        <v>31</v>
      </c>
      <c r="E79" s="856" t="s">
        <v>384</v>
      </c>
      <c r="F79" s="854">
        <v>7</v>
      </c>
      <c r="G79" s="854"/>
      <c r="H79" s="857"/>
      <c r="I79" s="854" t="str">
        <f t="shared" si="8"/>
        <v>0:00</v>
      </c>
      <c r="J79" s="854"/>
      <c r="K79" s="854"/>
      <c r="L79" s="854" t="str">
        <f t="shared" si="2"/>
        <v>0:00</v>
      </c>
      <c r="M79" s="856"/>
      <c r="N79" s="856"/>
      <c r="O79" s="858"/>
      <c r="P79" s="863"/>
      <c r="Q79" s="862"/>
      <c r="R79" s="4"/>
      <c r="T79" s="16">
        <f t="shared" si="9"/>
        <v>0</v>
      </c>
      <c r="U79" s="868">
        <f t="shared" si="4"/>
        <v>0</v>
      </c>
      <c r="V79" s="4">
        <v>70</v>
      </c>
      <c r="W79" s="4">
        <f t="shared" si="5"/>
        <v>77</v>
      </c>
      <c r="X79" s="868">
        <f t="shared" si="6"/>
        <v>75.142857142857139</v>
      </c>
      <c r="Y79" s="4"/>
      <c r="Z79" s="4"/>
      <c r="AA79" s="4"/>
      <c r="AB79" s="4"/>
    </row>
    <row r="80" spans="1:28" ht="15.75" customHeight="1" x14ac:dyDescent="0.25">
      <c r="A80" s="887"/>
      <c r="B80" s="854">
        <v>55</v>
      </c>
      <c r="C80" s="855">
        <f t="shared" si="0"/>
        <v>45887</v>
      </c>
      <c r="D80" s="854" t="s">
        <v>33</v>
      </c>
      <c r="E80" s="856" t="s">
        <v>385</v>
      </c>
      <c r="F80" s="854">
        <v>8</v>
      </c>
      <c r="G80" s="854"/>
      <c r="H80" s="857"/>
      <c r="I80" s="854" t="str">
        <f t="shared" si="8"/>
        <v>0:00</v>
      </c>
      <c r="J80" s="854"/>
      <c r="K80" s="854"/>
      <c r="L80" s="854" t="str">
        <f t="shared" si="2"/>
        <v>0:00</v>
      </c>
      <c r="M80" s="854"/>
      <c r="N80" s="854"/>
      <c r="O80" s="858"/>
      <c r="P80" s="863"/>
      <c r="Q80" s="864"/>
      <c r="R80" s="4"/>
      <c r="T80" s="16">
        <f t="shared" si="9"/>
        <v>0</v>
      </c>
      <c r="U80" s="868">
        <f t="shared" ref="U80:U135" si="10">SUM(T74:T80)/7</f>
        <v>0</v>
      </c>
      <c r="V80" s="4">
        <v>70</v>
      </c>
      <c r="W80" s="4">
        <f t="shared" ref="W80:W135" si="11">SUM(F74:F80)</f>
        <v>77</v>
      </c>
      <c r="X80" s="868">
        <f t="shared" ref="X80:X135" si="12">SUM(W74:W80)/7</f>
        <v>76</v>
      </c>
      <c r="Y80" s="4"/>
      <c r="Z80" s="4"/>
      <c r="AA80" s="4"/>
      <c r="AB80" s="4"/>
    </row>
    <row r="81" spans="1:28" ht="15.75" customHeight="1" x14ac:dyDescent="0.25">
      <c r="A81" s="887"/>
      <c r="B81" s="854">
        <v>54</v>
      </c>
      <c r="C81" s="855">
        <f t="shared" si="0"/>
        <v>45888</v>
      </c>
      <c r="D81" s="854" t="s">
        <v>34</v>
      </c>
      <c r="E81" s="856" t="s">
        <v>410</v>
      </c>
      <c r="F81" s="854">
        <v>17</v>
      </c>
      <c r="G81" s="854"/>
      <c r="H81" s="857"/>
      <c r="I81" s="854" t="str">
        <f t="shared" si="8"/>
        <v>0:00</v>
      </c>
      <c r="J81" s="857"/>
      <c r="K81" s="854"/>
      <c r="L81" s="854" t="str">
        <f t="shared" si="2"/>
        <v>0:00</v>
      </c>
      <c r="M81" s="854"/>
      <c r="N81" s="854"/>
      <c r="O81" s="858"/>
      <c r="P81" s="863"/>
      <c r="Q81" s="864"/>
      <c r="R81" s="4"/>
      <c r="T81" s="16">
        <f t="shared" si="9"/>
        <v>0</v>
      </c>
      <c r="U81" s="868">
        <f t="shared" si="10"/>
        <v>0</v>
      </c>
      <c r="V81" s="4">
        <v>70</v>
      </c>
      <c r="W81" s="4">
        <f t="shared" si="11"/>
        <v>78</v>
      </c>
      <c r="X81" s="868">
        <f t="shared" si="12"/>
        <v>77.285714285714292</v>
      </c>
      <c r="Y81" s="4"/>
      <c r="Z81" s="4"/>
      <c r="AA81" s="4"/>
      <c r="AB81" s="4"/>
    </row>
    <row r="82" spans="1:28" ht="15.75" customHeight="1" x14ac:dyDescent="0.25">
      <c r="A82" s="887"/>
      <c r="B82" s="854">
        <v>53</v>
      </c>
      <c r="C82" s="855">
        <f t="shared" si="0"/>
        <v>45889</v>
      </c>
      <c r="D82" s="854" t="s">
        <v>26</v>
      </c>
      <c r="E82" s="856" t="s">
        <v>384</v>
      </c>
      <c r="F82" s="854">
        <v>7</v>
      </c>
      <c r="G82" s="854"/>
      <c r="H82" s="857"/>
      <c r="I82" s="854" t="str">
        <f t="shared" si="8"/>
        <v>0:00</v>
      </c>
      <c r="J82" s="854"/>
      <c r="K82" s="854"/>
      <c r="L82" s="854" t="str">
        <f t="shared" si="2"/>
        <v>0:00</v>
      </c>
      <c r="M82" s="854"/>
      <c r="N82" s="854"/>
      <c r="O82" s="858"/>
      <c r="P82" s="861"/>
      <c r="Q82" s="865"/>
      <c r="R82" s="4"/>
      <c r="T82" s="16">
        <f t="shared" si="9"/>
        <v>0</v>
      </c>
      <c r="U82" s="868">
        <f t="shared" si="10"/>
        <v>0</v>
      </c>
      <c r="V82" s="4">
        <v>70</v>
      </c>
      <c r="W82" s="4">
        <f t="shared" si="11"/>
        <v>77</v>
      </c>
      <c r="X82" s="868">
        <f t="shared" si="12"/>
        <v>78</v>
      </c>
      <c r="Y82" s="4"/>
      <c r="Z82" s="4"/>
      <c r="AA82" s="4"/>
      <c r="AB82" s="4"/>
    </row>
    <row r="83" spans="1:28" ht="15.75" customHeight="1" x14ac:dyDescent="0.25">
      <c r="A83" s="887"/>
      <c r="B83" s="854">
        <v>52</v>
      </c>
      <c r="C83" s="855">
        <f t="shared" si="0"/>
        <v>45890</v>
      </c>
      <c r="D83" s="854" t="s">
        <v>27</v>
      </c>
      <c r="E83" s="856" t="s">
        <v>437</v>
      </c>
      <c r="F83" s="854">
        <v>10</v>
      </c>
      <c r="G83" s="854"/>
      <c r="H83" s="857"/>
      <c r="I83" s="854" t="str">
        <f t="shared" si="8"/>
        <v>0:00</v>
      </c>
      <c r="J83" s="854"/>
      <c r="K83" s="854"/>
      <c r="L83" s="854" t="str">
        <f t="shared" si="2"/>
        <v>0:00</v>
      </c>
      <c r="M83" s="854"/>
      <c r="N83" s="859"/>
      <c r="O83" s="858"/>
      <c r="P83" s="861">
        <f>N84+P76</f>
        <v>0.83822916666666669</v>
      </c>
      <c r="Q83" s="865"/>
      <c r="R83" s="4"/>
      <c r="S83" s="4"/>
      <c r="T83" s="16">
        <f t="shared" si="9"/>
        <v>0</v>
      </c>
      <c r="U83" s="868">
        <f t="shared" si="10"/>
        <v>0</v>
      </c>
      <c r="V83" s="4">
        <v>70</v>
      </c>
      <c r="W83" s="4">
        <f t="shared" si="11"/>
        <v>77</v>
      </c>
      <c r="X83" s="868">
        <f t="shared" si="12"/>
        <v>78</v>
      </c>
      <c r="Y83" s="4"/>
      <c r="Z83" s="4"/>
      <c r="AA83" s="4"/>
      <c r="AB83" s="4"/>
    </row>
    <row r="84" spans="1:28" ht="15.75" customHeight="1" x14ac:dyDescent="0.25">
      <c r="A84" s="887"/>
      <c r="B84" s="854">
        <v>51</v>
      </c>
      <c r="C84" s="855">
        <f t="shared" si="0"/>
        <v>45891</v>
      </c>
      <c r="D84" s="854" t="s">
        <v>28</v>
      </c>
      <c r="E84" s="856" t="s">
        <v>440</v>
      </c>
      <c r="F84" s="854">
        <v>7</v>
      </c>
      <c r="G84" s="854"/>
      <c r="H84" s="857"/>
      <c r="I84" s="854" t="str">
        <f t="shared" si="8"/>
        <v>0:00</v>
      </c>
      <c r="J84" s="854"/>
      <c r="K84" s="854"/>
      <c r="L84" s="854" t="str">
        <f t="shared" si="2"/>
        <v>0:00</v>
      </c>
      <c r="M84" s="854"/>
      <c r="N84" s="859">
        <f>SUM(H79:H85)</f>
        <v>0</v>
      </c>
      <c r="O84" s="858"/>
      <c r="P84" s="863">
        <f>N85+P77</f>
        <v>151.18</v>
      </c>
      <c r="Q84" s="866"/>
      <c r="R84" s="4"/>
      <c r="S84" s="4"/>
      <c r="T84" s="16">
        <f t="shared" si="9"/>
        <v>0</v>
      </c>
      <c r="U84" s="868">
        <f t="shared" si="10"/>
        <v>0</v>
      </c>
      <c r="V84" s="4">
        <v>70</v>
      </c>
      <c r="W84" s="4">
        <f t="shared" si="11"/>
        <v>76</v>
      </c>
      <c r="X84" s="868">
        <f t="shared" si="12"/>
        <v>77.428571428571431</v>
      </c>
      <c r="Y84" s="4"/>
      <c r="Z84" s="4"/>
      <c r="AA84" s="4"/>
      <c r="AB84" s="4"/>
    </row>
    <row r="85" spans="1:28" ht="15.75" customHeight="1" x14ac:dyDescent="0.25">
      <c r="A85" s="887"/>
      <c r="B85" s="854">
        <v>50</v>
      </c>
      <c r="C85" s="855">
        <f t="shared" si="0"/>
        <v>45892</v>
      </c>
      <c r="D85" s="854" t="s">
        <v>30</v>
      </c>
      <c r="E85" s="856" t="s">
        <v>484</v>
      </c>
      <c r="F85" s="854">
        <v>18</v>
      </c>
      <c r="G85" s="854"/>
      <c r="H85" s="857"/>
      <c r="I85" s="854" t="str">
        <f t="shared" si="8"/>
        <v>0:00</v>
      </c>
      <c r="J85" s="854"/>
      <c r="K85" s="854"/>
      <c r="L85" s="854" t="str">
        <f t="shared" si="2"/>
        <v>0:00</v>
      </c>
      <c r="M85" s="856">
        <f>SUM(F79:F85)</f>
        <v>74</v>
      </c>
      <c r="N85" s="854">
        <f>SUM(G79:G85)</f>
        <v>0</v>
      </c>
      <c r="O85" s="858"/>
      <c r="P85" s="863">
        <f>M85+P78</f>
        <v>790</v>
      </c>
      <c r="Q85" s="862">
        <f>P84/P85</f>
        <v>0.19136708860759494</v>
      </c>
      <c r="R85" s="4"/>
      <c r="S85" s="4"/>
      <c r="T85" s="16">
        <f t="shared" si="9"/>
        <v>0</v>
      </c>
      <c r="U85" s="868">
        <f t="shared" si="10"/>
        <v>0</v>
      </c>
      <c r="V85" s="4">
        <v>70</v>
      </c>
      <c r="W85" s="4">
        <f t="shared" si="11"/>
        <v>74</v>
      </c>
      <c r="X85" s="868">
        <f t="shared" si="12"/>
        <v>76.571428571428569</v>
      </c>
      <c r="Y85" s="4"/>
      <c r="Z85" s="4"/>
      <c r="AA85" s="4"/>
      <c r="AB85" s="4"/>
    </row>
    <row r="86" spans="1:28" ht="15.75" customHeight="1" x14ac:dyDescent="0.25">
      <c r="A86" s="885" t="s">
        <v>42</v>
      </c>
      <c r="B86" s="6">
        <v>49</v>
      </c>
      <c r="C86" s="17">
        <f t="shared" si="0"/>
        <v>45893</v>
      </c>
      <c r="D86" s="6" t="s">
        <v>31</v>
      </c>
      <c r="E86" s="4" t="s">
        <v>437</v>
      </c>
      <c r="F86" s="6">
        <v>10</v>
      </c>
      <c r="G86" s="6"/>
      <c r="H86" s="29"/>
      <c r="I86" s="6" t="str">
        <f t="shared" si="8"/>
        <v>0:00</v>
      </c>
      <c r="J86" s="6"/>
      <c r="K86" s="6"/>
      <c r="L86" s="6" t="str">
        <f t="shared" si="2"/>
        <v>0:00</v>
      </c>
      <c r="M86" s="4"/>
      <c r="N86" s="4"/>
      <c r="O86" s="16"/>
      <c r="P86" s="863"/>
      <c r="Q86" s="862"/>
      <c r="R86" s="4"/>
      <c r="S86" s="4"/>
      <c r="T86" s="16">
        <f t="shared" si="9"/>
        <v>0</v>
      </c>
      <c r="U86" s="868">
        <f t="shared" si="10"/>
        <v>0</v>
      </c>
      <c r="V86" s="4">
        <v>70</v>
      </c>
      <c r="W86" s="4">
        <f t="shared" si="11"/>
        <v>77</v>
      </c>
      <c r="X86" s="868">
        <f t="shared" si="12"/>
        <v>76.571428571428569</v>
      </c>
      <c r="Y86" s="4"/>
      <c r="Z86" s="4"/>
      <c r="AA86" s="4"/>
      <c r="AB86" s="4"/>
    </row>
    <row r="87" spans="1:28" ht="15.75" customHeight="1" x14ac:dyDescent="0.25">
      <c r="A87" s="885"/>
      <c r="B87" s="6">
        <v>48</v>
      </c>
      <c r="C87" s="17">
        <f t="shared" si="0"/>
        <v>45894</v>
      </c>
      <c r="D87" s="6" t="s">
        <v>33</v>
      </c>
      <c r="E87" s="4" t="s">
        <v>384</v>
      </c>
      <c r="F87" s="6">
        <v>7</v>
      </c>
      <c r="G87" s="6"/>
      <c r="H87" s="29"/>
      <c r="I87" s="6" t="str">
        <f t="shared" si="8"/>
        <v>0:00</v>
      </c>
      <c r="J87" s="6"/>
      <c r="K87" s="6"/>
      <c r="L87" s="6" t="str">
        <f t="shared" si="2"/>
        <v>0:00</v>
      </c>
      <c r="M87" s="6"/>
      <c r="N87" s="6"/>
      <c r="O87" s="16"/>
      <c r="P87" s="863"/>
      <c r="Q87" s="864"/>
      <c r="R87" s="4"/>
      <c r="S87" s="4"/>
      <c r="T87" s="16">
        <f t="shared" si="9"/>
        <v>0</v>
      </c>
      <c r="U87" s="868">
        <f t="shared" si="10"/>
        <v>0</v>
      </c>
      <c r="V87" s="4">
        <v>70</v>
      </c>
      <c r="W87" s="4">
        <f t="shared" si="11"/>
        <v>76</v>
      </c>
      <c r="X87" s="868">
        <f t="shared" si="12"/>
        <v>76.428571428571431</v>
      </c>
      <c r="Y87" s="4"/>
      <c r="Z87" s="4"/>
      <c r="AA87" s="4"/>
      <c r="AB87" s="4"/>
    </row>
    <row r="88" spans="1:28" ht="15.75" customHeight="1" x14ac:dyDescent="0.25">
      <c r="A88" s="885"/>
      <c r="B88" s="6">
        <v>47</v>
      </c>
      <c r="C88" s="17">
        <f t="shared" si="0"/>
        <v>45895</v>
      </c>
      <c r="D88" s="6" t="s">
        <v>34</v>
      </c>
      <c r="E88" s="4" t="s">
        <v>412</v>
      </c>
      <c r="F88" s="6">
        <v>15</v>
      </c>
      <c r="G88" s="6"/>
      <c r="H88" s="29"/>
      <c r="I88" s="6" t="str">
        <f t="shared" si="8"/>
        <v>0:00</v>
      </c>
      <c r="J88" s="29"/>
      <c r="K88" s="6"/>
      <c r="L88" s="6" t="str">
        <f t="shared" si="2"/>
        <v>0:00</v>
      </c>
      <c r="M88" s="6"/>
      <c r="N88" s="6"/>
      <c r="O88" s="16"/>
      <c r="P88" s="863"/>
      <c r="Q88" s="864"/>
      <c r="R88" s="4"/>
      <c r="S88" s="4"/>
      <c r="T88" s="16">
        <f t="shared" si="9"/>
        <v>0</v>
      </c>
      <c r="U88" s="868">
        <f t="shared" si="10"/>
        <v>0</v>
      </c>
      <c r="V88" s="4">
        <v>70</v>
      </c>
      <c r="W88" s="4">
        <f t="shared" si="11"/>
        <v>74</v>
      </c>
      <c r="X88" s="868">
        <f t="shared" si="12"/>
        <v>75.857142857142861</v>
      </c>
      <c r="Y88" s="4"/>
      <c r="Z88" s="4"/>
      <c r="AA88" s="4"/>
      <c r="AB88" s="4"/>
    </row>
    <row r="89" spans="1:28" ht="15.75" customHeight="1" x14ac:dyDescent="0.25">
      <c r="A89" s="885"/>
      <c r="B89" s="6">
        <v>46</v>
      </c>
      <c r="C89" s="17">
        <f t="shared" si="0"/>
        <v>45896</v>
      </c>
      <c r="D89" s="6" t="s">
        <v>26</v>
      </c>
      <c r="E89" s="4" t="s">
        <v>380</v>
      </c>
      <c r="F89" s="6">
        <v>5</v>
      </c>
      <c r="G89" s="6"/>
      <c r="H89" s="29"/>
      <c r="I89" s="6" t="str">
        <f t="shared" si="8"/>
        <v>0:00</v>
      </c>
      <c r="J89" s="6"/>
      <c r="K89" s="6"/>
      <c r="L89" s="6" t="str">
        <f t="shared" si="2"/>
        <v>0:00</v>
      </c>
      <c r="M89" s="6"/>
      <c r="N89" s="6"/>
      <c r="O89" s="16"/>
      <c r="P89" s="861"/>
      <c r="Q89" s="865"/>
      <c r="R89" s="4"/>
      <c r="S89" s="4"/>
      <c r="T89" s="16">
        <f t="shared" si="9"/>
        <v>0</v>
      </c>
      <c r="U89" s="868">
        <f t="shared" si="10"/>
        <v>0</v>
      </c>
      <c r="V89" s="4">
        <v>70</v>
      </c>
      <c r="W89" s="4">
        <f t="shared" si="11"/>
        <v>72</v>
      </c>
      <c r="X89" s="868">
        <f t="shared" si="12"/>
        <v>75.142857142857139</v>
      </c>
      <c r="Y89" s="4"/>
      <c r="Z89" s="4"/>
      <c r="AA89" s="4"/>
      <c r="AB89" s="4"/>
    </row>
    <row r="90" spans="1:28" ht="15.75" customHeight="1" x14ac:dyDescent="0.25">
      <c r="A90" s="885"/>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0.83822916666666669</v>
      </c>
      <c r="Q90" s="865"/>
      <c r="R90" s="4"/>
      <c r="S90" s="4"/>
      <c r="T90" s="16">
        <f t="shared" si="9"/>
        <v>0</v>
      </c>
      <c r="U90" s="868">
        <f t="shared" si="10"/>
        <v>0</v>
      </c>
      <c r="V90" s="4">
        <v>70</v>
      </c>
      <c r="W90" s="4">
        <f t="shared" si="11"/>
        <v>72</v>
      </c>
      <c r="X90" s="868">
        <f t="shared" si="12"/>
        <v>74.428571428571431</v>
      </c>
      <c r="Y90" s="4"/>
      <c r="Z90" s="4"/>
      <c r="AA90" s="4"/>
      <c r="AB90" s="4"/>
    </row>
    <row r="91" spans="1:28" ht="15.75" customHeight="1" x14ac:dyDescent="0.25">
      <c r="A91" s="885"/>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151.18</v>
      </c>
      <c r="Q91" s="866"/>
      <c r="R91" s="4"/>
      <c r="S91" s="6"/>
      <c r="T91" s="16">
        <f t="shared" si="9"/>
        <v>0</v>
      </c>
      <c r="U91" s="868">
        <f t="shared" si="10"/>
        <v>0</v>
      </c>
      <c r="V91" s="4">
        <v>70</v>
      </c>
      <c r="W91" s="4">
        <f t="shared" si="11"/>
        <v>70</v>
      </c>
      <c r="X91" s="868">
        <f t="shared" si="12"/>
        <v>73.571428571428569</v>
      </c>
      <c r="Y91" s="4"/>
      <c r="Z91" s="4"/>
      <c r="AA91" s="4"/>
      <c r="AB91" s="4"/>
    </row>
    <row r="92" spans="1:28" ht="15.75" customHeight="1" x14ac:dyDescent="0.25">
      <c r="A92" s="885"/>
      <c r="B92" s="6">
        <v>43</v>
      </c>
      <c r="C92" s="17">
        <f t="shared" si="0"/>
        <v>45899</v>
      </c>
      <c r="D92" s="6" t="s">
        <v>30</v>
      </c>
      <c r="E92" s="4" t="s">
        <v>411</v>
      </c>
      <c r="F92" s="6">
        <v>20</v>
      </c>
      <c r="G92" s="6"/>
      <c r="H92" s="29"/>
      <c r="I92" s="6" t="str">
        <f t="shared" si="8"/>
        <v>0:00</v>
      </c>
      <c r="J92" s="29"/>
      <c r="K92" s="6"/>
      <c r="L92" s="6" t="str">
        <f t="shared" si="2"/>
        <v>0:00</v>
      </c>
      <c r="M92" s="4">
        <f>SUM(F86:F92)</f>
        <v>72</v>
      </c>
      <c r="N92" s="6">
        <f>SUM(G86:G92)</f>
        <v>0</v>
      </c>
      <c r="O92" s="16"/>
      <c r="P92" s="863">
        <f>M92+P85</f>
        <v>862</v>
      </c>
      <c r="Q92" s="862">
        <f>P91/P92</f>
        <v>0.17538283062645013</v>
      </c>
      <c r="R92" s="4"/>
      <c r="S92" s="6"/>
      <c r="T92" s="16">
        <f t="shared" si="9"/>
        <v>0</v>
      </c>
      <c r="U92" s="868">
        <f t="shared" si="10"/>
        <v>0</v>
      </c>
      <c r="V92" s="4">
        <v>70</v>
      </c>
      <c r="W92" s="4">
        <f t="shared" si="11"/>
        <v>72</v>
      </c>
      <c r="X92" s="868">
        <f t="shared" si="12"/>
        <v>73.285714285714292</v>
      </c>
      <c r="Y92" s="4"/>
      <c r="Z92" s="4"/>
      <c r="AA92" s="4"/>
      <c r="AB92" s="4"/>
    </row>
    <row r="93" spans="1:28" ht="15.75" customHeight="1" x14ac:dyDescent="0.25">
      <c r="A93" s="887" t="s">
        <v>43</v>
      </c>
      <c r="B93" s="854">
        <v>42</v>
      </c>
      <c r="C93" s="855">
        <f t="shared" si="0"/>
        <v>45900</v>
      </c>
      <c r="D93" s="854" t="s">
        <v>31</v>
      </c>
      <c r="E93" s="856" t="s">
        <v>385</v>
      </c>
      <c r="F93" s="854">
        <v>8</v>
      </c>
      <c r="G93" s="854"/>
      <c r="H93" s="857"/>
      <c r="I93" s="854" t="str">
        <f t="shared" si="8"/>
        <v>0:00</v>
      </c>
      <c r="J93" s="854"/>
      <c r="K93" s="854"/>
      <c r="L93" s="854" t="str">
        <f t="shared" si="2"/>
        <v>0:00</v>
      </c>
      <c r="M93" s="856"/>
      <c r="N93" s="856"/>
      <c r="O93" s="858"/>
      <c r="P93" s="863"/>
      <c r="Q93" s="862"/>
      <c r="R93" s="4"/>
      <c r="S93" s="4"/>
      <c r="T93" s="16">
        <f t="shared" si="9"/>
        <v>0</v>
      </c>
      <c r="U93" s="868">
        <f t="shared" si="10"/>
        <v>0</v>
      </c>
      <c r="V93" s="4">
        <v>70</v>
      </c>
      <c r="W93" s="4">
        <f t="shared" si="11"/>
        <v>70</v>
      </c>
      <c r="X93" s="868">
        <f t="shared" si="12"/>
        <v>72.285714285714292</v>
      </c>
      <c r="Y93" s="4"/>
      <c r="Z93" s="4"/>
      <c r="AA93" s="4"/>
      <c r="AB93" s="4"/>
    </row>
    <row r="94" spans="1:28" ht="15.75" customHeight="1" x14ac:dyDescent="0.25">
      <c r="A94" s="887"/>
      <c r="B94" s="854">
        <v>41</v>
      </c>
      <c r="C94" s="855">
        <f t="shared" si="0"/>
        <v>45901</v>
      </c>
      <c r="D94" s="854" t="s">
        <v>33</v>
      </c>
      <c r="E94" s="856" t="s">
        <v>437</v>
      </c>
      <c r="F94" s="854">
        <v>10</v>
      </c>
      <c r="G94" s="854"/>
      <c r="H94" s="857"/>
      <c r="I94" s="854" t="str">
        <f t="shared" si="8"/>
        <v>0:00</v>
      </c>
      <c r="J94" s="854"/>
      <c r="K94" s="854"/>
      <c r="L94" s="854" t="str">
        <f t="shared" si="2"/>
        <v>0:00</v>
      </c>
      <c r="M94" s="854"/>
      <c r="N94" s="854"/>
      <c r="O94" s="858"/>
      <c r="P94" s="863"/>
      <c r="Q94" s="864"/>
      <c r="R94" s="4"/>
      <c r="S94" s="4"/>
      <c r="T94" s="16">
        <f t="shared" si="9"/>
        <v>0</v>
      </c>
      <c r="U94" s="868">
        <f t="shared" si="10"/>
        <v>0</v>
      </c>
      <c r="V94" s="4">
        <v>70</v>
      </c>
      <c r="W94" s="4">
        <f t="shared" si="11"/>
        <v>73</v>
      </c>
      <c r="X94" s="868">
        <f t="shared" si="12"/>
        <v>71.857142857142861</v>
      </c>
      <c r="Y94" s="4"/>
      <c r="Z94" s="4"/>
      <c r="AA94" s="4"/>
      <c r="AB94" s="4"/>
    </row>
    <row r="95" spans="1:28" ht="15.75" customHeight="1" x14ac:dyDescent="0.25">
      <c r="A95" s="887"/>
      <c r="B95" s="854">
        <v>40</v>
      </c>
      <c r="C95" s="855">
        <f t="shared" si="0"/>
        <v>45902</v>
      </c>
      <c r="D95" s="854" t="s">
        <v>34</v>
      </c>
      <c r="E95" s="856" t="s">
        <v>414</v>
      </c>
      <c r="F95" s="854">
        <v>14</v>
      </c>
      <c r="G95" s="854"/>
      <c r="H95" s="857"/>
      <c r="I95" s="854" t="str">
        <f t="shared" si="8"/>
        <v>0:00</v>
      </c>
      <c r="J95" s="857"/>
      <c r="K95" s="854"/>
      <c r="L95" s="854" t="str">
        <f t="shared" si="2"/>
        <v>0:00</v>
      </c>
      <c r="M95" s="854"/>
      <c r="N95" s="854"/>
      <c r="O95" s="858"/>
      <c r="P95" s="863"/>
      <c r="Q95" s="864"/>
      <c r="R95" s="4"/>
      <c r="S95" s="4"/>
      <c r="T95" s="16">
        <f t="shared" si="9"/>
        <v>0</v>
      </c>
      <c r="U95" s="868">
        <f t="shared" si="10"/>
        <v>0</v>
      </c>
      <c r="V95" s="4">
        <v>70</v>
      </c>
      <c r="W95" s="4">
        <f t="shared" si="11"/>
        <v>72</v>
      </c>
      <c r="X95" s="868">
        <f t="shared" si="12"/>
        <v>71.571428571428569</v>
      </c>
      <c r="Y95" s="4"/>
      <c r="Z95" s="4"/>
      <c r="AA95" s="4"/>
    </row>
    <row r="96" spans="1:28" ht="15.75" customHeight="1" x14ac:dyDescent="0.25">
      <c r="A96" s="887"/>
      <c r="B96" s="854">
        <v>39</v>
      </c>
      <c r="C96" s="855">
        <f t="shared" si="0"/>
        <v>45903</v>
      </c>
      <c r="D96" s="854" t="s">
        <v>26</v>
      </c>
      <c r="E96" s="856" t="s">
        <v>437</v>
      </c>
      <c r="F96" s="854">
        <v>10</v>
      </c>
      <c r="G96" s="854"/>
      <c r="H96" s="857"/>
      <c r="I96" s="854" t="str">
        <f t="shared" si="8"/>
        <v>0:00</v>
      </c>
      <c r="J96" s="854"/>
      <c r="K96" s="854"/>
      <c r="L96" s="854" t="str">
        <f t="shared" si="2"/>
        <v>0:00</v>
      </c>
      <c r="M96" s="854"/>
      <c r="N96" s="854"/>
      <c r="O96" s="858"/>
      <c r="P96" s="861"/>
      <c r="Q96" s="865"/>
      <c r="R96" s="4"/>
      <c r="S96" s="4"/>
      <c r="T96" s="16">
        <f t="shared" si="9"/>
        <v>0</v>
      </c>
      <c r="U96" s="868">
        <f t="shared" si="10"/>
        <v>0</v>
      </c>
      <c r="V96" s="4">
        <v>70</v>
      </c>
      <c r="W96" s="4">
        <f t="shared" si="11"/>
        <v>77</v>
      </c>
      <c r="X96" s="868">
        <f t="shared" si="12"/>
        <v>72.285714285714292</v>
      </c>
      <c r="Y96" s="4"/>
      <c r="Z96" s="4"/>
      <c r="AA96" s="4"/>
      <c r="AB96" s="4"/>
    </row>
    <row r="97" spans="1:28" ht="15.75" customHeight="1" x14ac:dyDescent="0.25">
      <c r="A97" s="887"/>
      <c r="B97" s="854">
        <v>38</v>
      </c>
      <c r="C97" s="855">
        <f t="shared" si="0"/>
        <v>45904</v>
      </c>
      <c r="D97" s="854" t="s">
        <v>27</v>
      </c>
      <c r="E97" s="856" t="s">
        <v>443</v>
      </c>
      <c r="F97" s="854">
        <v>12</v>
      </c>
      <c r="G97" s="854"/>
      <c r="H97" s="857"/>
      <c r="I97" s="854" t="str">
        <f t="shared" si="8"/>
        <v>0:00</v>
      </c>
      <c r="J97" s="854"/>
      <c r="K97" s="854"/>
      <c r="L97" s="854" t="str">
        <f t="shared" si="2"/>
        <v>0:00</v>
      </c>
      <c r="M97" s="854"/>
      <c r="N97" s="859"/>
      <c r="O97" s="858"/>
      <c r="P97" s="861">
        <f>N98+P90</f>
        <v>0.83822916666666669</v>
      </c>
      <c r="Q97" s="865"/>
      <c r="R97" s="4"/>
      <c r="S97" s="4"/>
      <c r="T97" s="16">
        <f t="shared" si="9"/>
        <v>0</v>
      </c>
      <c r="U97" s="868">
        <f t="shared" si="10"/>
        <v>0</v>
      </c>
      <c r="V97" s="4">
        <v>70</v>
      </c>
      <c r="W97" s="4">
        <f t="shared" si="11"/>
        <v>79</v>
      </c>
      <c r="X97" s="868">
        <f t="shared" si="12"/>
        <v>73.285714285714292</v>
      </c>
      <c r="Y97" s="4"/>
      <c r="Z97" s="4"/>
      <c r="AA97" s="4"/>
      <c r="AB97" s="4"/>
    </row>
    <row r="98" spans="1:28" ht="15.75" customHeight="1" x14ac:dyDescent="0.25">
      <c r="A98" s="887"/>
      <c r="B98" s="854">
        <v>37</v>
      </c>
      <c r="C98" s="855">
        <f t="shared" si="0"/>
        <v>45905</v>
      </c>
      <c r="D98" s="854" t="s">
        <v>28</v>
      </c>
      <c r="E98" s="856" t="s">
        <v>386</v>
      </c>
      <c r="F98" s="854">
        <v>8</v>
      </c>
      <c r="G98" s="854"/>
      <c r="H98" s="857"/>
      <c r="I98" s="854" t="str">
        <f t="shared" si="8"/>
        <v>0:00</v>
      </c>
      <c r="J98" s="854"/>
      <c r="K98" s="854"/>
      <c r="L98" s="854" t="str">
        <f t="shared" si="2"/>
        <v>0:00</v>
      </c>
      <c r="M98" s="854"/>
      <c r="N98" s="859">
        <f>SUM(H93:H99)</f>
        <v>0</v>
      </c>
      <c r="O98" s="858"/>
      <c r="P98" s="863">
        <f>N99+P91</f>
        <v>151.18</v>
      </c>
      <c r="Q98" s="866"/>
      <c r="R98" s="4"/>
      <c r="S98" s="4"/>
      <c r="T98" s="16">
        <f t="shared" si="9"/>
        <v>0</v>
      </c>
      <c r="U98" s="868">
        <f t="shared" si="10"/>
        <v>0</v>
      </c>
      <c r="V98" s="4">
        <v>70</v>
      </c>
      <c r="W98" s="4">
        <f t="shared" si="11"/>
        <v>82</v>
      </c>
      <c r="X98" s="868">
        <f t="shared" si="12"/>
        <v>75</v>
      </c>
      <c r="Y98" s="4"/>
      <c r="Z98" s="4"/>
      <c r="AA98" s="4"/>
      <c r="AB98" s="4"/>
    </row>
    <row r="99" spans="1:28" ht="15.75" customHeight="1" x14ac:dyDescent="0.25">
      <c r="A99" s="887"/>
      <c r="B99" s="854">
        <v>36</v>
      </c>
      <c r="C99" s="855">
        <f t="shared" si="0"/>
        <v>45906</v>
      </c>
      <c r="D99" s="854" t="s">
        <v>30</v>
      </c>
      <c r="E99" s="856" t="s">
        <v>413</v>
      </c>
      <c r="F99" s="854">
        <v>18</v>
      </c>
      <c r="G99" s="854"/>
      <c r="H99" s="857"/>
      <c r="I99" s="854" t="str">
        <f t="shared" si="8"/>
        <v>0:00</v>
      </c>
      <c r="J99" s="857"/>
      <c r="K99" s="854"/>
      <c r="L99" s="854" t="str">
        <f t="shared" si="2"/>
        <v>0:00</v>
      </c>
      <c r="M99" s="856">
        <f>SUM(F93:F99)</f>
        <v>80</v>
      </c>
      <c r="N99" s="854">
        <f>SUM(G93:G99)</f>
        <v>0</v>
      </c>
      <c r="O99" s="858"/>
      <c r="P99" s="863">
        <f>M99+P92</f>
        <v>942</v>
      </c>
      <c r="Q99" s="862">
        <f>P98/P99</f>
        <v>0.16048832271762209</v>
      </c>
      <c r="R99" s="4"/>
      <c r="S99" s="4"/>
      <c r="T99" s="16">
        <f t="shared" si="9"/>
        <v>0</v>
      </c>
      <c r="U99" s="868">
        <f t="shared" si="10"/>
        <v>0</v>
      </c>
      <c r="V99" s="4">
        <v>70</v>
      </c>
      <c r="W99" s="4">
        <f t="shared" si="11"/>
        <v>80</v>
      </c>
      <c r="X99" s="868">
        <f t="shared" si="12"/>
        <v>76.142857142857139</v>
      </c>
      <c r="Y99" s="4"/>
      <c r="Z99" s="4"/>
      <c r="AA99" s="4"/>
      <c r="AB99" s="4"/>
    </row>
    <row r="100" spans="1:28" ht="15.75" customHeight="1" x14ac:dyDescent="0.25">
      <c r="A100" s="885" t="s">
        <v>44</v>
      </c>
      <c r="B100" s="6">
        <v>35</v>
      </c>
      <c r="C100" s="17">
        <f t="shared" si="0"/>
        <v>45907</v>
      </c>
      <c r="D100" s="6" t="s">
        <v>31</v>
      </c>
      <c r="E100" s="4" t="s">
        <v>437</v>
      </c>
      <c r="F100" s="6">
        <v>10</v>
      </c>
      <c r="G100" s="6"/>
      <c r="H100" s="29"/>
      <c r="I100" s="6" t="str">
        <f t="shared" si="8"/>
        <v>0:00</v>
      </c>
      <c r="J100" s="6"/>
      <c r="K100" s="6"/>
      <c r="L100" s="6" t="str">
        <f t="shared" si="2"/>
        <v>0:00</v>
      </c>
      <c r="M100" s="4"/>
      <c r="N100" s="4"/>
      <c r="O100" s="16"/>
      <c r="P100" s="863"/>
      <c r="Q100" s="862"/>
      <c r="R100" s="4"/>
      <c r="S100" s="4"/>
      <c r="T100" s="16">
        <f t="shared" si="9"/>
        <v>0</v>
      </c>
      <c r="U100" s="868">
        <f t="shared" si="10"/>
        <v>0</v>
      </c>
      <c r="V100" s="4">
        <v>70</v>
      </c>
      <c r="W100" s="4">
        <f t="shared" si="11"/>
        <v>82</v>
      </c>
      <c r="X100" s="868">
        <f t="shared" si="12"/>
        <v>77.857142857142861</v>
      </c>
      <c r="Y100" s="4"/>
      <c r="Z100" s="4"/>
      <c r="AA100" s="4"/>
      <c r="AB100" s="4"/>
    </row>
    <row r="101" spans="1:28" ht="15.75" customHeight="1" x14ac:dyDescent="0.25">
      <c r="A101" s="885"/>
      <c r="B101" s="6">
        <v>34</v>
      </c>
      <c r="C101" s="17">
        <f t="shared" si="0"/>
        <v>45908</v>
      </c>
      <c r="D101" s="6" t="s">
        <v>33</v>
      </c>
      <c r="E101" s="4" t="s">
        <v>443</v>
      </c>
      <c r="F101" s="6">
        <v>12</v>
      </c>
      <c r="G101" s="6"/>
      <c r="H101" s="29"/>
      <c r="I101" s="6" t="str">
        <f t="shared" si="8"/>
        <v>0:00</v>
      </c>
      <c r="J101" s="6"/>
      <c r="K101" s="6"/>
      <c r="L101" s="6" t="str">
        <f t="shared" si="2"/>
        <v>0:00</v>
      </c>
      <c r="M101" s="6"/>
      <c r="N101" s="6"/>
      <c r="O101" s="16"/>
      <c r="P101" s="863"/>
      <c r="Q101" s="864"/>
      <c r="R101" s="4"/>
      <c r="S101" s="4"/>
      <c r="T101" s="16">
        <f t="shared" si="9"/>
        <v>0</v>
      </c>
      <c r="U101" s="868">
        <f t="shared" si="10"/>
        <v>0</v>
      </c>
      <c r="V101" s="4">
        <v>70</v>
      </c>
      <c r="W101" s="4">
        <f t="shared" si="11"/>
        <v>84</v>
      </c>
      <c r="X101" s="868">
        <f t="shared" si="12"/>
        <v>79.428571428571431</v>
      </c>
      <c r="Y101" s="4"/>
      <c r="Z101" s="4"/>
      <c r="AA101" s="4"/>
      <c r="AB101" s="4"/>
    </row>
    <row r="102" spans="1:28" ht="15.75" customHeight="1" x14ac:dyDescent="0.25">
      <c r="A102" s="885"/>
      <c r="B102" s="6">
        <v>33</v>
      </c>
      <c r="C102" s="17">
        <f t="shared" si="0"/>
        <v>45909</v>
      </c>
      <c r="D102" s="6" t="s">
        <v>34</v>
      </c>
      <c r="E102" s="4" t="s">
        <v>384</v>
      </c>
      <c r="F102" s="6">
        <v>7</v>
      </c>
      <c r="G102" s="6"/>
      <c r="H102" s="29"/>
      <c r="I102" s="6" t="str">
        <f t="shared" si="8"/>
        <v>0:00</v>
      </c>
      <c r="J102" s="6"/>
      <c r="K102" s="6"/>
      <c r="L102" s="6" t="str">
        <f t="shared" si="2"/>
        <v>0:00</v>
      </c>
      <c r="M102" s="6"/>
      <c r="N102" s="6"/>
      <c r="O102" s="16"/>
      <c r="P102" s="863"/>
      <c r="Q102" s="864"/>
      <c r="R102" s="4"/>
      <c r="S102" s="4"/>
      <c r="T102" s="16">
        <f t="shared" si="9"/>
        <v>0</v>
      </c>
      <c r="U102" s="868">
        <f t="shared" si="10"/>
        <v>0</v>
      </c>
      <c r="V102" s="4">
        <v>70</v>
      </c>
      <c r="W102" s="4">
        <f t="shared" si="11"/>
        <v>77</v>
      </c>
      <c r="X102" s="868">
        <f t="shared" si="12"/>
        <v>80.142857142857139</v>
      </c>
      <c r="Y102" s="4"/>
      <c r="Z102" s="4"/>
      <c r="AA102" s="4"/>
      <c r="AB102" s="4"/>
    </row>
    <row r="103" spans="1:28" ht="15.75" customHeight="1" x14ac:dyDescent="0.25">
      <c r="A103" s="885"/>
      <c r="B103" s="6">
        <v>32</v>
      </c>
      <c r="C103" s="17">
        <f t="shared" si="0"/>
        <v>45910</v>
      </c>
      <c r="D103" s="6" t="s">
        <v>26</v>
      </c>
      <c r="E103" s="4" t="s">
        <v>416</v>
      </c>
      <c r="F103" s="6">
        <v>14</v>
      </c>
      <c r="G103" s="6"/>
      <c r="H103" s="29"/>
      <c r="I103" s="6" t="str">
        <f t="shared" si="8"/>
        <v>0:00</v>
      </c>
      <c r="J103" s="29"/>
      <c r="K103" s="6"/>
      <c r="L103" s="6" t="str">
        <f t="shared" si="2"/>
        <v>0:00</v>
      </c>
      <c r="M103" s="6"/>
      <c r="N103" s="6"/>
      <c r="O103" s="16"/>
      <c r="P103" s="861"/>
      <c r="Q103" s="865"/>
      <c r="R103" s="4"/>
      <c r="S103" s="4"/>
      <c r="T103" s="16">
        <f t="shared" si="9"/>
        <v>0</v>
      </c>
      <c r="U103" s="868">
        <f t="shared" si="10"/>
        <v>0</v>
      </c>
      <c r="V103" s="4">
        <v>70</v>
      </c>
      <c r="W103" s="4">
        <f t="shared" si="11"/>
        <v>81</v>
      </c>
      <c r="X103" s="868">
        <f t="shared" si="12"/>
        <v>80.714285714285708</v>
      </c>
      <c r="Y103" s="4"/>
      <c r="Z103" s="4"/>
      <c r="AA103" s="4"/>
      <c r="AB103" s="4"/>
    </row>
    <row r="104" spans="1:28" ht="15.75" customHeight="1" x14ac:dyDescent="0.25">
      <c r="A104" s="885"/>
      <c r="B104" s="6">
        <v>31</v>
      </c>
      <c r="C104" s="17">
        <f t="shared" si="0"/>
        <v>45911</v>
      </c>
      <c r="D104" s="6" t="s">
        <v>27</v>
      </c>
      <c r="E104" s="4" t="s">
        <v>385</v>
      </c>
      <c r="F104" s="6">
        <v>8</v>
      </c>
      <c r="G104" s="6"/>
      <c r="H104" s="29"/>
      <c r="I104" s="6" t="str">
        <f t="shared" si="8"/>
        <v>0:00</v>
      </c>
      <c r="J104" s="6"/>
      <c r="K104" s="6"/>
      <c r="L104" s="6" t="str">
        <f t="shared" si="2"/>
        <v>0:00</v>
      </c>
      <c r="M104" s="6"/>
      <c r="N104" s="28"/>
      <c r="O104" s="16"/>
      <c r="P104" s="861">
        <f>N105+P97</f>
        <v>0.83822916666666669</v>
      </c>
      <c r="Q104" s="865"/>
      <c r="R104" s="4"/>
      <c r="S104" s="4"/>
      <c r="T104" s="16">
        <f t="shared" si="9"/>
        <v>0</v>
      </c>
      <c r="U104" s="868">
        <f t="shared" si="10"/>
        <v>0</v>
      </c>
      <c r="V104" s="4">
        <v>70</v>
      </c>
      <c r="W104" s="4">
        <f t="shared" si="11"/>
        <v>77</v>
      </c>
      <c r="X104" s="868">
        <f t="shared" si="12"/>
        <v>80.428571428571431</v>
      </c>
      <c r="Y104" s="4"/>
      <c r="Z104" s="4"/>
      <c r="AA104" s="4"/>
      <c r="AB104" s="4"/>
    </row>
    <row r="105" spans="1:28" ht="15.75" customHeight="1" x14ac:dyDescent="0.25">
      <c r="A105" s="885"/>
      <c r="B105" s="6">
        <v>30</v>
      </c>
      <c r="C105" s="17">
        <f t="shared" si="0"/>
        <v>45912</v>
      </c>
      <c r="D105" s="6" t="s">
        <v>28</v>
      </c>
      <c r="E105" s="4" t="s">
        <v>384</v>
      </c>
      <c r="F105" s="6">
        <v>7</v>
      </c>
      <c r="G105" s="6"/>
      <c r="H105" s="29"/>
      <c r="I105" s="6" t="str">
        <f t="shared" si="8"/>
        <v>0:00</v>
      </c>
      <c r="J105" s="6"/>
      <c r="K105" s="6"/>
      <c r="L105" s="6" t="str">
        <f t="shared" si="2"/>
        <v>0:00</v>
      </c>
      <c r="M105" s="6"/>
      <c r="N105" s="28">
        <f>SUM(H100:H106)</f>
        <v>0</v>
      </c>
      <c r="O105" s="16"/>
      <c r="P105" s="863">
        <f>N106+P98</f>
        <v>151.18</v>
      </c>
      <c r="Q105" s="866"/>
      <c r="R105" s="4"/>
      <c r="S105" s="4"/>
      <c r="T105" s="16">
        <f t="shared" si="9"/>
        <v>0</v>
      </c>
      <c r="U105" s="868">
        <f t="shared" si="10"/>
        <v>0</v>
      </c>
      <c r="V105" s="4">
        <v>70</v>
      </c>
      <c r="W105" s="4">
        <f t="shared" si="11"/>
        <v>76</v>
      </c>
      <c r="X105" s="868">
        <f t="shared" si="12"/>
        <v>79.571428571428569</v>
      </c>
      <c r="Y105" s="4"/>
      <c r="Z105" s="4"/>
      <c r="AA105" s="4"/>
      <c r="AB105" s="4"/>
    </row>
    <row r="106" spans="1:28" ht="15.75" customHeight="1" x14ac:dyDescent="0.25">
      <c r="A106" s="885"/>
      <c r="B106" s="6">
        <v>29</v>
      </c>
      <c r="C106" s="17">
        <f t="shared" si="0"/>
        <v>45913</v>
      </c>
      <c r="D106" s="6" t="s">
        <v>30</v>
      </c>
      <c r="E106" s="4" t="s">
        <v>415</v>
      </c>
      <c r="F106" s="6">
        <v>16</v>
      </c>
      <c r="G106" s="6"/>
      <c r="H106" s="29"/>
      <c r="I106" s="6" t="str">
        <f t="shared" si="8"/>
        <v>0:00</v>
      </c>
      <c r="J106" s="6"/>
      <c r="K106" s="6"/>
      <c r="L106" s="6" t="str">
        <f t="shared" si="2"/>
        <v>0:00</v>
      </c>
      <c r="M106" s="4">
        <f>SUM(F100:F106)</f>
        <v>74</v>
      </c>
      <c r="N106" s="6">
        <f>SUM(G100:G106)</f>
        <v>0</v>
      </c>
      <c r="O106" s="16"/>
      <c r="P106" s="863">
        <f>M106+P99</f>
        <v>1016</v>
      </c>
      <c r="Q106" s="862">
        <f>P105/P106</f>
        <v>0.14879921259842521</v>
      </c>
      <c r="R106" s="4"/>
      <c r="S106" s="4"/>
      <c r="T106" s="16">
        <f t="shared" si="9"/>
        <v>0</v>
      </c>
      <c r="U106" s="868">
        <f t="shared" si="10"/>
        <v>0</v>
      </c>
      <c r="V106" s="4">
        <v>70</v>
      </c>
      <c r="W106" s="4">
        <f t="shared" si="11"/>
        <v>74</v>
      </c>
      <c r="X106" s="868">
        <f t="shared" si="12"/>
        <v>78.714285714285708</v>
      </c>
      <c r="Y106" s="4"/>
      <c r="Z106" s="4"/>
      <c r="AA106" s="4"/>
      <c r="AB106" s="4"/>
    </row>
    <row r="107" spans="1:28" ht="15.75" customHeight="1" x14ac:dyDescent="0.25">
      <c r="A107" s="887" t="s">
        <v>45</v>
      </c>
      <c r="B107" s="854">
        <v>28</v>
      </c>
      <c r="C107" s="855">
        <f t="shared" si="0"/>
        <v>45914</v>
      </c>
      <c r="D107" s="854" t="s">
        <v>31</v>
      </c>
      <c r="E107" s="856" t="s">
        <v>437</v>
      </c>
      <c r="F107" s="854">
        <v>10</v>
      </c>
      <c r="G107" s="854"/>
      <c r="H107" s="859"/>
      <c r="I107" s="854" t="str">
        <f t="shared" si="8"/>
        <v>0:00</v>
      </c>
      <c r="J107" s="854"/>
      <c r="K107" s="854"/>
      <c r="L107" s="854" t="str">
        <f t="shared" si="2"/>
        <v>0:00</v>
      </c>
      <c r="M107" s="856"/>
      <c r="N107" s="856"/>
      <c r="O107" s="858"/>
      <c r="P107" s="863"/>
      <c r="Q107" s="862"/>
      <c r="R107" s="4"/>
      <c r="S107" s="4"/>
      <c r="T107" s="16">
        <f t="shared" si="9"/>
        <v>0</v>
      </c>
      <c r="U107" s="868">
        <f t="shared" si="10"/>
        <v>0</v>
      </c>
      <c r="V107" s="4">
        <v>70</v>
      </c>
      <c r="W107" s="4">
        <f t="shared" si="11"/>
        <v>74</v>
      </c>
      <c r="X107" s="868">
        <f t="shared" si="12"/>
        <v>77.571428571428569</v>
      </c>
      <c r="Y107" s="4"/>
      <c r="Z107" s="4"/>
      <c r="AA107" s="4"/>
      <c r="AB107" s="4"/>
    </row>
    <row r="108" spans="1:28" ht="15.75" customHeight="1" x14ac:dyDescent="0.25">
      <c r="A108" s="887"/>
      <c r="B108" s="854">
        <v>27</v>
      </c>
      <c r="C108" s="855">
        <f t="shared" si="0"/>
        <v>45915</v>
      </c>
      <c r="D108" s="854" t="s">
        <v>33</v>
      </c>
      <c r="E108" s="856" t="s">
        <v>381</v>
      </c>
      <c r="F108" s="854">
        <v>6</v>
      </c>
      <c r="G108" s="854"/>
      <c r="H108" s="857"/>
      <c r="I108" s="854" t="str">
        <f t="shared" si="8"/>
        <v>0:00</v>
      </c>
      <c r="J108" s="854"/>
      <c r="K108" s="854"/>
      <c r="L108" s="854" t="str">
        <f t="shared" si="2"/>
        <v>0:00</v>
      </c>
      <c r="M108" s="854"/>
      <c r="N108" s="854"/>
      <c r="O108" s="858"/>
      <c r="P108" s="863"/>
      <c r="Q108" s="864"/>
      <c r="R108" s="4"/>
      <c r="S108" s="4"/>
      <c r="T108" s="16">
        <f t="shared" si="9"/>
        <v>0</v>
      </c>
      <c r="U108" s="868">
        <f t="shared" si="10"/>
        <v>0</v>
      </c>
      <c r="V108" s="4">
        <v>70</v>
      </c>
      <c r="W108" s="4">
        <f t="shared" si="11"/>
        <v>68</v>
      </c>
      <c r="X108" s="868">
        <f t="shared" si="12"/>
        <v>75.285714285714292</v>
      </c>
      <c r="Y108" s="4"/>
      <c r="Z108" s="4"/>
      <c r="AA108" s="4"/>
      <c r="AB108" s="4"/>
    </row>
    <row r="109" spans="1:28" ht="15.75" customHeight="1" x14ac:dyDescent="0.25">
      <c r="A109" s="887"/>
      <c r="B109" s="854">
        <v>26</v>
      </c>
      <c r="C109" s="855">
        <f t="shared" si="0"/>
        <v>45916</v>
      </c>
      <c r="D109" s="854" t="s">
        <v>34</v>
      </c>
      <c r="E109" s="856" t="s">
        <v>417</v>
      </c>
      <c r="F109" s="854">
        <v>12</v>
      </c>
      <c r="G109" s="854"/>
      <c r="H109" s="857"/>
      <c r="I109" s="854" t="str">
        <f t="shared" si="8"/>
        <v>0:00</v>
      </c>
      <c r="J109" s="857"/>
      <c r="K109" s="854"/>
      <c r="L109" s="854" t="str">
        <f t="shared" si="2"/>
        <v>0:00</v>
      </c>
      <c r="M109" s="854"/>
      <c r="N109" s="854"/>
      <c r="O109" s="858"/>
      <c r="P109" s="863"/>
      <c r="Q109" s="864"/>
      <c r="R109" s="4"/>
      <c r="S109" s="4"/>
      <c r="T109" s="16">
        <f t="shared" si="9"/>
        <v>0</v>
      </c>
      <c r="U109" s="868">
        <f t="shared" si="10"/>
        <v>0</v>
      </c>
      <c r="V109" s="4">
        <v>70</v>
      </c>
      <c r="W109" s="4">
        <f t="shared" si="11"/>
        <v>73</v>
      </c>
      <c r="X109" s="868">
        <f t="shared" si="12"/>
        <v>74.714285714285708</v>
      </c>
      <c r="Y109" s="4"/>
      <c r="Z109" s="4"/>
      <c r="AA109" s="4"/>
      <c r="AB109" s="4"/>
    </row>
    <row r="110" spans="1:28" ht="15.75" customHeight="1" x14ac:dyDescent="0.25">
      <c r="A110" s="887"/>
      <c r="B110" s="854">
        <v>25</v>
      </c>
      <c r="C110" s="855">
        <f t="shared" si="0"/>
        <v>45917</v>
      </c>
      <c r="D110" s="854" t="s">
        <v>26</v>
      </c>
      <c r="E110" s="856" t="s">
        <v>437</v>
      </c>
      <c r="F110" s="854">
        <v>10</v>
      </c>
      <c r="G110" s="854"/>
      <c r="H110" s="857"/>
      <c r="I110" s="854" t="str">
        <f t="shared" si="8"/>
        <v>0:00</v>
      </c>
      <c r="J110" s="854"/>
      <c r="K110" s="854"/>
      <c r="L110" s="854" t="str">
        <f t="shared" si="2"/>
        <v>0:00</v>
      </c>
      <c r="M110" s="854"/>
      <c r="N110" s="854"/>
      <c r="O110" s="858"/>
      <c r="P110" s="861"/>
      <c r="Q110" s="865"/>
      <c r="R110" s="4"/>
      <c r="S110" s="4"/>
      <c r="T110" s="16">
        <f t="shared" si="9"/>
        <v>0</v>
      </c>
      <c r="U110" s="868">
        <f t="shared" si="10"/>
        <v>0</v>
      </c>
      <c r="V110" s="4">
        <v>70</v>
      </c>
      <c r="W110" s="4">
        <f t="shared" si="11"/>
        <v>69</v>
      </c>
      <c r="X110" s="868">
        <f t="shared" si="12"/>
        <v>73</v>
      </c>
      <c r="Y110" s="4"/>
      <c r="Z110" s="4"/>
      <c r="AA110" s="4"/>
      <c r="AB110" s="4"/>
    </row>
    <row r="111" spans="1:28" ht="15.75" customHeight="1" x14ac:dyDescent="0.25">
      <c r="A111" s="887"/>
      <c r="B111" s="854">
        <v>24</v>
      </c>
      <c r="C111" s="855">
        <f t="shared" si="0"/>
        <v>45918</v>
      </c>
      <c r="D111" s="854" t="s">
        <v>27</v>
      </c>
      <c r="E111" s="856" t="s">
        <v>384</v>
      </c>
      <c r="F111" s="854">
        <v>7</v>
      </c>
      <c r="G111" s="854"/>
      <c r="H111" s="857"/>
      <c r="I111" s="854" t="str">
        <f t="shared" si="8"/>
        <v>0:00</v>
      </c>
      <c r="J111" s="854"/>
      <c r="K111" s="854"/>
      <c r="L111" s="854" t="str">
        <f t="shared" si="2"/>
        <v>0:00</v>
      </c>
      <c r="M111" s="854"/>
      <c r="N111" s="859"/>
      <c r="O111" s="858"/>
      <c r="P111" s="861">
        <f>N112+P104</f>
        <v>0.83822916666666669</v>
      </c>
      <c r="Q111" s="865"/>
      <c r="R111" s="4"/>
      <c r="S111" s="4"/>
      <c r="T111" s="16">
        <f t="shared" si="9"/>
        <v>0</v>
      </c>
      <c r="U111" s="868">
        <f t="shared" si="10"/>
        <v>0</v>
      </c>
      <c r="V111" s="4">
        <v>70</v>
      </c>
      <c r="W111" s="4">
        <f t="shared" si="11"/>
        <v>68</v>
      </c>
      <c r="X111" s="868">
        <f t="shared" si="12"/>
        <v>71.714285714285708</v>
      </c>
      <c r="Y111" s="4"/>
      <c r="Z111" s="4"/>
      <c r="AA111" s="4"/>
      <c r="AB111" s="4"/>
    </row>
    <row r="112" spans="1:28" ht="15.75" customHeight="1" x14ac:dyDescent="0.25">
      <c r="A112" s="887"/>
      <c r="B112" s="854">
        <v>23</v>
      </c>
      <c r="C112" s="855">
        <f t="shared" si="0"/>
        <v>45919</v>
      </c>
      <c r="D112" s="854" t="s">
        <v>28</v>
      </c>
      <c r="E112" s="856" t="s">
        <v>442</v>
      </c>
      <c r="F112" s="854">
        <v>5</v>
      </c>
      <c r="G112" s="854"/>
      <c r="H112" s="857"/>
      <c r="I112" s="854" t="str">
        <f t="shared" si="8"/>
        <v>0:00</v>
      </c>
      <c r="J112" s="857"/>
      <c r="K112" s="854"/>
      <c r="L112" s="854" t="str">
        <f t="shared" si="2"/>
        <v>0:00</v>
      </c>
      <c r="M112" s="854"/>
      <c r="N112" s="859">
        <f>SUM(H107:H113)</f>
        <v>0</v>
      </c>
      <c r="O112" s="858"/>
      <c r="P112" s="863">
        <f>N113+P105</f>
        <v>151.18</v>
      </c>
      <c r="Q112" s="866"/>
      <c r="R112" s="4"/>
      <c r="S112" s="4"/>
      <c r="T112" s="16">
        <f t="shared" si="9"/>
        <v>0</v>
      </c>
      <c r="U112" s="868">
        <f t="shared" si="10"/>
        <v>0</v>
      </c>
      <c r="V112" s="4">
        <v>70</v>
      </c>
      <c r="W112" s="4">
        <f t="shared" si="11"/>
        <v>66</v>
      </c>
      <c r="X112" s="868">
        <f t="shared" si="12"/>
        <v>70.285714285714292</v>
      </c>
      <c r="Y112" s="4"/>
      <c r="Z112" s="4"/>
      <c r="AA112" s="4"/>
      <c r="AB112" s="4"/>
    </row>
    <row r="113" spans="1:28" ht="15.75" customHeight="1" x14ac:dyDescent="0.25">
      <c r="A113" s="887"/>
      <c r="B113" s="854">
        <v>22</v>
      </c>
      <c r="C113" s="855">
        <f t="shared" si="0"/>
        <v>45920</v>
      </c>
      <c r="D113" s="854" t="s">
        <v>30</v>
      </c>
      <c r="E113" s="856" t="s">
        <v>393</v>
      </c>
      <c r="F113" s="854">
        <v>18</v>
      </c>
      <c r="G113" s="854"/>
      <c r="H113" s="857"/>
      <c r="I113" s="854" t="str">
        <f t="shared" si="8"/>
        <v>0:00</v>
      </c>
      <c r="J113" s="854"/>
      <c r="K113" s="854"/>
      <c r="L113" s="854" t="str">
        <f t="shared" si="2"/>
        <v>0:00</v>
      </c>
      <c r="M113" s="856">
        <f>SUM(F107:F113)</f>
        <v>68</v>
      </c>
      <c r="N113" s="854">
        <f>SUM(G107:G113)</f>
        <v>0</v>
      </c>
      <c r="O113" s="858"/>
      <c r="P113" s="863">
        <f>M113+P106</f>
        <v>1084</v>
      </c>
      <c r="Q113" s="862">
        <f>P112/P113</f>
        <v>0.1394649446494465</v>
      </c>
      <c r="R113" s="4"/>
      <c r="S113" s="4"/>
      <c r="T113" s="16">
        <f t="shared" si="9"/>
        <v>0</v>
      </c>
      <c r="U113" s="868">
        <f t="shared" si="10"/>
        <v>0</v>
      </c>
      <c r="V113" s="4">
        <v>70</v>
      </c>
      <c r="W113" s="4">
        <f t="shared" si="11"/>
        <v>68</v>
      </c>
      <c r="X113" s="868">
        <f t="shared" si="12"/>
        <v>69.428571428571431</v>
      </c>
      <c r="Y113" s="4"/>
      <c r="Z113" s="4"/>
      <c r="AA113" s="4"/>
      <c r="AB113" s="4"/>
    </row>
    <row r="114" spans="1:28" ht="15.75" customHeight="1" x14ac:dyDescent="0.25">
      <c r="A114" s="885" t="s">
        <v>46</v>
      </c>
      <c r="B114" s="6">
        <v>21</v>
      </c>
      <c r="C114" s="17">
        <f t="shared" si="0"/>
        <v>45921</v>
      </c>
      <c r="D114" s="6" t="s">
        <v>31</v>
      </c>
      <c r="E114" s="4" t="s">
        <v>381</v>
      </c>
      <c r="F114" s="6">
        <v>6</v>
      </c>
      <c r="G114" s="6"/>
      <c r="H114" s="29"/>
      <c r="I114" s="6" t="str">
        <f t="shared" si="8"/>
        <v>0:00</v>
      </c>
      <c r="J114" s="6"/>
      <c r="K114" s="6"/>
      <c r="L114" s="6" t="str">
        <f t="shared" si="2"/>
        <v>0:00</v>
      </c>
      <c r="M114" s="4"/>
      <c r="N114" s="4"/>
      <c r="O114" s="16"/>
      <c r="P114" s="863"/>
      <c r="Q114" s="862"/>
      <c r="R114" s="4"/>
      <c r="S114" s="4"/>
      <c r="T114" s="16">
        <f t="shared" si="9"/>
        <v>0</v>
      </c>
      <c r="U114" s="868">
        <f t="shared" si="10"/>
        <v>0</v>
      </c>
      <c r="V114" s="4">
        <v>70</v>
      </c>
      <c r="W114" s="4">
        <f t="shared" si="11"/>
        <v>64</v>
      </c>
      <c r="X114" s="868">
        <f t="shared" si="12"/>
        <v>68</v>
      </c>
      <c r="Y114" s="4"/>
      <c r="Z114" s="4"/>
      <c r="AA114" s="4"/>
      <c r="AB114" s="4"/>
    </row>
    <row r="115" spans="1:28" ht="15.75" customHeight="1" x14ac:dyDescent="0.25">
      <c r="A115" s="885"/>
      <c r="B115" s="6">
        <v>20</v>
      </c>
      <c r="C115" s="17">
        <f t="shared" si="0"/>
        <v>45922</v>
      </c>
      <c r="D115" s="6" t="s">
        <v>33</v>
      </c>
      <c r="E115" s="4" t="s">
        <v>385</v>
      </c>
      <c r="F115" s="6">
        <v>8</v>
      </c>
      <c r="G115" s="6"/>
      <c r="H115" s="29"/>
      <c r="I115" s="6" t="str">
        <f t="shared" si="8"/>
        <v>0:00</v>
      </c>
      <c r="J115" s="6"/>
      <c r="K115" s="6"/>
      <c r="L115" s="6" t="str">
        <f t="shared" si="2"/>
        <v>0:00</v>
      </c>
      <c r="M115" s="6"/>
      <c r="N115" s="6"/>
      <c r="O115" s="16"/>
      <c r="P115" s="863"/>
      <c r="Q115" s="864"/>
      <c r="R115" s="4"/>
      <c r="S115" s="4"/>
      <c r="T115" s="16">
        <f t="shared" si="9"/>
        <v>0</v>
      </c>
      <c r="U115" s="868">
        <f t="shared" si="10"/>
        <v>0</v>
      </c>
      <c r="V115" s="4">
        <v>70</v>
      </c>
      <c r="W115" s="4">
        <f t="shared" si="11"/>
        <v>66</v>
      </c>
      <c r="X115" s="868">
        <f t="shared" si="12"/>
        <v>67.714285714285708</v>
      </c>
      <c r="Y115" s="4"/>
      <c r="Z115" s="4"/>
      <c r="AA115" s="4"/>
      <c r="AB115" s="4"/>
    </row>
    <row r="116" spans="1:28" ht="15.75" customHeight="1" x14ac:dyDescent="0.25">
      <c r="A116" s="885"/>
      <c r="B116" s="6">
        <v>19</v>
      </c>
      <c r="C116" s="17">
        <f t="shared" si="0"/>
        <v>45923</v>
      </c>
      <c r="D116" s="6" t="s">
        <v>34</v>
      </c>
      <c r="E116" s="4" t="s">
        <v>385</v>
      </c>
      <c r="F116" s="6">
        <v>8</v>
      </c>
      <c r="G116" s="6"/>
      <c r="H116" s="29"/>
      <c r="I116" s="6" t="str">
        <f t="shared" si="8"/>
        <v>0:00</v>
      </c>
      <c r="J116" s="6"/>
      <c r="K116" s="6"/>
      <c r="L116" s="6" t="str">
        <f t="shared" si="2"/>
        <v>0:00</v>
      </c>
      <c r="M116" s="6"/>
      <c r="N116" s="6"/>
      <c r="O116" s="16"/>
      <c r="P116" s="863"/>
      <c r="Q116" s="864"/>
      <c r="R116" s="4"/>
      <c r="S116" s="4"/>
      <c r="T116" s="16">
        <f t="shared" si="9"/>
        <v>0</v>
      </c>
      <c r="U116" s="868">
        <f t="shared" si="10"/>
        <v>0</v>
      </c>
      <c r="V116" s="4">
        <v>70</v>
      </c>
      <c r="W116" s="4">
        <f t="shared" si="11"/>
        <v>62</v>
      </c>
      <c r="X116" s="868">
        <f t="shared" si="12"/>
        <v>66.142857142857139</v>
      </c>
      <c r="Y116" s="4"/>
      <c r="Z116" s="4"/>
      <c r="AA116" s="4"/>
      <c r="AB116" s="4"/>
    </row>
    <row r="117" spans="1:28" ht="15.75" customHeight="1" x14ac:dyDescent="0.25">
      <c r="A117" s="885"/>
      <c r="B117" s="6">
        <v>18</v>
      </c>
      <c r="C117" s="17">
        <f t="shared" si="0"/>
        <v>45924</v>
      </c>
      <c r="D117" s="6" t="s">
        <v>26</v>
      </c>
      <c r="E117" s="4" t="s">
        <v>420</v>
      </c>
      <c r="F117" s="6">
        <v>12</v>
      </c>
      <c r="G117" s="6"/>
      <c r="H117" s="29"/>
      <c r="I117" s="6" t="str">
        <f t="shared" si="8"/>
        <v>0:00</v>
      </c>
      <c r="J117" s="29"/>
      <c r="K117" s="6"/>
      <c r="L117" s="6" t="str">
        <f t="shared" si="2"/>
        <v>0:00</v>
      </c>
      <c r="M117" s="6"/>
      <c r="N117" s="6"/>
      <c r="O117" s="16"/>
      <c r="P117" s="861"/>
      <c r="Q117" s="865"/>
      <c r="R117" s="4"/>
      <c r="S117" s="4"/>
      <c r="T117" s="16">
        <f t="shared" si="9"/>
        <v>0</v>
      </c>
      <c r="U117" s="868">
        <f t="shared" si="10"/>
        <v>0</v>
      </c>
      <c r="V117" s="4">
        <v>70</v>
      </c>
      <c r="W117" s="4">
        <f t="shared" si="11"/>
        <v>64</v>
      </c>
      <c r="X117" s="868">
        <f t="shared" si="12"/>
        <v>65.428571428571431</v>
      </c>
      <c r="Y117" s="4"/>
      <c r="Z117" s="4"/>
      <c r="AA117" s="4"/>
      <c r="AB117" s="4"/>
    </row>
    <row r="118" spans="1:28" ht="15.75" customHeight="1" x14ac:dyDescent="0.25">
      <c r="A118" s="885"/>
      <c r="B118" s="6">
        <v>17</v>
      </c>
      <c r="C118" s="17">
        <f t="shared" si="0"/>
        <v>45925</v>
      </c>
      <c r="D118" s="6" t="s">
        <v>27</v>
      </c>
      <c r="E118" s="4" t="s">
        <v>385</v>
      </c>
      <c r="F118" s="6">
        <v>8</v>
      </c>
      <c r="G118" s="6"/>
      <c r="H118" s="29"/>
      <c r="I118" s="6" t="str">
        <f t="shared" si="8"/>
        <v>0:00</v>
      </c>
      <c r="J118" s="29"/>
      <c r="K118" s="6"/>
      <c r="L118" s="6" t="str">
        <f t="shared" si="2"/>
        <v>0:00</v>
      </c>
      <c r="M118" s="6"/>
      <c r="N118" s="28"/>
      <c r="O118" s="16"/>
      <c r="P118" s="861">
        <f>N119+P111</f>
        <v>0.83822916666666669</v>
      </c>
      <c r="Q118" s="865"/>
      <c r="R118" s="4"/>
      <c r="S118" s="4"/>
      <c r="T118" s="16">
        <f t="shared" si="9"/>
        <v>0</v>
      </c>
      <c r="U118" s="868">
        <f t="shared" si="10"/>
        <v>0</v>
      </c>
      <c r="V118" s="4">
        <v>70</v>
      </c>
      <c r="W118" s="4">
        <f t="shared" si="11"/>
        <v>65</v>
      </c>
      <c r="X118" s="868">
        <f t="shared" si="12"/>
        <v>65</v>
      </c>
      <c r="Y118" s="4"/>
      <c r="Z118" s="4"/>
      <c r="AA118" s="4"/>
      <c r="AB118" s="4"/>
    </row>
    <row r="119" spans="1:28" ht="15.75" customHeight="1" x14ac:dyDescent="0.25">
      <c r="A119" s="885"/>
      <c r="B119" s="6">
        <v>16</v>
      </c>
      <c r="C119" s="17">
        <f t="shared" si="0"/>
        <v>45926</v>
      </c>
      <c r="D119" s="6" t="s">
        <v>28</v>
      </c>
      <c r="E119" s="4" t="s">
        <v>381</v>
      </c>
      <c r="F119" s="6">
        <v>6</v>
      </c>
      <c r="G119" s="6"/>
      <c r="H119" s="29"/>
      <c r="I119" s="6" t="str">
        <f t="shared" si="8"/>
        <v>0:00</v>
      </c>
      <c r="J119" s="6"/>
      <c r="K119" s="6"/>
      <c r="L119" s="6" t="str">
        <f t="shared" si="2"/>
        <v>0:00</v>
      </c>
      <c r="M119" s="6"/>
      <c r="N119" s="28">
        <f>SUM(H114:H120)</f>
        <v>0</v>
      </c>
      <c r="O119" s="16"/>
      <c r="P119" s="863">
        <f>N120+P112</f>
        <v>151.18</v>
      </c>
      <c r="Q119" s="866"/>
      <c r="R119" s="4"/>
      <c r="S119" s="4"/>
      <c r="T119" s="16">
        <f t="shared" si="9"/>
        <v>0</v>
      </c>
      <c r="U119" s="868">
        <f t="shared" si="10"/>
        <v>0</v>
      </c>
      <c r="V119" s="4">
        <v>70</v>
      </c>
      <c r="W119" s="4">
        <f t="shared" si="11"/>
        <v>66</v>
      </c>
      <c r="X119" s="868">
        <f t="shared" si="12"/>
        <v>65</v>
      </c>
      <c r="Y119" s="4"/>
      <c r="Z119" s="4"/>
      <c r="AA119" s="4"/>
      <c r="AB119" s="4"/>
    </row>
    <row r="120" spans="1:28" ht="15.75" customHeight="1" x14ac:dyDescent="0.25">
      <c r="A120" s="885"/>
      <c r="B120" s="6">
        <v>15</v>
      </c>
      <c r="C120" s="17">
        <f t="shared" si="0"/>
        <v>45927</v>
      </c>
      <c r="D120" s="6" t="s">
        <v>30</v>
      </c>
      <c r="E120" s="4" t="s">
        <v>418</v>
      </c>
      <c r="F120" s="6">
        <v>18</v>
      </c>
      <c r="G120" s="6"/>
      <c r="H120" s="29"/>
      <c r="I120" s="6" t="str">
        <f t="shared" si="8"/>
        <v>0:00</v>
      </c>
      <c r="J120" s="29"/>
      <c r="K120" s="6"/>
      <c r="L120" s="6" t="str">
        <f t="shared" si="2"/>
        <v>0:00</v>
      </c>
      <c r="M120" s="4">
        <f>SUM(F114:F120)</f>
        <v>66</v>
      </c>
      <c r="N120" s="6">
        <f>SUM(G114:G120)</f>
        <v>0</v>
      </c>
      <c r="O120" s="16"/>
      <c r="P120" s="863">
        <f>M120+P113</f>
        <v>1150</v>
      </c>
      <c r="Q120" s="862">
        <f>P119/P120</f>
        <v>0.13146086956521741</v>
      </c>
      <c r="R120" s="4"/>
      <c r="S120" s="4"/>
      <c r="T120" s="16">
        <f t="shared" si="9"/>
        <v>0</v>
      </c>
      <c r="U120" s="868">
        <f t="shared" si="10"/>
        <v>0</v>
      </c>
      <c r="V120" s="4">
        <v>70</v>
      </c>
      <c r="W120" s="4">
        <f t="shared" si="11"/>
        <v>66</v>
      </c>
      <c r="X120" s="868">
        <f t="shared" si="12"/>
        <v>64.714285714285708</v>
      </c>
      <c r="Y120" s="4"/>
      <c r="Z120" s="4"/>
      <c r="AA120" s="4"/>
      <c r="AB120" s="4"/>
    </row>
    <row r="121" spans="1:28" ht="15.75" customHeight="1" x14ac:dyDescent="0.25">
      <c r="A121" s="887" t="s">
        <v>47</v>
      </c>
      <c r="B121" s="854">
        <v>14</v>
      </c>
      <c r="C121" s="855">
        <f t="shared" si="0"/>
        <v>45928</v>
      </c>
      <c r="D121" s="854" t="s">
        <v>31</v>
      </c>
      <c r="E121" s="856" t="s">
        <v>381</v>
      </c>
      <c r="F121" s="854">
        <v>6</v>
      </c>
      <c r="G121" s="854"/>
      <c r="H121" s="857"/>
      <c r="I121" s="854" t="str">
        <f t="shared" si="8"/>
        <v>0:00</v>
      </c>
      <c r="J121" s="854"/>
      <c r="K121" s="854"/>
      <c r="L121" s="854" t="str">
        <f t="shared" si="2"/>
        <v>0:00</v>
      </c>
      <c r="M121" s="860"/>
      <c r="N121" s="860"/>
      <c r="O121" s="858"/>
      <c r="P121" s="863"/>
      <c r="Q121" s="862"/>
      <c r="R121" s="4"/>
      <c r="S121" s="4"/>
      <c r="T121" s="16">
        <f t="shared" si="9"/>
        <v>0</v>
      </c>
      <c r="U121" s="868">
        <f t="shared" si="10"/>
        <v>0</v>
      </c>
      <c r="V121" s="4">
        <v>70</v>
      </c>
      <c r="W121" s="4">
        <f t="shared" si="11"/>
        <v>66</v>
      </c>
      <c r="X121" s="868">
        <f t="shared" si="12"/>
        <v>65</v>
      </c>
      <c r="Y121" s="4"/>
      <c r="Z121" s="4"/>
      <c r="AA121" s="4"/>
      <c r="AB121" s="4"/>
    </row>
    <row r="122" spans="1:28" ht="15.75" customHeight="1" x14ac:dyDescent="0.25">
      <c r="A122" s="887"/>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9"/>
        <v>0</v>
      </c>
      <c r="U122" s="868">
        <f t="shared" si="10"/>
        <v>0</v>
      </c>
      <c r="V122" s="4">
        <v>70</v>
      </c>
      <c r="W122" s="4">
        <f t="shared" si="11"/>
        <v>63</v>
      </c>
      <c r="X122" s="868">
        <f t="shared" si="12"/>
        <v>64.571428571428569</v>
      </c>
      <c r="Y122" s="4"/>
      <c r="Z122" s="4"/>
      <c r="AA122" s="4"/>
      <c r="AB122" s="4"/>
    </row>
    <row r="123" spans="1:28" ht="15.75" customHeight="1" x14ac:dyDescent="0.25">
      <c r="A123" s="887"/>
      <c r="B123" s="854">
        <v>12</v>
      </c>
      <c r="C123" s="855">
        <f t="shared" si="0"/>
        <v>45930</v>
      </c>
      <c r="D123" s="854" t="s">
        <v>34</v>
      </c>
      <c r="E123" s="856" t="s">
        <v>421</v>
      </c>
      <c r="F123" s="854">
        <v>12</v>
      </c>
      <c r="G123" s="854"/>
      <c r="H123" s="857"/>
      <c r="I123" s="854" t="str">
        <f t="shared" si="8"/>
        <v>0:00</v>
      </c>
      <c r="J123" s="857"/>
      <c r="K123" s="854"/>
      <c r="L123" s="854" t="str">
        <f t="shared" si="2"/>
        <v>0:00</v>
      </c>
      <c r="M123" s="854"/>
      <c r="N123" s="854"/>
      <c r="O123" s="858"/>
      <c r="P123" s="863"/>
      <c r="Q123" s="864"/>
      <c r="R123" s="4"/>
      <c r="S123" s="4"/>
      <c r="T123" s="16">
        <f t="shared" si="9"/>
        <v>0</v>
      </c>
      <c r="U123" s="868">
        <f t="shared" si="10"/>
        <v>0</v>
      </c>
      <c r="V123" s="4">
        <v>70</v>
      </c>
      <c r="W123" s="4">
        <f t="shared" si="11"/>
        <v>67</v>
      </c>
      <c r="X123" s="868">
        <f t="shared" si="12"/>
        <v>65.285714285714292</v>
      </c>
      <c r="Y123" s="4"/>
      <c r="Z123" s="4"/>
      <c r="AA123" s="4"/>
      <c r="AB123" s="4"/>
    </row>
    <row r="124" spans="1:28" ht="15.75" customHeight="1" x14ac:dyDescent="0.25">
      <c r="A124" s="887"/>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9"/>
        <v>0</v>
      </c>
      <c r="U124" s="868">
        <f t="shared" si="10"/>
        <v>0</v>
      </c>
      <c r="V124" s="4">
        <v>70</v>
      </c>
      <c r="W124" s="4">
        <f t="shared" si="11"/>
        <v>61</v>
      </c>
      <c r="X124" s="868">
        <f t="shared" si="12"/>
        <v>64.857142857142861</v>
      </c>
      <c r="Y124" s="4"/>
      <c r="Z124" s="4"/>
      <c r="AA124" s="4"/>
      <c r="AB124" s="4"/>
    </row>
    <row r="125" spans="1:28" ht="15.75" customHeight="1" x14ac:dyDescent="0.25">
      <c r="A125" s="887"/>
      <c r="B125" s="854">
        <v>10</v>
      </c>
      <c r="C125" s="855">
        <f t="shared" si="0"/>
        <v>45932</v>
      </c>
      <c r="D125" s="854" t="s">
        <v>27</v>
      </c>
      <c r="E125" s="856" t="s">
        <v>385</v>
      </c>
      <c r="F125" s="854">
        <v>8</v>
      </c>
      <c r="G125" s="854"/>
      <c r="H125" s="857"/>
      <c r="I125" s="854" t="str">
        <f t="shared" ref="I125:I134" si="1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0.83822916666666669</v>
      </c>
      <c r="Q125" s="865"/>
      <c r="R125" s="4"/>
      <c r="S125" s="4"/>
      <c r="T125" s="16">
        <f t="shared" si="9"/>
        <v>0</v>
      </c>
      <c r="U125" s="868">
        <f t="shared" si="10"/>
        <v>0</v>
      </c>
      <c r="V125" s="4">
        <v>70</v>
      </c>
      <c r="W125" s="4">
        <f t="shared" si="11"/>
        <v>61</v>
      </c>
      <c r="X125" s="868">
        <f t="shared" si="12"/>
        <v>64.285714285714292</v>
      </c>
      <c r="Y125" s="4"/>
      <c r="Z125" s="4"/>
      <c r="AA125" s="4"/>
      <c r="AB125" s="4"/>
    </row>
    <row r="126" spans="1:28" ht="15.75" customHeight="1" x14ac:dyDescent="0.25">
      <c r="A126" s="887"/>
      <c r="B126" s="854">
        <v>9</v>
      </c>
      <c r="C126" s="855">
        <f t="shared" si="0"/>
        <v>45933</v>
      </c>
      <c r="D126" s="854" t="s">
        <v>28</v>
      </c>
      <c r="E126" s="856" t="s">
        <v>441</v>
      </c>
      <c r="F126" s="854">
        <v>5</v>
      </c>
      <c r="G126" s="854"/>
      <c r="H126" s="857"/>
      <c r="I126" s="854" t="str">
        <f t="shared" si="13"/>
        <v>0:00</v>
      </c>
      <c r="J126" s="854"/>
      <c r="K126" s="854"/>
      <c r="L126" s="854" t="str">
        <f t="shared" si="2"/>
        <v>0:00</v>
      </c>
      <c r="M126" s="854"/>
      <c r="N126" s="859">
        <f>SUM(H121:H127)</f>
        <v>0</v>
      </c>
      <c r="O126" s="858"/>
      <c r="P126" s="863">
        <f>N127+P119</f>
        <v>151.18</v>
      </c>
      <c r="Q126" s="866"/>
      <c r="R126" s="4"/>
      <c r="S126" s="4"/>
      <c r="T126" s="16">
        <f t="shared" si="9"/>
        <v>0</v>
      </c>
      <c r="U126" s="868">
        <f t="shared" si="10"/>
        <v>0</v>
      </c>
      <c r="V126" s="4">
        <v>70</v>
      </c>
      <c r="W126" s="4">
        <f t="shared" si="11"/>
        <v>60</v>
      </c>
      <c r="X126" s="868">
        <f t="shared" si="12"/>
        <v>63.428571428571431</v>
      </c>
      <c r="Y126" s="4"/>
      <c r="Z126" s="4"/>
      <c r="AA126" s="4"/>
      <c r="AB126" s="4"/>
    </row>
    <row r="127" spans="1:28" ht="15.75" customHeight="1" x14ac:dyDescent="0.25">
      <c r="A127" s="887"/>
      <c r="B127" s="854">
        <v>8</v>
      </c>
      <c r="C127" s="855">
        <f t="shared" si="0"/>
        <v>45934</v>
      </c>
      <c r="D127" s="854" t="s">
        <v>30</v>
      </c>
      <c r="E127" s="856" t="s">
        <v>419</v>
      </c>
      <c r="F127" s="854">
        <v>16</v>
      </c>
      <c r="G127" s="854"/>
      <c r="H127" s="857"/>
      <c r="I127" s="854" t="str">
        <f t="shared" si="13"/>
        <v>0:00</v>
      </c>
      <c r="J127" s="854"/>
      <c r="K127" s="854"/>
      <c r="L127" s="854" t="str">
        <f t="shared" si="2"/>
        <v>0:00</v>
      </c>
      <c r="M127" s="856">
        <f>SUM(F121:F127)</f>
        <v>58</v>
      </c>
      <c r="N127" s="854">
        <f>SUM(G121:G127)</f>
        <v>0</v>
      </c>
      <c r="O127" s="858"/>
      <c r="P127" s="863">
        <f>M127+P120</f>
        <v>1208</v>
      </c>
      <c r="Q127" s="862">
        <f>P126/P127</f>
        <v>0.12514900662251657</v>
      </c>
      <c r="R127" s="4"/>
      <c r="S127" s="4"/>
      <c r="T127" s="16">
        <f t="shared" si="9"/>
        <v>0</v>
      </c>
      <c r="U127" s="868">
        <f t="shared" si="10"/>
        <v>0</v>
      </c>
      <c r="V127" s="4">
        <v>70</v>
      </c>
      <c r="W127" s="4">
        <f t="shared" si="11"/>
        <v>58</v>
      </c>
      <c r="X127" s="868">
        <f t="shared" si="12"/>
        <v>62.285714285714285</v>
      </c>
      <c r="Y127" s="4"/>
      <c r="Z127" s="4"/>
      <c r="AA127" s="4"/>
      <c r="AB127" s="4"/>
    </row>
    <row r="128" spans="1:28" ht="15.75" customHeight="1" x14ac:dyDescent="0.25">
      <c r="A128" s="885" t="s">
        <v>48</v>
      </c>
      <c r="B128" s="6">
        <v>7</v>
      </c>
      <c r="C128" s="17">
        <f t="shared" si="0"/>
        <v>45935</v>
      </c>
      <c r="D128" s="6" t="s">
        <v>31</v>
      </c>
      <c r="E128" s="4" t="s">
        <v>437</v>
      </c>
      <c r="F128" s="6">
        <v>10</v>
      </c>
      <c r="G128" s="6"/>
      <c r="H128" s="29"/>
      <c r="I128" s="6" t="str">
        <f t="shared" si="13"/>
        <v>0:00</v>
      </c>
      <c r="J128" s="6"/>
      <c r="K128" s="6"/>
      <c r="L128" s="6" t="str">
        <f t="shared" si="2"/>
        <v>0:00</v>
      </c>
      <c r="M128" s="4"/>
      <c r="N128" s="4"/>
      <c r="O128" s="16"/>
      <c r="P128" s="863"/>
      <c r="Q128" s="862"/>
      <c r="R128" s="4"/>
      <c r="S128" s="4"/>
      <c r="T128" s="16">
        <f t="shared" si="9"/>
        <v>0</v>
      </c>
      <c r="U128" s="868">
        <f t="shared" si="10"/>
        <v>0</v>
      </c>
      <c r="V128" s="4">
        <v>70</v>
      </c>
      <c r="W128" s="4">
        <f t="shared" si="11"/>
        <v>62</v>
      </c>
      <c r="X128" s="868">
        <f t="shared" si="12"/>
        <v>61.714285714285715</v>
      </c>
      <c r="Y128" s="4"/>
      <c r="Z128" s="4"/>
      <c r="AA128" s="4"/>
      <c r="AB128" s="4"/>
    </row>
    <row r="129" spans="1:28" ht="15.75" customHeight="1" x14ac:dyDescent="0.25">
      <c r="A129" s="885"/>
      <c r="B129" s="6">
        <v>6</v>
      </c>
      <c r="C129" s="17">
        <f t="shared" si="0"/>
        <v>45936</v>
      </c>
      <c r="D129" s="6" t="s">
        <v>33</v>
      </c>
      <c r="E129" s="4" t="s">
        <v>423</v>
      </c>
      <c r="F129" s="6">
        <v>8</v>
      </c>
      <c r="G129" s="6"/>
      <c r="H129" s="29"/>
      <c r="I129" s="6" t="str">
        <f t="shared" si="13"/>
        <v>0:00</v>
      </c>
      <c r="J129" s="6"/>
      <c r="K129" s="6"/>
      <c r="L129" s="6" t="str">
        <f t="shared" si="2"/>
        <v>0:00</v>
      </c>
      <c r="M129" s="6"/>
      <c r="N129" s="6"/>
      <c r="O129" s="16"/>
      <c r="P129" s="863"/>
      <c r="Q129" s="864"/>
      <c r="R129" s="4"/>
      <c r="S129" s="4"/>
      <c r="T129" s="16">
        <f t="shared" si="9"/>
        <v>0</v>
      </c>
      <c r="U129" s="868">
        <f t="shared" si="10"/>
        <v>0</v>
      </c>
      <c r="V129" s="4">
        <v>70</v>
      </c>
      <c r="W129" s="4">
        <f t="shared" si="11"/>
        <v>65</v>
      </c>
      <c r="X129" s="868">
        <f t="shared" si="12"/>
        <v>62</v>
      </c>
      <c r="Y129" s="4"/>
      <c r="Z129" s="4"/>
      <c r="AA129" s="4"/>
      <c r="AB129" s="4"/>
    </row>
    <row r="130" spans="1:28" ht="15.75" customHeight="1" x14ac:dyDescent="0.25">
      <c r="A130" s="885"/>
      <c r="B130" s="6">
        <v>5</v>
      </c>
      <c r="C130" s="17">
        <f t="shared" si="0"/>
        <v>45937</v>
      </c>
      <c r="D130" s="6" t="s">
        <v>34</v>
      </c>
      <c r="E130" s="4" t="s">
        <v>438</v>
      </c>
      <c r="F130" s="6">
        <v>9</v>
      </c>
      <c r="G130" s="6"/>
      <c r="H130" s="29"/>
      <c r="I130" s="6" t="str">
        <f t="shared" si="13"/>
        <v>0:00</v>
      </c>
      <c r="J130" s="29"/>
      <c r="K130" s="6"/>
      <c r="L130" s="6" t="str">
        <f t="shared" si="2"/>
        <v>0:00</v>
      </c>
      <c r="M130" s="6"/>
      <c r="N130" s="6"/>
      <c r="O130" s="16"/>
      <c r="P130" s="863"/>
      <c r="Q130" s="864"/>
      <c r="R130" s="4"/>
      <c r="S130" s="4"/>
      <c r="T130" s="16">
        <f t="shared" si="9"/>
        <v>0</v>
      </c>
      <c r="U130" s="868">
        <f t="shared" si="10"/>
        <v>0</v>
      </c>
      <c r="V130" s="4">
        <v>70</v>
      </c>
      <c r="W130" s="4">
        <f t="shared" si="11"/>
        <v>62</v>
      </c>
      <c r="X130" s="868">
        <f t="shared" si="12"/>
        <v>61.285714285714285</v>
      </c>
      <c r="Y130" s="4"/>
      <c r="Z130" s="4"/>
      <c r="AA130" s="4"/>
      <c r="AB130" s="4"/>
    </row>
    <row r="131" spans="1:28" ht="15.75" customHeight="1" x14ac:dyDescent="0.25">
      <c r="A131" s="885"/>
      <c r="B131" s="6">
        <v>4</v>
      </c>
      <c r="C131" s="17">
        <f t="shared" si="0"/>
        <v>45938</v>
      </c>
      <c r="D131" s="6" t="s">
        <v>26</v>
      </c>
      <c r="E131" s="4" t="s">
        <v>425</v>
      </c>
      <c r="F131" s="6">
        <v>7</v>
      </c>
      <c r="G131" s="6"/>
      <c r="H131" s="29"/>
      <c r="I131" s="6" t="str">
        <f t="shared" si="13"/>
        <v>0:00</v>
      </c>
      <c r="J131" s="6"/>
      <c r="K131" s="6"/>
      <c r="L131" s="6" t="str">
        <f t="shared" si="2"/>
        <v>0:00</v>
      </c>
      <c r="M131" s="6"/>
      <c r="N131" s="6"/>
      <c r="O131" s="16"/>
      <c r="P131" s="863"/>
      <c r="Q131" s="865"/>
      <c r="R131" s="4"/>
      <c r="S131" s="4"/>
      <c r="T131" s="16">
        <f t="shared" si="9"/>
        <v>0</v>
      </c>
      <c r="U131" s="868">
        <f t="shared" si="10"/>
        <v>0</v>
      </c>
      <c r="V131" s="4">
        <v>70</v>
      </c>
      <c r="W131" s="4">
        <f t="shared" si="11"/>
        <v>63</v>
      </c>
      <c r="X131" s="868">
        <f t="shared" si="12"/>
        <v>61.571428571428569</v>
      </c>
      <c r="Y131" s="4"/>
      <c r="Z131" s="4"/>
      <c r="AA131" s="4"/>
      <c r="AB131" s="4"/>
    </row>
    <row r="132" spans="1:28" ht="15.75" customHeight="1" x14ac:dyDescent="0.25">
      <c r="A132" s="885"/>
      <c r="B132" s="6">
        <v>3</v>
      </c>
      <c r="C132" s="17">
        <f t="shared" si="0"/>
        <v>45939</v>
      </c>
      <c r="D132" s="6" t="s">
        <v>27</v>
      </c>
      <c r="E132" s="4" t="s">
        <v>426</v>
      </c>
      <c r="F132" s="6">
        <v>5</v>
      </c>
      <c r="G132" s="6"/>
      <c r="H132" s="29"/>
      <c r="I132" s="6" t="str">
        <f t="shared" si="13"/>
        <v>0:00</v>
      </c>
      <c r="J132" s="6"/>
      <c r="K132" s="6"/>
      <c r="L132" s="6" t="str">
        <f t="shared" si="2"/>
        <v>0:00</v>
      </c>
      <c r="M132" s="6"/>
      <c r="N132" s="6"/>
      <c r="O132" s="16"/>
      <c r="P132" s="861">
        <f>N133+P125</f>
        <v>0.83822916666666669</v>
      </c>
      <c r="Q132" s="865"/>
      <c r="R132" s="4"/>
      <c r="S132" s="4"/>
      <c r="T132" s="16">
        <f t="shared" si="9"/>
        <v>0</v>
      </c>
      <c r="U132" s="868">
        <f t="shared" si="10"/>
        <v>0</v>
      </c>
      <c r="V132" s="4">
        <v>70</v>
      </c>
      <c r="W132" s="4">
        <f t="shared" si="11"/>
        <v>60</v>
      </c>
      <c r="X132" s="868">
        <f t="shared" si="12"/>
        <v>61.428571428571431</v>
      </c>
      <c r="Y132" s="4"/>
      <c r="Z132" s="4"/>
      <c r="AA132" s="4"/>
      <c r="AB132" s="4"/>
    </row>
    <row r="133" spans="1:28" ht="15.75" customHeight="1" x14ac:dyDescent="0.25">
      <c r="A133" s="885"/>
      <c r="B133" s="6">
        <v>2</v>
      </c>
      <c r="C133" s="17">
        <f t="shared" si="0"/>
        <v>45940</v>
      </c>
      <c r="D133" s="6" t="s">
        <v>28</v>
      </c>
      <c r="E133" s="4" t="s">
        <v>427</v>
      </c>
      <c r="F133" s="6">
        <v>3</v>
      </c>
      <c r="G133" s="6"/>
      <c r="H133" s="29"/>
      <c r="I133" s="6" t="str">
        <f t="shared" si="13"/>
        <v>0:00</v>
      </c>
      <c r="J133" s="6"/>
      <c r="K133" s="6"/>
      <c r="L133" s="6" t="str">
        <f t="shared" si="2"/>
        <v>0:00</v>
      </c>
      <c r="M133" s="6"/>
      <c r="N133" s="28">
        <f>SUM(H128:H134)</f>
        <v>0</v>
      </c>
      <c r="O133" s="16"/>
      <c r="P133" s="863">
        <f>N134+P126</f>
        <v>151.18</v>
      </c>
      <c r="Q133" s="866"/>
      <c r="R133" s="4"/>
      <c r="S133" s="4"/>
      <c r="T133" s="16">
        <f t="shared" si="9"/>
        <v>0</v>
      </c>
      <c r="U133" s="868">
        <f t="shared" si="10"/>
        <v>0</v>
      </c>
      <c r="V133" s="4">
        <v>70</v>
      </c>
      <c r="W133" s="4">
        <f t="shared" si="11"/>
        <v>58</v>
      </c>
      <c r="X133" s="868">
        <f t="shared" si="12"/>
        <v>61.142857142857146</v>
      </c>
      <c r="Y133" s="4"/>
      <c r="Z133" s="4"/>
      <c r="AA133" s="4"/>
      <c r="AB133" s="4"/>
    </row>
    <row r="134" spans="1:28" ht="15.75" customHeight="1" x14ac:dyDescent="0.25">
      <c r="A134" s="885"/>
      <c r="B134" s="6">
        <v>1</v>
      </c>
      <c r="C134" s="17">
        <f t="shared" si="0"/>
        <v>45941</v>
      </c>
      <c r="D134" s="6" t="s">
        <v>30</v>
      </c>
      <c r="E134" s="4" t="s">
        <v>439</v>
      </c>
      <c r="F134" s="6">
        <v>3</v>
      </c>
      <c r="G134" s="6"/>
      <c r="H134" s="29"/>
      <c r="I134" s="6" t="str">
        <f t="shared" si="13"/>
        <v>0:00</v>
      </c>
      <c r="J134" s="6"/>
      <c r="K134" s="6"/>
      <c r="L134" s="6" t="str">
        <f t="shared" si="2"/>
        <v>0:00</v>
      </c>
      <c r="M134" s="4">
        <f>SUM(F128:F134)</f>
        <v>45</v>
      </c>
      <c r="N134" s="6">
        <f>SUM(G128:G134)</f>
        <v>0</v>
      </c>
      <c r="O134" s="16"/>
      <c r="P134" s="863">
        <f>M134+P127</f>
        <v>1253</v>
      </c>
      <c r="Q134" s="862">
        <f>P133/P134</f>
        <v>0.12065442936951318</v>
      </c>
      <c r="R134" s="4"/>
      <c r="S134" s="4"/>
      <c r="T134" s="16">
        <f t="shared" si="9"/>
        <v>0</v>
      </c>
      <c r="U134" s="868">
        <f t="shared" si="10"/>
        <v>0</v>
      </c>
      <c r="V134" s="4">
        <v>70</v>
      </c>
      <c r="W134" s="4">
        <f t="shared" si="11"/>
        <v>45</v>
      </c>
      <c r="X134" s="868">
        <f t="shared" si="12"/>
        <v>59.285714285714285</v>
      </c>
      <c r="Y134" s="4"/>
      <c r="Z134" s="4"/>
      <c r="AA134" s="4"/>
      <c r="AB134" s="4"/>
    </row>
    <row r="135" spans="1:28"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9"/>
        <v>0</v>
      </c>
      <c r="U135" s="868">
        <f t="shared" si="10"/>
        <v>0</v>
      </c>
      <c r="V135" s="4">
        <v>70</v>
      </c>
      <c r="W135" s="4">
        <f t="shared" si="11"/>
        <v>35</v>
      </c>
      <c r="X135" s="868">
        <f t="shared" si="12"/>
        <v>55.428571428571431</v>
      </c>
      <c r="Y135" s="4"/>
      <c r="Z135" s="4"/>
      <c r="AA135" s="4"/>
      <c r="AB135" s="4"/>
    </row>
    <row r="136" spans="1:28"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row>
    <row r="137" spans="1:28"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row>
    <row r="138" spans="1:28"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row>
    <row r="139" spans="1:28"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row>
    <row r="140" spans="1:28"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row>
    <row r="141" spans="1:28"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row>
    <row r="142" spans="1:28"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row>
    <row r="143" spans="1:28"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row>
    <row r="144" spans="1:28"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row>
    <row r="145" spans="1:28"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row>
    <row r="146" spans="1:28"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row>
    <row r="147" spans="1:28"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row>
    <row r="148" spans="1:28"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row>
    <row r="149" spans="1:28"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row>
    <row r="150" spans="1:28"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row>
    <row r="151" spans="1:28"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row>
    <row r="152" spans="1:28"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row>
    <row r="153" spans="1:28"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row>
    <row r="154" spans="1:28"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row>
    <row r="155" spans="1:28"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row>
    <row r="156" spans="1:28"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row>
    <row r="157" spans="1:28"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row>
    <row r="158" spans="1:28"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row>
    <row r="159" spans="1:28"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row>
    <row r="160" spans="1:28"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row>
    <row r="161" spans="1:28"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row>
    <row r="162" spans="1:28"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row>
    <row r="163" spans="1:28"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row>
    <row r="164" spans="1:28"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row>
    <row r="165" spans="1:28"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row>
    <row r="166" spans="1:28"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row>
    <row r="167" spans="1:28"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row>
    <row r="168" spans="1:28"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row>
    <row r="169" spans="1:28"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row>
    <row r="170" spans="1:28"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row>
    <row r="171" spans="1:28"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row>
    <row r="172" spans="1:28"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row>
    <row r="173" spans="1:28"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row>
    <row r="174" spans="1:28"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row>
    <row r="175" spans="1:28"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row>
    <row r="176" spans="1:28"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row>
    <row r="177" spans="1:28"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row>
    <row r="178" spans="1:28"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row>
    <row r="179" spans="1:28"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row>
    <row r="180" spans="1:28"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row>
    <row r="181" spans="1:28"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row>
    <row r="182" spans="1:28"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row>
    <row r="183" spans="1:28"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row>
    <row r="184" spans="1:28"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row>
    <row r="185" spans="1:28"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row>
    <row r="186" spans="1:28"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row>
    <row r="187" spans="1:28"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row>
    <row r="188" spans="1:28"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row>
    <row r="189" spans="1:28"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row>
    <row r="190" spans="1:28"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row>
    <row r="191" spans="1:28"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row>
    <row r="192" spans="1:28"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row>
    <row r="193" spans="1:28"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row>
    <row r="194" spans="1:28"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row>
    <row r="195" spans="1:28"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row>
    <row r="196" spans="1:28"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row>
    <row r="197" spans="1:28"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row>
    <row r="198" spans="1:28"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row>
    <row r="199" spans="1:28"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row>
    <row r="200" spans="1:28"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row>
    <row r="201" spans="1:28"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row>
    <row r="202" spans="1:28"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row>
    <row r="203" spans="1:28"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row>
    <row r="204" spans="1:28"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row>
    <row r="205" spans="1:28"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row>
    <row r="206" spans="1:28"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row>
    <row r="207" spans="1:28"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row>
    <row r="208" spans="1:28"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row>
    <row r="209" spans="1:28"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row>
    <row r="210" spans="1:28"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row>
    <row r="211" spans="1:28"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row>
    <row r="212" spans="1:28"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row>
    <row r="213" spans="1:28"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row>
    <row r="214" spans="1:28"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row>
    <row r="215" spans="1:28"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row>
    <row r="216" spans="1:28"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row>
    <row r="217" spans="1:28"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row>
    <row r="218" spans="1:28"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row>
    <row r="219" spans="1:28"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row>
    <row r="220" spans="1:28"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row>
    <row r="221" spans="1:28"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row>
    <row r="222" spans="1:28"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row>
    <row r="223" spans="1:28"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row>
    <row r="224" spans="1:28"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row>
    <row r="225" spans="1:28"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row>
    <row r="226" spans="1:28"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row>
    <row r="227" spans="1:28"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row>
    <row r="228" spans="1:28"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row>
    <row r="229" spans="1:28"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row>
    <row r="230" spans="1:28"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row>
    <row r="231" spans="1:28"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row>
    <row r="232" spans="1:28"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row>
    <row r="233" spans="1:28"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row>
    <row r="234" spans="1:28"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row>
    <row r="235" spans="1:28"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row>
    <row r="236" spans="1:28"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row>
    <row r="237" spans="1:28"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row>
    <row r="238" spans="1:28"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row>
    <row r="239" spans="1:28"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row>
    <row r="240" spans="1:28"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row>
    <row r="241" spans="1:28"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row>
    <row r="242" spans="1:28"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row>
    <row r="243" spans="1:28"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row>
    <row r="244" spans="1:28"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row>
    <row r="245" spans="1:28"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row>
    <row r="246" spans="1:28"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row>
    <row r="247" spans="1:28"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row>
    <row r="248" spans="1:28"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row>
    <row r="249" spans="1:28"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row>
    <row r="250" spans="1:28"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row>
    <row r="251" spans="1:28"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row>
    <row r="252" spans="1:28"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row>
    <row r="253" spans="1:28"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row>
    <row r="254" spans="1:28"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row>
    <row r="255" spans="1:28"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row>
    <row r="256" spans="1:28"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row>
    <row r="257" spans="1:28"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row>
    <row r="258" spans="1:28"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row>
    <row r="259" spans="1:28"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row>
    <row r="260" spans="1:28"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row>
    <row r="261" spans="1:28"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row>
    <row r="262" spans="1:28"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row>
    <row r="263" spans="1:28"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row>
    <row r="264" spans="1:28"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row>
    <row r="265" spans="1:28"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row>
    <row r="266" spans="1:28"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row>
    <row r="267" spans="1:28"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row>
    <row r="268" spans="1:28"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row>
    <row r="269" spans="1:28"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row>
    <row r="270" spans="1:28"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row>
    <row r="271" spans="1:28"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row>
    <row r="272" spans="1:28"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row>
    <row r="273" spans="1:28"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row>
    <row r="274" spans="1:28"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row>
    <row r="275" spans="1:28"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row>
    <row r="276" spans="1:28"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row>
    <row r="277" spans="1:28"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row>
    <row r="278" spans="1:28"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row>
    <row r="279" spans="1:28"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row>
    <row r="280" spans="1:28"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row>
    <row r="281" spans="1:28"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row>
    <row r="282" spans="1:28"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row>
    <row r="283" spans="1:28"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row>
    <row r="284" spans="1:28"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row>
    <row r="285" spans="1:28"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row>
    <row r="286" spans="1:28"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row>
    <row r="287" spans="1:28"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row>
    <row r="288" spans="1:28"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row>
    <row r="289" spans="1:28"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row>
    <row r="290" spans="1:28"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row>
    <row r="291" spans="1:28"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row>
    <row r="292" spans="1:28"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row>
    <row r="293" spans="1:28"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row>
    <row r="294" spans="1:28"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row>
    <row r="295" spans="1:28"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row>
    <row r="296" spans="1:28"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row>
    <row r="297" spans="1:28"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row>
    <row r="298" spans="1:28"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row>
    <row r="299" spans="1:28"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row>
    <row r="300" spans="1:28"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row>
    <row r="301" spans="1:28"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row>
    <row r="302" spans="1:28"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row>
    <row r="303" spans="1:28"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row>
    <row r="304" spans="1:28"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row>
    <row r="305" spans="1:28"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row>
    <row r="306" spans="1:28"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row>
    <row r="307" spans="1:28"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row>
    <row r="308" spans="1:28"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row>
    <row r="309" spans="1:28"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row>
    <row r="310" spans="1:28"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row>
    <row r="311" spans="1:28"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row>
    <row r="312" spans="1:28"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row>
    <row r="313" spans="1:28"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row>
    <row r="314" spans="1:28"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row>
    <row r="315" spans="1:28"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row>
    <row r="316" spans="1:28"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row>
    <row r="317" spans="1:28"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row>
    <row r="318" spans="1:28"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row>
    <row r="319" spans="1:28"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row>
    <row r="320" spans="1:28"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row>
    <row r="321" spans="1:28"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row>
    <row r="322" spans="1:28"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row>
    <row r="323" spans="1:28"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row>
    <row r="324" spans="1:28"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row>
    <row r="325" spans="1:28"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row>
    <row r="326" spans="1:28"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row>
    <row r="327" spans="1:28"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row>
    <row r="328" spans="1:28"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row>
    <row r="329" spans="1:28"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row>
    <row r="330" spans="1:28"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row>
    <row r="331" spans="1:28"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row>
    <row r="332" spans="1:28"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row>
    <row r="333" spans="1:28"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row>
    <row r="334" spans="1:28"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row>
    <row r="335" spans="1:28"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row>
    <row r="336" spans="1:28"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row>
    <row r="337" spans="1:28"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row>
    <row r="338" spans="1:28"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row>
    <row r="339" spans="1:28"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row>
    <row r="340" spans="1:28"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row>
    <row r="341" spans="1:28"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row>
    <row r="342" spans="1:28"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row>
    <row r="343" spans="1:28"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row>
    <row r="344" spans="1:28"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row>
    <row r="345" spans="1:28"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row>
    <row r="346" spans="1:28"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row>
    <row r="347" spans="1:28"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row>
    <row r="348" spans="1:28"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row>
    <row r="349" spans="1:28"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row>
    <row r="350" spans="1:28"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row>
    <row r="351" spans="1:28"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row>
    <row r="352" spans="1:28"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row>
    <row r="353" spans="1:28"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row>
    <row r="354" spans="1:28"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row>
    <row r="355" spans="1:28"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row>
    <row r="356" spans="1:28"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row>
    <row r="357" spans="1:28"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row>
    <row r="358" spans="1:28"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row>
    <row r="359" spans="1:28"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row>
    <row r="360" spans="1:28"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row>
    <row r="361" spans="1:28"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row>
    <row r="362" spans="1:28"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row>
    <row r="363" spans="1:28"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row>
    <row r="364" spans="1:28"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row>
    <row r="365" spans="1:28"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row>
    <row r="366" spans="1:28"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row>
    <row r="367" spans="1:28"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row>
    <row r="368" spans="1:28"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row>
    <row r="369" spans="1:28"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row>
    <row r="370" spans="1:28"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row>
    <row r="371" spans="1:28"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row>
    <row r="372" spans="1:28"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row>
    <row r="373" spans="1:28"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row>
    <row r="374" spans="1:28"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row>
    <row r="375" spans="1:28"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row>
    <row r="376" spans="1:28"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row>
    <row r="377" spans="1:28"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row>
    <row r="378" spans="1:28"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row>
    <row r="379" spans="1:28"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row>
    <row r="380" spans="1:28"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row>
    <row r="381" spans="1:28"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row>
    <row r="382" spans="1:28"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row>
    <row r="383" spans="1:28"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row>
    <row r="384" spans="1:28"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row>
    <row r="385" spans="1:28"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row>
    <row r="386" spans="1:28"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row>
    <row r="387" spans="1:28"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row>
    <row r="388" spans="1:28"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row>
    <row r="389" spans="1:28"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row>
    <row r="390" spans="1:28"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row>
    <row r="391" spans="1:28"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row>
    <row r="392" spans="1:28"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row>
    <row r="393" spans="1:28"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row>
    <row r="394" spans="1:28"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row>
    <row r="395" spans="1:28"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row>
    <row r="396" spans="1:28"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row>
    <row r="397" spans="1:28"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row>
    <row r="398" spans="1:28"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row>
    <row r="399" spans="1:28"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row>
    <row r="400" spans="1:28"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row>
    <row r="401" spans="1:28"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row>
    <row r="402" spans="1:28"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row>
    <row r="403" spans="1:28"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row>
    <row r="404" spans="1:28"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row>
    <row r="405" spans="1:28"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row>
    <row r="406" spans="1:28"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row>
    <row r="407" spans="1:28"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row>
    <row r="408" spans="1:28"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row>
    <row r="409" spans="1:28"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row>
    <row r="410" spans="1:28"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row>
    <row r="411" spans="1:28"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row>
    <row r="412" spans="1:28"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row>
    <row r="413" spans="1:28"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row>
    <row r="414" spans="1:28"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row>
    <row r="415" spans="1:28"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row>
    <row r="416" spans="1:28"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row>
    <row r="417" spans="1:28"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row>
    <row r="418" spans="1:28"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row>
    <row r="419" spans="1:28"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row>
    <row r="420" spans="1:28"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row>
    <row r="421" spans="1:28"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row>
    <row r="422" spans="1:28"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row>
    <row r="423" spans="1:28"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row>
    <row r="424" spans="1:28"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row>
    <row r="425" spans="1:28"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row>
    <row r="426" spans="1:28"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row>
    <row r="427" spans="1:28"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row>
    <row r="428" spans="1:28"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row>
    <row r="429" spans="1:28"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row>
    <row r="430" spans="1:28"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row>
    <row r="431" spans="1:28"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row>
    <row r="432" spans="1:28"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row>
    <row r="433" spans="1:28"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row>
    <row r="434" spans="1:28"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row>
    <row r="435" spans="1:28"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row>
    <row r="436" spans="1:28"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row>
    <row r="437" spans="1:28"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row>
    <row r="438" spans="1:28"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row>
    <row r="439" spans="1:28"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row>
    <row r="440" spans="1:28"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row>
    <row r="441" spans="1:28"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row>
    <row r="442" spans="1:28"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row>
    <row r="443" spans="1:28"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row>
    <row r="444" spans="1:28"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row>
    <row r="445" spans="1:28"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row>
    <row r="446" spans="1:28"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row>
    <row r="447" spans="1:28"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row>
    <row r="448" spans="1:28"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row>
    <row r="449" spans="1:28"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row>
    <row r="450" spans="1:28"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row>
    <row r="451" spans="1:28"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row>
    <row r="452" spans="1:28"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row>
    <row r="453" spans="1:28"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row>
    <row r="454" spans="1:28"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row>
    <row r="455" spans="1:28"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row>
    <row r="456" spans="1:28"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row>
    <row r="457" spans="1:28"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row>
    <row r="458" spans="1:28"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row>
    <row r="459" spans="1:28"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row>
    <row r="460" spans="1:28"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row>
    <row r="461" spans="1:28"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row>
    <row r="462" spans="1:28"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row>
    <row r="463" spans="1:28"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row>
    <row r="464" spans="1:28"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row>
    <row r="465" spans="1:28"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row>
    <row r="466" spans="1:28"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row>
    <row r="467" spans="1:28"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row>
    <row r="468" spans="1:28"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row>
    <row r="469" spans="1:28"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row>
    <row r="470" spans="1:28"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row>
    <row r="471" spans="1:28"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row>
    <row r="472" spans="1:28"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row>
    <row r="473" spans="1:28"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row>
    <row r="474" spans="1:28"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row>
    <row r="475" spans="1:28"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row>
    <row r="476" spans="1:28"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row>
    <row r="477" spans="1:28"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row>
    <row r="478" spans="1:28"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row>
    <row r="479" spans="1:28"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row>
    <row r="480" spans="1:28"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row>
    <row r="481" spans="1:28"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row>
    <row r="482" spans="1:28"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row>
    <row r="483" spans="1:28"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row>
    <row r="484" spans="1:28"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row>
    <row r="485" spans="1:28"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row>
    <row r="486" spans="1:28"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row>
    <row r="487" spans="1:28"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row>
    <row r="488" spans="1:28"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row>
    <row r="489" spans="1:28"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row>
    <row r="490" spans="1:28"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row>
    <row r="491" spans="1:28"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row>
    <row r="492" spans="1:28"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row>
    <row r="493" spans="1:28"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row>
    <row r="494" spans="1:28"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row>
    <row r="495" spans="1:28"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row>
    <row r="496" spans="1:28"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row>
    <row r="497" spans="1:28"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row>
    <row r="498" spans="1:28"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row>
    <row r="499" spans="1:28"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row>
    <row r="500" spans="1:28"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row>
    <row r="501" spans="1:28"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row>
    <row r="502" spans="1:28"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row>
    <row r="503" spans="1:28"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row>
    <row r="504" spans="1:28"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row>
    <row r="505" spans="1:28"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row>
    <row r="506" spans="1:28"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row>
    <row r="507" spans="1:28"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row>
    <row r="508" spans="1:28"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row>
    <row r="509" spans="1:28"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row>
    <row r="510" spans="1:28"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row>
    <row r="511" spans="1:28"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row>
    <row r="512" spans="1:28"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row>
    <row r="513" spans="1:28"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row>
    <row r="514" spans="1:28"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row>
    <row r="515" spans="1:28"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row>
    <row r="516" spans="1:28"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row>
    <row r="517" spans="1:28"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row>
    <row r="518" spans="1:28"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row>
    <row r="519" spans="1:28"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row>
    <row r="520" spans="1:28"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row>
    <row r="521" spans="1:28"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row>
    <row r="522" spans="1:28"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row>
    <row r="523" spans="1:28"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row>
    <row r="524" spans="1:28"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row>
    <row r="525" spans="1:28"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row>
    <row r="526" spans="1:28"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row>
    <row r="527" spans="1:28"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row>
    <row r="528" spans="1:28"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row>
    <row r="529" spans="1:28"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row>
    <row r="530" spans="1:28"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row>
    <row r="531" spans="1:28"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row>
    <row r="532" spans="1:28"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row>
    <row r="533" spans="1:28"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row>
    <row r="534" spans="1:28"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row>
    <row r="535" spans="1:28"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row>
    <row r="536" spans="1:28"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row>
    <row r="537" spans="1:28"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row>
    <row r="538" spans="1:28"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row>
    <row r="539" spans="1:28"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row>
    <row r="540" spans="1:28"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row>
    <row r="541" spans="1:28"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row>
    <row r="542" spans="1:28"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row>
    <row r="543" spans="1:28"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row>
    <row r="544" spans="1:28"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row>
    <row r="545" spans="1:28"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row>
    <row r="546" spans="1:28"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row>
    <row r="547" spans="1:28"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row>
    <row r="548" spans="1:28"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row>
    <row r="549" spans="1:28"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row>
    <row r="550" spans="1:28"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row>
    <row r="551" spans="1:28"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row>
    <row r="552" spans="1:28"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row>
    <row r="553" spans="1:28"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row>
    <row r="554" spans="1:28"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row>
    <row r="555" spans="1:28"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row>
    <row r="556" spans="1:28"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row>
    <row r="557" spans="1:28"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row>
    <row r="558" spans="1:28"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row>
    <row r="559" spans="1:28"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row>
    <row r="560" spans="1:28"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row>
    <row r="561" spans="1:28"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row>
    <row r="562" spans="1:28"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row>
    <row r="563" spans="1:28"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row>
    <row r="564" spans="1:28"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row>
    <row r="565" spans="1:28"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row>
    <row r="566" spans="1:28"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row>
    <row r="567" spans="1:28"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row>
    <row r="568" spans="1:28"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row>
    <row r="569" spans="1:28"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row>
    <row r="570" spans="1:28"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row>
    <row r="571" spans="1:28"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row>
    <row r="572" spans="1:28"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row>
    <row r="573" spans="1:28"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row>
    <row r="574" spans="1:28"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row>
    <row r="575" spans="1:28"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row>
    <row r="576" spans="1:28"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row>
    <row r="577" spans="1:28"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row>
    <row r="578" spans="1:28"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row>
    <row r="579" spans="1:28"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row>
    <row r="580" spans="1:28"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row>
    <row r="581" spans="1:28"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row>
    <row r="582" spans="1:28"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row>
    <row r="583" spans="1:28"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row>
    <row r="584" spans="1:28"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row>
    <row r="585" spans="1:28"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row>
    <row r="586" spans="1:28"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row>
    <row r="587" spans="1:28"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row>
    <row r="588" spans="1:28"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row>
    <row r="589" spans="1:28"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row>
    <row r="590" spans="1:28"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row>
    <row r="591" spans="1:28"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row>
    <row r="592" spans="1:28"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row>
    <row r="593" spans="1:28"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row>
    <row r="594" spans="1:28"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row>
    <row r="595" spans="1:28"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row>
    <row r="596" spans="1:28"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row>
    <row r="597" spans="1:28"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row>
    <row r="598" spans="1:28"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row>
    <row r="599" spans="1:28"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row>
    <row r="600" spans="1:28"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row>
    <row r="601" spans="1:28"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row>
    <row r="602" spans="1:28"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row>
    <row r="603" spans="1:28"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row>
    <row r="604" spans="1:28"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row>
    <row r="605" spans="1:28"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row>
    <row r="606" spans="1:28"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row>
    <row r="607" spans="1:28"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row>
    <row r="608" spans="1:28"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row>
    <row r="609" spans="1:28"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row>
    <row r="610" spans="1:28"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row>
    <row r="611" spans="1:28"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row>
    <row r="612" spans="1:28"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row>
    <row r="613" spans="1:28"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row>
    <row r="614" spans="1:28"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row>
    <row r="615" spans="1:28"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row>
    <row r="616" spans="1:28"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row>
    <row r="617" spans="1:28"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row>
    <row r="618" spans="1:28"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row>
    <row r="619" spans="1:28"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row>
    <row r="620" spans="1:28"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row>
    <row r="621" spans="1:28"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row>
    <row r="622" spans="1:28"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row>
    <row r="623" spans="1:28"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row>
    <row r="624" spans="1:28"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row>
    <row r="625" spans="1:28"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row>
    <row r="626" spans="1:28"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row>
    <row r="627" spans="1:28"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row>
    <row r="628" spans="1:28"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row>
    <row r="629" spans="1:28"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row>
    <row r="630" spans="1:28"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row>
    <row r="631" spans="1:28"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row>
    <row r="632" spans="1:28"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row>
    <row r="633" spans="1:28"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row>
    <row r="634" spans="1:28"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row>
    <row r="635" spans="1:28"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row>
    <row r="636" spans="1:28"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row>
    <row r="637" spans="1:28"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row>
    <row r="638" spans="1:28"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row>
    <row r="639" spans="1:28"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row>
    <row r="640" spans="1:28"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row>
    <row r="641" spans="1:28"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row>
    <row r="642" spans="1:28"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row>
    <row r="643" spans="1:28"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row>
    <row r="644" spans="1:28"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row>
    <row r="645" spans="1:28"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row>
    <row r="646" spans="1:28"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row>
    <row r="647" spans="1:28"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row>
    <row r="648" spans="1:28"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row>
    <row r="649" spans="1:28"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row>
    <row r="650" spans="1:28"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row>
    <row r="651" spans="1:28"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row>
    <row r="652" spans="1:28"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row>
    <row r="653" spans="1:28"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row>
    <row r="654" spans="1:28"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row>
    <row r="655" spans="1:28"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row>
    <row r="656" spans="1:28"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row>
    <row r="657" spans="1:28"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row>
    <row r="658" spans="1:28"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row>
    <row r="659" spans="1:28"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row>
    <row r="660" spans="1:28"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row>
    <row r="661" spans="1:28"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row>
    <row r="662" spans="1:28"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row>
    <row r="663" spans="1:28"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row>
    <row r="664" spans="1:28"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row>
    <row r="665" spans="1:28"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row>
    <row r="666" spans="1:28"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row>
    <row r="667" spans="1:28"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row>
    <row r="668" spans="1:28"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row>
    <row r="669" spans="1:28"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row>
    <row r="670" spans="1:28"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row>
    <row r="671" spans="1:28"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row>
    <row r="672" spans="1:28"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row>
    <row r="673" spans="1:28"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row>
    <row r="674" spans="1:28"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row>
    <row r="675" spans="1:28"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row>
    <row r="676" spans="1:28"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row>
    <row r="677" spans="1:28"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row>
    <row r="678" spans="1:28"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row>
    <row r="679" spans="1:28"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row>
    <row r="680" spans="1:28"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row>
    <row r="681" spans="1:28"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row>
    <row r="682" spans="1:28"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row>
    <row r="683" spans="1:28"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row>
    <row r="684" spans="1:28"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row>
    <row r="685" spans="1:28"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row>
    <row r="686" spans="1:28"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row>
    <row r="687" spans="1:28"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row>
    <row r="688" spans="1:28"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row>
    <row r="689" spans="1:28"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row>
    <row r="690" spans="1:28"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row>
    <row r="691" spans="1:28"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row>
    <row r="692" spans="1:28"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row>
    <row r="693" spans="1:28"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row>
    <row r="694" spans="1:28"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row>
    <row r="695" spans="1:28"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row>
    <row r="696" spans="1:28"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row>
    <row r="697" spans="1:28"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row>
    <row r="698" spans="1:28"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row>
    <row r="699" spans="1:28"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row>
    <row r="700" spans="1:28"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row>
    <row r="701" spans="1:28"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row>
    <row r="702" spans="1:28"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row>
    <row r="703" spans="1:28"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row>
    <row r="704" spans="1:28"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row>
    <row r="705" spans="1:28"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row>
    <row r="706" spans="1:28"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row>
    <row r="707" spans="1:28"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row>
    <row r="708" spans="1:28"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row>
    <row r="709" spans="1:28"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row>
    <row r="710" spans="1:28"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row>
    <row r="711" spans="1:28"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row>
    <row r="712" spans="1:28"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row>
    <row r="713" spans="1:28"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row>
    <row r="714" spans="1:28"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row>
    <row r="715" spans="1:28"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row>
    <row r="716" spans="1:28"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row>
    <row r="717" spans="1:28"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row>
    <row r="718" spans="1:28"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row>
    <row r="719" spans="1:28"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row>
    <row r="720" spans="1:28"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row>
    <row r="721" spans="1:28"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row>
    <row r="722" spans="1:28"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row>
    <row r="723" spans="1:28"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row>
    <row r="724" spans="1:28"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row>
    <row r="725" spans="1:28"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row>
    <row r="726" spans="1:28"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row>
    <row r="727" spans="1:28"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row>
    <row r="728" spans="1:28"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row>
    <row r="729" spans="1:28"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row>
    <row r="730" spans="1:28"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row>
    <row r="731" spans="1:28"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row>
    <row r="732" spans="1:28"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row>
    <row r="733" spans="1:28"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row>
    <row r="734" spans="1:28"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row>
    <row r="735" spans="1:28"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row>
    <row r="736" spans="1:28"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row>
    <row r="737" spans="1:28"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row>
    <row r="738" spans="1:28"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row>
    <row r="739" spans="1:28"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row>
    <row r="740" spans="1:28"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row>
    <row r="741" spans="1:28"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row>
    <row r="742" spans="1:28"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row>
    <row r="743" spans="1:28"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row>
    <row r="744" spans="1:28"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row>
    <row r="745" spans="1:28"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row>
    <row r="746" spans="1:28"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row>
    <row r="747" spans="1:28"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row>
    <row r="748" spans="1:28"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row>
    <row r="749" spans="1:28"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row>
    <row r="750" spans="1:28"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row>
    <row r="751" spans="1:28"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row>
    <row r="752" spans="1:28"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row>
    <row r="753" spans="1:28"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row>
    <row r="754" spans="1:28"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row>
    <row r="755" spans="1:28"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row>
    <row r="756" spans="1:28"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row>
    <row r="757" spans="1:28"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row>
    <row r="758" spans="1:28"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row>
    <row r="759" spans="1:28"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row>
    <row r="760" spans="1:28"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row>
    <row r="761" spans="1:28"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row>
    <row r="762" spans="1:28"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row>
    <row r="763" spans="1:28"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row>
    <row r="764" spans="1:28"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row>
    <row r="765" spans="1:28"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row>
    <row r="766" spans="1:28"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row>
    <row r="767" spans="1:28"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row>
    <row r="768" spans="1:28"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row>
    <row r="769" spans="1:28"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row>
    <row r="770" spans="1:28"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row>
    <row r="771" spans="1:28"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row>
    <row r="772" spans="1:28"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row>
    <row r="773" spans="1:28"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row>
    <row r="774" spans="1:28"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row>
    <row r="775" spans="1:28"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row>
    <row r="776" spans="1:28"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row>
    <row r="777" spans="1:28"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row>
    <row r="778" spans="1:28"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row>
    <row r="779" spans="1:28"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row>
    <row r="780" spans="1:28"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row>
    <row r="781" spans="1:28"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row>
    <row r="782" spans="1:28"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row>
    <row r="783" spans="1:28"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row>
    <row r="784" spans="1:28"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row>
    <row r="785" spans="1:28"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row>
    <row r="786" spans="1:28"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row>
    <row r="787" spans="1:28"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row>
    <row r="788" spans="1:28"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row>
    <row r="789" spans="1:28"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row>
    <row r="790" spans="1:28"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row>
    <row r="791" spans="1:28"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row>
    <row r="792" spans="1:28"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row>
    <row r="793" spans="1:28"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row>
    <row r="794" spans="1:28"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row>
    <row r="795" spans="1:28"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row>
    <row r="796" spans="1:28"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row>
    <row r="797" spans="1:28"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row>
    <row r="798" spans="1:28"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row>
    <row r="799" spans="1:28"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row>
    <row r="800" spans="1:28"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row>
    <row r="801" spans="1:28"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row>
    <row r="802" spans="1:28"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row>
    <row r="803" spans="1:28"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row>
    <row r="804" spans="1:28"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row>
    <row r="805" spans="1:28"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row>
    <row r="806" spans="1:28"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row>
    <row r="807" spans="1:28"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row>
    <row r="808" spans="1:28"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row>
    <row r="809" spans="1:28"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row>
    <row r="810" spans="1:28"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row>
    <row r="811" spans="1:28"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row>
    <row r="812" spans="1:28"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row>
    <row r="813" spans="1:28"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row>
    <row r="814" spans="1:28"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row>
    <row r="815" spans="1:28"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row>
    <row r="816" spans="1:28"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row>
    <row r="817" spans="1:28"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row>
    <row r="818" spans="1:28"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row>
    <row r="819" spans="1:28"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row>
    <row r="820" spans="1:28"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row>
    <row r="821" spans="1:28"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row>
    <row r="822" spans="1:28"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row>
    <row r="823" spans="1:28"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row>
    <row r="824" spans="1:28"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row>
    <row r="825" spans="1:28"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row>
    <row r="826" spans="1:28"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row>
    <row r="827" spans="1:28"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row>
    <row r="828" spans="1:28"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row>
    <row r="829" spans="1:28"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row>
    <row r="830" spans="1:28"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row>
    <row r="831" spans="1:28"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row>
    <row r="832" spans="1:28"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row>
    <row r="833" spans="1:28"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row>
    <row r="834" spans="1:28"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row>
    <row r="835" spans="1:28"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row>
    <row r="836" spans="1:28"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row>
    <row r="837" spans="1:28"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row>
    <row r="838" spans="1:28"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row>
    <row r="839" spans="1:28"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row>
    <row r="840" spans="1:28"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row>
    <row r="841" spans="1:28"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row>
    <row r="842" spans="1:28"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row>
    <row r="843" spans="1:28"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row>
    <row r="844" spans="1:28"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row>
    <row r="845" spans="1:28"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row>
    <row r="846" spans="1:28"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row>
    <row r="847" spans="1:28"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row>
    <row r="848" spans="1:28"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row>
    <row r="849" spans="1:28"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row>
    <row r="850" spans="1:28"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row>
    <row r="851" spans="1:28"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row>
    <row r="852" spans="1:28"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row>
    <row r="853" spans="1:28"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row>
    <row r="854" spans="1:28"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row>
    <row r="855" spans="1:28"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row>
    <row r="856" spans="1:28"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row>
    <row r="857" spans="1:28"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row>
    <row r="858" spans="1:28"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row>
    <row r="859" spans="1:28"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row>
    <row r="860" spans="1:28"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row>
    <row r="861" spans="1:28"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row>
    <row r="862" spans="1:28"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row>
    <row r="863" spans="1:28"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row>
    <row r="864" spans="1:28"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row>
    <row r="865" spans="1:28"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row>
    <row r="866" spans="1:28"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row>
    <row r="867" spans="1:28"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row>
    <row r="868" spans="1:28"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row>
    <row r="869" spans="1:28"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row>
    <row r="870" spans="1:28"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row>
    <row r="871" spans="1:28"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row>
    <row r="872" spans="1:28"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row>
    <row r="873" spans="1:28"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row>
    <row r="874" spans="1:28"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row>
    <row r="875" spans="1:28"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row>
    <row r="876" spans="1:28"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row>
    <row r="877" spans="1:28"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row>
    <row r="878" spans="1:28"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row>
    <row r="879" spans="1:28"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row>
    <row r="880" spans="1:28"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row>
    <row r="881" spans="1:28"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row>
    <row r="882" spans="1:28"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row>
    <row r="883" spans="1:28"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row>
    <row r="884" spans="1:28"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row>
    <row r="885" spans="1:28"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row>
    <row r="886" spans="1:28"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row>
    <row r="887" spans="1:28"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row>
    <row r="888" spans="1:28"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row>
    <row r="889" spans="1:28"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row>
    <row r="890" spans="1:28"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row>
    <row r="891" spans="1:28"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row>
    <row r="892" spans="1:28"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row>
    <row r="893" spans="1:28"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row>
    <row r="894" spans="1:28"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row>
    <row r="895" spans="1:28"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row>
    <row r="896" spans="1:28"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row>
    <row r="897" spans="1:28"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row>
    <row r="898" spans="1:28"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row>
    <row r="899" spans="1:28"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row>
    <row r="900" spans="1:28"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row>
    <row r="901" spans="1:28"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row>
    <row r="902" spans="1:28"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row>
    <row r="903" spans="1:28"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row>
    <row r="904" spans="1:28"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row>
    <row r="905" spans="1:28"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row>
    <row r="906" spans="1:28"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row>
    <row r="907" spans="1:28"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row>
    <row r="908" spans="1:28"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row>
    <row r="909" spans="1:28"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row>
    <row r="910" spans="1:28"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row>
    <row r="911" spans="1:28"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row>
    <row r="912" spans="1:28"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row>
    <row r="913" spans="1:28"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row>
    <row r="914" spans="1:28"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row>
    <row r="915" spans="1:28"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row>
    <row r="916" spans="1:28"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row>
    <row r="917" spans="1:28"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row>
    <row r="918" spans="1:28"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row>
    <row r="919" spans="1:28"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row>
    <row r="920" spans="1:28"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row>
    <row r="921" spans="1:28"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row>
    <row r="922" spans="1:28"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row>
    <row r="923" spans="1:28"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row>
    <row r="924" spans="1:28"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row>
    <row r="925" spans="1:28"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row>
    <row r="926" spans="1:28"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row>
    <row r="927" spans="1:28"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row>
    <row r="928" spans="1:28"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row>
    <row r="929" spans="1:28"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row>
    <row r="930" spans="1:28"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row>
    <row r="931" spans="1:28"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row>
    <row r="932" spans="1:28"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row>
    <row r="933" spans="1:28"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row>
    <row r="934" spans="1:28"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row>
    <row r="935" spans="1:28"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row>
    <row r="936" spans="1:28"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row>
    <row r="937" spans="1:28"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row>
    <row r="938" spans="1:28"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row>
    <row r="939" spans="1:28"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row>
    <row r="940" spans="1:28"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row>
    <row r="941" spans="1:28"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row>
    <row r="942" spans="1:28"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row>
    <row r="943" spans="1:28"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row>
    <row r="944" spans="1:28"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row>
    <row r="945" spans="1:28"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row>
    <row r="946" spans="1:28"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row>
    <row r="947" spans="1:28"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row>
    <row r="948" spans="1:28"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row>
    <row r="949" spans="1:28"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row>
    <row r="950" spans="1:28"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row>
    <row r="951" spans="1:28"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row>
    <row r="952" spans="1:28"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row>
    <row r="953" spans="1:28"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row>
    <row r="954" spans="1:28"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row>
    <row r="955" spans="1:28"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row>
    <row r="956" spans="1:28"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row>
    <row r="957" spans="1:28"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row>
    <row r="958" spans="1:28"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row>
    <row r="959" spans="1:28"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row>
    <row r="960" spans="1:28"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row>
    <row r="961" spans="1:28"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row>
    <row r="962" spans="1:28"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row>
    <row r="963" spans="1:28"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row>
    <row r="964" spans="1:28"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row>
    <row r="965" spans="1:28"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row>
    <row r="966" spans="1:28"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row>
    <row r="967" spans="1:28"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row>
    <row r="968" spans="1:28"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row>
    <row r="969" spans="1:28"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row>
    <row r="970" spans="1:28"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row>
    <row r="971" spans="1:28"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row>
    <row r="972" spans="1:28"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row>
    <row r="973" spans="1:28"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row>
    <row r="974" spans="1:28"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row>
    <row r="975" spans="1:28"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row>
    <row r="976" spans="1:28"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row>
    <row r="977" spans="1:28"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row>
    <row r="978" spans="1:28"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row>
    <row r="979" spans="1:28"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row>
    <row r="980" spans="1:28"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row>
    <row r="981" spans="1:28"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row>
    <row r="982" spans="1:28"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row>
    <row r="983" spans="1:28"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row>
    <row r="984" spans="1:28"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row>
    <row r="985" spans="1:28"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row>
    <row r="986" spans="1:28"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row>
    <row r="987" spans="1:28"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row>
    <row r="988" spans="1:28"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row>
    <row r="989" spans="1:28"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row>
    <row r="990" spans="1:28"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row>
    <row r="991" spans="1:28"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row>
    <row r="992" spans="1:28"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row>
    <row r="993" spans="1:28"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row>
    <row r="994" spans="1:28"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row>
    <row r="995" spans="1:28" ht="13.2" x14ac:dyDescent="0.25">
      <c r="H995" s="6"/>
      <c r="R995" s="4"/>
      <c r="S995" s="4"/>
      <c r="T995" s="4"/>
      <c r="U995" s="4"/>
      <c r="V995" s="4"/>
      <c r="W995" s="4"/>
      <c r="X995" s="4"/>
      <c r="Y995" s="4"/>
      <c r="Z995" s="4"/>
      <c r="AA995" s="4"/>
      <c r="AB995" s="4"/>
    </row>
    <row r="996" spans="1:28" ht="13.2" x14ac:dyDescent="0.25">
      <c r="R996" s="4"/>
      <c r="S996" s="4"/>
      <c r="T996" s="4"/>
      <c r="U996" s="4"/>
      <c r="V996" s="4"/>
      <c r="W996" s="4"/>
      <c r="X996" s="4"/>
      <c r="Y996" s="4"/>
      <c r="Z996" s="4"/>
      <c r="AA996" s="4"/>
      <c r="AB996" s="4"/>
    </row>
    <row r="997" spans="1:28" ht="13.2" x14ac:dyDescent="0.25">
      <c r="R997" s="4"/>
      <c r="S997" s="4"/>
      <c r="T997" s="4"/>
      <c r="U997" s="4"/>
      <c r="V997" s="4"/>
      <c r="W997" s="4"/>
      <c r="X997" s="4"/>
      <c r="Y997" s="4"/>
      <c r="Z997" s="4"/>
      <c r="AA997" s="4"/>
      <c r="AB997" s="4"/>
    </row>
    <row r="998" spans="1:28" ht="13.2" x14ac:dyDescent="0.25">
      <c r="R998" s="4"/>
      <c r="S998" s="4"/>
      <c r="T998" s="4"/>
      <c r="U998" s="4"/>
      <c r="V998" s="4"/>
      <c r="W998" s="4"/>
      <c r="X998" s="4"/>
      <c r="Y998" s="4"/>
      <c r="Z998" s="4"/>
      <c r="AA998" s="4"/>
      <c r="AB998" s="4"/>
    </row>
    <row r="999" spans="1:28" ht="13.2" x14ac:dyDescent="0.25">
      <c r="R999" s="4"/>
      <c r="S999" s="4"/>
      <c r="T999" s="4"/>
      <c r="U999" s="4"/>
      <c r="V999" s="4"/>
      <c r="W999" s="4"/>
      <c r="X999" s="4"/>
      <c r="Y999" s="4"/>
      <c r="Z999" s="4"/>
      <c r="AA999" s="4"/>
      <c r="AB999" s="4"/>
    </row>
  </sheetData>
  <mergeCells count="28">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3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L21"/>
  <sheetViews>
    <sheetView workbookViewId="0">
      <selection activeCell="L5" sqref="L5"/>
    </sheetView>
  </sheetViews>
  <sheetFormatPr defaultRowHeight="13.2" x14ac:dyDescent="0.25"/>
  <cols>
    <col min="12" max="12" width="17.88671875" customWidth="1"/>
  </cols>
  <sheetData>
    <row r="1" spans="1:12" x14ac:dyDescent="0.25">
      <c r="C1" s="888" t="s">
        <v>333</v>
      </c>
      <c r="D1" s="889"/>
      <c r="G1" s="888" t="s">
        <v>477</v>
      </c>
      <c r="H1" s="889"/>
      <c r="I1" s="33"/>
    </row>
    <row r="2" spans="1:12" x14ac:dyDescent="0.25">
      <c r="B2" s="825" t="s">
        <v>331</v>
      </c>
      <c r="C2" s="825" t="s">
        <v>448</v>
      </c>
      <c r="D2" s="825" t="s">
        <v>332</v>
      </c>
      <c r="E2" s="825" t="s">
        <v>476</v>
      </c>
      <c r="F2" s="825"/>
      <c r="G2" s="825" t="s">
        <v>448</v>
      </c>
      <c r="H2" s="825" t="s">
        <v>332</v>
      </c>
      <c r="I2" s="825" t="s">
        <v>476</v>
      </c>
      <c r="K2" t="s">
        <v>445</v>
      </c>
      <c r="L2" t="s">
        <v>447</v>
      </c>
    </row>
    <row r="3" spans="1:12" x14ac:dyDescent="0.25">
      <c r="A3">
        <v>1</v>
      </c>
      <c r="B3">
        <v>18</v>
      </c>
      <c r="C3">
        <v>0.8</v>
      </c>
      <c r="D3">
        <v>0.8</v>
      </c>
      <c r="E3">
        <v>0.8</v>
      </c>
      <c r="G3">
        <f>C3*55</f>
        <v>44</v>
      </c>
      <c r="H3">
        <f t="shared" ref="H3:H19" si="0">D3*70</f>
        <v>56</v>
      </c>
      <c r="I3">
        <f>E3*80</f>
        <v>64</v>
      </c>
      <c r="K3">
        <f>'2Q - 80'!N15</f>
        <v>58.79</v>
      </c>
    </row>
    <row r="4" spans="1:12" x14ac:dyDescent="0.25">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5">
      <c r="A5">
        <v>3</v>
      </c>
      <c r="B5">
        <v>16</v>
      </c>
      <c r="C5">
        <v>0.9</v>
      </c>
      <c r="D5">
        <v>0.9</v>
      </c>
      <c r="E5">
        <v>0.9</v>
      </c>
      <c r="G5">
        <f t="shared" si="1"/>
        <v>49.5</v>
      </c>
      <c r="H5">
        <f t="shared" si="0"/>
        <v>63</v>
      </c>
      <c r="I5">
        <f t="shared" si="2"/>
        <v>72</v>
      </c>
      <c r="K5">
        <f>'2Q - 80'!N29</f>
        <v>51.58</v>
      </c>
      <c r="L5" s="838">
        <f>(K5-K4)/((K5+K4)/2)*100</f>
        <v>23.314211494750506</v>
      </c>
    </row>
    <row r="6" spans="1:12" x14ac:dyDescent="0.25">
      <c r="A6">
        <v>4</v>
      </c>
      <c r="B6">
        <v>15</v>
      </c>
      <c r="C6">
        <v>0.9</v>
      </c>
      <c r="D6">
        <v>0.9</v>
      </c>
      <c r="E6">
        <v>0.9</v>
      </c>
      <c r="G6">
        <f t="shared" si="1"/>
        <v>49.5</v>
      </c>
      <c r="H6">
        <f t="shared" si="0"/>
        <v>63</v>
      </c>
      <c r="I6">
        <f t="shared" si="2"/>
        <v>72</v>
      </c>
      <c r="K6">
        <f>'2Q - 80'!N36</f>
        <v>0</v>
      </c>
      <c r="L6" s="838">
        <f>(K6-K5)/((K6+K5)/2)*100</f>
        <v>-200</v>
      </c>
    </row>
    <row r="7" spans="1:12" x14ac:dyDescent="0.25">
      <c r="A7">
        <v>5</v>
      </c>
      <c r="B7">
        <v>14</v>
      </c>
      <c r="C7">
        <v>0.9</v>
      </c>
      <c r="D7">
        <v>0.9</v>
      </c>
      <c r="E7">
        <v>0.9</v>
      </c>
      <c r="G7">
        <f t="shared" si="1"/>
        <v>49.5</v>
      </c>
      <c r="H7">
        <f t="shared" si="0"/>
        <v>63</v>
      </c>
      <c r="I7">
        <f>E7*80</f>
        <v>72</v>
      </c>
      <c r="K7">
        <f>'2Q - 80'!N43</f>
        <v>0</v>
      </c>
      <c r="L7" s="838" t="e">
        <f>(K7-K6)/((K7+K6)/2)*100</f>
        <v>#DIV/0!</v>
      </c>
    </row>
    <row r="8" spans="1:12" x14ac:dyDescent="0.25">
      <c r="A8">
        <v>6</v>
      </c>
      <c r="B8">
        <v>13</v>
      </c>
      <c r="C8">
        <v>0.8</v>
      </c>
      <c r="D8">
        <v>0.8</v>
      </c>
      <c r="E8">
        <v>0.8</v>
      </c>
      <c r="G8">
        <f t="shared" si="1"/>
        <v>44</v>
      </c>
      <c r="H8">
        <f t="shared" si="0"/>
        <v>56</v>
      </c>
      <c r="I8">
        <f t="shared" si="2"/>
        <v>64</v>
      </c>
      <c r="K8">
        <f>'2Q - 80'!N50</f>
        <v>0</v>
      </c>
      <c r="L8" s="838" t="e">
        <f>(K8-K7)/((K8+K7)/2)*100</f>
        <v>#DIV/0!</v>
      </c>
    </row>
    <row r="9" spans="1:12" x14ac:dyDescent="0.25">
      <c r="A9">
        <v>7</v>
      </c>
      <c r="B9">
        <v>12</v>
      </c>
      <c r="C9" s="825">
        <v>1</v>
      </c>
      <c r="D9" s="825">
        <v>1</v>
      </c>
      <c r="E9" s="825">
        <v>1</v>
      </c>
      <c r="F9" s="825"/>
      <c r="G9">
        <f t="shared" si="1"/>
        <v>55</v>
      </c>
      <c r="H9">
        <f t="shared" si="0"/>
        <v>70</v>
      </c>
      <c r="I9">
        <f t="shared" si="2"/>
        <v>80</v>
      </c>
      <c r="K9">
        <f>'2Q - 80'!N57</f>
        <v>0</v>
      </c>
      <c r="L9" s="838" t="e">
        <f t="shared" ref="L9:L12" si="3">(K9-K8)/((K9+K8)/2)*100</f>
        <v>#DIV/0!</v>
      </c>
    </row>
    <row r="10" spans="1:12" x14ac:dyDescent="0.25">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5">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5">
      <c r="A12">
        <v>10</v>
      </c>
      <c r="B12">
        <v>9</v>
      </c>
      <c r="C12" s="825">
        <v>1</v>
      </c>
      <c r="D12" s="825">
        <v>1</v>
      </c>
      <c r="E12" s="825">
        <v>1</v>
      </c>
      <c r="F12" s="825"/>
      <c r="G12">
        <f t="shared" si="1"/>
        <v>55</v>
      </c>
      <c r="H12">
        <f t="shared" si="0"/>
        <v>70</v>
      </c>
      <c r="I12">
        <f t="shared" si="2"/>
        <v>80</v>
      </c>
      <c r="K12">
        <f>'2Q - 80'!N78</f>
        <v>0</v>
      </c>
      <c r="L12" s="838" t="e">
        <f t="shared" si="3"/>
        <v>#DIV/0!</v>
      </c>
    </row>
    <row r="13" spans="1:12" x14ac:dyDescent="0.25">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5">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5">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5">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5">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5">
      <c r="A20">
        <v>18</v>
      </c>
      <c r="B20">
        <v>1</v>
      </c>
      <c r="G20">
        <v>25</v>
      </c>
      <c r="H20">
        <f>13+8+8+7+5+3+3</f>
        <v>47</v>
      </c>
      <c r="I20">
        <f>13+8+9+7+5+3+3</f>
        <v>48</v>
      </c>
      <c r="K20">
        <f>'2Q - 80'!N134</f>
        <v>0</v>
      </c>
      <c r="L20" s="838" t="e">
        <f t="shared" si="4"/>
        <v>#DIV/0!</v>
      </c>
    </row>
    <row r="21" spans="1:12" x14ac:dyDescent="0.25">
      <c r="A21" s="825"/>
    </row>
  </sheetData>
  <mergeCells count="2">
    <mergeCell ref="C1:D1"/>
    <mergeCell ref="G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23" sqref="K23"/>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2" t="s">
        <v>378</v>
      </c>
      <c r="B1" s="892"/>
      <c r="C1" s="892"/>
      <c r="D1" s="892"/>
      <c r="E1" s="892"/>
      <c r="F1" s="892"/>
      <c r="I1" s="892" t="s">
        <v>389</v>
      </c>
      <c r="J1" s="892"/>
      <c r="K1" s="892"/>
      <c r="L1" s="892"/>
      <c r="M1" s="892"/>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90">
        <v>18</v>
      </c>
      <c r="B3" s="825" t="s">
        <v>314</v>
      </c>
      <c r="C3" s="825" t="s">
        <v>336</v>
      </c>
      <c r="D3" s="838">
        <f>1+6+1+6+2</f>
        <v>16</v>
      </c>
      <c r="E3">
        <v>16</v>
      </c>
      <c r="F3" s="891">
        <f>'Daniel''s Mileage'!G3 - ('Q Sessions'!D3+'Q Sessions'!D4)</f>
        <v>12</v>
      </c>
      <c r="I3" s="890">
        <v>18</v>
      </c>
      <c r="J3" s="825" t="s">
        <v>314</v>
      </c>
      <c r="K3" s="825" t="s">
        <v>390</v>
      </c>
      <c r="L3">
        <v>18</v>
      </c>
      <c r="M3" s="891">
        <f>'Daniel''s Mileage'!I3 - (L3+L4)</f>
        <v>29</v>
      </c>
    </row>
    <row r="4" spans="1:13" x14ac:dyDescent="0.25">
      <c r="A4" s="890"/>
      <c r="B4" s="825" t="s">
        <v>335</v>
      </c>
      <c r="C4" s="825" t="s">
        <v>337</v>
      </c>
      <c r="D4" s="838">
        <f>8+3+2+3</f>
        <v>16</v>
      </c>
      <c r="E4">
        <v>15</v>
      </c>
      <c r="F4" s="890"/>
      <c r="I4" s="890"/>
      <c r="J4" s="825" t="s">
        <v>335</v>
      </c>
      <c r="K4" s="825" t="s">
        <v>391</v>
      </c>
      <c r="L4">
        <v>17</v>
      </c>
      <c r="M4" s="890"/>
    </row>
    <row r="5" spans="1:13" x14ac:dyDescent="0.25">
      <c r="A5" s="890">
        <v>17</v>
      </c>
      <c r="B5" s="825" t="s">
        <v>314</v>
      </c>
      <c r="C5" s="825" t="s">
        <v>338</v>
      </c>
      <c r="D5" s="838">
        <f>2+3+(60/7.5)+1+1</f>
        <v>15</v>
      </c>
      <c r="E5">
        <v>15</v>
      </c>
      <c r="F5" s="891">
        <f>'Daniel''s Mileage'!G5 - ('Q Sessions'!D5+'Q Sessions'!D6)</f>
        <v>24.375</v>
      </c>
      <c r="I5" s="890">
        <v>17</v>
      </c>
      <c r="J5" s="825" t="s">
        <v>314</v>
      </c>
      <c r="K5" s="825" t="s">
        <v>392</v>
      </c>
      <c r="L5">
        <v>18</v>
      </c>
      <c r="M5" s="891">
        <f>'Daniel''s Mileage'!I4 -(L5+L6)</f>
        <v>31</v>
      </c>
    </row>
    <row r="6" spans="1:13" x14ac:dyDescent="0.25">
      <c r="A6" s="890"/>
      <c r="B6" s="825" t="s">
        <v>335</v>
      </c>
      <c r="C6" s="825" t="s">
        <v>354</v>
      </c>
      <c r="D6" s="838">
        <f>4+ (5*(1000/1600)) + (4*(400/1600)) +2</f>
        <v>10.125</v>
      </c>
      <c r="E6">
        <v>13</v>
      </c>
      <c r="F6" s="890"/>
      <c r="I6" s="890"/>
      <c r="J6" s="825" t="s">
        <v>335</v>
      </c>
      <c r="K6" s="825" t="s">
        <v>396</v>
      </c>
      <c r="L6">
        <v>15</v>
      </c>
      <c r="M6" s="891"/>
    </row>
    <row r="7" spans="1:13" x14ac:dyDescent="0.25">
      <c r="A7" s="890">
        <v>16</v>
      </c>
      <c r="B7" s="825" t="s">
        <v>314</v>
      </c>
      <c r="C7" s="825" t="s">
        <v>339</v>
      </c>
      <c r="D7" s="838">
        <v>16</v>
      </c>
      <c r="E7">
        <v>16</v>
      </c>
      <c r="F7" s="891">
        <f>'Daniel''s Mileage'!G7 - ('Q Sessions'!D7+'Q Sessions'!D8)</f>
        <v>20.5</v>
      </c>
      <c r="I7" s="890">
        <v>16</v>
      </c>
      <c r="J7" s="825" t="s">
        <v>314</v>
      </c>
      <c r="K7" s="825" t="s">
        <v>393</v>
      </c>
      <c r="L7">
        <v>18</v>
      </c>
      <c r="M7" s="891">
        <f>'Daniel''s Mileage'!I5 -(L7+L8)</f>
        <v>37</v>
      </c>
    </row>
    <row r="8" spans="1:13" x14ac:dyDescent="0.25">
      <c r="A8" s="890"/>
      <c r="B8" s="825" t="s">
        <v>335</v>
      </c>
      <c r="C8" s="825" t="s">
        <v>341</v>
      </c>
      <c r="D8" s="838">
        <f>6+3+2+1+1</f>
        <v>13</v>
      </c>
      <c r="E8">
        <v>14</v>
      </c>
      <c r="F8" s="890"/>
      <c r="I8" s="890"/>
      <c r="J8" s="825" t="s">
        <v>335</v>
      </c>
      <c r="K8" s="825" t="s">
        <v>394</v>
      </c>
      <c r="L8">
        <v>17</v>
      </c>
      <c r="M8" s="890"/>
    </row>
    <row r="9" spans="1:13" x14ac:dyDescent="0.25">
      <c r="A9" s="890">
        <v>15</v>
      </c>
      <c r="B9" s="825" t="s">
        <v>314</v>
      </c>
      <c r="C9" s="825" t="s">
        <v>340</v>
      </c>
      <c r="D9" s="838">
        <f>2+8+1+3+2</f>
        <v>16</v>
      </c>
      <c r="E9">
        <v>16</v>
      </c>
      <c r="F9" s="891">
        <f>'Daniel''s Mileage'!G9 - ('Q Sessions'!D9+'Q Sessions'!D10)</f>
        <v>24.666666666666668</v>
      </c>
      <c r="I9" s="890">
        <v>15</v>
      </c>
      <c r="J9" s="825" t="s">
        <v>314</v>
      </c>
      <c r="K9" s="825" t="s">
        <v>395</v>
      </c>
      <c r="L9">
        <v>18</v>
      </c>
      <c r="M9" s="891">
        <f>'Daniel''s Mileage'!I6 -(L9+L10)</f>
        <v>38</v>
      </c>
    </row>
    <row r="10" spans="1:13" x14ac:dyDescent="0.25">
      <c r="A10" s="890"/>
      <c r="B10" s="825" t="s">
        <v>335</v>
      </c>
      <c r="C10" s="825" t="s">
        <v>342</v>
      </c>
      <c r="D10" s="839">
        <f>(40/7.5) + (3*2) + (2*1) + 1</f>
        <v>14.333333333333332</v>
      </c>
      <c r="E10">
        <v>15</v>
      </c>
      <c r="F10" s="890"/>
      <c r="I10" s="890"/>
      <c r="J10" s="825" t="s">
        <v>335</v>
      </c>
      <c r="K10" s="825" t="s">
        <v>399</v>
      </c>
      <c r="L10">
        <v>16</v>
      </c>
      <c r="M10" s="890"/>
    </row>
    <row r="11" spans="1:13" x14ac:dyDescent="0.25">
      <c r="A11" s="890">
        <v>14</v>
      </c>
      <c r="B11" s="825" t="s">
        <v>314</v>
      </c>
      <c r="C11" s="825" t="s">
        <v>347</v>
      </c>
      <c r="D11" s="838">
        <f>1+(2*2)+(60/7.5)+2+1</f>
        <v>16</v>
      </c>
      <c r="E11">
        <v>16</v>
      </c>
      <c r="F11" s="891">
        <f>'Daniel''s Mileage'!G11 - ('Q Sessions'!D11+'Q Sessions'!D12)</f>
        <v>19.75</v>
      </c>
      <c r="I11" s="890">
        <v>14</v>
      </c>
      <c r="J11" s="825" t="s">
        <v>314</v>
      </c>
      <c r="K11" s="825" t="s">
        <v>400</v>
      </c>
      <c r="L11">
        <v>18</v>
      </c>
      <c r="M11" s="891">
        <f>'Daniel''s Mileage'!I7 -(L11+L12)</f>
        <v>37</v>
      </c>
    </row>
    <row r="12" spans="1:13" x14ac:dyDescent="0.25">
      <c r="A12" s="890"/>
      <c r="B12" s="825" t="s">
        <v>335</v>
      </c>
      <c r="C12" s="825" t="s">
        <v>348</v>
      </c>
      <c r="D12" s="838">
        <f xml:space="preserve"> 8+(6*(1/1.6))+2</f>
        <v>13.75</v>
      </c>
      <c r="E12">
        <v>14</v>
      </c>
      <c r="F12" s="890"/>
      <c r="I12" s="890"/>
      <c r="J12" s="825" t="s">
        <v>335</v>
      </c>
      <c r="K12" s="825" t="s">
        <v>401</v>
      </c>
      <c r="L12">
        <v>17</v>
      </c>
      <c r="M12" s="890"/>
    </row>
    <row r="13" spans="1:13" x14ac:dyDescent="0.25">
      <c r="A13" s="890">
        <v>13</v>
      </c>
      <c r="B13" s="825" t="s">
        <v>314</v>
      </c>
      <c r="C13" s="825" t="s">
        <v>349</v>
      </c>
      <c r="D13" s="838">
        <v>17</v>
      </c>
      <c r="E13">
        <v>17</v>
      </c>
      <c r="F13" s="891">
        <f>'Daniel''s Mileage'!G13 - ('Q Sessions'!D13+'Q Sessions'!D14)</f>
        <v>23.666666666666668</v>
      </c>
      <c r="I13" s="890">
        <v>13</v>
      </c>
      <c r="J13" s="825" t="s">
        <v>314</v>
      </c>
      <c r="K13" s="825" t="s">
        <v>397</v>
      </c>
      <c r="L13">
        <v>19</v>
      </c>
      <c r="M13" s="891">
        <f>'Daniel''s Mileage'!I8 -(L13+L14)</f>
        <v>28</v>
      </c>
    </row>
    <row r="14" spans="1:13" x14ac:dyDescent="0.25">
      <c r="A14" s="890"/>
      <c r="B14" s="825" t="s">
        <v>335</v>
      </c>
      <c r="C14" s="825" t="s">
        <v>351</v>
      </c>
      <c r="D14" s="838">
        <f>(40/7.5)+3+(2*2)+2</f>
        <v>14.333333333333332</v>
      </c>
      <c r="E14">
        <v>15</v>
      </c>
      <c r="F14" s="890"/>
      <c r="I14" s="890"/>
      <c r="J14" s="825" t="s">
        <v>335</v>
      </c>
      <c r="K14" s="825" t="s">
        <v>398</v>
      </c>
      <c r="L14">
        <v>17</v>
      </c>
      <c r="M14" s="890"/>
    </row>
    <row r="15" spans="1:13" x14ac:dyDescent="0.25">
      <c r="A15" s="890">
        <v>12</v>
      </c>
      <c r="B15" s="825" t="s">
        <v>314</v>
      </c>
      <c r="C15" s="825" t="s">
        <v>350</v>
      </c>
      <c r="D15" s="838">
        <f>1+8+1+6+1</f>
        <v>17</v>
      </c>
      <c r="E15">
        <v>17</v>
      </c>
      <c r="F15" s="891">
        <f>'Daniel''s Mileage'!G15 - ('Q Sessions'!D15+'Q Sessions'!D16)</f>
        <v>24</v>
      </c>
      <c r="I15" s="890">
        <v>12</v>
      </c>
      <c r="J15" s="825" t="s">
        <v>314</v>
      </c>
      <c r="K15" s="825" t="s">
        <v>402</v>
      </c>
      <c r="L15">
        <v>19</v>
      </c>
      <c r="M15" s="891">
        <f>'Daniel''s Mileage'!I9 -(L15+L16)</f>
        <v>46</v>
      </c>
    </row>
    <row r="16" spans="1:13" x14ac:dyDescent="0.25">
      <c r="A16" s="890"/>
      <c r="B16" s="825" t="s">
        <v>335</v>
      </c>
      <c r="C16" s="825" t="s">
        <v>352</v>
      </c>
      <c r="D16" s="838">
        <f>4+3+2+2+1+2</f>
        <v>14</v>
      </c>
      <c r="E16">
        <v>14</v>
      </c>
      <c r="F16" s="890"/>
      <c r="I16" s="890"/>
      <c r="J16" s="825" t="s">
        <v>335</v>
      </c>
      <c r="K16" s="825" t="s">
        <v>403</v>
      </c>
      <c r="L16">
        <v>15</v>
      </c>
      <c r="M16" s="890"/>
    </row>
    <row r="17" spans="1:13" x14ac:dyDescent="0.25">
      <c r="A17" s="890">
        <v>11</v>
      </c>
      <c r="B17" s="825" t="s">
        <v>314</v>
      </c>
      <c r="C17" s="825" t="s">
        <v>353</v>
      </c>
      <c r="D17" s="838">
        <f>12+3+1</f>
        <v>16</v>
      </c>
      <c r="E17">
        <v>16</v>
      </c>
      <c r="F17" s="891">
        <f>'Daniel''s Mileage'!G17 - ('Q Sessions'!D17+'Q Sessions'!D18)</f>
        <v>20.375</v>
      </c>
      <c r="I17" s="890">
        <v>11</v>
      </c>
      <c r="J17" s="825" t="s">
        <v>314</v>
      </c>
      <c r="K17" s="825" t="s">
        <v>404</v>
      </c>
      <c r="L17">
        <v>19</v>
      </c>
      <c r="M17" s="891">
        <f>'Daniel''s Mileage'!I10 -(L17+L18)</f>
        <v>36</v>
      </c>
    </row>
    <row r="18" spans="1:13" x14ac:dyDescent="0.25">
      <c r="A18" s="890"/>
      <c r="B18" s="825" t="s">
        <v>335</v>
      </c>
      <c r="C18" s="825" t="s">
        <v>355</v>
      </c>
      <c r="D18" s="838">
        <f>8+(5*(1/1.6))+(4*0.25)+1</f>
        <v>13.125</v>
      </c>
      <c r="E18">
        <v>15</v>
      </c>
      <c r="F18" s="890"/>
      <c r="I18" s="890"/>
      <c r="J18" s="825" t="s">
        <v>335</v>
      </c>
      <c r="K18" s="825" t="s">
        <v>405</v>
      </c>
      <c r="L18">
        <v>17</v>
      </c>
      <c r="M18" s="890"/>
    </row>
    <row r="19" spans="1:13" x14ac:dyDescent="0.25">
      <c r="A19" s="890">
        <v>10</v>
      </c>
      <c r="B19" s="825" t="s">
        <v>314</v>
      </c>
      <c r="C19" s="825" t="s">
        <v>356</v>
      </c>
      <c r="D19" s="838">
        <v>18</v>
      </c>
      <c r="E19">
        <v>18</v>
      </c>
      <c r="F19" s="891">
        <f>'Daniel''s Mileage'!G19 - ('Q Sessions'!D19+'Q Sessions'!D20)</f>
        <v>10</v>
      </c>
      <c r="I19" s="890">
        <v>10</v>
      </c>
      <c r="J19" s="825" t="s">
        <v>314</v>
      </c>
      <c r="K19" s="825" t="s">
        <v>411</v>
      </c>
      <c r="L19">
        <v>20</v>
      </c>
      <c r="M19" s="891">
        <f>'Daniel''s Mileage'!I11 -(L19+L20)</f>
        <v>26</v>
      </c>
    </row>
    <row r="20" spans="1:13" x14ac:dyDescent="0.25">
      <c r="A20" s="890"/>
      <c r="B20" s="825" t="s">
        <v>335</v>
      </c>
      <c r="C20" s="825" t="s">
        <v>358</v>
      </c>
      <c r="D20" s="838">
        <f>2+12+2</f>
        <v>16</v>
      </c>
      <c r="E20">
        <v>16</v>
      </c>
      <c r="F20" s="890"/>
      <c r="I20" s="890"/>
      <c r="J20" s="825" t="s">
        <v>335</v>
      </c>
      <c r="K20" s="825" t="s">
        <v>406</v>
      </c>
      <c r="L20">
        <v>18</v>
      </c>
      <c r="M20" s="890"/>
    </row>
    <row r="21" spans="1:13" x14ac:dyDescent="0.25">
      <c r="A21" s="890">
        <v>9</v>
      </c>
      <c r="B21" s="825" t="s">
        <v>314</v>
      </c>
      <c r="C21" s="825" t="s">
        <v>359</v>
      </c>
      <c r="D21" s="838">
        <f>3+6+1+4+1+1</f>
        <v>16</v>
      </c>
      <c r="E21">
        <v>16</v>
      </c>
      <c r="F21" s="891">
        <f>'Daniel''s Mileage'!G21 - ('Q Sessions'!D21+'Q Sessions'!D22)</f>
        <v>-31</v>
      </c>
      <c r="I21" s="890">
        <v>9</v>
      </c>
      <c r="J21" s="825" t="s">
        <v>314</v>
      </c>
      <c r="K21" s="825" t="s">
        <v>407</v>
      </c>
      <c r="L21">
        <v>18</v>
      </c>
      <c r="M21" s="891">
        <f>'Daniel''s Mileage'!I12 -(L21+L22)</f>
        <v>46</v>
      </c>
    </row>
    <row r="22" spans="1:13" x14ac:dyDescent="0.25">
      <c r="A22" s="890"/>
      <c r="B22" s="825" t="s">
        <v>335</v>
      </c>
      <c r="C22" s="825" t="s">
        <v>360</v>
      </c>
      <c r="D22" s="838">
        <f>5+(4*2)+2</f>
        <v>15</v>
      </c>
      <c r="E22">
        <v>15</v>
      </c>
      <c r="F22" s="890"/>
      <c r="I22" s="890"/>
      <c r="J22" s="825" t="s">
        <v>335</v>
      </c>
      <c r="K22" s="825" t="s">
        <v>408</v>
      </c>
      <c r="L22">
        <v>16</v>
      </c>
      <c r="M22" s="890"/>
    </row>
    <row r="23" spans="1:13" x14ac:dyDescent="0.25">
      <c r="A23" s="890">
        <v>8</v>
      </c>
      <c r="B23" s="825" t="s">
        <v>314</v>
      </c>
      <c r="C23" s="825" t="s">
        <v>361</v>
      </c>
      <c r="D23" s="838">
        <f>2+2+(60/7)+2+2</f>
        <v>16.571428571428569</v>
      </c>
      <c r="E23">
        <v>17</v>
      </c>
      <c r="F23" s="891">
        <f>'Daniel''s Mileage'!G23 - ('Q Sessions'!D23+'Q Sessions'!D24)</f>
        <v>-30.321428571428569</v>
      </c>
      <c r="I23" s="890">
        <v>8</v>
      </c>
      <c r="J23" s="825" t="s">
        <v>314</v>
      </c>
      <c r="K23" s="825" t="s">
        <v>409</v>
      </c>
      <c r="L23">
        <v>18</v>
      </c>
      <c r="M23" s="891">
        <f>'Daniel''s Mileage'!I13 -(L23+L24)</f>
        <v>37</v>
      </c>
    </row>
    <row r="24" spans="1:13" x14ac:dyDescent="0.25">
      <c r="A24" s="890"/>
      <c r="B24" s="825" t="s">
        <v>335</v>
      </c>
      <c r="C24" s="825" t="s">
        <v>348</v>
      </c>
      <c r="D24" s="838">
        <f xml:space="preserve"> 8+(6*(1/1.6))+2</f>
        <v>13.75</v>
      </c>
      <c r="E24">
        <v>16</v>
      </c>
      <c r="F24" s="890"/>
      <c r="I24" s="890"/>
      <c r="J24" s="825" t="s">
        <v>335</v>
      </c>
      <c r="K24" s="825" t="s">
        <v>410</v>
      </c>
      <c r="L24">
        <v>17</v>
      </c>
      <c r="M24" s="890"/>
    </row>
    <row r="25" spans="1:13" x14ac:dyDescent="0.25">
      <c r="A25" s="890">
        <v>7</v>
      </c>
      <c r="B25" s="825" t="s">
        <v>314</v>
      </c>
      <c r="C25" s="825" t="s">
        <v>364</v>
      </c>
      <c r="D25" s="838">
        <v>20</v>
      </c>
      <c r="E25">
        <v>20</v>
      </c>
      <c r="F25" s="891">
        <f>'Daniel''s Mileage'!G25 - ('Q Sessions'!D25+'Q Sessions'!D26)</f>
        <v>-36</v>
      </c>
      <c r="I25" s="890">
        <v>7</v>
      </c>
      <c r="J25" s="825" t="s">
        <v>314</v>
      </c>
      <c r="K25" s="825" t="s">
        <v>411</v>
      </c>
      <c r="L25">
        <v>20</v>
      </c>
      <c r="M25" s="891">
        <f>'Daniel''s Mileage'!I14 -(L25+L26)</f>
        <v>37</v>
      </c>
    </row>
    <row r="26" spans="1:13" x14ac:dyDescent="0.25">
      <c r="A26" s="890"/>
      <c r="B26" s="825" t="s">
        <v>335</v>
      </c>
      <c r="C26" s="825" t="s">
        <v>365</v>
      </c>
      <c r="D26" s="838">
        <f>2+8+(2*2)+2</f>
        <v>16</v>
      </c>
      <c r="E26">
        <v>16</v>
      </c>
      <c r="F26" s="890"/>
      <c r="I26" s="890"/>
      <c r="J26" s="825" t="s">
        <v>335</v>
      </c>
      <c r="K26" s="825" t="s">
        <v>412</v>
      </c>
      <c r="L26">
        <v>15</v>
      </c>
      <c r="M26" s="890"/>
    </row>
    <row r="27" spans="1:13" x14ac:dyDescent="0.25">
      <c r="A27" s="890">
        <v>6</v>
      </c>
      <c r="B27" s="825" t="s">
        <v>314</v>
      </c>
      <c r="C27" s="825" t="s">
        <v>366</v>
      </c>
      <c r="D27" s="838">
        <f>3+12+2</f>
        <v>17</v>
      </c>
      <c r="E27">
        <v>17</v>
      </c>
      <c r="F27" s="891">
        <f>'Daniel''s Mileage'!G27 - ('Q Sessions'!D27+'Q Sessions'!D28)</f>
        <v>-33.333333333333329</v>
      </c>
      <c r="I27" s="890">
        <v>6</v>
      </c>
      <c r="J27" s="825" t="s">
        <v>314</v>
      </c>
      <c r="K27" s="825" t="s">
        <v>413</v>
      </c>
      <c r="L27">
        <v>18</v>
      </c>
      <c r="M27" s="891">
        <f>'Daniel''s Mileage'!I15 -(L27+L28)</f>
        <v>48</v>
      </c>
    </row>
    <row r="28" spans="1:13" x14ac:dyDescent="0.25">
      <c r="A28" s="890"/>
      <c r="B28" s="825" t="s">
        <v>335</v>
      </c>
      <c r="C28" s="825" t="s">
        <v>367</v>
      </c>
      <c r="D28" s="839">
        <f>(40/7.5) + (4*2) + (2*1) + 1</f>
        <v>16.333333333333332</v>
      </c>
      <c r="E28">
        <v>17</v>
      </c>
      <c r="F28" s="890"/>
      <c r="I28" s="890"/>
      <c r="J28" s="825" t="s">
        <v>335</v>
      </c>
      <c r="K28" s="825" t="s">
        <v>414</v>
      </c>
      <c r="L28">
        <v>14</v>
      </c>
      <c r="M28" s="890"/>
    </row>
    <row r="29" spans="1:13" x14ac:dyDescent="0.25">
      <c r="A29" s="890">
        <v>5</v>
      </c>
      <c r="B29" s="825" t="s">
        <v>314</v>
      </c>
      <c r="C29" s="825" t="s">
        <v>368</v>
      </c>
      <c r="D29" s="838">
        <f>6+2+6+2+1</f>
        <v>17</v>
      </c>
      <c r="E29">
        <v>17</v>
      </c>
      <c r="F29" s="891">
        <f>'Daniel''s Mileage'!G29 - ('Q Sessions'!D29+'Q Sessions'!D30)</f>
        <v>-29.875</v>
      </c>
      <c r="I29" s="890">
        <v>5</v>
      </c>
      <c r="J29" s="825" t="s">
        <v>314</v>
      </c>
      <c r="K29" s="825" t="s">
        <v>415</v>
      </c>
      <c r="L29">
        <v>16</v>
      </c>
      <c r="M29" s="891">
        <f>'Daniel''s Mileage'!I16 -(L29+L30)</f>
        <v>42</v>
      </c>
    </row>
    <row r="30" spans="1:13" x14ac:dyDescent="0.25">
      <c r="A30" s="890"/>
      <c r="B30" s="825" t="s">
        <v>335</v>
      </c>
      <c r="C30" s="825" t="s">
        <v>369</v>
      </c>
      <c r="D30" s="838">
        <f>8+(5*(1/1.6))+(6*0.125)+1</f>
        <v>12.875</v>
      </c>
      <c r="E30">
        <v>16</v>
      </c>
      <c r="F30" s="890"/>
      <c r="I30" s="890"/>
      <c r="J30" s="825" t="s">
        <v>335</v>
      </c>
      <c r="K30" s="825" t="s">
        <v>416</v>
      </c>
      <c r="L30">
        <v>14</v>
      </c>
      <c r="M30" s="890"/>
    </row>
    <row r="31" spans="1:13" x14ac:dyDescent="0.25">
      <c r="A31" s="890">
        <v>4</v>
      </c>
      <c r="B31" s="825" t="s">
        <v>314</v>
      </c>
      <c r="C31" s="825" t="s">
        <v>370</v>
      </c>
      <c r="D31" s="838">
        <v>20</v>
      </c>
      <c r="E31">
        <v>20</v>
      </c>
      <c r="F31" s="891">
        <f>'Daniel''s Mileage'!G31 - ('Q Sessions'!D31+'Q Sessions'!D32)</f>
        <v>-33.125</v>
      </c>
      <c r="I31" s="890">
        <v>4</v>
      </c>
      <c r="J31" s="825" t="s">
        <v>314</v>
      </c>
      <c r="K31" s="825" t="s">
        <v>393</v>
      </c>
      <c r="L31">
        <v>18</v>
      </c>
      <c r="M31" s="891">
        <f>'Daniel''s Mileage'!I17 -(L31+L32)</f>
        <v>34</v>
      </c>
    </row>
    <row r="32" spans="1:13" x14ac:dyDescent="0.25">
      <c r="A32" s="890"/>
      <c r="B32" s="825" t="s">
        <v>335</v>
      </c>
      <c r="C32" s="825" t="s">
        <v>371</v>
      </c>
      <c r="D32" s="838">
        <f>6+(5*(1/1.6))+4</f>
        <v>13.125</v>
      </c>
      <c r="E32">
        <v>15</v>
      </c>
      <c r="F32" s="890"/>
      <c r="I32" s="890"/>
      <c r="J32" s="825" t="s">
        <v>335</v>
      </c>
      <c r="K32" s="825" t="s">
        <v>417</v>
      </c>
      <c r="L32">
        <v>12</v>
      </c>
      <c r="M32" s="890"/>
    </row>
    <row r="33" spans="1:13" x14ac:dyDescent="0.25">
      <c r="A33" s="890">
        <v>3</v>
      </c>
      <c r="B33" s="825" t="s">
        <v>314</v>
      </c>
      <c r="C33" s="825" t="s">
        <v>372</v>
      </c>
      <c r="D33" s="838">
        <f>2+6+1+6+2</f>
        <v>17</v>
      </c>
      <c r="E33">
        <v>17</v>
      </c>
      <c r="F33" s="891">
        <f>'Daniel''s Mileage'!G33 - ('Q Sessions'!D33+'Q Sessions'!D34)</f>
        <v>-29</v>
      </c>
      <c r="I33" s="890">
        <v>3</v>
      </c>
      <c r="J33" s="825" t="s">
        <v>314</v>
      </c>
      <c r="K33" s="825" t="s">
        <v>418</v>
      </c>
      <c r="L33">
        <v>18</v>
      </c>
      <c r="M33" s="891">
        <f>'Daniel''s Mileage'!I18 -(L33+L34)</f>
        <v>34</v>
      </c>
    </row>
    <row r="34" spans="1:13" x14ac:dyDescent="0.25">
      <c r="A34" s="890"/>
      <c r="B34" s="825" t="s">
        <v>335</v>
      </c>
      <c r="C34" s="825" t="s">
        <v>373</v>
      </c>
      <c r="D34" s="838">
        <f>2+(4*2)+2</f>
        <v>12</v>
      </c>
      <c r="E34">
        <v>12</v>
      </c>
      <c r="F34" s="890"/>
      <c r="I34" s="890"/>
      <c r="J34" s="825" t="s">
        <v>335</v>
      </c>
      <c r="K34" s="825" t="s">
        <v>420</v>
      </c>
      <c r="L34">
        <v>12</v>
      </c>
      <c r="M34" s="890"/>
    </row>
    <row r="35" spans="1:13" x14ac:dyDescent="0.25">
      <c r="A35" s="890">
        <v>2</v>
      </c>
      <c r="B35" s="825" t="s">
        <v>314</v>
      </c>
      <c r="C35" s="825" t="s">
        <v>374</v>
      </c>
      <c r="D35" s="838">
        <f>2+(3*2)+7</f>
        <v>15</v>
      </c>
      <c r="E35">
        <v>15</v>
      </c>
      <c r="F35" s="891">
        <f>'Daniel''s Mileage'!G35 - ('Q Sessions'!D35+'Q Sessions'!D36)</f>
        <v>-26</v>
      </c>
      <c r="I35" s="890">
        <v>2</v>
      </c>
      <c r="J35" s="825" t="s">
        <v>314</v>
      </c>
      <c r="K35" s="825" t="s">
        <v>419</v>
      </c>
      <c r="L35">
        <v>16</v>
      </c>
      <c r="M35" s="891">
        <f>'Daniel''s Mileage'!I19 -(L35+L36)</f>
        <v>28</v>
      </c>
    </row>
    <row r="36" spans="1:13" x14ac:dyDescent="0.25">
      <c r="A36" s="890"/>
      <c r="B36" s="825" t="s">
        <v>335</v>
      </c>
      <c r="C36" s="825" t="s">
        <v>375</v>
      </c>
      <c r="D36" s="838">
        <f>3+1+2+1+2+2</f>
        <v>11</v>
      </c>
      <c r="E36">
        <v>11</v>
      </c>
      <c r="F36" s="890"/>
      <c r="I36" s="890"/>
      <c r="J36" s="825" t="s">
        <v>335</v>
      </c>
      <c r="K36" s="825" t="s">
        <v>421</v>
      </c>
      <c r="L36">
        <v>12</v>
      </c>
      <c r="M36" s="890"/>
    </row>
    <row r="37" spans="1:13" x14ac:dyDescent="0.25">
      <c r="A37" s="840"/>
      <c r="B37" s="825"/>
      <c r="D37" s="838"/>
    </row>
    <row r="38" spans="1:13" x14ac:dyDescent="0.25">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32" workbookViewId="0">
      <selection activeCell="W9" sqref="W9"/>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906" t="s">
        <v>51</v>
      </c>
      <c r="H2" s="906"/>
      <c r="I2" s="906"/>
      <c r="J2" s="906"/>
      <c r="K2" s="906"/>
      <c r="L2" s="906"/>
      <c r="M2" s="906"/>
      <c r="N2" s="38"/>
      <c r="O2" s="38"/>
      <c r="P2" s="39"/>
      <c r="Q2" s="40" t="s">
        <v>52</v>
      </c>
      <c r="R2" s="41">
        <v>44166</v>
      </c>
    </row>
    <row r="3" spans="1:34" ht="13.8" thickBot="1" x14ac:dyDescent="0.3">
      <c r="B3" s="42" t="str">
        <f>"Weight"&amp;IF($B$4," (kg):"," (lb):")</f>
        <v>Weight (lb):</v>
      </c>
      <c r="C3" s="43">
        <v>160</v>
      </c>
      <c r="D3" s="44" t="s">
        <v>53</v>
      </c>
      <c r="E3" s="45">
        <v>201</v>
      </c>
      <c r="G3" s="907"/>
      <c r="H3" s="907"/>
      <c r="I3" s="907"/>
      <c r="J3" s="907"/>
      <c r="K3" s="907"/>
      <c r="L3" s="907"/>
      <c r="M3" s="907"/>
      <c r="P3" s="908" t="str">
        <f>P73</f>
        <v>Male Peak Potential - 10k</v>
      </c>
      <c r="Q3" s="909"/>
      <c r="R3" s="910"/>
      <c r="S3" s="6" t="s">
        <v>54</v>
      </c>
      <c r="T3" s="6"/>
      <c r="U3" s="6"/>
      <c r="V3" s="6"/>
    </row>
    <row r="4" spans="1:34" ht="13.8" thickBot="1" x14ac:dyDescent="0.3">
      <c r="B4" s="46" t="b">
        <v>0</v>
      </c>
      <c r="C4" s="47" t="b">
        <v>1</v>
      </c>
      <c r="D4" s="48" t="s">
        <v>55</v>
      </c>
      <c r="E4" s="49">
        <v>54</v>
      </c>
      <c r="F4" s="50"/>
      <c r="G4" s="911" t="s">
        <v>56</v>
      </c>
      <c r="H4" s="911"/>
      <c r="I4" s="911"/>
      <c r="J4" s="911"/>
      <c r="K4" s="911"/>
      <c r="L4" s="911"/>
      <c r="M4" s="911"/>
      <c r="N4" s="51"/>
      <c r="O4" s="52" t="b">
        <v>0</v>
      </c>
      <c r="P4" s="912" t="str">
        <f>"Open Class Standard:"</f>
        <v>Open Class Standard:</v>
      </c>
      <c r="Q4" s="913"/>
      <c r="R4" s="53">
        <f>R74</f>
        <v>1.8553240740740742E-2</v>
      </c>
      <c r="S4" s="6" t="s">
        <v>57</v>
      </c>
      <c r="T4" s="6"/>
      <c r="U4" s="6"/>
      <c r="V4" s="6"/>
      <c r="W4" s="914" t="s">
        <v>58</v>
      </c>
      <c r="X4" s="915"/>
      <c r="Y4" s="915"/>
      <c r="Z4" s="915"/>
      <c r="AA4" s="915"/>
      <c r="AB4" s="915"/>
      <c r="AC4" s="915"/>
      <c r="AD4" s="915"/>
      <c r="AE4" s="915"/>
      <c r="AF4" s="915"/>
      <c r="AG4" s="916"/>
    </row>
    <row r="5" spans="1:34" ht="14.4" thickTop="1" thickBot="1" x14ac:dyDescent="0.3">
      <c r="B5" s="917" t="s">
        <v>59</v>
      </c>
      <c r="C5" s="918"/>
      <c r="D5" s="918"/>
      <c r="E5" s="54">
        <f ca="1">IF(AND(DATEDIF($E$2,NOW(),"y")&gt;=0,DATEDIF($E$2,NOW(),"y")&lt;110),DATEDIF($E$2,NOW(),"y"),"Birthdate?")</f>
        <v>31</v>
      </c>
      <c r="G5" s="24" t="s">
        <v>60</v>
      </c>
      <c r="H5" s="55"/>
      <c r="I5" s="919" t="str">
        <f ca="1">IF(R5="No Std","Custom Entry - No Std",IF(R5="Birthdate?",R5,"AGP  " &amp; IF($C$4,"M-","F-")&amp;$E$5&amp;":   "&amp;TEXT($R$5/$G$6,"0.00%")))</f>
        <v>AGP  M-31:   77.26%</v>
      </c>
      <c r="J5" s="920"/>
      <c r="K5" s="921" t="s">
        <v>61</v>
      </c>
      <c r="L5" s="922"/>
      <c r="M5" s="922"/>
      <c r="N5" s="56" t="s">
        <v>62</v>
      </c>
      <c r="O5" s="57" t="s">
        <v>63</v>
      </c>
      <c r="P5" s="923" t="str">
        <f ca="1">"Age "&amp;TEXT(E5,"#")&amp; " Standard:"</f>
        <v>Age 31 Standard:</v>
      </c>
      <c r="Q5" s="924"/>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2.4039351851851853E-2</v>
      </c>
      <c r="H6" s="65"/>
      <c r="I6" s="925">
        <f>IF(AND($E$6&gt;0,$G$6&gt;0),(-4.6 + 0.182258 * (F8/G6/1440) + 0.000104 *(F8/G6/1440)^2)/D9,1)</f>
        <v>61.522215640700502</v>
      </c>
      <c r="J6" s="926"/>
      <c r="K6" s="66" t="s">
        <v>67</v>
      </c>
      <c r="L6" s="67">
        <f>IF(AND($E$6&gt;0,$G$6&gt;0),(1609.344/(29.54 + 5.000663 * ($I$6*0.88) - 0.007546 * ($I$6*0.88)^2)/1440),"-")</f>
        <v>4.017894560611821E-3</v>
      </c>
      <c r="M6" s="68">
        <f>+L6*0.621371192</f>
        <v>2.4966039324576836E-3</v>
      </c>
      <c r="N6" s="69" t="str">
        <f>IF($E$3&gt;0,TEXT(88*IF(O4,(1+C9),1),"00")&amp;" - "&amp;TEXT(0.92*IF(O4,(1+C9),1),"0%"),"")</f>
        <v>88 - 92%</v>
      </c>
      <c r="O6" s="70" t="str">
        <f>IF($E$3&gt;0,TEXT(0.88*E3*IF(O4,(1+C9),1),"0")&amp;" - "&amp;TEXT(0.92*E3*IF(O4,(1+C9),1),"0"),"")</f>
        <v>177 - 185</v>
      </c>
      <c r="P6" s="895" t="str">
        <f>"Peak Potential at "&amp;ROUND(C3,1)&amp;IF(B4," kg"," lb")</f>
        <v>Peak Potential at 160 lb</v>
      </c>
      <c r="Q6" s="896"/>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897" t="s">
        <v>70</v>
      </c>
      <c r="F7" s="898"/>
      <c r="G7" s="899"/>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900">
        <f>IF(E6="Custom",S8,HLOOKUP(E6,J7:P8,2,0))</f>
        <v>6.2137119223733395</v>
      </c>
      <c r="E8" s="901"/>
      <c r="F8" s="902">
        <f>IF(E6="Custom",S9,HLOOKUP(E6,J7:P9,3,0))</f>
        <v>10000</v>
      </c>
      <c r="G8" s="903"/>
      <c r="H8" s="904" t="s">
        <v>82</v>
      </c>
      <c r="I8" s="905"/>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942">
        <f>IF($G$6&gt;0,0.8+0.1894393 * EXP(-0.012778*G6*1440)+0.2989558* EXP(-0.1932605*G6*1440),0)</f>
        <v>0.92209332497414398</v>
      </c>
      <c r="E9" s="943"/>
      <c r="F9" s="94" t="str">
        <f>"▼2nd ed 67%"</f>
        <v>▼2nd ed 67%</v>
      </c>
      <c r="G9" s="95" t="str">
        <f>"1st ed 70%▼"</f>
        <v>1st ed 70%▼</v>
      </c>
      <c r="H9" s="944" t="s">
        <v>84</v>
      </c>
      <c r="I9" s="945"/>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0.74158271357809191</v>
      </c>
      <c r="I10" s="104">
        <f>$G$10+(($J$10-$G$10)*0.6667)</f>
        <v>0.7831779032178634</v>
      </c>
      <c r="J10" s="105">
        <f t="shared" ref="J10:S10" si="1">IF($G$6&gt;0,0.8+0.1894393 * EXP(-0.012778*J16*1440)+0.2989558* EXP(-0.1932605*J16*1440),0)</f>
        <v>0.82476061679595536</v>
      </c>
      <c r="K10" s="106">
        <f t="shared" si="1"/>
        <v>0.87138645252805791</v>
      </c>
      <c r="L10" s="106">
        <f t="shared" si="1"/>
        <v>0.89599903881799647</v>
      </c>
      <c r="M10" s="106">
        <f t="shared" si="1"/>
        <v>0.91085662904354203</v>
      </c>
      <c r="N10" s="106">
        <f t="shared" si="1"/>
        <v>0.92209332497414398</v>
      </c>
      <c r="O10" s="106">
        <f t="shared" si="1"/>
        <v>0.93512902599661962</v>
      </c>
      <c r="P10" s="106">
        <f t="shared" si="1"/>
        <v>0.96530559937778604</v>
      </c>
      <c r="Q10" s="106">
        <f t="shared" si="1"/>
        <v>1.013646790539253</v>
      </c>
      <c r="R10" s="107">
        <f t="shared" si="1"/>
        <v>1.0916412809853782</v>
      </c>
      <c r="S10" s="108">
        <f t="shared" si="1"/>
        <v>0.89107096629493765</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0.79185322010926851</v>
      </c>
      <c r="I11" s="112">
        <f t="shared" si="2"/>
        <v>0.82741710725127326</v>
      </c>
      <c r="J11" s="113">
        <f t="shared" si="2"/>
        <v>0.8629703273605418</v>
      </c>
      <c r="K11" s="114">
        <f t="shared" si="2"/>
        <v>0.90283541691148939</v>
      </c>
      <c r="L11" s="114">
        <f t="shared" si="2"/>
        <v>0.92387917818938692</v>
      </c>
      <c r="M11" s="114">
        <f t="shared" si="2"/>
        <v>0.9365824178322284</v>
      </c>
      <c r="N11" s="114">
        <f t="shared" si="2"/>
        <v>0.94618979285289306</v>
      </c>
      <c r="O11" s="114">
        <f t="shared" si="2"/>
        <v>0.95733531722710974</v>
      </c>
      <c r="P11" s="114">
        <f t="shared" si="2"/>
        <v>0.98313628746800696</v>
      </c>
      <c r="Q11" s="114">
        <f t="shared" si="2"/>
        <v>1</v>
      </c>
      <c r="R11" s="115">
        <f t="shared" si="2"/>
        <v>1</v>
      </c>
      <c r="S11" s="116">
        <f t="shared" si="2"/>
        <v>0.91966567618217177</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0.71539113770042839</v>
      </c>
      <c r="I12" s="122">
        <f t="shared" si="3"/>
        <v>0.76401930991500622</v>
      </c>
      <c r="J12" s="123">
        <f t="shared" si="3"/>
        <v>0.81263289659502658</v>
      </c>
      <c r="K12" s="121">
        <f t="shared" si="3"/>
        <v>0.86714230475652621</v>
      </c>
      <c r="L12" s="121">
        <f t="shared" si="3"/>
        <v>0.89591642732018217</v>
      </c>
      <c r="M12" s="121">
        <f t="shared" si="3"/>
        <v>0.91328616315835298</v>
      </c>
      <c r="N12" s="121">
        <f t="shared" si="3"/>
        <v>0.92642277798252737</v>
      </c>
      <c r="O12" s="121">
        <f t="shared" si="3"/>
        <v>0.9416625766166602</v>
      </c>
      <c r="P12" s="121">
        <f t="shared" si="3"/>
        <v>0.97694145429298918</v>
      </c>
      <c r="Q12" s="121">
        <f t="shared" si="3"/>
        <v>1</v>
      </c>
      <c r="R12" s="124">
        <f t="shared" si="3"/>
        <v>1</v>
      </c>
      <c r="S12" s="125">
        <f t="shared" si="3"/>
        <v>0.89015510824909194</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159.16249724196297</v>
      </c>
      <c r="I13" s="129">
        <f t="shared" si="4"/>
        <v>166.31083855750592</v>
      </c>
      <c r="J13" s="130">
        <f t="shared" si="4"/>
        <v>173.45703579946891</v>
      </c>
      <c r="K13" s="128">
        <f t="shared" si="4"/>
        <v>181.46991879920935</v>
      </c>
      <c r="L13" s="128">
        <f t="shared" si="4"/>
        <v>185.69971481606677</v>
      </c>
      <c r="M13" s="128">
        <f t="shared" si="4"/>
        <v>188.2530659842779</v>
      </c>
      <c r="N13" s="128">
        <f t="shared" si="4"/>
        <v>190.18414836343152</v>
      </c>
      <c r="O13" s="128">
        <f t="shared" si="4"/>
        <v>192.42439876264905</v>
      </c>
      <c r="P13" s="128">
        <f t="shared" si="4"/>
        <v>197.6103937810694</v>
      </c>
      <c r="Q13" s="128">
        <f t="shared" si="4"/>
        <v>201</v>
      </c>
      <c r="R13" s="131">
        <f t="shared" si="4"/>
        <v>201</v>
      </c>
      <c r="S13" s="132">
        <f t="shared" si="4"/>
        <v>184.85280091261652</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5.5335892089692354E-3</v>
      </c>
      <c r="E14" s="135">
        <f t="shared" si="5"/>
        <v>5.2487918937497626E-3</v>
      </c>
      <c r="F14" s="135">
        <f t="shared" si="5"/>
        <v>4.9939223346063735E-3</v>
      </c>
      <c r="G14" s="135">
        <f t="shared" si="5"/>
        <v>4.8196944000343826E-3</v>
      </c>
      <c r="H14" s="135">
        <f t="shared" si="5"/>
        <v>4.5989901374818478E-3</v>
      </c>
      <c r="I14" s="136">
        <f t="shared" si="5"/>
        <v>4.3992739095238534E-3</v>
      </c>
      <c r="J14" s="137">
        <f t="shared" ref="J14:S14" si="6">IF(AND($E$6&gt;0,$G$6&gt;0),IF($A$14,60/(J16/J8)/1440,J16/J8),"-")</f>
        <v>4.2178127832517209E-3</v>
      </c>
      <c r="K14" s="135">
        <f t="shared" si="6"/>
        <v>4.0459964650048051E-3</v>
      </c>
      <c r="L14" s="135">
        <f t="shared" si="6"/>
        <v>3.9640316631287583E-3</v>
      </c>
      <c r="M14" s="135">
        <f t="shared" si="6"/>
        <v>3.9113124828244654E-3</v>
      </c>
      <c r="N14" s="135">
        <f t="shared" si="6"/>
        <v>3.8687586666666671E-3</v>
      </c>
      <c r="O14" s="135">
        <f t="shared" si="6"/>
        <v>3.8173065585518657E-3</v>
      </c>
      <c r="P14" s="135">
        <f t="shared" si="6"/>
        <v>3.7111613752619844E-3</v>
      </c>
      <c r="Q14" s="135">
        <f t="shared" si="6"/>
        <v>3.5991414444299912E-3</v>
      </c>
      <c r="R14" s="138">
        <f t="shared" si="6"/>
        <v>3.4671335649026727E-3</v>
      </c>
      <c r="S14" s="139">
        <f t="shared" si="6"/>
        <v>3.9808019587564015E-3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3.438412922815551E-3</v>
      </c>
      <c r="E15" s="141">
        <f t="shared" ref="E15:S15" si="7">IF(E14&lt;&gt;"-",IF($A$14,E14/0.621371192,E14*0.621371192),"-")</f>
        <v>3.2614480755792275E-3</v>
      </c>
      <c r="F15" s="142">
        <f t="shared" si="7"/>
        <v>3.1030794738097851E-3</v>
      </c>
      <c r="G15" s="142">
        <f t="shared" si="7"/>
        <v>2.9948192544250892E-3</v>
      </c>
      <c r="H15" s="142">
        <f t="shared" si="7"/>
        <v>2.8576799837233399E-3</v>
      </c>
      <c r="I15" s="143">
        <f t="shared" si="7"/>
        <v>2.7335820730953371E-3</v>
      </c>
      <c r="J15" s="144">
        <f t="shared" si="7"/>
        <v>2.6208273567619594E-3</v>
      </c>
      <c r="K15" s="142">
        <f t="shared" si="7"/>
        <v>2.5140656462878221E-3</v>
      </c>
      <c r="L15" s="142">
        <f t="shared" si="7"/>
        <v>2.4631350796440591E-3</v>
      </c>
      <c r="M15" s="142">
        <f t="shared" si="7"/>
        <v>2.4303768997371179E-3</v>
      </c>
      <c r="N15" s="142">
        <f t="shared" si="7"/>
        <v>2.4039351842669978E-3</v>
      </c>
      <c r="O15" s="142">
        <f t="shared" si="7"/>
        <v>2.3719643265167904E-3</v>
      </c>
      <c r="P15" s="142">
        <f t="shared" si="7"/>
        <v>2.3060087674508984E-3</v>
      </c>
      <c r="Q15" s="142">
        <f t="shared" si="7"/>
        <v>2.2364028095020654E-3</v>
      </c>
      <c r="R15" s="145">
        <f t="shared" si="7"/>
        <v>2.1543769160467831E-3</v>
      </c>
      <c r="S15" s="146">
        <f t="shared" si="7"/>
        <v>2.4735556582284003E-3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0.11058581036080935</v>
      </c>
      <c r="K16" s="156">
        <f t="shared" si="8"/>
        <v>5.3040499992816244E-2</v>
      </c>
      <c r="L16" s="156">
        <f t="shared" si="8"/>
        <v>3.6947026208772875E-2</v>
      </c>
      <c r="M16" s="156">
        <f t="shared" si="8"/>
        <v>2.9164522807984858E-2</v>
      </c>
      <c r="N16" s="156">
        <f t="shared" si="8"/>
        <v>2.4039351851851853E-2</v>
      </c>
      <c r="O16" s="156">
        <f t="shared" si="8"/>
        <v>1.8975714619382137E-2</v>
      </c>
      <c r="P16" s="156">
        <f t="shared" si="8"/>
        <v>1.1530043841658415E-2</v>
      </c>
      <c r="Q16" s="156">
        <f t="shared" si="8"/>
        <v>6.7092084310687913E-3</v>
      </c>
      <c r="R16" s="157">
        <f t="shared" si="8"/>
        <v>3.4671335649026727E-3</v>
      </c>
      <c r="S16" s="158">
        <f t="shared" si="8"/>
        <v>3.9808019587564018E-2</v>
      </c>
      <c r="T16" s="6"/>
      <c r="U16" s="6"/>
      <c r="V16" s="6"/>
      <c r="AC16" s="4"/>
      <c r="AH16" s="159"/>
    </row>
    <row r="17" spans="2:27" ht="14.4" thickTop="1" thickBot="1" x14ac:dyDescent="0.3">
      <c r="B17" s="160"/>
      <c r="C17" s="160"/>
      <c r="D17" s="160"/>
      <c r="E17" s="160"/>
      <c r="F17" s="160"/>
      <c r="G17" s="160"/>
      <c r="H17" s="946" t="s">
        <v>88</v>
      </c>
      <c r="I17" s="946"/>
      <c r="J17" s="946"/>
      <c r="K17" s="946"/>
      <c r="L17" s="946"/>
      <c r="M17" s="161" t="s">
        <v>89</v>
      </c>
      <c r="N17" s="161"/>
      <c r="O17" s="161"/>
      <c r="P17" s="160"/>
      <c r="Q17" s="160"/>
      <c r="R17" s="162"/>
      <c r="S17" s="162"/>
      <c r="U17" s="6"/>
      <c r="V17" s="6"/>
    </row>
    <row r="18" spans="2:27"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7" x14ac:dyDescent="0.25">
      <c r="B19" s="172">
        <f>IF(AND($D$16,$E$16),2,1)</f>
        <v>1</v>
      </c>
      <c r="C19" s="173" t="str">
        <f>IF($D$16,"KM ","Mile ")</f>
        <v xml:space="preserve">Mile </v>
      </c>
      <c r="D19" s="174">
        <f t="shared" ref="D19:D44" si="11">IF(AND(D$18&lt;&gt;"-",AND(D$14&lt;&gt;"-",D$14&lt;&gt;0)),$B19*D$18*IF($A$14,IF($D$16,60/D$15,60/D$14),IF($D$16,D$15,D$14)*1440),"-")</f>
        <v>0.87652053070072689</v>
      </c>
      <c r="E19" s="175">
        <f t="shared" ref="E19:R34" si="12">IF(AND(E$18&lt;&gt;"-",AND(E$14&lt;&gt;"-",E$14&lt;&gt;0)),$B19*E$18*IF($A$14,IF($D$16,60/E$15,60/E$14),IF($D$16,E$15,E$14)*1440),"-")</f>
        <v>1.1979842618294458</v>
      </c>
      <c r="F19" s="176">
        <f t="shared" si="12"/>
        <v>1.5605008511177996</v>
      </c>
      <c r="G19" s="177">
        <f t="shared" si="12"/>
        <v>1.7350899840123777</v>
      </c>
      <c r="H19" s="178">
        <f t="shared" si="12"/>
        <v>2.1523273843415049</v>
      </c>
      <c r="I19" s="179">
        <f t="shared" si="12"/>
        <v>2.5624890668194542</v>
      </c>
      <c r="J19" s="180">
        <f t="shared" si="12"/>
        <v>3.1400772608752412</v>
      </c>
      <c r="K19" s="181">
        <f t="shared" si="12"/>
        <v>3.7870526912444973</v>
      </c>
      <c r="L19" s="182">
        <f t="shared" si="12"/>
        <v>4.012868533218505</v>
      </c>
      <c r="M19" s="182">
        <f t="shared" si="12"/>
        <v>4.2974372511288967</v>
      </c>
      <c r="N19" s="183">
        <f t="shared" si="12"/>
        <v>4.4568099840000004</v>
      </c>
      <c r="O19" s="184">
        <f t="shared" si="12"/>
        <v>4.735597824277102</v>
      </c>
      <c r="P19" s="185">
        <f t="shared" si="12"/>
        <v>4.9005143728059455</v>
      </c>
      <c r="Q19" s="186">
        <f t="shared" si="12"/>
        <v>5.1827636799791872</v>
      </c>
      <c r="R19" s="187">
        <f t="shared" si="12"/>
        <v>6.8649244585072919</v>
      </c>
      <c r="U19" s="6"/>
      <c r="V19" s="6"/>
    </row>
    <row r="20" spans="2:27" x14ac:dyDescent="0.25">
      <c r="B20" s="172">
        <f t="shared" ref="B20:B44" si="13">IF(AND($D$16,$E$16),B19+2,B19+1)</f>
        <v>2</v>
      </c>
      <c r="C20" s="173" t="str">
        <f t="shared" ref="C20:C44" si="14">IF($D$16,"KM ","Miles ")</f>
        <v xml:space="preserve">Miles </v>
      </c>
      <c r="D20" s="174">
        <f t="shared" si="11"/>
        <v>1.7530410614014538</v>
      </c>
      <c r="E20" s="188">
        <f t="shared" si="12"/>
        <v>2.3959685236588917</v>
      </c>
      <c r="F20" s="189">
        <f t="shared" si="12"/>
        <v>3.1210017022355991</v>
      </c>
      <c r="G20" s="190">
        <f t="shared" si="12"/>
        <v>3.4701799680247554</v>
      </c>
      <c r="H20" s="191">
        <f t="shared" si="12"/>
        <v>4.3046547686830099</v>
      </c>
      <c r="I20" s="192">
        <f t="shared" si="12"/>
        <v>5.1249781336389084</v>
      </c>
      <c r="J20" s="193">
        <f t="shared" si="12"/>
        <v>6.2801545217504824</v>
      </c>
      <c r="K20" s="194">
        <f t="shared" si="12"/>
        <v>7.5741053824889946</v>
      </c>
      <c r="L20" s="195">
        <f t="shared" si="12"/>
        <v>8.02573706643701</v>
      </c>
      <c r="M20" s="195">
        <f t="shared" si="12"/>
        <v>8.5948745022577935</v>
      </c>
      <c r="N20" s="196">
        <f t="shared" si="12"/>
        <v>8.9136199680000008</v>
      </c>
      <c r="O20" s="197">
        <f t="shared" si="12"/>
        <v>9.4711956485542039</v>
      </c>
      <c r="P20" s="198">
        <f t="shared" si="12"/>
        <v>9.801028745611891</v>
      </c>
      <c r="Q20" s="199">
        <f t="shared" si="12"/>
        <v>10.365527359958374</v>
      </c>
      <c r="R20" s="200">
        <f t="shared" si="12"/>
        <v>13.729848917014584</v>
      </c>
      <c r="U20" s="6"/>
      <c r="V20" s="6"/>
      <c r="W20" s="33"/>
      <c r="X20" s="33"/>
      <c r="Y20" s="33"/>
      <c r="Z20" s="33"/>
    </row>
    <row r="21" spans="2:27" x14ac:dyDescent="0.25">
      <c r="B21" s="172">
        <f t="shared" si="13"/>
        <v>3</v>
      </c>
      <c r="C21" s="173" t="str">
        <f t="shared" si="14"/>
        <v xml:space="preserve">Miles </v>
      </c>
      <c r="D21" s="174">
        <f t="shared" si="11"/>
        <v>2.6295615921021809</v>
      </c>
      <c r="E21" s="188">
        <f t="shared" si="12"/>
        <v>3.5939527854883377</v>
      </c>
      <c r="F21" s="189">
        <f t="shared" si="12"/>
        <v>4.6815025533533987</v>
      </c>
      <c r="G21" s="190">
        <f t="shared" si="12"/>
        <v>5.2052699520371331</v>
      </c>
      <c r="H21" s="191">
        <f t="shared" si="12"/>
        <v>6.4569821530245148</v>
      </c>
      <c r="I21" s="192">
        <f t="shared" si="12"/>
        <v>7.6874672004583617</v>
      </c>
      <c r="J21" s="193">
        <f t="shared" si="12"/>
        <v>9.4202317826257236</v>
      </c>
      <c r="K21" s="194">
        <f t="shared" si="12"/>
        <v>11.361158073733494</v>
      </c>
      <c r="L21" s="195">
        <f t="shared" si="12"/>
        <v>12.038605599655513</v>
      </c>
      <c r="M21" s="195">
        <f t="shared" si="12"/>
        <v>12.892311753386691</v>
      </c>
      <c r="N21" s="196">
        <f t="shared" si="12"/>
        <v>13.370429952000002</v>
      </c>
      <c r="O21" s="197">
        <f t="shared" si="12"/>
        <v>14.206793472831308</v>
      </c>
      <c r="P21" s="198">
        <f t="shared" si="12"/>
        <v>14.701543118417836</v>
      </c>
      <c r="Q21" s="199">
        <f t="shared" si="12"/>
        <v>15.548291039937562</v>
      </c>
      <c r="R21" s="200">
        <f t="shared" si="12"/>
        <v>20.594773375521875</v>
      </c>
      <c r="U21" s="6"/>
      <c r="V21" s="6"/>
    </row>
    <row r="22" spans="2:27" x14ac:dyDescent="0.25">
      <c r="B22" s="172">
        <f t="shared" si="13"/>
        <v>4</v>
      </c>
      <c r="C22" s="173" t="str">
        <f t="shared" si="14"/>
        <v xml:space="preserve">Miles </v>
      </c>
      <c r="D22" s="174">
        <f t="shared" si="11"/>
        <v>3.5060821228029075</v>
      </c>
      <c r="E22" s="188">
        <f t="shared" si="12"/>
        <v>4.7919370473177834</v>
      </c>
      <c r="F22" s="189">
        <f t="shared" si="12"/>
        <v>6.2420034044711983</v>
      </c>
      <c r="G22" s="190">
        <f t="shared" si="12"/>
        <v>6.9403599360495107</v>
      </c>
      <c r="H22" s="191">
        <f t="shared" si="12"/>
        <v>8.6093095373660198</v>
      </c>
      <c r="I22" s="192">
        <f t="shared" si="12"/>
        <v>10.249956267277817</v>
      </c>
      <c r="J22" s="193">
        <f t="shared" si="12"/>
        <v>12.560309043500965</v>
      </c>
      <c r="K22" s="194">
        <f t="shared" si="12"/>
        <v>15.148210764977989</v>
      </c>
      <c r="L22" s="195">
        <f t="shared" si="12"/>
        <v>16.05147413287402</v>
      </c>
      <c r="M22" s="195">
        <f t="shared" si="12"/>
        <v>17.189749004515587</v>
      </c>
      <c r="N22" s="196">
        <f t="shared" si="12"/>
        <v>17.827239936000002</v>
      </c>
      <c r="O22" s="197">
        <f t="shared" si="12"/>
        <v>18.942391297108408</v>
      </c>
      <c r="P22" s="198">
        <f t="shared" si="12"/>
        <v>19.602057491223782</v>
      </c>
      <c r="Q22" s="199">
        <f t="shared" si="12"/>
        <v>20.731054719916749</v>
      </c>
      <c r="R22" s="200">
        <f t="shared" si="12"/>
        <v>27.459697834029168</v>
      </c>
      <c r="U22" s="6"/>
      <c r="V22" s="6"/>
      <c r="W22" s="33"/>
      <c r="X22" s="33"/>
      <c r="Y22" s="33"/>
      <c r="Z22" s="33"/>
      <c r="AA22" s="33"/>
    </row>
    <row r="23" spans="2:27" ht="13.8" thickBot="1" x14ac:dyDescent="0.3">
      <c r="B23" s="201">
        <f t="shared" si="13"/>
        <v>5</v>
      </c>
      <c r="C23" s="202" t="str">
        <f t="shared" si="14"/>
        <v xml:space="preserve">Miles </v>
      </c>
      <c r="D23" s="203">
        <f t="shared" si="11"/>
        <v>4.3826026535036346</v>
      </c>
      <c r="E23" s="204">
        <f t="shared" si="12"/>
        <v>5.9899213091472294</v>
      </c>
      <c r="F23" s="205">
        <f t="shared" si="12"/>
        <v>7.8025042555889979</v>
      </c>
      <c r="G23" s="206">
        <f t="shared" si="12"/>
        <v>8.6754499200618884</v>
      </c>
      <c r="H23" s="207">
        <f t="shared" si="12"/>
        <v>10.761636921707524</v>
      </c>
      <c r="I23" s="208">
        <f t="shared" si="12"/>
        <v>12.812445334097271</v>
      </c>
      <c r="J23" s="209">
        <f t="shared" si="12"/>
        <v>15.700386304376204</v>
      </c>
      <c r="K23" s="210">
        <f t="shared" si="12"/>
        <v>18.935263456222486</v>
      </c>
      <c r="L23" s="211">
        <f t="shared" si="12"/>
        <v>20.064342666092525</v>
      </c>
      <c r="M23" s="211">
        <f t="shared" si="12"/>
        <v>21.487186255644485</v>
      </c>
      <c r="N23" s="212">
        <f t="shared" si="12"/>
        <v>22.284049920000001</v>
      </c>
      <c r="O23" s="213">
        <f t="shared" si="12"/>
        <v>23.677989121385508</v>
      </c>
      <c r="P23" s="214">
        <f t="shared" si="12"/>
        <v>24.502571864029726</v>
      </c>
      <c r="Q23" s="199">
        <f t="shared" si="12"/>
        <v>25.913818399895938</v>
      </c>
      <c r="R23" s="215" t="s">
        <v>91</v>
      </c>
      <c r="U23" s="6"/>
      <c r="V23" s="6"/>
      <c r="W23" s="33"/>
      <c r="X23" s="33"/>
      <c r="Y23" s="33"/>
      <c r="Z23" s="33"/>
      <c r="AA23" s="33"/>
    </row>
    <row r="24" spans="2:27" x14ac:dyDescent="0.25">
      <c r="B24" s="216">
        <f t="shared" si="13"/>
        <v>6</v>
      </c>
      <c r="C24" s="217" t="str">
        <f t="shared" si="14"/>
        <v xml:space="preserve">Miles </v>
      </c>
      <c r="D24" s="218">
        <f t="shared" si="11"/>
        <v>5.2591231842043618</v>
      </c>
      <c r="E24" s="219">
        <f t="shared" si="12"/>
        <v>7.1879055709766755</v>
      </c>
      <c r="F24" s="220">
        <f t="shared" si="12"/>
        <v>9.3630051067067974</v>
      </c>
      <c r="G24" s="221">
        <f t="shared" si="12"/>
        <v>10.410539904074266</v>
      </c>
      <c r="H24" s="222">
        <f t="shared" si="12"/>
        <v>12.91396430604903</v>
      </c>
      <c r="I24" s="223">
        <f t="shared" si="12"/>
        <v>15.374934400916723</v>
      </c>
      <c r="J24" s="224">
        <f t="shared" si="12"/>
        <v>18.840463565251447</v>
      </c>
      <c r="K24" s="225">
        <f t="shared" si="12"/>
        <v>22.722316147466987</v>
      </c>
      <c r="L24" s="226">
        <f t="shared" si="12"/>
        <v>24.077211199311026</v>
      </c>
      <c r="M24" s="226">
        <f t="shared" si="12"/>
        <v>25.784623506773382</v>
      </c>
      <c r="N24" s="227">
        <f t="shared" si="12"/>
        <v>26.740859904000004</v>
      </c>
      <c r="O24" s="228">
        <f t="shared" si="12"/>
        <v>28.413586945662615</v>
      </c>
      <c r="P24" s="229" t="s">
        <v>91</v>
      </c>
      <c r="Q24" s="230" t="s">
        <v>91</v>
      </c>
      <c r="R24" s="231" t="s">
        <v>91</v>
      </c>
      <c r="U24" s="6"/>
      <c r="V24" s="6"/>
    </row>
    <row r="25" spans="2:27" x14ac:dyDescent="0.25">
      <c r="B25" s="172">
        <f t="shared" si="13"/>
        <v>7</v>
      </c>
      <c r="C25" s="173" t="str">
        <f t="shared" si="14"/>
        <v xml:space="preserve">Miles </v>
      </c>
      <c r="D25" s="232">
        <f t="shared" si="11"/>
        <v>6.1356437149050889</v>
      </c>
      <c r="E25" s="188">
        <f t="shared" si="12"/>
        <v>8.3858898328061198</v>
      </c>
      <c r="F25" s="189">
        <f t="shared" si="12"/>
        <v>10.923505957824597</v>
      </c>
      <c r="G25" s="190">
        <f t="shared" si="12"/>
        <v>12.145629888086644</v>
      </c>
      <c r="H25" s="191">
        <f t="shared" si="12"/>
        <v>15.066291690390534</v>
      </c>
      <c r="I25" s="192">
        <f t="shared" si="12"/>
        <v>17.937423467736178</v>
      </c>
      <c r="J25" s="193">
        <f t="shared" si="12"/>
        <v>21.980540826126688</v>
      </c>
      <c r="K25" s="194">
        <f t="shared" si="12"/>
        <v>26.509368838711481</v>
      </c>
      <c r="L25" s="195">
        <f t="shared" si="12"/>
        <v>28.090079732529531</v>
      </c>
      <c r="M25" s="195">
        <f t="shared" si="12"/>
        <v>30.08206075790228</v>
      </c>
      <c r="N25" s="196">
        <f t="shared" si="12"/>
        <v>31.197669888000004</v>
      </c>
      <c r="O25" s="197" t="s">
        <v>91</v>
      </c>
      <c r="P25" s="198" t="s">
        <v>91</v>
      </c>
      <c r="Q25" s="233" t="s">
        <v>91</v>
      </c>
      <c r="R25" s="200" t="s">
        <v>91</v>
      </c>
      <c r="U25" s="6"/>
      <c r="V25" s="6"/>
    </row>
    <row r="26" spans="2:27" ht="13.8" thickBot="1" x14ac:dyDescent="0.3">
      <c r="B26" s="172">
        <f t="shared" si="13"/>
        <v>8</v>
      </c>
      <c r="C26" s="173" t="str">
        <f t="shared" si="14"/>
        <v xml:space="preserve">Miles </v>
      </c>
      <c r="D26" s="232">
        <f t="shared" si="11"/>
        <v>7.0121642456058151</v>
      </c>
      <c r="E26" s="188">
        <f t="shared" si="12"/>
        <v>9.5838740946355667</v>
      </c>
      <c r="F26" s="189">
        <f t="shared" si="12"/>
        <v>12.484006808942397</v>
      </c>
      <c r="G26" s="190">
        <f t="shared" si="12"/>
        <v>13.880719872099021</v>
      </c>
      <c r="H26" s="191">
        <f t="shared" si="12"/>
        <v>17.21861907473204</v>
      </c>
      <c r="I26" s="192">
        <f t="shared" si="12"/>
        <v>20.499912534555634</v>
      </c>
      <c r="J26" s="193">
        <f t="shared" si="12"/>
        <v>25.12061808700193</v>
      </c>
      <c r="K26" s="194">
        <f t="shared" si="12"/>
        <v>30.296421529955978</v>
      </c>
      <c r="L26" s="195">
        <f t="shared" si="12"/>
        <v>32.10294826574804</v>
      </c>
      <c r="M26" s="234">
        <f t="shared" si="12"/>
        <v>34.379498009031174</v>
      </c>
      <c r="N26" s="235" t="s">
        <v>91</v>
      </c>
      <c r="O26" s="236" t="s">
        <v>91</v>
      </c>
      <c r="P26" s="237" t="s">
        <v>91</v>
      </c>
      <c r="Q26" s="238" t="s">
        <v>91</v>
      </c>
      <c r="R26" s="239" t="s">
        <v>91</v>
      </c>
      <c r="U26" s="6"/>
      <c r="V26" s="6"/>
      <c r="Y26" s="33"/>
    </row>
    <row r="27" spans="2:27" ht="14.4" thickTop="1" thickBot="1" x14ac:dyDescent="0.3">
      <c r="B27" s="172">
        <f t="shared" si="13"/>
        <v>9</v>
      </c>
      <c r="C27" s="173" t="str">
        <f t="shared" si="14"/>
        <v xml:space="preserve">Miles </v>
      </c>
      <c r="D27" s="232">
        <f t="shared" si="11"/>
        <v>7.8886847763065422</v>
      </c>
      <c r="E27" s="188">
        <f t="shared" si="12"/>
        <v>10.781858356465014</v>
      </c>
      <c r="F27" s="189">
        <f t="shared" si="12"/>
        <v>14.044507660060196</v>
      </c>
      <c r="G27" s="190">
        <f t="shared" si="12"/>
        <v>15.615809856111399</v>
      </c>
      <c r="H27" s="191">
        <f t="shared" si="12"/>
        <v>19.370946459073544</v>
      </c>
      <c r="I27" s="192">
        <f t="shared" si="12"/>
        <v>23.062401601375086</v>
      </c>
      <c r="J27" s="193">
        <f t="shared" si="12"/>
        <v>28.260695347877171</v>
      </c>
      <c r="K27" s="194">
        <f t="shared" si="12"/>
        <v>34.083474221200483</v>
      </c>
      <c r="L27" s="196">
        <f t="shared" si="12"/>
        <v>36.115816798966542</v>
      </c>
      <c r="M27" s="947" t="s">
        <v>92</v>
      </c>
      <c r="N27" s="948"/>
      <c r="O27" s="948"/>
      <c r="P27" s="948"/>
      <c r="Q27" s="948"/>
      <c r="R27" s="240"/>
      <c r="U27" s="6"/>
      <c r="V27" s="6"/>
      <c r="Y27" s="33"/>
    </row>
    <row r="28" spans="2:27" ht="14.4" thickTop="1" thickBot="1" x14ac:dyDescent="0.3">
      <c r="B28" s="201">
        <f t="shared" si="13"/>
        <v>10</v>
      </c>
      <c r="C28" s="202" t="str">
        <f t="shared" si="14"/>
        <v xml:space="preserve">Miles </v>
      </c>
      <c r="D28" s="241">
        <f t="shared" si="11"/>
        <v>8.7652053070072693</v>
      </c>
      <c r="E28" s="204">
        <f t="shared" si="12"/>
        <v>11.979842618294459</v>
      </c>
      <c r="F28" s="205">
        <f t="shared" si="12"/>
        <v>15.605008511177996</v>
      </c>
      <c r="G28" s="206">
        <f t="shared" si="12"/>
        <v>17.350899840123777</v>
      </c>
      <c r="H28" s="207">
        <f t="shared" si="12"/>
        <v>21.523273843415048</v>
      </c>
      <c r="I28" s="208">
        <f t="shared" si="12"/>
        <v>25.624890668194542</v>
      </c>
      <c r="J28" s="209">
        <f t="shared" si="12"/>
        <v>31.400772608752408</v>
      </c>
      <c r="K28" s="210">
        <f t="shared" si="12"/>
        <v>37.870526912444973</v>
      </c>
      <c r="L28" s="242">
        <f t="shared" si="12"/>
        <v>40.12868533218505</v>
      </c>
      <c r="M28" s="243" t="s">
        <v>93</v>
      </c>
      <c r="N28" s="244"/>
      <c r="O28" s="244" t="s">
        <v>94</v>
      </c>
      <c r="P28" s="244"/>
      <c r="Q28" s="244"/>
      <c r="R28" s="245" t="s">
        <v>95</v>
      </c>
      <c r="U28" s="6"/>
      <c r="V28" s="6"/>
      <c r="W28" s="246"/>
      <c r="X28" s="247" t="s">
        <v>96</v>
      </c>
      <c r="Y28" s="247"/>
      <c r="Z28" s="247"/>
      <c r="AA28" s="33"/>
    </row>
    <row r="29" spans="2:27" ht="13.8" thickBot="1" x14ac:dyDescent="0.3">
      <c r="B29" s="216">
        <f t="shared" si="13"/>
        <v>11</v>
      </c>
      <c r="C29" s="217" t="str">
        <f t="shared" si="14"/>
        <v xml:space="preserve">Miles </v>
      </c>
      <c r="D29" s="218">
        <f t="shared" si="11"/>
        <v>9.6417258377079964</v>
      </c>
      <c r="E29" s="219">
        <f t="shared" si="12"/>
        <v>13.177826880123904</v>
      </c>
      <c r="F29" s="220">
        <f t="shared" si="12"/>
        <v>17.165509362295797</v>
      </c>
      <c r="G29" s="221">
        <f t="shared" si="12"/>
        <v>19.085989824136156</v>
      </c>
      <c r="H29" s="222">
        <f t="shared" si="12"/>
        <v>23.675601227756555</v>
      </c>
      <c r="I29" s="223">
        <f t="shared" si="12"/>
        <v>28.187379735013995</v>
      </c>
      <c r="J29" s="224">
        <f t="shared" si="12"/>
        <v>34.54084986962765</v>
      </c>
      <c r="K29" s="225">
        <f t="shared" si="12"/>
        <v>41.65757960368947</v>
      </c>
      <c r="L29" s="248" t="s">
        <v>91</v>
      </c>
      <c r="M29" s="249" t="s">
        <v>97</v>
      </c>
      <c r="N29" s="250"/>
      <c r="O29" s="250" t="s">
        <v>98</v>
      </c>
      <c r="P29" s="250"/>
      <c r="Q29" s="250"/>
      <c r="R29" s="251">
        <v>1</v>
      </c>
      <c r="U29" s="6"/>
      <c r="V29" s="6"/>
      <c r="W29" s="252" t="s">
        <v>99</v>
      </c>
      <c r="X29" s="253" t="s">
        <v>99</v>
      </c>
      <c r="Y29" s="253" t="s">
        <v>57</v>
      </c>
      <c r="Z29" s="254" t="s">
        <v>99</v>
      </c>
      <c r="AA29" s="33"/>
    </row>
    <row r="30" spans="2:27" ht="13.8" thickBot="1" x14ac:dyDescent="0.3">
      <c r="B30" s="172">
        <f t="shared" si="13"/>
        <v>12</v>
      </c>
      <c r="C30" s="173" t="str">
        <f t="shared" si="14"/>
        <v xml:space="preserve">Miles </v>
      </c>
      <c r="D30" s="232">
        <f t="shared" si="11"/>
        <v>10.518246368408724</v>
      </c>
      <c r="E30" s="188">
        <f t="shared" si="12"/>
        <v>14.375811141953351</v>
      </c>
      <c r="F30" s="189">
        <f t="shared" si="12"/>
        <v>18.726010213413595</v>
      </c>
      <c r="G30" s="190">
        <f t="shared" si="12"/>
        <v>20.821079808148532</v>
      </c>
      <c r="H30" s="191">
        <f t="shared" si="12"/>
        <v>25.827928612098059</v>
      </c>
      <c r="I30" s="192">
        <f t="shared" si="12"/>
        <v>30.749868801833447</v>
      </c>
      <c r="J30" s="193">
        <f t="shared" si="12"/>
        <v>37.680927130502894</v>
      </c>
      <c r="K30" s="194">
        <f t="shared" si="12"/>
        <v>45.444632294933974</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7" x14ac:dyDescent="0.25">
      <c r="B31" s="172">
        <f t="shared" si="13"/>
        <v>13</v>
      </c>
      <c r="C31" s="173" t="str">
        <f t="shared" si="14"/>
        <v xml:space="preserve">Miles </v>
      </c>
      <c r="D31" s="232">
        <f t="shared" si="11"/>
        <v>11.394766899109449</v>
      </c>
      <c r="E31" s="188">
        <f t="shared" si="12"/>
        <v>15.573795403782798</v>
      </c>
      <c r="F31" s="189">
        <f t="shared" si="12"/>
        <v>20.286511064531396</v>
      </c>
      <c r="G31" s="190">
        <f t="shared" si="12"/>
        <v>22.556169792160908</v>
      </c>
      <c r="H31" s="191">
        <f t="shared" si="12"/>
        <v>27.980255996439567</v>
      </c>
      <c r="I31" s="192">
        <f t="shared" si="12"/>
        <v>33.312357868652903</v>
      </c>
      <c r="J31" s="193">
        <f t="shared" si="12"/>
        <v>40.821004391378132</v>
      </c>
      <c r="K31" s="194">
        <f t="shared" si="12"/>
        <v>49.231684986178472</v>
      </c>
      <c r="L31" s="255" t="s">
        <v>91</v>
      </c>
      <c r="M31" s="264"/>
      <c r="N31" s="265"/>
      <c r="O31" s="266">
        <v>0.3125</v>
      </c>
      <c r="P31" s="267">
        <v>125</v>
      </c>
      <c r="Q31" s="268">
        <f t="shared" ref="Q31:Q40" si="15">IF($R$29=1,IF(ISNA(W31),"too slow",W31),IF($R$29=2,IF(ISNA(X31),"too slow",X31),IF($R$29=3,IF(ISNA(Y31),"too slow",Y31),Z31)))</f>
        <v>0</v>
      </c>
      <c r="R31" s="269">
        <f t="shared" ref="R31:R40" si="16">IF(Q31="Too Slow","",IF($R$29=3,O31*N31*24*Q31,M31*1440*Q31))</f>
        <v>0</v>
      </c>
      <c r="U31" s="6"/>
      <c r="V31" s="6"/>
      <c r="W31" s="270">
        <f t="shared" ref="W31:W40" si="17">IF(M31*N31,LOOKUP(((0.182258*(1/((M31/N31)*1440)*IF($D$16,1000,1609.344))+(0.000104*(1/((M31/N31)*1440)*IF($D$16,1000,1609.344))^2)-4.6)/$I$6),$Z$135:$Z$214,$AB$135:$AB$214),0)</f>
        <v>0</v>
      </c>
      <c r="X31" s="270">
        <f t="shared" ref="X31:X40" si="18">IF(M31*O31,LOOKUP(((0.182258*(1/(O31*24)*IF($D$16,1000,1609.344))+(0.000104*(1/(O31*24)*IF($D$16,1000,1609.344))^2)-4.6)/$I$6),$Z$135:$Z$214,$AB$135:$AB$214),0)</f>
        <v>0</v>
      </c>
      <c r="Y31" s="270">
        <f t="shared" ref="Y31:Y40" si="19">IF(N31*O31,LOOKUP(((0.182258*(1/(O31*24)*IF($D$16,1000,1609.344))+(0.000104*(1/(O31*24)*IF($D$16,1000,1609.344))^2)-4.6)/$I$6),$Z$135:$Z$214,$AB$135:$AB$214),0)</f>
        <v>0</v>
      </c>
      <c r="Z31" s="270">
        <f>IF(M31*P31,LOOKUP(MAX(P31/$E$3,0.56),$AA$135:$AA$214,$AB$135:$AB$214),0)</f>
        <v>0</v>
      </c>
      <c r="AA31" s="271"/>
    </row>
    <row r="32" spans="2:27" x14ac:dyDescent="0.25">
      <c r="B32" s="172">
        <f t="shared" si="13"/>
        <v>14</v>
      </c>
      <c r="C32" s="173" t="str">
        <f t="shared" si="14"/>
        <v xml:space="preserve">Miles </v>
      </c>
      <c r="D32" s="232">
        <f t="shared" si="11"/>
        <v>12.271287429810178</v>
      </c>
      <c r="E32" s="188">
        <f t="shared" si="12"/>
        <v>16.77177966561224</v>
      </c>
      <c r="F32" s="189">
        <f t="shared" si="12"/>
        <v>21.847011915649194</v>
      </c>
      <c r="G32" s="190">
        <f t="shared" si="12"/>
        <v>24.291259776173288</v>
      </c>
      <c r="H32" s="191">
        <f t="shared" si="12"/>
        <v>30.132583380781067</v>
      </c>
      <c r="I32" s="192">
        <f t="shared" si="12"/>
        <v>35.874846935472355</v>
      </c>
      <c r="J32" s="193">
        <f t="shared" si="12"/>
        <v>43.961081652253377</v>
      </c>
      <c r="K32" s="194" t="s">
        <v>91</v>
      </c>
      <c r="L32" s="255" t="s">
        <v>91</v>
      </c>
      <c r="M32" s="272"/>
      <c r="N32" s="273"/>
      <c r="O32" s="274">
        <v>0.28125</v>
      </c>
      <c r="P32" s="275">
        <v>126</v>
      </c>
      <c r="Q32" s="276">
        <f t="shared" si="15"/>
        <v>0</v>
      </c>
      <c r="R32" s="277">
        <f t="shared" si="16"/>
        <v>0</v>
      </c>
      <c r="U32" s="6"/>
      <c r="V32" s="6"/>
      <c r="W32" s="278">
        <f t="shared" si="17"/>
        <v>0</v>
      </c>
      <c r="X32" s="278">
        <f t="shared" si="18"/>
        <v>0</v>
      </c>
      <c r="Y32" s="278">
        <f t="shared" si="19"/>
        <v>0</v>
      </c>
      <c r="Z32" s="278">
        <f t="shared" ref="Z32:Z40" si="20">IF(M32*P32,LOOKUP(MAX(ROUND(P32/$E$3,2),0.65),$AA$135:$AA$214,$AB$135:$AB$214),0)</f>
        <v>0</v>
      </c>
    </row>
    <row r="33" spans="2:28" ht="13.8" thickBot="1" x14ac:dyDescent="0.3">
      <c r="B33" s="201">
        <f t="shared" si="13"/>
        <v>15</v>
      </c>
      <c r="C33" s="202" t="str">
        <f t="shared" si="14"/>
        <v xml:space="preserve">Miles </v>
      </c>
      <c r="D33" s="241">
        <f t="shared" si="11"/>
        <v>13.147807960510903</v>
      </c>
      <c r="E33" s="204">
        <f t="shared" si="12"/>
        <v>17.969763927441686</v>
      </c>
      <c r="F33" s="205">
        <f t="shared" si="12"/>
        <v>23.407512766766992</v>
      </c>
      <c r="G33" s="206">
        <f t="shared" si="12"/>
        <v>26.026349760185667</v>
      </c>
      <c r="H33" s="207">
        <f t="shared" si="12"/>
        <v>32.284910765122575</v>
      </c>
      <c r="I33" s="208">
        <f t="shared" si="12"/>
        <v>38.437336002291815</v>
      </c>
      <c r="J33" s="209">
        <f t="shared" si="12"/>
        <v>47.101158913128614</v>
      </c>
      <c r="K33" s="210" t="s">
        <v>91</v>
      </c>
      <c r="L33" s="242" t="s">
        <v>91</v>
      </c>
      <c r="M33" s="272"/>
      <c r="N33" s="273"/>
      <c r="O33" s="274">
        <v>0.3125</v>
      </c>
      <c r="P33" s="275">
        <v>127</v>
      </c>
      <c r="Q33" s="276">
        <f t="shared" si="15"/>
        <v>0</v>
      </c>
      <c r="R33" s="277">
        <f t="shared" si="16"/>
        <v>0</v>
      </c>
      <c r="U33" s="6"/>
      <c r="V33" s="6"/>
      <c r="W33" s="278">
        <f t="shared" si="17"/>
        <v>0</v>
      </c>
      <c r="X33" s="278">
        <f t="shared" si="18"/>
        <v>0</v>
      </c>
      <c r="Y33" s="278">
        <f t="shared" si="19"/>
        <v>0</v>
      </c>
      <c r="Z33" s="278">
        <f t="shared" si="20"/>
        <v>0</v>
      </c>
    </row>
    <row r="34" spans="2:28" x14ac:dyDescent="0.25">
      <c r="B34" s="216">
        <f t="shared" si="13"/>
        <v>16</v>
      </c>
      <c r="C34" s="217" t="str">
        <f t="shared" si="14"/>
        <v xml:space="preserve">Miles </v>
      </c>
      <c r="D34" s="218">
        <f t="shared" si="11"/>
        <v>14.02432849121163</v>
      </c>
      <c r="E34" s="219">
        <f t="shared" si="12"/>
        <v>19.167748189271133</v>
      </c>
      <c r="F34" s="220">
        <f t="shared" si="12"/>
        <v>24.968013617884793</v>
      </c>
      <c r="G34" s="221">
        <f t="shared" si="12"/>
        <v>27.761439744198043</v>
      </c>
      <c r="H34" s="222">
        <f t="shared" si="12"/>
        <v>34.437238149464079</v>
      </c>
      <c r="I34" s="223">
        <f t="shared" si="12"/>
        <v>40.999825069111267</v>
      </c>
      <c r="J34" s="224">
        <f t="shared" si="12"/>
        <v>50.241236174003859</v>
      </c>
      <c r="K34" s="225" t="s">
        <v>91</v>
      </c>
      <c r="L34" s="279" t="s">
        <v>91</v>
      </c>
      <c r="M34" s="272"/>
      <c r="N34" s="273"/>
      <c r="O34" s="274">
        <v>0.27083333333333331</v>
      </c>
      <c r="P34" s="275">
        <v>128</v>
      </c>
      <c r="Q34" s="276">
        <f t="shared" si="15"/>
        <v>0</v>
      </c>
      <c r="R34" s="277">
        <f t="shared" si="16"/>
        <v>0</v>
      </c>
      <c r="V34" s="280"/>
      <c r="W34" s="278">
        <f t="shared" si="17"/>
        <v>0</v>
      </c>
      <c r="X34" s="278">
        <f t="shared" si="18"/>
        <v>0</v>
      </c>
      <c r="Y34" s="278">
        <f t="shared" si="19"/>
        <v>0</v>
      </c>
      <c r="Z34" s="278">
        <f t="shared" si="20"/>
        <v>0</v>
      </c>
    </row>
    <row r="35" spans="2:28" x14ac:dyDescent="0.25">
      <c r="B35" s="172">
        <f t="shared" si="13"/>
        <v>17</v>
      </c>
      <c r="C35" s="173" t="str">
        <f t="shared" si="14"/>
        <v xml:space="preserve">Miles </v>
      </c>
      <c r="D35" s="232">
        <f t="shared" si="11"/>
        <v>14.900849021912359</v>
      </c>
      <c r="E35" s="188">
        <f t="shared" ref="E35:J44" si="21">IF(AND(E$18&lt;&gt;"-",AND(E$14&lt;&gt;"-",E$14&lt;&gt;0)),$B35*E$18*IF($A$14,IF($D$16,60/E$15,60/E$14),IF($D$16,E$15,E$14)*1440),"-")</f>
        <v>20.36573245110058</v>
      </c>
      <c r="F35" s="189">
        <f t="shared" si="21"/>
        <v>26.528514469002594</v>
      </c>
      <c r="G35" s="190">
        <f t="shared" si="21"/>
        <v>29.496529728210419</v>
      </c>
      <c r="H35" s="191">
        <f t="shared" si="21"/>
        <v>36.589565533805583</v>
      </c>
      <c r="I35" s="192">
        <f t="shared" si="21"/>
        <v>43.56231413593072</v>
      </c>
      <c r="J35" s="193">
        <f t="shared" si="21"/>
        <v>53.381313434879097</v>
      </c>
      <c r="K35" s="194" t="s">
        <v>91</v>
      </c>
      <c r="L35" s="255" t="s">
        <v>91</v>
      </c>
      <c r="M35" s="272"/>
      <c r="N35" s="273"/>
      <c r="O35" s="274">
        <v>0.3125</v>
      </c>
      <c r="P35" s="275">
        <v>129</v>
      </c>
      <c r="Q35" s="276">
        <f t="shared" si="15"/>
        <v>0</v>
      </c>
      <c r="R35" s="277">
        <f t="shared" si="16"/>
        <v>0</v>
      </c>
      <c r="V35" s="280"/>
      <c r="W35" s="278">
        <f t="shared" si="17"/>
        <v>0</v>
      </c>
      <c r="X35" s="278">
        <f t="shared" si="18"/>
        <v>0</v>
      </c>
      <c r="Y35" s="278">
        <f t="shared" si="19"/>
        <v>0</v>
      </c>
      <c r="Z35" s="278">
        <f t="shared" si="20"/>
        <v>0</v>
      </c>
    </row>
    <row r="36" spans="2:28" x14ac:dyDescent="0.25">
      <c r="B36" s="172">
        <f t="shared" si="13"/>
        <v>18</v>
      </c>
      <c r="C36" s="173" t="str">
        <f t="shared" si="14"/>
        <v xml:space="preserve">Miles </v>
      </c>
      <c r="D36" s="232">
        <f t="shared" si="11"/>
        <v>15.777369552613084</v>
      </c>
      <c r="E36" s="188">
        <f t="shared" si="21"/>
        <v>21.563716712930027</v>
      </c>
      <c r="F36" s="189">
        <f t="shared" si="21"/>
        <v>28.089015320120392</v>
      </c>
      <c r="G36" s="190">
        <f t="shared" si="21"/>
        <v>31.231619712222798</v>
      </c>
      <c r="H36" s="191">
        <f t="shared" si="21"/>
        <v>38.741892918147087</v>
      </c>
      <c r="I36" s="192">
        <f t="shared" si="21"/>
        <v>46.124803202750172</v>
      </c>
      <c r="J36" s="193">
        <f t="shared" si="21"/>
        <v>56.521390695754341</v>
      </c>
      <c r="K36" s="194" t="s">
        <v>91</v>
      </c>
      <c r="L36" s="255" t="s">
        <v>91</v>
      </c>
      <c r="M36" s="272"/>
      <c r="N36" s="273"/>
      <c r="O36" s="274">
        <v>0.30208333333333331</v>
      </c>
      <c r="P36" s="275">
        <v>130</v>
      </c>
      <c r="Q36" s="276">
        <f t="shared" si="15"/>
        <v>0</v>
      </c>
      <c r="R36" s="277">
        <f t="shared" si="16"/>
        <v>0</v>
      </c>
      <c r="V36" s="280"/>
      <c r="W36" s="278">
        <f t="shared" si="17"/>
        <v>0</v>
      </c>
      <c r="X36" s="278">
        <f t="shared" si="18"/>
        <v>0</v>
      </c>
      <c r="Y36" s="278">
        <f t="shared" si="19"/>
        <v>0</v>
      </c>
      <c r="Z36" s="278">
        <f t="shared" si="20"/>
        <v>0</v>
      </c>
    </row>
    <row r="37" spans="2:28" x14ac:dyDescent="0.25">
      <c r="B37" s="172">
        <f t="shared" si="13"/>
        <v>19</v>
      </c>
      <c r="C37" s="173" t="str">
        <f t="shared" si="14"/>
        <v xml:space="preserve">Miles </v>
      </c>
      <c r="D37" s="232">
        <f t="shared" si="11"/>
        <v>16.653890083313811</v>
      </c>
      <c r="E37" s="188">
        <f t="shared" si="21"/>
        <v>22.761700974759471</v>
      </c>
      <c r="F37" s="189">
        <f t="shared" si="21"/>
        <v>29.649516171238194</v>
      </c>
      <c r="G37" s="190">
        <f t="shared" si="21"/>
        <v>32.966709696235178</v>
      </c>
      <c r="H37" s="191">
        <f t="shared" si="21"/>
        <v>40.894220302488591</v>
      </c>
      <c r="I37" s="192">
        <f t="shared" si="21"/>
        <v>48.687292269569625</v>
      </c>
      <c r="J37" s="193">
        <f t="shared" si="21"/>
        <v>59.661467956629579</v>
      </c>
      <c r="K37" s="194" t="s">
        <v>91</v>
      </c>
      <c r="L37" s="255" t="s">
        <v>91</v>
      </c>
      <c r="M37" s="272"/>
      <c r="N37" s="273"/>
      <c r="O37" s="274">
        <v>0.33333333333333331</v>
      </c>
      <c r="P37" s="275"/>
      <c r="Q37" s="276">
        <f t="shared" si="15"/>
        <v>0</v>
      </c>
      <c r="R37" s="277">
        <f t="shared" si="16"/>
        <v>0</v>
      </c>
      <c r="V37" s="280"/>
      <c r="W37" s="278">
        <f t="shared" si="17"/>
        <v>0</v>
      </c>
      <c r="X37" s="278">
        <f t="shared" si="18"/>
        <v>0</v>
      </c>
      <c r="Y37" s="278">
        <f t="shared" si="19"/>
        <v>0</v>
      </c>
      <c r="Z37" s="278">
        <f t="shared" si="20"/>
        <v>0</v>
      </c>
    </row>
    <row r="38" spans="2:28" ht="13.8" thickBot="1" x14ac:dyDescent="0.3">
      <c r="B38" s="201">
        <f t="shared" si="13"/>
        <v>20</v>
      </c>
      <c r="C38" s="202" t="str">
        <f t="shared" si="14"/>
        <v xml:space="preserve">Miles </v>
      </c>
      <c r="D38" s="241">
        <f t="shared" si="11"/>
        <v>17.530410614014539</v>
      </c>
      <c r="E38" s="204">
        <f t="shared" si="21"/>
        <v>23.959685236588918</v>
      </c>
      <c r="F38" s="205">
        <f t="shared" si="21"/>
        <v>31.210017022355991</v>
      </c>
      <c r="G38" s="206">
        <f t="shared" si="21"/>
        <v>34.701799680247554</v>
      </c>
      <c r="H38" s="207">
        <f t="shared" si="21"/>
        <v>43.046547686830095</v>
      </c>
      <c r="I38" s="208">
        <f t="shared" si="21"/>
        <v>51.249781336389084</v>
      </c>
      <c r="J38" s="209">
        <f t="shared" si="21"/>
        <v>62.801545217504817</v>
      </c>
      <c r="K38" s="210" t="s">
        <v>91</v>
      </c>
      <c r="L38" s="242" t="s">
        <v>91</v>
      </c>
      <c r="M38" s="272"/>
      <c r="N38" s="273"/>
      <c r="O38" s="274"/>
      <c r="P38" s="275"/>
      <c r="Q38" s="276">
        <f t="shared" si="15"/>
        <v>0</v>
      </c>
      <c r="R38" s="277">
        <f t="shared" si="16"/>
        <v>0</v>
      </c>
      <c r="V38" s="280"/>
      <c r="W38" s="278">
        <f t="shared" si="17"/>
        <v>0</v>
      </c>
      <c r="X38" s="278">
        <f t="shared" si="18"/>
        <v>0</v>
      </c>
      <c r="Y38" s="278">
        <f t="shared" si="19"/>
        <v>0</v>
      </c>
      <c r="Z38" s="278">
        <f t="shared" si="20"/>
        <v>0</v>
      </c>
    </row>
    <row r="39" spans="2:28" x14ac:dyDescent="0.25">
      <c r="B39" s="216">
        <f t="shared" si="13"/>
        <v>21</v>
      </c>
      <c r="C39" s="217" t="str">
        <f t="shared" si="14"/>
        <v xml:space="preserve">Miles </v>
      </c>
      <c r="D39" s="218">
        <f t="shared" si="11"/>
        <v>18.406931144715266</v>
      </c>
      <c r="E39" s="219">
        <f t="shared" si="21"/>
        <v>25.157669498418361</v>
      </c>
      <c r="F39" s="220">
        <f t="shared" si="21"/>
        <v>32.770517873473793</v>
      </c>
      <c r="G39" s="221">
        <f t="shared" si="21"/>
        <v>36.43688966425993</v>
      </c>
      <c r="H39" s="222">
        <f t="shared" si="21"/>
        <v>45.198875071171599</v>
      </c>
      <c r="I39" s="223">
        <f t="shared" si="21"/>
        <v>53.81227040320853</v>
      </c>
      <c r="J39" s="224">
        <f t="shared" si="21"/>
        <v>65.941622478380069</v>
      </c>
      <c r="K39" s="225" t="s">
        <v>91</v>
      </c>
      <c r="L39" s="279" t="s">
        <v>91</v>
      </c>
      <c r="M39" s="281"/>
      <c r="N39" s="282"/>
      <c r="O39" s="283"/>
      <c r="P39" s="284"/>
      <c r="Q39" s="285">
        <f t="shared" si="15"/>
        <v>0</v>
      </c>
      <c r="R39" s="286">
        <f t="shared" si="16"/>
        <v>0</v>
      </c>
      <c r="V39" s="280"/>
      <c r="W39" s="278">
        <f t="shared" si="17"/>
        <v>0</v>
      </c>
      <c r="X39" s="278">
        <f t="shared" si="18"/>
        <v>0</v>
      </c>
      <c r="Y39" s="278">
        <f t="shared" si="19"/>
        <v>0</v>
      </c>
      <c r="Z39" s="278">
        <f t="shared" si="20"/>
        <v>0</v>
      </c>
    </row>
    <row r="40" spans="2:28" ht="13.8" thickBot="1" x14ac:dyDescent="0.3">
      <c r="B40" s="172">
        <f t="shared" si="13"/>
        <v>22</v>
      </c>
      <c r="C40" s="173" t="str">
        <f t="shared" si="14"/>
        <v xml:space="preserve">Miles </v>
      </c>
      <c r="D40" s="232">
        <f t="shared" si="11"/>
        <v>19.283451675415993</v>
      </c>
      <c r="E40" s="188">
        <f t="shared" si="21"/>
        <v>26.355653760247808</v>
      </c>
      <c r="F40" s="189">
        <f t="shared" si="21"/>
        <v>34.331018724591594</v>
      </c>
      <c r="G40" s="190">
        <f t="shared" si="21"/>
        <v>38.171979648272313</v>
      </c>
      <c r="H40" s="191">
        <f t="shared" si="21"/>
        <v>47.351202455513111</v>
      </c>
      <c r="I40" s="192">
        <f t="shared" si="21"/>
        <v>56.374759470027989</v>
      </c>
      <c r="J40" s="193">
        <f t="shared" si="21"/>
        <v>69.081699739255299</v>
      </c>
      <c r="K40" s="194" t="s">
        <v>91</v>
      </c>
      <c r="L40" s="255" t="s">
        <v>91</v>
      </c>
      <c r="M40" s="287"/>
      <c r="N40" s="288"/>
      <c r="O40" s="289"/>
      <c r="P40" s="290"/>
      <c r="Q40" s="285">
        <f t="shared" si="15"/>
        <v>0</v>
      </c>
      <c r="R40" s="286">
        <f t="shared" si="16"/>
        <v>0</v>
      </c>
      <c r="V40" s="280"/>
      <c r="W40" s="291">
        <f t="shared" si="17"/>
        <v>0</v>
      </c>
      <c r="X40" s="291">
        <f t="shared" si="18"/>
        <v>0</v>
      </c>
      <c r="Y40" s="291">
        <f t="shared" si="19"/>
        <v>0</v>
      </c>
      <c r="Z40" s="291">
        <f t="shared" si="20"/>
        <v>0</v>
      </c>
    </row>
    <row r="41" spans="2:28" ht="13.8" thickBot="1" x14ac:dyDescent="0.3">
      <c r="B41" s="172">
        <f t="shared" si="13"/>
        <v>23</v>
      </c>
      <c r="C41" s="173" t="str">
        <f t="shared" si="14"/>
        <v xml:space="preserve">Miles </v>
      </c>
      <c r="D41" s="232">
        <f t="shared" si="11"/>
        <v>20.159972206116716</v>
      </c>
      <c r="E41" s="188">
        <f t="shared" si="21"/>
        <v>27.553638022077255</v>
      </c>
      <c r="F41" s="189">
        <f t="shared" si="21"/>
        <v>35.891519575709388</v>
      </c>
      <c r="G41" s="190">
        <f t="shared" si="21"/>
        <v>39.907069632284689</v>
      </c>
      <c r="H41" s="191">
        <f t="shared" si="21"/>
        <v>49.503529839854615</v>
      </c>
      <c r="I41" s="192">
        <f t="shared" si="21"/>
        <v>58.937248536847449</v>
      </c>
      <c r="J41" s="193">
        <f t="shared" si="21"/>
        <v>72.221777000130544</v>
      </c>
      <c r="K41" s="194" t="s">
        <v>91</v>
      </c>
      <c r="L41" s="255" t="s">
        <v>91</v>
      </c>
      <c r="M41" s="292" t="str">
        <f>IF(SUM(M31:M40)&gt;0,SUM(M31:M40),"")</f>
        <v/>
      </c>
      <c r="N41" s="293" t="str">
        <f>IF(SUM(N31:N40)&gt;0,SUM(N31:N40),"")</f>
        <v/>
      </c>
      <c r="O41" s="294">
        <f>IF(SUM(O31:O40)&gt;0,AVERAGE(O31:O40),"")</f>
        <v>0.30357142857142855</v>
      </c>
      <c r="P41" s="295">
        <f>IF(SUM(P31:P40)&gt;0,AVERAGE(P31:P40),"")</f>
        <v>127.5</v>
      </c>
      <c r="Q41" s="296" t="str">
        <f>"Total "</f>
        <v xml:space="preserve">Total </v>
      </c>
      <c r="R41" s="297" t="str">
        <f>IF(SUM(R31:R40)&gt;0,SUM(R31:R40),"")</f>
        <v/>
      </c>
      <c r="W41" s="4"/>
    </row>
    <row r="42" spans="2:28" ht="14.4" thickTop="1" thickBot="1" x14ac:dyDescent="0.3">
      <c r="B42" s="172">
        <f t="shared" si="13"/>
        <v>24</v>
      </c>
      <c r="C42" s="173" t="str">
        <f t="shared" si="14"/>
        <v xml:space="preserve">Miles </v>
      </c>
      <c r="D42" s="232">
        <f t="shared" si="11"/>
        <v>21.036492736817447</v>
      </c>
      <c r="E42" s="188">
        <f t="shared" si="21"/>
        <v>28.751622283906702</v>
      </c>
      <c r="F42" s="189">
        <f t="shared" si="21"/>
        <v>37.45202042682719</v>
      </c>
      <c r="G42" s="190">
        <f t="shared" si="21"/>
        <v>41.642159616297064</v>
      </c>
      <c r="H42" s="191">
        <f t="shared" si="21"/>
        <v>51.655857224196119</v>
      </c>
      <c r="I42" s="192">
        <f t="shared" si="21"/>
        <v>61.499737603666894</v>
      </c>
      <c r="J42" s="193">
        <f t="shared" si="21"/>
        <v>75.361854261005789</v>
      </c>
      <c r="K42" s="194" t="s">
        <v>91</v>
      </c>
      <c r="L42" s="255" t="s">
        <v>91</v>
      </c>
      <c r="M42" s="949" t="s">
        <v>106</v>
      </c>
      <c r="N42" s="950"/>
      <c r="O42" s="950"/>
      <c r="P42" s="950"/>
      <c r="Q42" s="950"/>
      <c r="R42" s="951"/>
      <c r="V42" s="298"/>
      <c r="W42" s="4"/>
    </row>
    <row r="43" spans="2:28" ht="13.8" thickBot="1" x14ac:dyDescent="0.3">
      <c r="B43" s="172">
        <f t="shared" si="13"/>
        <v>25</v>
      </c>
      <c r="C43" s="173" t="str">
        <f t="shared" si="14"/>
        <v xml:space="preserve">Miles </v>
      </c>
      <c r="D43" s="241">
        <f t="shared" si="11"/>
        <v>21.913013267518174</v>
      </c>
      <c r="E43" s="204">
        <f t="shared" si="21"/>
        <v>29.949606545736145</v>
      </c>
      <c r="F43" s="205">
        <f t="shared" si="21"/>
        <v>39.012521277944991</v>
      </c>
      <c r="G43" s="206">
        <f t="shared" si="21"/>
        <v>43.37724960030944</v>
      </c>
      <c r="H43" s="207">
        <f t="shared" si="21"/>
        <v>53.808184608537623</v>
      </c>
      <c r="I43" s="208">
        <f t="shared" si="21"/>
        <v>64.062226670486353</v>
      </c>
      <c r="J43" s="209">
        <f t="shared" si="21"/>
        <v>78.501931521881033</v>
      </c>
      <c r="K43" s="210" t="s">
        <v>91</v>
      </c>
      <c r="L43" s="242" t="s">
        <v>91</v>
      </c>
      <c r="M43" s="952" t="s">
        <v>107</v>
      </c>
      <c r="N43" s="893"/>
      <c r="O43" s="893"/>
      <c r="P43" s="893" t="s">
        <v>108</v>
      </c>
      <c r="Q43" s="893"/>
      <c r="R43" s="894"/>
    </row>
    <row r="44" spans="2:28" ht="13.8" thickBot="1" x14ac:dyDescent="0.3">
      <c r="B44" s="201">
        <f t="shared" si="13"/>
        <v>26</v>
      </c>
      <c r="C44" s="202" t="str">
        <f t="shared" si="14"/>
        <v xml:space="preserve">Miles </v>
      </c>
      <c r="D44" s="203">
        <f t="shared" si="11"/>
        <v>22.789533798218898</v>
      </c>
      <c r="E44" s="299">
        <f t="shared" si="21"/>
        <v>31.147590807565596</v>
      </c>
      <c r="F44" s="300">
        <f t="shared" si="21"/>
        <v>40.573022129062792</v>
      </c>
      <c r="G44" s="301">
        <f t="shared" si="21"/>
        <v>45.112339584321816</v>
      </c>
      <c r="H44" s="302">
        <f t="shared" si="21"/>
        <v>55.960511992879134</v>
      </c>
      <c r="I44" s="303">
        <f t="shared" si="21"/>
        <v>66.624715737305806</v>
      </c>
      <c r="J44" s="304">
        <f t="shared" si="21"/>
        <v>81.642008782756264</v>
      </c>
      <c r="K44" s="305" t="s">
        <v>91</v>
      </c>
      <c r="L44" s="306" t="s">
        <v>91</v>
      </c>
      <c r="M44" s="932" t="s">
        <v>109</v>
      </c>
      <c r="N44" s="933"/>
      <c r="O44" s="933"/>
      <c r="P44" s="933" t="s">
        <v>110</v>
      </c>
      <c r="Q44" s="933"/>
      <c r="R44" s="934"/>
    </row>
    <row r="45" spans="2:28" ht="13.8" thickBot="1" x14ac:dyDescent="0.3">
      <c r="B45" s="935" t="s">
        <v>111</v>
      </c>
      <c r="C45" s="936"/>
      <c r="D45" s="936"/>
      <c r="E45" s="936"/>
      <c r="F45" s="936"/>
      <c r="G45" s="936"/>
      <c r="H45" s="936"/>
      <c r="I45" s="936"/>
      <c r="J45" s="936"/>
      <c r="K45" s="936"/>
      <c r="L45" s="936"/>
      <c r="M45" s="936"/>
      <c r="N45" s="936"/>
      <c r="O45" s="936"/>
      <c r="P45" s="936"/>
      <c r="Q45" s="936"/>
      <c r="R45" s="937"/>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3" t="s">
        <v>112</v>
      </c>
      <c r="X46" s="873"/>
    </row>
    <row r="47" spans="2:28" ht="14.4" thickTop="1" thickBot="1" x14ac:dyDescent="0.3">
      <c r="B47" s="311">
        <f>E3</f>
        <v>201</v>
      </c>
      <c r="C47" s="312"/>
      <c r="D47" s="938" t="str">
        <f>"Custom Heart Rate Zones - "&amp;IF(L47,"% HR Reserve","% HRmax")</f>
        <v>Custom Heart Rate Zones - % HRmax</v>
      </c>
      <c r="E47" s="938"/>
      <c r="F47" s="938"/>
      <c r="G47" s="938"/>
      <c r="H47" s="938"/>
      <c r="I47" s="938"/>
      <c r="J47" s="938"/>
      <c r="K47" s="313"/>
      <c r="L47" s="314" t="b">
        <v>0</v>
      </c>
      <c r="M47" s="315" t="s">
        <v>113</v>
      </c>
      <c r="N47" s="939" t="s">
        <v>114</v>
      </c>
      <c r="O47" s="940"/>
      <c r="P47" s="940"/>
      <c r="Q47" s="316" t="b">
        <v>1</v>
      </c>
      <c r="R47" s="317">
        <v>25</v>
      </c>
      <c r="W47" s="941" t="s">
        <v>115</v>
      </c>
      <c r="X47" s="941"/>
      <c r="Y47" s="941" t="s">
        <v>116</v>
      </c>
      <c r="Z47" s="941"/>
      <c r="AA47" s="941"/>
      <c r="AB47" s="941"/>
    </row>
    <row r="48" spans="2:28" ht="13.8" thickBot="1" x14ac:dyDescent="0.3">
      <c r="B48" s="318">
        <f>E4</f>
        <v>54</v>
      </c>
      <c r="C48" s="954" t="s">
        <v>117</v>
      </c>
      <c r="D48" s="955"/>
      <c r="E48" s="956" t="s">
        <v>65</v>
      </c>
      <c r="F48" s="955"/>
      <c r="G48" s="956" t="s">
        <v>118</v>
      </c>
      <c r="H48" s="955"/>
      <c r="I48" s="956" t="s">
        <v>76</v>
      </c>
      <c r="J48" s="955"/>
      <c r="K48" s="956" t="s">
        <v>78</v>
      </c>
      <c r="L48" s="957"/>
      <c r="M48" s="319" t="s">
        <v>119</v>
      </c>
      <c r="N48" s="320" t="str">
        <f ca="1">"Age: "&amp;$E$5</f>
        <v>Age: 31</v>
      </c>
      <c r="O48" s="321"/>
      <c r="P48" s="322" t="str">
        <f>"Wght: "&amp;$C$3</f>
        <v>Wght: 160</v>
      </c>
      <c r="Q48" s="323" t="b">
        <v>1</v>
      </c>
      <c r="R48" s="324">
        <v>155</v>
      </c>
      <c r="S48" s="325"/>
      <c r="T48" s="958" t="s">
        <v>120</v>
      </c>
      <c r="U48" s="959"/>
      <c r="W48" s="326"/>
      <c r="X48" s="327" t="s">
        <v>121</v>
      </c>
      <c r="Y48" s="960" t="s">
        <v>122</v>
      </c>
      <c r="Z48" s="961"/>
      <c r="AA48" s="961" t="s">
        <v>123</v>
      </c>
      <c r="AB48" s="962"/>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927" t="str">
        <f>IF($L$47,TEXT((($B$47-$B$48)*C49)+$B$48,0)&amp;"  -  "&amp;TEXT((($B$47-$B$48)*D49)+$B$48,0),TEXT($B$47*C49,0)&amp;"  -  "&amp;TEXT($B$47*D49,0))</f>
        <v>131  -  161</v>
      </c>
      <c r="D50" s="928"/>
      <c r="E50" s="929" t="str">
        <f>IF($L$47,TEXT((($B$47-$B$48)*E49)+$B$48,0)&amp;"  -  "&amp;TEXT((($B$47-$B$48)*F49)+$B$48,0),TEXT($B$47*E49,0)&amp;"  -  "&amp;TEXT($B$47*F49,0))</f>
        <v>161  -  179</v>
      </c>
      <c r="F50" s="930"/>
      <c r="G50" s="929" t="str">
        <f>IF($L$47,TEXT((($B$47-$B$48)*G49)+$B$48,0)&amp;"  -  "&amp;TEXT((($B$47-$B$48)*H49)+$B$48,0),TEXT($B$47*G49,0)&amp;"  -  "&amp;TEXT($B$47*H49,0))</f>
        <v>177  -  185</v>
      </c>
      <c r="H50" s="930"/>
      <c r="I50" s="929" t="str">
        <f>IF($L$47,TEXT((($B$47-$B$48)*I49)+$B$48,0)&amp;"  -  "&amp;TEXT((($B$47-$B$48)*J49)+$B$48,0),TEXT($B$47*I49,0)&amp;"  -  "&amp;TEXT($B$47*J49,0))</f>
        <v>185  -  193</v>
      </c>
      <c r="J50" s="930"/>
      <c r="K50" s="929" t="str">
        <f>IF($L$47,TEXT((($B$47-$B$48)*K49)+$B$48,0)&amp;"  -  "&amp;TEXT((($B$47-$B$48)*L49)+$B$48,0),TEXT($B$47*K49,0)&amp;"  -  "&amp;TEXT($B$47*L49,0))</f>
        <v>185  -  201</v>
      </c>
      <c r="L50" s="931"/>
      <c r="M50" s="348">
        <v>0.50763888888888886</v>
      </c>
      <c r="N50" s="349" t="s">
        <v>129</v>
      </c>
      <c r="O50" s="350">
        <f>IF(AND($E$6&gt;0,$G$6&gt;0),IF($G$16=1,(W50/(29.54+5.000663*($I$6*(X50))-0.007546*($I$6*(X50))^2)/1440),($G$6*(S50/$D$8)^1.06)),"-")</f>
        <v>3.2179514584994213E-3</v>
      </c>
      <c r="P50" s="351">
        <f t="shared" ref="P50:P69" si="22">IF(O50&lt;&gt;"-",O50/S50*IF($P$70,0.621371192,1),"-")</f>
        <v>3.4525272480181953E-3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3.1311062317660563E-3</v>
      </c>
      <c r="R50" s="353">
        <f t="shared" ref="R50:R69" ca="1" si="24">IF($O$85="yes",Q50/S50*IF($P$70,0.621371192,1),"-")</f>
        <v>3.359351351636875E-3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1.1006376151963118</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3.4671335649026727E-3</v>
      </c>
      <c r="P51" s="369">
        <f t="shared" si="22"/>
        <v>3.4671335649026727E-3</v>
      </c>
      <c r="Q51" s="370">
        <f t="shared" ca="1" si="23"/>
        <v>3.3735634770868535E-3</v>
      </c>
      <c r="R51" s="371">
        <f t="shared" ca="1" si="24"/>
        <v>3.3735634770868535E-3</v>
      </c>
      <c r="S51" s="354">
        <v>1</v>
      </c>
      <c r="T51" s="372">
        <v>2.5694444444444445E-3</v>
      </c>
      <c r="U51" s="373">
        <v>2.9120370370370368E-3</v>
      </c>
      <c r="V51" s="374" t="s">
        <v>131</v>
      </c>
      <c r="W51" s="375">
        <f t="shared" ref="W51:W69" si="27">S51*1609.344</f>
        <v>1609.3440000000001</v>
      </c>
      <c r="X51" s="376">
        <f t="shared" si="25"/>
        <v>1.0916412809853782</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953" t="s">
        <v>132</v>
      </c>
      <c r="D52" s="953"/>
      <c r="E52" s="953"/>
      <c r="F52" s="953"/>
      <c r="G52" s="953"/>
      <c r="H52" s="953"/>
      <c r="I52" s="953"/>
      <c r="J52" s="953"/>
      <c r="K52" s="381"/>
      <c r="L52" s="382" t="b">
        <v>0</v>
      </c>
      <c r="M52" s="348">
        <v>0.37708333333333338</v>
      </c>
      <c r="N52" s="367" t="s">
        <v>133</v>
      </c>
      <c r="O52" s="368">
        <f t="shared" si="26"/>
        <v>4.3653045636343358E-3</v>
      </c>
      <c r="P52" s="369">
        <f t="shared" si="22"/>
        <v>3.5126383538287686E-3</v>
      </c>
      <c r="Q52" s="370">
        <f t="shared" ca="1" si="23"/>
        <v>4.2474948733769819E-3</v>
      </c>
      <c r="R52" s="371">
        <f t="shared" ca="1" si="24"/>
        <v>3.4178401947500031E-3</v>
      </c>
      <c r="S52" s="354">
        <f>2/1.609344</f>
        <v>1.2427423844746679</v>
      </c>
      <c r="T52" s="372">
        <v>3.2754629629629631E-3</v>
      </c>
      <c r="U52" s="373">
        <v>3.7268518518518514E-3</v>
      </c>
      <c r="V52" s="374" t="s">
        <v>134</v>
      </c>
      <c r="W52" s="375">
        <f t="shared" si="27"/>
        <v>2000</v>
      </c>
      <c r="X52" s="376">
        <f t="shared" si="25"/>
        <v>1.0635351499448333</v>
      </c>
      <c r="Y52" s="377">
        <f t="shared" si="28"/>
        <v>1.0985102591715143</v>
      </c>
      <c r="Z52" s="376">
        <f t="shared" si="28"/>
        <v>1.0828512181419061</v>
      </c>
      <c r="AA52" s="383">
        <f t="shared" si="29"/>
        <v>83.186971218374168</v>
      </c>
      <c r="AB52" s="384">
        <f t="shared" si="29"/>
        <v>71.816074006912757</v>
      </c>
    </row>
    <row r="53" spans="2:28" ht="13.8" thickBot="1" x14ac:dyDescent="0.3">
      <c r="B53" s="976" t="s">
        <v>135</v>
      </c>
      <c r="C53" s="977"/>
      <c r="D53" s="385">
        <v>20</v>
      </c>
      <c r="E53" s="386">
        <v>25</v>
      </c>
      <c r="F53" s="386">
        <v>30</v>
      </c>
      <c r="G53" s="386">
        <v>35</v>
      </c>
      <c r="H53" s="386">
        <v>40</v>
      </c>
      <c r="I53" s="386">
        <v>45</v>
      </c>
      <c r="J53" s="386">
        <v>50</v>
      </c>
      <c r="K53" s="386">
        <v>55</v>
      </c>
      <c r="L53" s="387">
        <v>60</v>
      </c>
      <c r="M53" s="348">
        <v>0.33958333333333335</v>
      </c>
      <c r="N53" s="367" t="s">
        <v>79</v>
      </c>
      <c r="O53" s="368">
        <f t="shared" si="26"/>
        <v>6.7092084310687913E-3</v>
      </c>
      <c r="P53" s="369">
        <f t="shared" si="22"/>
        <v>3.5991414444299912E-3</v>
      </c>
      <c r="Q53" s="370">
        <f t="shared" ca="1" si="23"/>
        <v>6.5281420803447567E-3</v>
      </c>
      <c r="R53" s="371">
        <f t="shared" ca="1" si="24"/>
        <v>3.5020087627167843E-3</v>
      </c>
      <c r="S53" s="354">
        <f>3/1.609344</f>
        <v>1.8641135767120018</v>
      </c>
      <c r="T53" s="372">
        <v>5.092592592592593E-3</v>
      </c>
      <c r="U53" s="373">
        <v>5.7986111111111112E-3</v>
      </c>
      <c r="V53" s="374" t="s">
        <v>136</v>
      </c>
      <c r="W53" s="375">
        <f t="shared" si="27"/>
        <v>3000</v>
      </c>
      <c r="X53" s="376">
        <f t="shared" si="25"/>
        <v>1.013646790539253</v>
      </c>
      <c r="Y53" s="377">
        <f t="shared" si="28"/>
        <v>1.044955409742395</v>
      </c>
      <c r="Z53" s="376">
        <f t="shared" si="28"/>
        <v>1.0298031453085916</v>
      </c>
      <c r="AA53" s="383">
        <f t="shared" si="29"/>
        <v>83.606485762214774</v>
      </c>
      <c r="AB53" s="384">
        <f t="shared" si="29"/>
        <v>72.156085574942367</v>
      </c>
    </row>
    <row r="54" spans="2:28" x14ac:dyDescent="0.25">
      <c r="B54" s="978" t="str">
        <f>IF($L$52,"Pace / km","Pace / mile")</f>
        <v>Pace / mile</v>
      </c>
      <c r="C54" s="979"/>
      <c r="D54" s="388">
        <f>IF($L$6&lt;&gt;"-",IF($L$52,$L$6*0.621371192,$L$6)*(IF(B56,1+B52,1)),"-")</f>
        <v>4.017894560611821E-3</v>
      </c>
      <c r="E54" s="389">
        <f>IF($D$54&lt;&gt;"-",D$54*1.012,"-")</f>
        <v>4.0661092953391629E-3</v>
      </c>
      <c r="F54" s="389">
        <f>IF($D$54&lt;&gt;"-",$D$54*1.022,"-")</f>
        <v>4.1062882409452816E-3</v>
      </c>
      <c r="G54" s="389">
        <f>IF($D$54&lt;&gt;"-",$D$54*1.027,"-")</f>
        <v>4.1263777137483396E-3</v>
      </c>
      <c r="H54" s="389">
        <f>IF($D$54&lt;&gt;"-",$D$54*1.033,"-")</f>
        <v>4.150485081112011E-3</v>
      </c>
      <c r="I54" s="389">
        <f>IF($D$54&lt;&gt;"-",$D$54*1.038,"-")</f>
        <v>4.1705745539150707E-3</v>
      </c>
      <c r="J54" s="389">
        <f>IF($D$54&lt;&gt;"-",$D$54*1.043,"-")</f>
        <v>4.1906640267181288E-3</v>
      </c>
      <c r="K54" s="389">
        <f>IF($D$54&lt;&gt;"-",$D$54*1.04866,"-")</f>
        <v>4.2134053099311918E-3</v>
      </c>
      <c r="L54" s="390">
        <f>IF($D$54&lt;&gt;"-",$D$54*1.055,"-")</f>
        <v>4.2388787614454707E-3</v>
      </c>
      <c r="M54" s="348"/>
      <c r="N54" s="367" t="s">
        <v>137</v>
      </c>
      <c r="O54" s="368">
        <f t="shared" si="26"/>
        <v>7.2287360593481101E-3</v>
      </c>
      <c r="P54" s="369">
        <f t="shared" si="22"/>
        <v>3.6143680296740551E-3</v>
      </c>
      <c r="Q54" s="370">
        <f t="shared" ca="1" si="23"/>
        <v>7.0336488337743334E-3</v>
      </c>
      <c r="R54" s="371">
        <f t="shared" ca="1" si="24"/>
        <v>3.5168244168871667E-3</v>
      </c>
      <c r="S54" s="354">
        <v>2</v>
      </c>
      <c r="T54" s="391">
        <v>5.4861111111111117E-3</v>
      </c>
      <c r="U54" s="392">
        <v>6.2731481481481484E-3</v>
      </c>
      <c r="V54" s="374" t="s">
        <v>138</v>
      </c>
      <c r="W54" s="375">
        <f t="shared" si="27"/>
        <v>3218.6880000000001</v>
      </c>
      <c r="X54" s="376">
        <f t="shared" si="25"/>
        <v>1.0058334349055464</v>
      </c>
      <c r="Y54" s="377">
        <f t="shared" si="28"/>
        <v>1.0361944609976594</v>
      </c>
      <c r="Z54" s="376">
        <f t="shared" si="28"/>
        <v>1.0209576166884211</v>
      </c>
      <c r="AA54" s="383">
        <f t="shared" si="29"/>
        <v>83.8848240753114</v>
      </c>
      <c r="AB54" s="384">
        <f t="shared" si="29"/>
        <v>72.034775629497389</v>
      </c>
    </row>
    <row r="55" spans="2:28" ht="13.8" thickBot="1" x14ac:dyDescent="0.3">
      <c r="B55" s="980" t="s">
        <v>139</v>
      </c>
      <c r="C55" s="98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9.8 mi</v>
      </c>
      <c r="M55" s="348"/>
      <c r="N55" s="367" t="s">
        <v>140</v>
      </c>
      <c r="O55" s="368">
        <f t="shared" si="26"/>
        <v>1.1110129020407089E-2</v>
      </c>
      <c r="P55" s="369">
        <f t="shared" si="22"/>
        <v>3.7033763401356965E-3</v>
      </c>
      <c r="Q55" s="370">
        <f t="shared" ca="1" si="23"/>
        <v>1.0810291783501061E-2</v>
      </c>
      <c r="R55" s="371">
        <f t="shared" ca="1" si="24"/>
        <v>3.6034305945003534E-3</v>
      </c>
      <c r="S55" s="354">
        <v>3</v>
      </c>
      <c r="T55" s="396">
        <v>8.4490740740740741E-3</v>
      </c>
      <c r="U55" s="397">
        <v>9.6412037037037039E-3</v>
      </c>
      <c r="V55" s="398" t="s">
        <v>141</v>
      </c>
      <c r="W55" s="375">
        <f t="shared" si="27"/>
        <v>4828.0320000000002</v>
      </c>
      <c r="X55" s="376">
        <f t="shared" si="25"/>
        <v>0.96799154330596782</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982" t="str">
        <f>"◄ "&amp;J80&amp;" - "&amp;LEFT(B81,LEN(B81)-3)&amp;IF(L52,"°C","°F")</f>
        <v>◄ J.Daniels - Temperature °F</v>
      </c>
      <c r="E56" s="983"/>
      <c r="F56" s="984"/>
      <c r="G56" s="985" t="s">
        <v>142</v>
      </c>
      <c r="H56" s="986"/>
      <c r="I56" s="986"/>
      <c r="J56" s="986"/>
      <c r="K56" s="986"/>
      <c r="L56" s="987"/>
      <c r="M56" s="348"/>
      <c r="N56" s="367" t="s">
        <v>78</v>
      </c>
      <c r="O56" s="368">
        <f t="shared" si="26"/>
        <v>1.1530043841658415E-2</v>
      </c>
      <c r="P56" s="369">
        <f t="shared" si="22"/>
        <v>3.7111613752619844E-3</v>
      </c>
      <c r="Q56" s="370">
        <f t="shared" ca="1" si="23"/>
        <v>1.1218874054112458E-2</v>
      </c>
      <c r="R56" s="371">
        <f t="shared" ca="1" si="24"/>
        <v>3.611005529148312E-3</v>
      </c>
      <c r="S56" s="354">
        <f>5/1.609344</f>
        <v>3.1068559611866697</v>
      </c>
      <c r="T56" s="401">
        <v>9.0162037037037034E-3</v>
      </c>
      <c r="U56" s="402">
        <v>1.0254629629629629E-2</v>
      </c>
      <c r="V56" s="357"/>
      <c r="W56" s="375">
        <f t="shared" si="27"/>
        <v>5000</v>
      </c>
      <c r="X56" s="376">
        <f t="shared" si="25"/>
        <v>0.96530559937778604</v>
      </c>
      <c r="Y56" s="377">
        <f t="shared" si="28"/>
        <v>0.98479562185948155</v>
      </c>
      <c r="Z56" s="376">
        <f t="shared" si="28"/>
        <v>0.97409123354038751</v>
      </c>
      <c r="AA56" s="383">
        <f t="shared" si="29"/>
        <v>82.264131007315953</v>
      </c>
      <c r="AB56" s="384">
        <f t="shared" si="29"/>
        <v>70.87248744547729</v>
      </c>
    </row>
    <row r="57" spans="2:28" ht="13.8" thickBot="1" x14ac:dyDescent="0.3">
      <c r="B57" s="988" t="s">
        <v>143</v>
      </c>
      <c r="C57" s="989"/>
      <c r="D57" s="989"/>
      <c r="E57" s="989"/>
      <c r="F57" s="989"/>
      <c r="G57" s="989" t="s">
        <v>144</v>
      </c>
      <c r="H57" s="989"/>
      <c r="I57" s="989"/>
      <c r="J57" s="989"/>
      <c r="K57" s="989"/>
      <c r="L57" s="990"/>
      <c r="M57" s="348"/>
      <c r="N57" s="367" t="s">
        <v>145</v>
      </c>
      <c r="O57" s="368">
        <f t="shared" si="26"/>
        <v>1.5071419672055953E-2</v>
      </c>
      <c r="P57" s="369">
        <f t="shared" si="22"/>
        <v>3.7678549180139883E-3</v>
      </c>
      <c r="Q57" s="370">
        <f t="shared" ca="1" si="23"/>
        <v>1.4664676165979653E-2</v>
      </c>
      <c r="R57" s="371">
        <f t="shared" ca="1" si="24"/>
        <v>3.6661690414949133E-3</v>
      </c>
      <c r="S57" s="354">
        <v>4</v>
      </c>
      <c r="T57" s="372">
        <v>1.1736111111111109E-2</v>
      </c>
      <c r="U57" s="373">
        <v>1.3414351851851851E-2</v>
      </c>
      <c r="V57" s="374"/>
      <c r="W57" s="375">
        <f t="shared" si="27"/>
        <v>6437.3760000000002</v>
      </c>
      <c r="X57" s="376">
        <f t="shared" si="25"/>
        <v>0.94806814776070325</v>
      </c>
      <c r="Y57" s="377">
        <f t="shared" si="28"/>
        <v>0.96405245155236163</v>
      </c>
      <c r="Z57" s="376">
        <f t="shared" si="28"/>
        <v>0.95515439471114272</v>
      </c>
      <c r="AA57" s="383">
        <f t="shared" si="29"/>
        <v>82.893270750842035</v>
      </c>
      <c r="AB57" s="384">
        <f t="shared" si="29"/>
        <v>70.86657246549413</v>
      </c>
    </row>
    <row r="58" spans="2:28" ht="13.8" thickBot="1" x14ac:dyDescent="0.3">
      <c r="B58" s="963" t="str">
        <f>"Interval Split Times In "&amp;IF(L58,"Metric","US/Imperial")&amp;" Distances (Daniels)"</f>
        <v>Interval Split Times In Metric Distances (Daniels)</v>
      </c>
      <c r="C58" s="964"/>
      <c r="D58" s="964"/>
      <c r="E58" s="964"/>
      <c r="F58" s="964"/>
      <c r="G58" s="964"/>
      <c r="H58" s="964"/>
      <c r="I58" s="964"/>
      <c r="J58" s="964"/>
      <c r="K58" s="965"/>
      <c r="L58" s="403" t="b">
        <v>1</v>
      </c>
      <c r="M58" s="348"/>
      <c r="N58" s="367" t="s">
        <v>77</v>
      </c>
      <c r="O58" s="368">
        <f t="shared" si="26"/>
        <v>1.8975714619382137E-2</v>
      </c>
      <c r="P58" s="369">
        <f t="shared" si="22"/>
        <v>3.8173065585518657E-3</v>
      </c>
      <c r="Q58" s="370">
        <f t="shared" ca="1" si="23"/>
        <v>1.8463603029197886E-2</v>
      </c>
      <c r="R58" s="371">
        <f t="shared" ca="1" si="24"/>
        <v>3.7142860941776802E-3</v>
      </c>
      <c r="S58" s="354">
        <f>8/1.609344</f>
        <v>4.9709695378986716</v>
      </c>
      <c r="T58" s="372">
        <v>1.4722222222222222E-2</v>
      </c>
      <c r="U58" s="373">
        <v>1.6689814814814817E-2</v>
      </c>
      <c r="V58" s="404" t="s">
        <v>146</v>
      </c>
      <c r="W58" s="375">
        <f t="shared" si="27"/>
        <v>8000</v>
      </c>
      <c r="X58" s="376">
        <f t="shared" si="25"/>
        <v>0.93512902599661962</v>
      </c>
      <c r="Y58" s="377">
        <f t="shared" si="28"/>
        <v>0.94945368165745703</v>
      </c>
      <c r="Z58" s="376">
        <f t="shared" si="28"/>
        <v>0.94222119124623838</v>
      </c>
      <c r="AA58" s="383">
        <f t="shared" si="29"/>
        <v>83.191150933804494</v>
      </c>
      <c r="AB58" s="384">
        <f t="shared" si="29"/>
        <v>71.736795096480776</v>
      </c>
    </row>
    <row r="59" spans="2:28" ht="13.8" thickBot="1" x14ac:dyDescent="0.3">
      <c r="B59" s="966" t="str">
        <f>"Pace per "&amp;IF($L$58,"/ km","/ mile")</f>
        <v>Pace per / km</v>
      </c>
      <c r="C59" s="967"/>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1.9093202425873739E-2</v>
      </c>
      <c r="P59" s="369">
        <f t="shared" si="22"/>
        <v>3.8186404851747479E-3</v>
      </c>
      <c r="Q59" s="370">
        <f t="shared" ca="1" si="23"/>
        <v>1.8577920105700311E-2</v>
      </c>
      <c r="R59" s="371">
        <f t="shared" ca="1" si="24"/>
        <v>3.715584021140062E-3</v>
      </c>
      <c r="S59" s="354">
        <v>5</v>
      </c>
      <c r="T59" s="372">
        <v>1.480324074074074E-2</v>
      </c>
      <c r="U59" s="373">
        <v>1.6805555555555556E-2</v>
      </c>
      <c r="V59" s="374" t="s">
        <v>131</v>
      </c>
      <c r="W59" s="375">
        <f t="shared" si="27"/>
        <v>8046.72</v>
      </c>
      <c r="X59" s="376">
        <f t="shared" si="25"/>
        <v>0.93479157194827667</v>
      </c>
      <c r="Y59" s="377">
        <f t="shared" si="28"/>
        <v>0.94912767115464203</v>
      </c>
      <c r="Z59" s="376">
        <f t="shared" si="28"/>
        <v>0.94183365592937773</v>
      </c>
      <c r="AA59" s="383">
        <f t="shared" si="29"/>
        <v>83.254458075129591</v>
      </c>
      <c r="AB59" s="384">
        <f t="shared" si="29"/>
        <v>71.669684133520008</v>
      </c>
    </row>
    <row r="60" spans="2:28" x14ac:dyDescent="0.25">
      <c r="B60" s="968">
        <f>B61-(IF(L58,1000,1609.344)/400) * TIME(0,0,6)</f>
        <v>2.1136921503280112E-3</v>
      </c>
      <c r="C60" s="969"/>
      <c r="D60" s="407">
        <f>IF($R$14&lt;&gt;"-",IF($L$58,B60*0.1,B60*0.0625),"-")</f>
        <v>2.1136921503280112E-4</v>
      </c>
      <c r="E60" s="407">
        <f>IF($R$14&lt;&gt;"-",IF($L$58,B60*0.2,B60*0.125),"-")</f>
        <v>4.2273843006560225E-4</v>
      </c>
      <c r="F60" s="407">
        <f>IF($R$14&lt;&gt;"-",IF($L$58,B60*0.3,B60*0.1875),"-")</f>
        <v>6.3410764509840337E-4</v>
      </c>
      <c r="G60" s="407">
        <f>IF($R$14&lt;&gt;"-",IF($L$58,B60*0.4,B60*0.25),"-")</f>
        <v>8.454768601312045E-4</v>
      </c>
      <c r="H60" s="407">
        <f>IF($R$14&lt;&gt;"-",IF($L$58,B60*0.6,B60*0.375),"-")</f>
        <v>1.2682152901968067E-3</v>
      </c>
      <c r="I60" s="407">
        <f>IF($R$14&lt;&gt;"-",IF($L$58,B60*0.8,B60*0.5),"-")</f>
        <v>1.690953720262409E-3</v>
      </c>
      <c r="J60" s="407">
        <f>IF($R$14&lt;&gt;"-",IF($L$58,B60*1,B60*0.625),"-")</f>
        <v>2.1136921503280112E-3</v>
      </c>
      <c r="K60" s="407">
        <f>IF($R$14&lt;&gt;"-",IF($L$58,B60*1.2,B60*0.75),"-")</f>
        <v>2.5364305803936135E-3</v>
      </c>
      <c r="L60" s="408">
        <f>IF($R$14&lt;&gt;"-",IF($L$58,B60*1.6,B60*1),"-")</f>
        <v>3.381907440524818E-3</v>
      </c>
      <c r="M60" s="348"/>
      <c r="N60" s="367" t="s">
        <v>76</v>
      </c>
      <c r="O60" s="368">
        <f t="shared" si="26"/>
        <v>2.4039351851851853E-2</v>
      </c>
      <c r="P60" s="369">
        <f t="shared" si="22"/>
        <v>3.8687586666666671E-3</v>
      </c>
      <c r="Q60" s="370">
        <f t="shared" ca="1" si="23"/>
        <v>2.339058415320212E-2</v>
      </c>
      <c r="R60" s="371">
        <f t="shared" ca="1" si="24"/>
        <v>3.7643496263450914E-3</v>
      </c>
      <c r="S60" s="354">
        <f>10/1.609344</f>
        <v>6.2137119223733395</v>
      </c>
      <c r="T60" s="372">
        <v>1.8553240740740742E-2</v>
      </c>
      <c r="U60" s="373">
        <v>2.1064814814814814E-2</v>
      </c>
      <c r="V60" s="374" t="s">
        <v>134</v>
      </c>
      <c r="W60" s="375">
        <f t="shared" si="27"/>
        <v>10000</v>
      </c>
      <c r="X60" s="376">
        <f t="shared" si="25"/>
        <v>0.92209332497414398</v>
      </c>
      <c r="Y60" s="377">
        <f t="shared" si="28"/>
        <v>0.93636147475550613</v>
      </c>
      <c r="Z60" s="376">
        <f t="shared" si="28"/>
        <v>0.92941995531591082</v>
      </c>
      <c r="AA60" s="383">
        <f t="shared" si="29"/>
        <v>83.503168270942339</v>
      </c>
      <c r="AB60" s="384">
        <f t="shared" si="29"/>
        <v>71.859913588693914</v>
      </c>
    </row>
    <row r="61" spans="2:28" ht="13.8" thickBot="1" x14ac:dyDescent="0.3">
      <c r="B61" s="970">
        <f>IF(AND($E$6&gt;0,$G$6&gt;0),(1/(29.54 + 5.000663 * ($I$6*0.98) - 0.007546 * ($I$6*0.98)^2)*IF($L$58,1000,1609.344)/1440),"-")</f>
        <v>2.2873032614391222E-3</v>
      </c>
      <c r="C61" s="971"/>
      <c r="D61" s="409">
        <f>IF($R$14&lt;&gt;"-",IF($L$58,B61*0.1,B61*0.0625),"-")</f>
        <v>2.2873032614391224E-4</v>
      </c>
      <c r="E61" s="409">
        <f>IF($R$14&lt;&gt;"-",IF($L$58,B61*0.2,B61*0.125),"-")</f>
        <v>4.5746065228782448E-4</v>
      </c>
      <c r="F61" s="409">
        <f>IF($R$14&lt;&gt;"-",IF($L$58,B61*0.3,B61*0.1875),"-")</f>
        <v>6.8619097843173661E-4</v>
      </c>
      <c r="G61" s="409">
        <f>IF($R$14&lt;&gt;"-",IF($L$58,B61*0.4,B61*0.25),"-")</f>
        <v>9.1492130457564895E-4</v>
      </c>
      <c r="H61" s="409">
        <f>IF($R$14&lt;&gt;"-",IF($L$58,B61*0.6,B61*0.375),"-")</f>
        <v>1.3723819568634732E-3</v>
      </c>
      <c r="I61" s="409">
        <f>IF($R$14&lt;&gt;"-",IF($L$58,B61*0.8,B61*0.5),"-")</f>
        <v>1.8298426091512979E-3</v>
      </c>
      <c r="J61" s="409">
        <f>IF($R$14&lt;&gt;"-",IF($L$58,B61*1,B61*0.625),"-")</f>
        <v>2.2873032614391222E-3</v>
      </c>
      <c r="K61" s="409">
        <f>IF($R$14&lt;&gt;"-",IF($L$58,B61*1.2,B61*0.75),"-")</f>
        <v>2.7447639137269464E-3</v>
      </c>
      <c r="L61" s="410">
        <f>IF($R$14&lt;&gt;"-",IF($L$58,B61*1.6,B61*1),"-")</f>
        <v>3.6596852183025958E-3</v>
      </c>
      <c r="M61" s="348"/>
      <c r="N61" s="367" t="s">
        <v>75</v>
      </c>
      <c r="O61" s="368">
        <f t="shared" si="26"/>
        <v>2.9164522807984858E-2</v>
      </c>
      <c r="P61" s="369">
        <f t="shared" si="22"/>
        <v>3.9113124828244654E-3</v>
      </c>
      <c r="Q61" s="370">
        <f t="shared" ca="1" si="23"/>
        <v>2.8377438344936144E-2</v>
      </c>
      <c r="R61" s="371">
        <f t="shared" ca="1" si="24"/>
        <v>3.8057550113160762E-3</v>
      </c>
      <c r="S61" s="354">
        <f>12/1.609344</f>
        <v>7.4564543068480074</v>
      </c>
      <c r="T61" s="372">
        <v>2.2476851851851855E-2</v>
      </c>
      <c r="U61" s="373">
        <v>2.539351851851852E-2</v>
      </c>
      <c r="V61" s="404" t="s">
        <v>148</v>
      </c>
      <c r="W61" s="375">
        <f t="shared" si="27"/>
        <v>12000</v>
      </c>
      <c r="X61" s="376">
        <f t="shared" si="25"/>
        <v>0.91085662904354203</v>
      </c>
      <c r="Y61" s="377">
        <f t="shared" si="28"/>
        <v>0.92584613035566721</v>
      </c>
      <c r="Z61" s="376">
        <f t="shared" si="28"/>
        <v>0.91898114812139364</v>
      </c>
      <c r="AA61" s="383">
        <f t="shared" si="29"/>
        <v>83.456631645174227</v>
      </c>
      <c r="AB61" s="384">
        <f t="shared" si="29"/>
        <v>72.266309761498462</v>
      </c>
    </row>
    <row r="62" spans="2:28" ht="13.8" thickBot="1" x14ac:dyDescent="0.3">
      <c r="B62" s="972">
        <f>IF(AND($E$6&gt;0,$G$6&gt;0),(1/(29.54 + 5.000663 * ($I$6*0.88) - 0.007546 * ($I$6*0.88)^2)*IF($L$58,1000,1609.344)/1440),"-")</f>
        <v>2.4966039334112667E-3</v>
      </c>
      <c r="C62" s="973"/>
      <c r="D62" s="411">
        <f>IF($R$14&lt;&gt;"-",IF($L$58,B62*0.1,B62*0.0625),"-")</f>
        <v>2.4966039334112667E-4</v>
      </c>
      <c r="E62" s="411">
        <f>IF($R$14&lt;&gt;"-",IF($L$58,B62*0.2,B62*0.125),"-")</f>
        <v>4.9932078668225334E-4</v>
      </c>
      <c r="F62" s="411">
        <f>IF($R$14&lt;&gt;"-",IF($L$58,B62*0.3,B62*0.1875),"-")</f>
        <v>7.4898118002338001E-4</v>
      </c>
      <c r="G62" s="411">
        <f>IF($R$14&lt;&gt;"-",IF($L$58,B62*0.4,B62*0.25),"-")</f>
        <v>9.9864157336450668E-4</v>
      </c>
      <c r="H62" s="411">
        <f>IF($R$14&lt;&gt;"-",IF($L$58,B62*0.6,B62*0.375),"-")</f>
        <v>1.49796236004676E-3</v>
      </c>
      <c r="I62" s="411">
        <f>IF($R$14&lt;&gt;"-",IF($L$58,B62*0.8,B62*0.5),"-")</f>
        <v>1.9972831467290134E-3</v>
      </c>
      <c r="J62" s="411">
        <f>IF($R$14&lt;&gt;"-",IF($L$58,B62*1,B62*0.625),"-")</f>
        <v>2.4966039334112667E-3</v>
      </c>
      <c r="K62" s="411">
        <f>IF($R$14&lt;&gt;"-",IF($L$58,B62*1.2,B62*0.75),"-")</f>
        <v>2.99592472009352E-3</v>
      </c>
      <c r="L62" s="412">
        <f>IF($R$14&lt;&gt;"-",IF($L$58,B62*1.6,B62*1),"-")</f>
        <v>3.9945662934580267E-3</v>
      </c>
      <c r="M62" s="413">
        <f>(SUM(M49:M61)/60)*M66</f>
        <v>3.6435185185185189E-2</v>
      </c>
      <c r="N62" s="367" t="s">
        <v>74</v>
      </c>
      <c r="O62" s="368">
        <f t="shared" si="26"/>
        <v>3.6947026208772875E-2</v>
      </c>
      <c r="P62" s="369">
        <f t="shared" si="22"/>
        <v>3.9640316631287583E-3</v>
      </c>
      <c r="Q62" s="370">
        <f t="shared" ca="1" si="23"/>
        <v>3.5949909592936563E-2</v>
      </c>
      <c r="R62" s="371">
        <f t="shared" ca="1" si="24"/>
        <v>3.8570514202623265E-3</v>
      </c>
      <c r="S62" s="354">
        <f>15/1.609344</f>
        <v>9.3205678835600096</v>
      </c>
      <c r="T62" s="372">
        <v>2.8414351851851847E-2</v>
      </c>
      <c r="U62" s="373">
        <v>3.1886574074074074E-2</v>
      </c>
      <c r="V62" s="404" t="s">
        <v>149</v>
      </c>
      <c r="W62" s="375">
        <f t="shared" si="27"/>
        <v>15000</v>
      </c>
      <c r="X62" s="376">
        <f t="shared" si="25"/>
        <v>0.89599903881799647</v>
      </c>
      <c r="Y62" s="377">
        <f t="shared" si="28"/>
        <v>0.91241692052851031</v>
      </c>
      <c r="Z62" s="376">
        <f t="shared" si="28"/>
        <v>0.90539789536192106</v>
      </c>
      <c r="AA62" s="383">
        <f t="shared" si="29"/>
        <v>83.506348278675873</v>
      </c>
      <c r="AB62" s="384">
        <f t="shared" si="29"/>
        <v>72.938756012249129</v>
      </c>
    </row>
    <row r="63" spans="2:28" ht="13.8" thickTop="1" x14ac:dyDescent="0.25">
      <c r="B63" s="974">
        <f>IF($L$58, R15,R14)</f>
        <v>2.1543769160467831E-3</v>
      </c>
      <c r="C63" s="975"/>
      <c r="D63" s="414">
        <f>IF($R$14&lt;&gt;"-",IF($L$58,R15*0.1,R14*0.0625),"-")</f>
        <v>2.1543769160467833E-4</v>
      </c>
      <c r="E63" s="414">
        <f>IF($R$14&lt;&gt;"-",IF($L$58,R15*0.2,R14*0.125),"-")</f>
        <v>4.3087538320935666E-4</v>
      </c>
      <c r="F63" s="414">
        <f>IF($R$14&lt;&gt;"-",IF($L$58,R15*0.3,R14*0.1875),"-")</f>
        <v>6.4631307481403488E-4</v>
      </c>
      <c r="G63" s="414">
        <f>IF($R$14&lt;&gt;"-",IF($L$58,R15*0.4,R14*0.25),"-")</f>
        <v>8.6175076641871332E-4</v>
      </c>
      <c r="H63" s="414">
        <f>IF($R$14&lt;&gt;"-",IF($L$58,R15*0.6,R14*0.375),"-")</f>
        <v>1.2926261496280698E-3</v>
      </c>
      <c r="I63" s="414">
        <f>IF($R$14&lt;&gt;"-",IF($L$58,R15*0.8,R14*0.5),"-")</f>
        <v>1.7235015328374266E-3</v>
      </c>
      <c r="J63" s="414">
        <f>IF($R$14&lt;&gt;"-",IF($L$58,R15,R14*0.625),"-")</f>
        <v>2.1543769160467831E-3</v>
      </c>
      <c r="K63" s="414">
        <f>IF($R$14&lt;&gt;"-",IF($L$58,R15*1.2,R14*0.75),"-")</f>
        <v>2.5852522992561395E-3</v>
      </c>
      <c r="L63" s="415">
        <f>IF($R$14&lt;&gt;"-",IF($L$58,R15*1.6,R14),"-")</f>
        <v>3.4470030656748533E-3</v>
      </c>
      <c r="M63" s="416">
        <f>(SUM(M49:M61)/60)*M66</f>
        <v>3.6435185185185189E-2</v>
      </c>
      <c r="N63" s="367" t="s">
        <v>150</v>
      </c>
      <c r="O63" s="368">
        <f t="shared" si="26"/>
        <v>3.9808019587564018E-2</v>
      </c>
      <c r="P63" s="369">
        <f t="shared" si="22"/>
        <v>3.9808019587564015E-3</v>
      </c>
      <c r="Q63" s="370">
        <f t="shared" ca="1" si="23"/>
        <v>3.8733691235668881E-2</v>
      </c>
      <c r="R63" s="371">
        <f t="shared" ca="1" si="24"/>
        <v>3.8733691235668883E-3</v>
      </c>
      <c r="S63" s="354">
        <v>10</v>
      </c>
      <c r="T63" s="372">
        <v>3.0555555555555555E-2</v>
      </c>
      <c r="U63" s="373">
        <v>3.4270833333333334E-2</v>
      </c>
      <c r="V63" s="404" t="s">
        <v>138</v>
      </c>
      <c r="W63" s="375">
        <f t="shared" si="27"/>
        <v>16093.44</v>
      </c>
      <c r="X63" s="376">
        <f t="shared" si="25"/>
        <v>0.89107096629493765</v>
      </c>
      <c r="Y63" s="377">
        <f t="shared" si="28"/>
        <v>0.90802880889367932</v>
      </c>
      <c r="Z63" s="376">
        <f t="shared" si="28"/>
        <v>0.90085543039542837</v>
      </c>
      <c r="AA63" s="383">
        <f t="shared" si="29"/>
        <v>83.671183784319751</v>
      </c>
      <c r="AB63" s="384">
        <f t="shared" si="29"/>
        <v>73.148109904996048</v>
      </c>
    </row>
    <row r="64" spans="2:28" x14ac:dyDescent="0.25">
      <c r="B64" s="1005">
        <f>IF($L$58, P15,P14)</f>
        <v>2.3060087674508984E-3</v>
      </c>
      <c r="C64" s="1006"/>
      <c r="D64" s="409">
        <f>IF($P$14&lt;&gt;"-",IF($L$58,P15*0.1,P14*0.0625),"-")</f>
        <v>2.3060087674508985E-4</v>
      </c>
      <c r="E64" s="409">
        <f>IF($P$14&lt;&gt;"-",IF($L$58,P15*0.2,P14*0.125),"-")</f>
        <v>4.6120175349017971E-4</v>
      </c>
      <c r="F64" s="409">
        <f>IF($P$14&lt;&gt;"-",IF($L$58,P15*0.3,P14*0.1875),"-")</f>
        <v>6.918026302352695E-4</v>
      </c>
      <c r="G64" s="409">
        <f>IF($P$14&lt;&gt;"-",IF($L$58,P15*0.4,P14*0.25),"-")</f>
        <v>9.2240350698035941E-4</v>
      </c>
      <c r="H64" s="409">
        <f>IF($P$14&lt;&gt;"-",IF($L$58,P15*0.6,P14*0.375),"-")</f>
        <v>1.383605260470539E-3</v>
      </c>
      <c r="I64" s="409">
        <f>IF($P$14&lt;&gt;"-",IF($L$58,P15*0.8,P14*0.5),"-")</f>
        <v>1.8448070139607188E-3</v>
      </c>
      <c r="J64" s="409">
        <f>IF($P$14&lt;&gt;"-",IF($L$58,P15,P14*0.625),"-")</f>
        <v>2.3060087674508984E-3</v>
      </c>
      <c r="K64" s="409">
        <f>IF($P$14&lt;&gt;"-",IF($L$58,P15*1.2,P14*0.75),"-")</f>
        <v>2.767210520941078E-3</v>
      </c>
      <c r="L64" s="410">
        <f>IF($P$14&lt;&gt;"-",IF($L$58,P15*1.6,P14),"-")</f>
        <v>3.6896140279214376E-3</v>
      </c>
      <c r="M64" s="417">
        <f>IF(COUNT(M49:M61)&gt;0,M62/M65,0)</f>
        <v>7.287037037037038E-3</v>
      </c>
      <c r="N64" s="367" t="s">
        <v>151</v>
      </c>
      <c r="O64" s="368">
        <f t="shared" si="26"/>
        <v>5.0120402436736329E-2</v>
      </c>
      <c r="P64" s="369">
        <f t="shared" si="22"/>
        <v>4.0330484469573496E-3</v>
      </c>
      <c r="Q64" s="370">
        <f t="shared" ca="1" si="23"/>
        <v>4.8767766211572257E-2</v>
      </c>
      <c r="R64" s="371">
        <f t="shared" ca="1" si="24"/>
        <v>3.9242055972998268E-3</v>
      </c>
      <c r="S64" s="354">
        <f>20/1.609344</f>
        <v>12.427423844746679</v>
      </c>
      <c r="T64" s="372">
        <v>3.8368055555555551E-2</v>
      </c>
      <c r="U64" s="373">
        <v>4.282407407407407E-2</v>
      </c>
      <c r="V64" s="374" t="s">
        <v>141</v>
      </c>
      <c r="W64" s="375">
        <f t="shared" si="27"/>
        <v>20000</v>
      </c>
      <c r="X64" s="376">
        <f t="shared" si="25"/>
        <v>0.87532715459598587</v>
      </c>
      <c r="Y64" s="377">
        <f t="shared" si="28"/>
        <v>0.89351836737590107</v>
      </c>
      <c r="Z64" s="376">
        <f t="shared" si="28"/>
        <v>0.88615216897563609</v>
      </c>
      <c r="AA64" s="383">
        <f t="shared" si="29"/>
        <v>83.94191316218766</v>
      </c>
      <c r="AB64" s="384">
        <f t="shared" si="29"/>
        <v>73.858730812110522</v>
      </c>
    </row>
    <row r="65" spans="2:28" ht="13.8" thickBot="1" x14ac:dyDescent="0.3">
      <c r="B65" s="1007">
        <f>IF($L$58,N15,N14)</f>
        <v>2.4039351842669978E-3</v>
      </c>
      <c r="C65" s="1008"/>
      <c r="D65" s="418">
        <f>IF($N$14&lt;&gt;"-",IF($L$58,N15*0.1,N14*0.0625),"-")</f>
        <v>2.4039351842669978E-4</v>
      </c>
      <c r="E65" s="418">
        <f>IF($N$14&lt;&gt;"-",IF($L$58,N15*0.2,N14*0.125),"-")</f>
        <v>4.8078703685339955E-4</v>
      </c>
      <c r="F65" s="418">
        <f>IF($N$14&lt;&gt;"-",IF($L$58,N15*0.3,N14*0.1875),"-")</f>
        <v>7.2118055528009933E-4</v>
      </c>
      <c r="G65" s="418">
        <f>IF($N$14&lt;&gt;"-",IF($L$58,N15*0.4,N14*0.25),"-")</f>
        <v>9.6157407370679911E-4</v>
      </c>
      <c r="H65" s="418">
        <f>IF($N$14&lt;&gt;"-",IF($L$58,N15*0.6,N14*0.375),"-")</f>
        <v>1.4423611105601987E-3</v>
      </c>
      <c r="I65" s="418">
        <f>IF($N$14&lt;&gt;"-",IF($L$58,N15*0.8,N14*0.5),"-")</f>
        <v>1.9231481474135982E-3</v>
      </c>
      <c r="J65" s="418">
        <f>IF($N$14&lt;&gt;"-",IF($L$58,N15,N14*0.625),"-")</f>
        <v>2.4039351842669978E-3</v>
      </c>
      <c r="K65" s="418">
        <f>IF($N$14&lt;&gt;"-",IF($L$58,N15*1.2,N14*0.75),"-")</f>
        <v>2.8847222211203973E-3</v>
      </c>
      <c r="L65" s="419">
        <f>IF($N$14&lt;&gt;"-",IF($L$58,N15*1.6,N14),"-")</f>
        <v>3.8462962948271964E-3</v>
      </c>
      <c r="M65" s="420">
        <f>COUNT(M49:M61)*M66</f>
        <v>5</v>
      </c>
      <c r="N65" s="367" t="s">
        <v>73</v>
      </c>
      <c r="O65" s="368">
        <f t="shared" si="26"/>
        <v>5.3040499992816244E-2</v>
      </c>
      <c r="P65" s="369">
        <f t="shared" si="22"/>
        <v>4.0459964650048051E-3</v>
      </c>
      <c r="Q65" s="370">
        <f t="shared" ca="1" si="23"/>
        <v>5.160905694361774E-2</v>
      </c>
      <c r="R65" s="371">
        <f t="shared" ca="1" si="24"/>
        <v>3.9368041776451975E-3</v>
      </c>
      <c r="S65" s="354">
        <f>K8</f>
        <v>13.109378728227153</v>
      </c>
      <c r="T65" s="372">
        <v>4.0543981481481479E-2</v>
      </c>
      <c r="U65" s="373">
        <v>4.5277777777777778E-2</v>
      </c>
      <c r="V65" s="374"/>
      <c r="W65" s="375">
        <f t="shared" si="27"/>
        <v>21097.5</v>
      </c>
      <c r="X65" s="376">
        <f t="shared" si="25"/>
        <v>0.87138645252805791</v>
      </c>
      <c r="Y65" s="377">
        <f t="shared" si="28"/>
        <v>0.88984520924202637</v>
      </c>
      <c r="Z65" s="376">
        <f t="shared" si="28"/>
        <v>0.88234809235297695</v>
      </c>
      <c r="AA65" s="383">
        <f t="shared" si="29"/>
        <v>84.106330289276514</v>
      </c>
      <c r="AB65" s="384">
        <f t="shared" si="29"/>
        <v>73.966933723571358</v>
      </c>
    </row>
    <row r="66" spans="2:28" ht="13.8" thickBot="1" x14ac:dyDescent="0.3">
      <c r="B66" s="1009" t="s">
        <v>152</v>
      </c>
      <c r="C66" s="1010"/>
      <c r="D66" s="1010"/>
      <c r="E66" s="1010"/>
      <c r="F66" s="1010"/>
      <c r="G66" s="1010"/>
      <c r="H66" s="1010"/>
      <c r="I66" s="1010"/>
      <c r="J66" s="1010"/>
      <c r="K66" s="1010"/>
      <c r="L66" s="1011"/>
      <c r="M66" s="421">
        <v>1</v>
      </c>
      <c r="N66" s="367" t="s">
        <v>153</v>
      </c>
      <c r="O66" s="368">
        <f t="shared" si="26"/>
        <v>6.349494674115988E-2</v>
      </c>
      <c r="P66" s="369">
        <f t="shared" si="22"/>
        <v>4.0874084627282089E-3</v>
      </c>
      <c r="Q66" s="370">
        <f t="shared" ca="1" si="23"/>
        <v>6.1781361835584477E-2</v>
      </c>
      <c r="R66" s="371">
        <f t="shared" ca="1" si="24"/>
        <v>3.9770985592770744E-3</v>
      </c>
      <c r="S66" s="354">
        <f>25/1.609344</f>
        <v>15.534279805933348</v>
      </c>
      <c r="T66" s="372">
        <v>4.8668981481481487E-2</v>
      </c>
      <c r="U66" s="373">
        <v>5.3993055555555558E-2</v>
      </c>
      <c r="V66" s="374"/>
      <c r="W66" s="375">
        <f t="shared" si="27"/>
        <v>25000</v>
      </c>
      <c r="X66" s="376">
        <f t="shared" si="25"/>
        <v>0.85889413002455894</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7.7032019575090538E-2</v>
      </c>
      <c r="P67" s="369">
        <f t="shared" si="22"/>
        <v>4.1323672837018169E-3</v>
      </c>
      <c r="Q67" s="370">
        <f t="shared" ca="1" si="23"/>
        <v>7.495309971194028E-2</v>
      </c>
      <c r="R67" s="371">
        <f t="shared" ca="1" si="24"/>
        <v>4.0208440434270935E-3</v>
      </c>
      <c r="S67" s="354">
        <f>30/1.609344</f>
        <v>18.641135767120019</v>
      </c>
      <c r="T67" s="372">
        <v>5.9143518518518519E-2</v>
      </c>
      <c r="U67" s="373">
        <v>6.5509259259259267E-2</v>
      </c>
      <c r="V67" s="423"/>
      <c r="W67" s="375">
        <f t="shared" si="27"/>
        <v>30000</v>
      </c>
      <c r="X67" s="376">
        <f t="shared" si="25"/>
        <v>0.84590870953789565</v>
      </c>
      <c r="Y67" s="377">
        <f t="shared" si="28"/>
        <v>0.86380358136395219</v>
      </c>
      <c r="Z67" s="376">
        <f t="shared" si="28"/>
        <v>0.85675123322378022</v>
      </c>
      <c r="AA67" s="383">
        <f t="shared" si="29"/>
        <v>83.936711512887442</v>
      </c>
      <c r="AB67" s="384">
        <f t="shared" si="29"/>
        <v>74.560974111327553</v>
      </c>
    </row>
    <row r="68" spans="2:28" ht="13.8" thickBot="1" x14ac:dyDescent="0.3">
      <c r="B68" s="1012" t="s">
        <v>156</v>
      </c>
      <c r="C68" s="1013"/>
      <c r="D68" s="1013"/>
      <c r="E68" s="1013"/>
      <c r="F68" s="1014" t="s">
        <v>157</v>
      </c>
      <c r="G68" s="1014"/>
      <c r="H68" s="1014"/>
      <c r="I68" s="1014"/>
      <c r="J68" s="1014"/>
      <c r="K68" s="1015"/>
      <c r="L68" s="424" t="b">
        <v>0</v>
      </c>
      <c r="M68" s="425" t="s">
        <v>119</v>
      </c>
      <c r="N68" s="367" t="s">
        <v>65</v>
      </c>
      <c r="O68" s="368">
        <f t="shared" si="26"/>
        <v>0.11058581036080935</v>
      </c>
      <c r="P68" s="369">
        <f t="shared" si="22"/>
        <v>4.2178127832517209E-3</v>
      </c>
      <c r="Q68" s="370">
        <f t="shared" ca="1" si="23"/>
        <v>0.10760134962604244</v>
      </c>
      <c r="R68" s="371">
        <f t="shared" ca="1" si="24"/>
        <v>4.1039835623314057E-3</v>
      </c>
      <c r="S68" s="354">
        <f>J8</f>
        <v>26.218757456454306</v>
      </c>
      <c r="T68" s="372">
        <v>8.5381944444444455E-2</v>
      </c>
      <c r="U68" s="373">
        <v>9.4039351851851846E-2</v>
      </c>
      <c r="V68" s="374"/>
      <c r="W68" s="375">
        <f t="shared" si="27"/>
        <v>42195</v>
      </c>
      <c r="X68" s="376">
        <f t="shared" si="25"/>
        <v>0.82476061679595536</v>
      </c>
      <c r="Y68" s="377">
        <f t="shared" si="28"/>
        <v>0.83937037212683074</v>
      </c>
      <c r="Z68" s="376">
        <f t="shared" si="28"/>
        <v>0.83357274207491261</v>
      </c>
      <c r="AA68" s="383">
        <f t="shared" si="29"/>
        <v>83.631429237546513</v>
      </c>
      <c r="AB68" s="384">
        <f t="shared" si="29"/>
        <v>74.724020429459273</v>
      </c>
    </row>
    <row r="69" spans="2:28" ht="13.8" thickBot="1" x14ac:dyDescent="0.3">
      <c r="B69" s="966" t="s">
        <v>158</v>
      </c>
      <c r="C69" s="1016"/>
      <c r="D69" s="967"/>
      <c r="E69" s="426" t="s">
        <v>159</v>
      </c>
      <c r="F69" s="427" t="s">
        <v>160</v>
      </c>
      <c r="G69" s="427" t="s">
        <v>161</v>
      </c>
      <c r="H69" s="427" t="s">
        <v>162</v>
      </c>
      <c r="I69" s="427" t="s">
        <v>163</v>
      </c>
      <c r="J69" s="427" t="s">
        <v>164</v>
      </c>
      <c r="K69" s="427" t="s">
        <v>165</v>
      </c>
      <c r="L69" s="428" t="s">
        <v>166</v>
      </c>
      <c r="M69" s="429">
        <v>0.13320601851851852</v>
      </c>
      <c r="N69" s="367" t="s">
        <v>167</v>
      </c>
      <c r="O69" s="430">
        <f t="shared" si="26"/>
        <v>0.1323826159281794</v>
      </c>
      <c r="P69" s="431">
        <f t="shared" si="22"/>
        <v>4.2609833729663994E-3</v>
      </c>
      <c r="Q69" s="432">
        <f t="shared" ca="1" si="23"/>
        <v>0.12880990874346634</v>
      </c>
      <c r="R69" s="433">
        <f t="shared" ca="1" si="24"/>
        <v>4.1459890755369024E-3</v>
      </c>
      <c r="S69" s="354">
        <f>50/1.609344</f>
        <v>31.068559611866696</v>
      </c>
      <c r="T69" s="396">
        <v>0.10381944444444445</v>
      </c>
      <c r="U69" s="397">
        <v>0.11365740740740742</v>
      </c>
      <c r="V69" s="434"/>
      <c r="W69" s="435">
        <f t="shared" si="27"/>
        <v>50000</v>
      </c>
      <c r="X69" s="436">
        <f t="shared" si="25"/>
        <v>0.81657981780942801</v>
      </c>
      <c r="Y69" s="437">
        <f t="shared" si="28"/>
        <v>0.82804352188881181</v>
      </c>
      <c r="Z69" s="436">
        <f t="shared" si="28"/>
        <v>0.82339999924084262</v>
      </c>
      <c r="AA69" s="438">
        <f t="shared" si="29"/>
        <v>82.107800547242761</v>
      </c>
      <c r="AB69" s="439">
        <f t="shared" si="29"/>
        <v>73.823068676968091</v>
      </c>
    </row>
    <row r="70" spans="2:28" ht="13.8" thickBot="1" x14ac:dyDescent="0.3">
      <c r="B70" s="991" t="s">
        <v>168</v>
      </c>
      <c r="C70" s="992"/>
      <c r="D70" s="993"/>
      <c r="E70" s="440" t="str">
        <f>IF($L$68,"1.6 k","Mile")</f>
        <v>Mile</v>
      </c>
      <c r="F70" s="440" t="s">
        <v>169</v>
      </c>
      <c r="G70" s="440" t="s">
        <v>170</v>
      </c>
      <c r="H70" s="440" t="s">
        <v>171</v>
      </c>
      <c r="I70" s="440" t="s">
        <v>172</v>
      </c>
      <c r="J70" s="440" t="s">
        <v>173</v>
      </c>
      <c r="K70" s="440" t="s">
        <v>174</v>
      </c>
      <c r="L70" s="441" t="s">
        <v>175</v>
      </c>
      <c r="M70" s="442">
        <v>0.13295138888888888</v>
      </c>
      <c r="N70" s="994" t="s">
        <v>176</v>
      </c>
      <c r="O70" s="995"/>
      <c r="P70" s="443" t="b">
        <v>0</v>
      </c>
      <c r="Q70" s="996" t="s">
        <v>177</v>
      </c>
      <c r="R70" s="997"/>
    </row>
    <row r="71" spans="2:28" ht="13.8" thickBot="1" x14ac:dyDescent="0.3">
      <c r="B71" s="998" t="str">
        <f>IF($L$68,"Pace / km","Pace / mile")</f>
        <v>Pace / mile</v>
      </c>
      <c r="C71" s="999"/>
      <c r="D71" s="1000"/>
      <c r="E71" s="444">
        <f>IF($L$68,$R$15,$R$14)</f>
        <v>3.4671335649026727E-3</v>
      </c>
      <c r="F71" s="445" t="str">
        <f>IF($L$68,TEXT($Q$15,"m:ss")&amp;" - "&amp;TEXT($O$15,"m:ss"),TEXT($Q$14,"m:ss")&amp;"-"&amp;TEXT($O$14,"m:ss"))</f>
        <v>5:11-5:30</v>
      </c>
      <c r="G71" s="445" t="str">
        <f>IF($L$68,TEXT($O$15,"m:ss")&amp;" - "&amp;TEXT($M$15,"m:ss"),TEXT($O$14,"m:ss")&amp;"-"&amp;TEXT($M$14,"m:ss"))</f>
        <v>5:30-5:38</v>
      </c>
      <c r="H71" s="445" t="str">
        <f>IF($L$68,TEXT($N$15,"m:ss")&amp;" - "&amp;TEXT($L$15,"m:ss"),TEXT($N$14,"m:ss")&amp;"-"&amp;TEXT($L$14,"m:ss"))</f>
        <v>5:34-5:42</v>
      </c>
      <c r="I71" s="445" t="str">
        <f>IF($L$68,TEXT($M$15,"m:ss")&amp;" - "&amp;TEXT($K$15,"m:ss"),TEXT($M$14,"m:ss")&amp;"-"&amp;TEXT($K$14,"m:ss"))</f>
        <v>5:38-5:50</v>
      </c>
      <c r="J71" s="445" t="str">
        <f>IF($L$68,TEXT($K$15,"m:ss")&amp;" - "&amp;TEXT(($J$15+$K$15)/2,"m:ss"),TEXT($K$14,"m:ss")&amp;"-"&amp;TEXT(($J$14+$K$14)/2,"m:ss"))</f>
        <v>5:50-5:57</v>
      </c>
      <c r="K71" s="445" t="str">
        <f>TEXT(($J$14+"0:00:30")*IF($L$68,0.621371192,1),"m:ss")&amp;" - "&amp;TEXT(($J$14+"0:01:00")*IF($L$68,0.621371192,1),"m:ss")</f>
        <v>6:34 - 7:04</v>
      </c>
      <c r="L71" s="446" t="str">
        <f>TEXT(($J$14+"0:00:30")*IF($L$68,0.621371192,1),"m:ss")&amp;" - "&amp;TEXT(($J$14+"0:01:30")*IF($L$68,0.621371192,1),"m:ss")</f>
        <v>6:34 - 7:34</v>
      </c>
      <c r="M71" s="447">
        <f>M69-M70</f>
        <v>2.5462962962963243E-4</v>
      </c>
      <c r="N71" s="448" t="s">
        <v>178</v>
      </c>
      <c r="O71" s="449" t="s">
        <v>179</v>
      </c>
      <c r="P71" s="450" t="s">
        <v>180</v>
      </c>
      <c r="Q71" s="1001" t="s">
        <v>181</v>
      </c>
      <c r="R71" s="1002"/>
    </row>
    <row r="72" spans="2:28" ht="14.4" thickTop="1" thickBot="1" x14ac:dyDescent="0.3">
      <c r="B72" s="1003"/>
      <c r="C72" s="1004"/>
      <c r="D72" s="1004"/>
      <c r="E72" s="1004"/>
      <c r="F72" s="1004"/>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024" t="s">
        <v>182</v>
      </c>
      <c r="C73" s="1025"/>
      <c r="D73" s="1025"/>
      <c r="E73" s="1025"/>
      <c r="F73" s="1025"/>
      <c r="G73" s="1025"/>
      <c r="H73" s="1025"/>
      <c r="I73" s="1025"/>
      <c r="J73" s="1025"/>
      <c r="K73" s="1025"/>
      <c r="L73" s="1026"/>
      <c r="M73" s="1027" t="str">
        <f>"Entry Time Grading - "&amp;E6</f>
        <v>Entry Time Grading - 10k</v>
      </c>
      <c r="N73" s="1028"/>
      <c r="O73" s="1029"/>
      <c r="P73" s="1027" t="str">
        <f>IF(C4,"Male","Female")&amp;" Peak Potential - "&amp;$E$6</f>
        <v>Male Peak Potential - 10k</v>
      </c>
      <c r="Q73" s="1028"/>
      <c r="R73" s="1029"/>
      <c r="T73" s="458"/>
      <c r="U73" s="458"/>
      <c r="V73" s="33"/>
    </row>
    <row r="74" spans="2:28" ht="13.8" thickBot="1" x14ac:dyDescent="0.3">
      <c r="B74" s="1030" t="s">
        <v>183</v>
      </c>
      <c r="C74" s="1031"/>
      <c r="D74" s="1031"/>
      <c r="E74" s="1031"/>
      <c r="F74" s="1014" t="s">
        <v>184</v>
      </c>
      <c r="G74" s="1014"/>
      <c r="H74" s="1014"/>
      <c r="I74" s="1014"/>
      <c r="J74" s="1014"/>
      <c r="K74" s="1014"/>
      <c r="L74" s="459" t="b">
        <v>0</v>
      </c>
      <c r="M74" s="1032" t="str">
        <f ca="1">IF($C$4," Male ","Female ")&amp;IF(ISNUMBER($E$5),$E$5,"")</f>
        <v xml:space="preserve"> Male 31</v>
      </c>
      <c r="N74" s="1033"/>
      <c r="O74" s="1034">
        <f>$G$6</f>
        <v>2.4039351851851853E-2</v>
      </c>
      <c r="P74" s="460"/>
      <c r="Q74" s="461" t="s">
        <v>185</v>
      </c>
      <c r="R74" s="462">
        <f>IF(R72="No","No Std",LOOKUP($D$8,$S$50:$S$69,IF($C$4,$T$50:$T$69,$U$50:$U$69)))</f>
        <v>1.8553240740740742E-2</v>
      </c>
      <c r="T74" s="458"/>
      <c r="U74" s="458"/>
      <c r="V74" s="33"/>
      <c r="W74" s="33"/>
    </row>
    <row r="75" spans="2:28" ht="13.8" thickBot="1" x14ac:dyDescent="0.3">
      <c r="B75" s="966" t="s">
        <v>186</v>
      </c>
      <c r="C75" s="1016"/>
      <c r="D75" s="1016"/>
      <c r="E75" s="967"/>
      <c r="F75" s="463" t="s">
        <v>187</v>
      </c>
      <c r="G75" s="463" t="s">
        <v>188</v>
      </c>
      <c r="H75" s="463" t="s">
        <v>189</v>
      </c>
      <c r="I75" s="463" t="s">
        <v>190</v>
      </c>
      <c r="J75" s="463" t="s">
        <v>191</v>
      </c>
      <c r="K75" s="463" t="s">
        <v>192</v>
      </c>
      <c r="L75" s="464" t="s">
        <v>193</v>
      </c>
      <c r="M75" s="1017" t="str">
        <f>IF(O74=$G$6, "Current Entry Time","Manual Time")</f>
        <v>Current Entry Time</v>
      </c>
      <c r="N75" s="1018"/>
      <c r="O75" s="1035"/>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991" t="s">
        <v>194</v>
      </c>
      <c r="C76" s="992"/>
      <c r="D76" s="992"/>
      <c r="E76" s="993"/>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7"/>
      <c r="N76" s="1018"/>
      <c r="O76" s="470">
        <f>O74/IF(L80,F8/1000,D8)</f>
        <v>3.8687586666666671E-3</v>
      </c>
      <c r="P76" s="1019" t="s">
        <v>195</v>
      </c>
      <c r="Q76" s="1020"/>
      <c r="R76" s="471">
        <f ca="1">IF($O$85="Yes",$E$5,"Birthdate?")</f>
        <v>31</v>
      </c>
      <c r="T76" s="458"/>
      <c r="U76" s="458"/>
      <c r="V76" s="33"/>
      <c r="W76" s="33"/>
    </row>
    <row r="77" spans="2:28" ht="13.8" thickBot="1" x14ac:dyDescent="0.3">
      <c r="B77" s="998" t="str">
        <f>IF($L$74,"Zone Pace / km","Zone Pace / mile")</f>
        <v>Zone Pace / mile</v>
      </c>
      <c r="C77" s="999"/>
      <c r="D77" s="999"/>
      <c r="E77" s="1000"/>
      <c r="F77" s="444" t="str">
        <f>"&lt; "&amp;TEXT(IF($J$78,$L$78/60,$I$78)*1.29*IF(L74,0.621371192,1),"m:ss")</f>
        <v>&lt; 7:28</v>
      </c>
      <c r="G77" s="444" t="str">
        <f>TEXT(IF($J$78,$L$78/60,$I$78)*1.29*IF(L74,0.621371192,1),"m:ss")&amp;" - "&amp;TEXT(IF($J$78,$L$78/60,$I$78)*1.14*IF(L74,0.621371192,1),"m:ss")</f>
        <v>7:28 - 6:36</v>
      </c>
      <c r="H77" s="444" t="str">
        <f>TEXT(IF($J$78,$L$78/60,$I$78)*1.13*IF(L74,0.621371192,1),"m:ss")&amp;" - "&amp;TEXT(IF($J$78,$L$78/60,$I$78)*1.06*IF(L74,0.621371192,1),"m:ss")</f>
        <v>6:32 - 6:08</v>
      </c>
      <c r="I77" s="444" t="str">
        <f>TEXT(IF($J$78,$L$78/60,$I$78)*1.05*IF(L74,0.621371192,1),"m:ss")&amp;" - "&amp;TEXT(IF($J$78,$L$78/60,$I$78)*0.99*IF(L74,0.621371192,1),"m:ss")</f>
        <v>6:05 - 5:44</v>
      </c>
      <c r="J77" s="444" t="str">
        <f>TEXT(IF($J$78,$L$78/60,$I$78)*1*IF(L74,0.621371192,1),"m:ss")&amp;" - "&amp;TEXT(IF($J$78,$L$78/60,$I$78)*0.97*IF(L74,0.621371192,1),"m:ss")</f>
        <v>5:47 - 5:37</v>
      </c>
      <c r="K77" s="444" t="str">
        <f>TEXT(IF($J$78,$L$78/60,$I$78)*0.96*IF(L74,0.621371192,1),"m:ss")&amp;" - "&amp;TEXT(IF($J$78,$L$78/60,$I$78)*0.9*IF(L74,0.621371192,1),"m:ss")</f>
        <v>5:33 - 5:12</v>
      </c>
      <c r="L77" s="472" t="str">
        <f>"&gt; "&amp;TEXT(IF($J$78,$L$78/60,$I$78)*0.9*IF(L74,0.621371192,1),"m:ss")</f>
        <v>&gt; 5:12</v>
      </c>
      <c r="M77" s="1021" t="s">
        <v>196</v>
      </c>
      <c r="N77" s="1022"/>
      <c r="O77" s="473" t="s">
        <v>101</v>
      </c>
      <c r="P77" s="1019" t="s">
        <v>197</v>
      </c>
      <c r="Q77" s="1023"/>
      <c r="R77" s="474">
        <f>IF(AND($C$2&gt;0,$C$3&gt;0),IF($B$4,$C$3 / ($C$2/100)^2,$C$3 / $C$2^2*703),"Wght / Hght?")</f>
        <v>22.313033128347552</v>
      </c>
      <c r="T77" s="458"/>
      <c r="U77" s="458"/>
      <c r="V77" s="33"/>
      <c r="W77" s="33"/>
    </row>
    <row r="78" spans="2:28" ht="13.8" thickBot="1" x14ac:dyDescent="0.3">
      <c r="B78" s="475" t="s">
        <v>198</v>
      </c>
      <c r="C78" s="476">
        <f>IF($E$3&lt;&gt;"",$E$3*0.9,"")</f>
        <v>180.9</v>
      </c>
      <c r="D78" s="1055" t="b">
        <v>0</v>
      </c>
      <c r="E78" s="1056"/>
      <c r="F78" s="477">
        <v>157</v>
      </c>
      <c r="G78" s="478"/>
      <c r="H78" s="479" t="s">
        <v>199</v>
      </c>
      <c r="I78" s="480">
        <f>+L6</f>
        <v>4.017894560611821E-3</v>
      </c>
      <c r="J78" s="1055" t="b">
        <v>0</v>
      </c>
      <c r="K78" s="1056"/>
      <c r="L78" s="481">
        <v>0.30208333333333331</v>
      </c>
      <c r="M78" s="1057" t="s">
        <v>200</v>
      </c>
      <c r="N78" s="1058"/>
      <c r="O78" s="1059"/>
      <c r="P78" s="1060" t="str">
        <f>"current age, wght "&amp;ROUND($C$3,1)</f>
        <v>current age, wght 160</v>
      </c>
      <c r="Q78" s="1061"/>
      <c r="R78" s="482">
        <f ca="1">IF(R72="no","-",IF(AND($C$2&gt;0,$C$3&gt;0,$O$85="yes"),MAX($R$75*(C3/MIN(D98,F100))^$I$93,$R$75),"""?"))</f>
        <v>2.1699223478671283E-2</v>
      </c>
      <c r="T78" s="458"/>
      <c r="U78" s="458"/>
      <c r="V78" s="33"/>
      <c r="W78" s="33"/>
    </row>
    <row r="79" spans="2:28" ht="13.8" thickBot="1" x14ac:dyDescent="0.3">
      <c r="B79" s="483"/>
      <c r="M79" s="484"/>
      <c r="N79" s="24"/>
      <c r="O79" s="485"/>
      <c r="P79" s="1021" t="s">
        <v>201</v>
      </c>
      <c r="Q79" s="1022"/>
      <c r="R79" s="486">
        <f>IF(AND($C$2&gt;0,$P$80&gt;0),IF($B$4,$P$80 / ($C$2/100)^2,$P$80 / $C$2^2*703),"")</f>
        <v>18.498158078143003</v>
      </c>
      <c r="T79" s="458"/>
      <c r="U79" s="458"/>
      <c r="V79" s="33"/>
      <c r="W79" s="33"/>
    </row>
    <row r="80" spans="2:28" ht="13.8" thickBot="1" x14ac:dyDescent="0.3">
      <c r="B80" s="487"/>
      <c r="C80" s="964" t="str">
        <f>"Projected Impact of Temperature on "&amp;E6&amp;" Time "&amp;IF($D$85=4,IF($C$4,"- Male","- Female"),"")</f>
        <v xml:space="preserve">Projected Impact of Temperature on 10k Time </v>
      </c>
      <c r="D80" s="964"/>
      <c r="E80" s="964"/>
      <c r="F80" s="964"/>
      <c r="G80" s="964"/>
      <c r="H80" s="964"/>
      <c r="I80" s="964"/>
      <c r="J80" s="1062" t="str">
        <f>IF($D$85=1,HYPERLINK($AE$232,"J.Daniels"),IF($D$85=2,HYPERLINK($AE$236,"M.Hadley"),IF($D$85=3,HYPERLINK($AE$240,"Tinman"),IF($D$85=4,HYPERLINK($AE$244,"El Helou, et al")))))</f>
        <v>J.Daniels</v>
      </c>
      <c r="K80" s="106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36" t="str">
        <f>IF($D$85=1,W233,IF($D$85=2,W237,IF($D$85=3,W241,IF($D$85=4,W245))))</f>
        <v>Temperature  °F</v>
      </c>
      <c r="C81" s="1037"/>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8" t="s">
        <v>202</v>
      </c>
      <c r="N81" s="1039"/>
      <c r="O81" s="1040"/>
      <c r="P81" s="162"/>
      <c r="R81" s="492"/>
      <c r="T81" s="458"/>
      <c r="U81" s="458"/>
      <c r="V81" s="33"/>
      <c r="W81" s="33"/>
    </row>
    <row r="82" spans="2:23" ht="14.4" thickTop="1" thickBot="1" x14ac:dyDescent="0.3">
      <c r="B82" s="1041" t="s">
        <v>203</v>
      </c>
      <c r="C82" s="1042"/>
      <c r="D82" s="493">
        <f>IF($D$85=1,Y234,IF($D$85=2,Y238,IF($D$85=3,Y242,IF($D$85=4,Y246))))</f>
        <v>2.4039351851851853E-2</v>
      </c>
      <c r="E82" s="494">
        <f t="shared" si="31"/>
        <v>2.407619624525463E-2</v>
      </c>
      <c r="F82" s="494">
        <f t="shared" si="31"/>
        <v>2.4261743982523148E-2</v>
      </c>
      <c r="G82" s="494">
        <f t="shared" si="31"/>
        <v>2.4447291719791667E-2</v>
      </c>
      <c r="H82" s="494">
        <f t="shared" si="31"/>
        <v>2.4632839457060188E-2</v>
      </c>
      <c r="I82" s="494">
        <f t="shared" si="31"/>
        <v>2.4818387194328707E-2</v>
      </c>
      <c r="J82" s="494">
        <f t="shared" si="31"/>
        <v>2.5003934931597225E-2</v>
      </c>
      <c r="K82" s="494">
        <f t="shared" si="31"/>
        <v>2.5189482668865743E-2</v>
      </c>
      <c r="L82" s="494">
        <f>IF($D$85=1,AG234,IF($D$85=2,AG238,IF($D$85=3,AG242,IF($D$85=4,AG246))))</f>
        <v>2.5375030406134261E-2</v>
      </c>
      <c r="M82" s="1043" t="s">
        <v>204</v>
      </c>
      <c r="N82" s="1044"/>
      <c r="O82" s="495">
        <v>25</v>
      </c>
      <c r="P82" s="1045" t="s">
        <v>205</v>
      </c>
      <c r="Q82" s="1046"/>
      <c r="R82" s="1047"/>
    </row>
    <row r="83" spans="2:23" ht="13.8" thickTop="1" x14ac:dyDescent="0.25">
      <c r="B83" s="1048" t="str">
        <f>IF($L$80,"Adj Pace / km","Adj Pace / mile")</f>
        <v>Adj Pace / mile</v>
      </c>
      <c r="C83" s="1049"/>
      <c r="D83" s="496">
        <f>IF($D$82&lt;&gt;"-",D82/IF($L$80,$F$8/1000,$D$8),"-")</f>
        <v>3.8687586666666671E-3</v>
      </c>
      <c r="E83" s="497">
        <f>IF($E$82&lt;&gt;"-",E82/IF($L$80,$F$8/1000,$D$8),"-")</f>
        <v>3.8746881970123069E-3</v>
      </c>
      <c r="F83" s="497">
        <f>IF($F$82&lt;&gt;"-",F82/IF($L$80,$F$8/1000,$D$8),"-")</f>
        <v>3.9045492107809736E-3</v>
      </c>
      <c r="G83" s="497">
        <f>IF($G$82&lt;&gt;"-",G82/IF($L$80,$F$8/1000,$D$8),"-")</f>
        <v>3.9344102245496403E-3</v>
      </c>
      <c r="H83" s="497">
        <f>IF($H$82&lt;&gt;"-",H82/IF($L$80,$F$8/1000,$D$8),"-")</f>
        <v>3.964271238318307E-3</v>
      </c>
      <c r="I83" s="497">
        <f>IF($I$82&lt;&gt;"-",I82/IF($L$80,$F$8/1000,$D$8),"-")</f>
        <v>3.9941322520869738E-3</v>
      </c>
      <c r="J83" s="497">
        <f>IF($J$82&lt;&gt;"-",J82/IF($L$80,$F$8/1000,$D$8),"-")</f>
        <v>4.0239932658556405E-3</v>
      </c>
      <c r="K83" s="497">
        <f>IF($K$82&lt;&gt;"-",K82/IF($L$80,$F$8/1000,$D$8),"-")</f>
        <v>4.0538542796243072E-3</v>
      </c>
      <c r="L83" s="498">
        <f>IF($L$82&lt;&gt;"-",L82/IF($L$80,$F$8/1000,$D$8),"-")</f>
        <v>4.0837152933929739E-3</v>
      </c>
      <c r="M83" s="1050" t="s">
        <v>206</v>
      </c>
      <c r="N83" s="1051"/>
      <c r="O83" s="499">
        <f ca="1">ABS(IF($O$85="yes",$O$74-$O$84,0))</f>
        <v>2.4199614197532165E-5</v>
      </c>
      <c r="P83" s="1052" t="s">
        <v>207</v>
      </c>
      <c r="Q83" s="1053"/>
      <c r="R83" s="1054"/>
      <c r="T83" s="500"/>
    </row>
    <row r="84" spans="2:23" ht="13.8" thickBot="1" x14ac:dyDescent="0.3">
      <c r="B84" s="1070" t="str">
        <f>IF($L$80,"Drop in Seconds / km","Drop in Seconds / mile")</f>
        <v>Drop in Seconds / mile</v>
      </c>
      <c r="C84" s="1071"/>
      <c r="D84" s="501"/>
      <c r="E84" s="502">
        <f>IF($D$85=4,MROUND(E83,"0:0:1")-MROUND($G83,"0:0:1"),MROUND(E83,"0:0:1")-MROUND($D$83,"0:0:1"))</f>
        <v>1.1574074074074438E-5</v>
      </c>
      <c r="F84" s="502">
        <f>IF($D$85=4,MROUND(F83,"0:0:1")-MROUND($G83,"0:0:1"),MROUND(F83,"0:0:1")-MROUND($D$83,"0:0:1"))</f>
        <v>3.4722222222222446E-5</v>
      </c>
      <c r="G84" s="502">
        <f>IF($D$85=4,"",MROUND(G83,"0:0:1")-MROUND($D$83,"0:0:1"))</f>
        <v>6.9444444444444458E-5</v>
      </c>
      <c r="H84" s="502">
        <f>IF($D$85=4,MROUND(H83,"0:0:1")-MROUND($G83,"0:0:1"),MROUND(H83,"0:0:1")-MROUND($D$83,"0:0:1"))</f>
        <v>1.041666666666669E-4</v>
      </c>
      <c r="I84" s="502">
        <f>IF($D$85=4,MROUND(I83,"0:0:1")-MROUND($G83,"0:0:1"),MROUND(I83,"0:0:1")-MROUND($D$83,"0:0:1"))</f>
        <v>1.2731481481481491E-4</v>
      </c>
      <c r="J84" s="502">
        <f>IF($D$85=4,MROUND(J83,"0:0:1")-MROUND($G83,"0:0:1"),MROUND(J83,"0:0:1")-MROUND($D$83,"0:0:1"))</f>
        <v>1.6203703703703736E-4</v>
      </c>
      <c r="K84" s="502">
        <f>IF($D$85=4,MROUND(K83,"0:0:1")-MROUND($G83,"0:0:1"),MROUND(K83,"0:0:1")-MROUND($D$83,"0:0:1"))</f>
        <v>1.8518518518518537E-4</v>
      </c>
      <c r="L84" s="502">
        <f>IF($D$85&gt;2,"-",MROUND(L83,"0:0:1")-MROUND($D$83,"0:0:1"))</f>
        <v>2.1990740740740781E-4</v>
      </c>
      <c r="M84" s="1072" t="str">
        <f>IF(M100,"Age Grade Equivalent","No Age Grading")</f>
        <v>Age Grade Equivalent</v>
      </c>
      <c r="N84" s="1073"/>
      <c r="O84" s="503">
        <f ca="1">IF(AND($O$85="yes",$M$100),($O$74*LOOKUP($E$5,$AD$135:$AD$230,IF($C$4,$AE$135:$AE$230,$AF$135:$AF$230))/LOOKUP($O$82,$AD$135:$AD$230,IF($Q$49,$AE$135:$AE$230,$AF$135:$AF$230))),O74)</f>
        <v>2.4015152237654321E-2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4" t="s">
        <v>209</v>
      </c>
      <c r="N85" s="1075"/>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6">
        <f>ROUND((-4.6 + 0.182258 * ((P85*IF(R86,1000,1))/Q85/1440*(IF(R86,1,1609.344))) + 0.000104 *((P85*IF(R86,1000,1))/Q85/1440*(IF(R86,1,1609.344)))^2)/R85,1)</f>
        <v>83.3</v>
      </c>
      <c r="Q86" s="1077"/>
      <c r="R86" s="520" t="b">
        <v>0</v>
      </c>
    </row>
    <row r="87" spans="2:23" ht="14.4" thickTop="1" thickBot="1" x14ac:dyDescent="0.3">
      <c r="B87" s="1078" t="str">
        <f>"Projected Impact of Weight Change on "&amp;$E$6&amp;" Time (Daniels)"</f>
        <v>Projected Impact of Weight Change on 10k Time (Daniels)</v>
      </c>
      <c r="C87" s="1079"/>
      <c r="D87" s="1079"/>
      <c r="E87" s="1079"/>
      <c r="F87" s="1079"/>
      <c r="G87" s="1079"/>
      <c r="H87" s="1079"/>
      <c r="I87" s="1079"/>
      <c r="J87" s="1079"/>
      <c r="K87" s="1079"/>
      <c r="L87" s="1080"/>
      <c r="M87" s="1038" t="s">
        <v>210</v>
      </c>
      <c r="N87" s="1039"/>
      <c r="O87" s="1040"/>
      <c r="P87" s="1081" t="s">
        <v>211</v>
      </c>
      <c r="Q87" s="1082"/>
      <c r="R87" s="1083"/>
    </row>
    <row r="88" spans="2:23" ht="13.8" thickBot="1" x14ac:dyDescent="0.3">
      <c r="B88" s="1097" t="str">
        <f>IF($C$4,"Male","Female")</f>
        <v>Male</v>
      </c>
      <c r="C88" s="1098"/>
      <c r="D88" s="521" t="s">
        <v>212</v>
      </c>
      <c r="E88" s="522">
        <f ca="1">$E$5</f>
        <v>31</v>
      </c>
      <c r="F88" s="1099" t="str">
        <f>IF($B$4,"Height (cm):","Height (in):")</f>
        <v>Height (in):</v>
      </c>
      <c r="G88" s="1100" t="str">
        <f>IF($B$4,"Height (cm):","Height (in):")</f>
        <v>Height (in):</v>
      </c>
      <c r="H88" s="523">
        <f>$C$2</f>
        <v>71</v>
      </c>
      <c r="I88" s="1101" t="str">
        <f>"Weight"&amp;IF($B$4," (kg):"," (lb):")</f>
        <v>Weight (lb):</v>
      </c>
      <c r="J88" s="1102" t="str">
        <f>"Weight"&amp;IF($B$4," (kg):"," (lb):")</f>
        <v>Weight (lb):</v>
      </c>
      <c r="K88" s="523">
        <f>$C$3</f>
        <v>160</v>
      </c>
      <c r="L88" s="524" t="b">
        <v>0</v>
      </c>
      <c r="M88" s="1103">
        <f>IF($C$3&gt;0,$C$3,"Current Weight?")</f>
        <v>160</v>
      </c>
      <c r="N88" s="1104"/>
      <c r="O88" s="1105">
        <f ca="1">IF(AND($N$89&gt;0,$N$90&gt;0,$N$90&lt;&gt;"",$M$101),ABS($O$84-$O$91),0)</f>
        <v>3.4610580970427136E-3</v>
      </c>
      <c r="P88" s="1063" t="s">
        <v>213</v>
      </c>
      <c r="Q88" s="1064"/>
      <c r="R88" s="1065"/>
    </row>
    <row r="89" spans="2:23" ht="14.4" thickTop="1" thickBot="1" x14ac:dyDescent="0.3">
      <c r="B89" s="1066" t="str">
        <f>"Projected Weight "&amp;IF(B4,"(kg)","(lb)")</f>
        <v>Projected Weight (lb)</v>
      </c>
      <c r="C89" s="1067"/>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6"/>
      <c r="P89" s="531" t="s">
        <v>215</v>
      </c>
      <c r="Q89" s="505" t="s">
        <v>99</v>
      </c>
      <c r="R89" s="532" t="s">
        <v>101</v>
      </c>
    </row>
    <row r="90" spans="2:23" ht="13.8" thickBot="1" x14ac:dyDescent="0.3">
      <c r="B90" s="1068" t="s">
        <v>216</v>
      </c>
      <c r="C90" s="1069"/>
      <c r="D90" s="533">
        <f t="shared" ref="D90:L90" si="32">IF(AND(D89&gt;0,$I$6&lt;&gt;"-"),$C$3*$I$6/D89,"-")</f>
        <v>56.442399670367436</v>
      </c>
      <c r="E90" s="534">
        <f t="shared" si="32"/>
        <v>58.872933627464604</v>
      </c>
      <c r="F90" s="535">
        <f t="shared" si="32"/>
        <v>61.522215640700509</v>
      </c>
      <c r="G90" s="536">
        <f t="shared" si="32"/>
        <v>64.421168210157589</v>
      </c>
      <c r="H90" s="533">
        <f t="shared" si="32"/>
        <v>67.606830374396168</v>
      </c>
      <c r="I90" s="533">
        <f t="shared" si="32"/>
        <v>71.12394871757283</v>
      </c>
      <c r="J90" s="533">
        <f t="shared" si="32"/>
        <v>75.027092244756716</v>
      </c>
      <c r="K90" s="533">
        <f t="shared" si="32"/>
        <v>79.383504052516784</v>
      </c>
      <c r="L90" s="537">
        <f t="shared" si="32"/>
        <v>84.27700772698698</v>
      </c>
      <c r="M90" s="538">
        <f>IF(AND($C$2&gt;0,$N$89&gt;0),IF($B$4,$N$89 / ($C$2/100)^2,$N$89 / $C$2^2*703),"")</f>
        <v>18.498158078143003</v>
      </c>
      <c r="N90" s="539">
        <f>IF(AND($C$2&gt;0,$N$89&gt;0),$C$3*$I$6/IF(N89&gt;=MIN(D98,F100),$N$89,MIN(F100,D98)),"")</f>
        <v>74.209941872120709</v>
      </c>
      <c r="O90" s="1107"/>
      <c r="P90" s="512">
        <v>26.218800000000002</v>
      </c>
      <c r="Q90" s="513">
        <v>0.17318287037037036</v>
      </c>
      <c r="R90" s="540">
        <f>Q90/P90</f>
        <v>6.6052935439596915E-3</v>
      </c>
    </row>
    <row r="91" spans="2:23" ht="13.8" thickBot="1" x14ac:dyDescent="0.3">
      <c r="B91" s="1084" t="s">
        <v>217</v>
      </c>
      <c r="C91" s="1085"/>
      <c r="D91" s="541">
        <f t="shared" ref="D91:L91" si="33">IF(D90&lt;&gt;"-",$G$6*($I$6/D90)^$I$93,"-")</f>
        <v>2.5821813932338785E-2</v>
      </c>
      <c r="E91" s="542">
        <f t="shared" si="33"/>
        <v>2.4933846133739206E-2</v>
      </c>
      <c r="F91" s="543">
        <f t="shared" si="33"/>
        <v>2.403935185185185E-2</v>
      </c>
      <c r="G91" s="544">
        <f t="shared" si="33"/>
        <v>2.3137985920606199E-2</v>
      </c>
      <c r="H91" s="541">
        <f t="shared" si="33"/>
        <v>2.2229367701737255E-2</v>
      </c>
      <c r="I91" s="541">
        <f t="shared" si="33"/>
        <v>2.1313075492597422E-2</v>
      </c>
      <c r="J91" s="541">
        <f t="shared" si="33"/>
        <v>2.0388639713047975E-2</v>
      </c>
      <c r="K91" s="541">
        <f t="shared" si="33"/>
        <v>1.9455534522528073E-2</v>
      </c>
      <c r="L91" s="542">
        <f t="shared" si="33"/>
        <v>1.8513167392379782E-2</v>
      </c>
      <c r="M91" s="1086" t="str">
        <f>IF(M101,"Weight Adjusted Time","No Weight Grading")</f>
        <v>Weight Adjusted Time</v>
      </c>
      <c r="N91" s="1087"/>
      <c r="O91" s="545">
        <f ca="1">IF(AND($N$89&gt;0,$N$90&gt;0,$N$90&lt;&gt;"",$M$101),$O$84*(IF(N89&gt;=MIN(D98,F100,C3),$N$89,MIN(F100,D98,C3))/C3)^$I$93,O84)</f>
        <v>2.0554094140611608E-2</v>
      </c>
      <c r="P91" s="546" t="s">
        <v>218</v>
      </c>
      <c r="Q91" s="547" t="s">
        <v>99</v>
      </c>
      <c r="R91" s="548" t="s">
        <v>101</v>
      </c>
    </row>
    <row r="92" spans="2:23" ht="13.8" thickBot="1" x14ac:dyDescent="0.3">
      <c r="B92" s="1088" t="str">
        <f>IF($L$88,"Est Pace / km","Est Pace / mile")</f>
        <v>Est Pace / mile</v>
      </c>
      <c r="C92" s="1089"/>
      <c r="D92" s="549">
        <f t="shared" ref="D92:L92" si="34">IF(D91&lt;&gt;"-",D91/IF($L$88,$F$8/1000,$D$8),"-")</f>
        <v>4.1556181321125828E-3</v>
      </c>
      <c r="E92" s="550">
        <f t="shared" si="34"/>
        <v>4.0127135672256391E-3</v>
      </c>
      <c r="F92" s="551">
        <f t="shared" si="34"/>
        <v>3.8687586666666667E-3</v>
      </c>
      <c r="G92" s="552">
        <f t="shared" si="34"/>
        <v>3.7236978813412064E-3</v>
      </c>
      <c r="H92" s="549">
        <f t="shared" si="34"/>
        <v>3.5774699534584643E-3</v>
      </c>
      <c r="I92" s="549">
        <f t="shared" si="34"/>
        <v>3.4300070165558705E-3</v>
      </c>
      <c r="J92" s="549">
        <f t="shared" si="34"/>
        <v>3.2812334990355483E-3</v>
      </c>
      <c r="K92" s="549">
        <f t="shared" si="34"/>
        <v>3.1310647750623418E-3</v>
      </c>
      <c r="L92" s="550">
        <f t="shared" si="34"/>
        <v>2.9794054863922048E-3</v>
      </c>
      <c r="M92" s="553"/>
      <c r="N92" s="554"/>
      <c r="O92" s="555"/>
      <c r="P92" s="556">
        <v>42.195</v>
      </c>
      <c r="Q92" s="557">
        <v>0.17140046296296296</v>
      </c>
      <c r="R92" s="558">
        <f>Q92/P92</f>
        <v>4.062103636994027E-3</v>
      </c>
    </row>
    <row r="93" spans="2:23" ht="13.8" thickBot="1" x14ac:dyDescent="0.3">
      <c r="B93" s="1090" t="s">
        <v>219</v>
      </c>
      <c r="C93" s="1091"/>
      <c r="D93" s="1091"/>
      <c r="E93" s="1091"/>
      <c r="F93" s="1092"/>
      <c r="G93" s="1093"/>
      <c r="H93" s="559" t="s">
        <v>220</v>
      </c>
      <c r="I93" s="560">
        <v>0.83</v>
      </c>
      <c r="J93" s="1094" t="s">
        <v>221</v>
      </c>
      <c r="K93" s="1094"/>
      <c r="L93" s="561">
        <v>4.4999999999999998E-2</v>
      </c>
      <c r="M93" s="562"/>
      <c r="N93" s="1095" t="s">
        <v>222</v>
      </c>
      <c r="O93" s="1096"/>
      <c r="P93" s="1063" t="s">
        <v>223</v>
      </c>
      <c r="Q93" s="1064"/>
      <c r="R93" s="1065"/>
    </row>
    <row r="94" spans="2:23" ht="14.4" thickTop="1" thickBot="1" x14ac:dyDescent="0.3">
      <c r="B94" s="483"/>
      <c r="C94" s="1118" t="s">
        <v>224</v>
      </c>
      <c r="D94" s="1118"/>
      <c r="E94" s="1118"/>
      <c r="F94" s="1118"/>
      <c r="G94" s="1118"/>
      <c r="H94" s="1118"/>
      <c r="I94" s="1118"/>
      <c r="J94" s="1118"/>
      <c r="K94" s="1118"/>
      <c r="M94" s="1038" t="str">
        <f>IF($D$85=1,W233,IF($D$85=2,W237,IF($D$85=3,W241,IF($D$85=4,W245))))</f>
        <v>Temperature  °F</v>
      </c>
      <c r="N94" s="1039"/>
      <c r="O94" s="563"/>
      <c r="P94" s="531" t="s">
        <v>215</v>
      </c>
      <c r="Q94" s="505" t="s">
        <v>225</v>
      </c>
      <c r="R94" s="532" t="s">
        <v>99</v>
      </c>
    </row>
    <row r="95" spans="2:23" ht="13.8" thickBot="1" x14ac:dyDescent="0.3">
      <c r="B95" s="963" t="s">
        <v>226</v>
      </c>
      <c r="C95" s="964"/>
      <c r="D95" s="964"/>
      <c r="E95" s="964"/>
      <c r="F95" s="964"/>
      <c r="G95" s="564" t="str">
        <f>IF($C$4,"Male","Female")</f>
        <v>Male</v>
      </c>
      <c r="H95" s="565" t="str">
        <f ca="1">IF(ISNUMBER($E$5),"Age  "&amp;$E$5,"Birthdate?")</f>
        <v>Age  31</v>
      </c>
      <c r="I95" s="565" t="str">
        <f>"Hgt  "&amp;$C$2</f>
        <v>Hgt  71</v>
      </c>
      <c r="J95" s="566" t="str">
        <f>"Wgt  "&amp;$C$3</f>
        <v>Wgt  160</v>
      </c>
      <c r="K95" s="1119" t="str">
        <f>IF(AND(C2&gt;0,C3&gt;0),"Current BMI = " &amp;ROUND(IF($B$4,$C$3 / ($C$2/100)^2,$C$3 / $C$2^2*703),2),"Wght / Hght?")</f>
        <v>Current BMI = 22.31</v>
      </c>
      <c r="L95" s="1120"/>
      <c r="M95" s="567" t="str">
        <f>IF($D$85=1,"J.Daniels",IF($D$85=2,"M.Hadley",IF($D$85=3,"Tinman","El Helou")))</f>
        <v>J.Daniels</v>
      </c>
      <c r="N95" s="568">
        <v>80</v>
      </c>
      <c r="O95" s="569">
        <f ca="1">IF($D$85=1,AG253,IF($D$85=2,AG256,IF($D$85=3,AG259,IF($C$4,AG262,AG265))))</f>
        <v>6.6608974596373417E-4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121" t="str">
        <f>IF(M102,"Temp Adjusted Time","No Temp Grading")</f>
        <v>Temp Adjusted Time</v>
      </c>
      <c r="N96" s="1122"/>
      <c r="O96" s="545">
        <f ca="1">IF($M$97,$O$91+$O$95,$O$91-$O$95)</f>
        <v>2.1220183886575341E-2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3" t="s">
        <v>233</v>
      </c>
      <c r="Q98" s="1064"/>
      <c r="R98" s="1065"/>
    </row>
    <row r="99" spans="2:21" ht="14.4" thickTop="1" thickBot="1" x14ac:dyDescent="0.3">
      <c r="B99" s="1108" t="s">
        <v>234</v>
      </c>
      <c r="C99" s="1109"/>
      <c r="D99" s="1109"/>
      <c r="E99" s="1109"/>
      <c r="F99" s="591"/>
      <c r="G99" s="1110" t="s">
        <v>235</v>
      </c>
      <c r="H99" s="995"/>
      <c r="I99" s="1111" t="s">
        <v>236</v>
      </c>
      <c r="J99" s="995"/>
      <c r="K99" s="1111" t="s">
        <v>237</v>
      </c>
      <c r="L99" s="1112"/>
      <c r="M99" s="1113" t="s">
        <v>238</v>
      </c>
      <c r="N99" s="1114"/>
      <c r="O99" s="1115"/>
      <c r="P99" s="531" t="s">
        <v>62</v>
      </c>
      <c r="Q99" s="1116" t="s">
        <v>239</v>
      </c>
      <c r="R99" s="1117"/>
      <c r="U99" s="592"/>
    </row>
    <row r="100" spans="2:21" ht="13.8" thickBot="1" x14ac:dyDescent="0.3">
      <c r="B100" s="119"/>
      <c r="C100" s="593"/>
      <c r="D100" s="593"/>
      <c r="E100" s="593"/>
      <c r="F100" s="594">
        <v>144.92499999999998</v>
      </c>
      <c r="G100" s="1123" t="s">
        <v>240</v>
      </c>
      <c r="H100" s="1124"/>
      <c r="I100" s="1125" t="s">
        <v>241</v>
      </c>
      <c r="J100" s="1126"/>
      <c r="K100" s="1125" t="s">
        <v>242</v>
      </c>
      <c r="L100" s="1127"/>
      <c r="M100" s="1128" t="b">
        <v>1</v>
      </c>
      <c r="N100" s="1129" t="b">
        <v>1</v>
      </c>
      <c r="O100" s="569">
        <f ca="1">$O$83</f>
        <v>2.4199614197532165E-5</v>
      </c>
      <c r="P100" s="595">
        <v>0.7</v>
      </c>
      <c r="Q100" s="1130">
        <f>IF($C$8=4,(P100/(1+$C$9)-0.37182)/0.6463,IF($C$8=3,1.303*P100/(1+$C$9)-0.345,IF($C$8=2,1.3*P100/(1+$C$9)-0.293,(P100/(1+$C$9)-0.1578)/0.855)))</f>
        <v>0.6341520467836258</v>
      </c>
      <c r="R100" s="1131"/>
    </row>
    <row r="101" spans="2:21" x14ac:dyDescent="0.25">
      <c r="B101" s="1132" t="str">
        <f>"Based on a height of "&amp;IF($B$4,ROUND($C$2,3)&amp;" cm",INT($C$2/12)&amp;" ft "&amp;ROUND((($C$2/12)-INT($C$2/12))*12,1)&amp;" in")</f>
        <v>Based on a height of 5 ft 11 in</v>
      </c>
      <c r="C101" s="1133"/>
      <c r="D101" s="1134"/>
      <c r="E101" s="1135" t="str">
        <f>"Male       "&amp;IF(B4,"(kg)    ","(lb)    ")</f>
        <v xml:space="preserve">Male       (lb)    </v>
      </c>
      <c r="F101" s="1136"/>
      <c r="G101" s="1137">
        <f>IF($B$4,49.8952+(MAX($C$2,152.4)-152.4)/2.54*2.49476,110+(MAX($C$2,60)-60)*5.5)</f>
        <v>170.5</v>
      </c>
      <c r="H101" s="1138"/>
      <c r="I101" s="1139">
        <f>G101*0.88</f>
        <v>150.04</v>
      </c>
      <c r="J101" s="1140"/>
      <c r="K101" s="1139">
        <f>G101*0.85</f>
        <v>144.92499999999998</v>
      </c>
      <c r="L101" s="1141"/>
      <c r="M101" s="1142" t="b">
        <v>1</v>
      </c>
      <c r="N101" s="1143" t="b">
        <v>1</v>
      </c>
      <c r="O101" s="569">
        <f ca="1">$O$88</f>
        <v>3.4610580970427136E-3</v>
      </c>
      <c r="P101" s="546" t="s">
        <v>243</v>
      </c>
      <c r="Q101" s="1144" t="s">
        <v>239</v>
      </c>
      <c r="R101" s="1145"/>
      <c r="U101" s="592"/>
    </row>
    <row r="102" spans="2:21" ht="13.8" thickBot="1" x14ac:dyDescent="0.3">
      <c r="B102" s="1146" t="str">
        <f>IF($B$4,"(Minimum height is 152.4 cm)","(Minimum height is 5 ft, 0 inches)")</f>
        <v>(Minimum height is 5 ft, 0 inches)</v>
      </c>
      <c r="C102" s="1147"/>
      <c r="D102" s="1148"/>
      <c r="E102" s="1149" t="str">
        <f>"Female     "&amp;IF(B4,"(kg)    ","(lb)    ")</f>
        <v xml:space="preserve">Female     (lb)    </v>
      </c>
      <c r="F102" s="1150"/>
      <c r="G102" s="1151">
        <f>IF($B$4,45.3592+(MAX($C$2,152.4)-152.4)/2.54*2.26796,100+(MAX($C$2,60)-60)*5)</f>
        <v>155</v>
      </c>
      <c r="H102" s="1152"/>
      <c r="I102" s="1152">
        <f>G102*0.88</f>
        <v>136.4</v>
      </c>
      <c r="J102" s="1152"/>
      <c r="K102" s="1152">
        <f>G102*0.85</f>
        <v>131.75</v>
      </c>
      <c r="L102" s="1153"/>
      <c r="M102" s="1154" t="b">
        <v>1</v>
      </c>
      <c r="N102" s="1155" t="b">
        <v>1</v>
      </c>
      <c r="O102" s="569">
        <f ca="1">$O$95</f>
        <v>6.6608974596373417E-4</v>
      </c>
      <c r="P102" s="596">
        <v>0.57499999999999996</v>
      </c>
      <c r="Q102" s="1156">
        <f>IF($C$8=4,((P102/$E$3*($E$3-$E$4)+E$4/$E$3)/(1+$C$9)-0.37182)/0.6463,IF($C$8=3,1.303*(P102/$E$3*($E$3-$E$4)+E$4/$E$3)/(1+$C$9) - 0.345,IF($C$8=2,(1.3*(P102/$E$3*($E$3-$E$4)+E$4/$E$3)/(1+$C$9)-0.293),((P102/$E$3*($E$3-$E$4)+E$4/$E$3)/(1+$C$9)-0.1578)/0.855)))</f>
        <v>0.62149602862878595</v>
      </c>
      <c r="R102" s="1157"/>
    </row>
    <row r="103" spans="2:21" ht="13.8" thickBot="1" x14ac:dyDescent="0.3">
      <c r="B103" s="483"/>
      <c r="I103" s="597"/>
      <c r="J103" s="597"/>
      <c r="M103" s="1174" t="s">
        <v>244</v>
      </c>
      <c r="N103" s="1175"/>
      <c r="O103" s="598">
        <f ca="1">$O$74+IF(O84&lt;O74,-$O$100,$O$100)+IF($N$89&lt;$M$88,-$O$101,$O$101)+IF($M$97,$O$102,-$O$102)</f>
        <v>2.1220183886575341E-2</v>
      </c>
      <c r="P103" s="1176" t="str">
        <f>"HR Profile "&amp;IF(AND(C8&gt;=1,C8&lt;=4),C8,1)</f>
        <v>HR Profile 1</v>
      </c>
      <c r="Q103" s="1177"/>
      <c r="R103" s="1178"/>
    </row>
    <row r="104" spans="2:21" ht="13.8" thickBot="1" x14ac:dyDescent="0.3">
      <c r="B104" s="1078" t="s">
        <v>245</v>
      </c>
      <c r="C104" s="1079"/>
      <c r="D104" s="1079"/>
      <c r="E104" s="1079"/>
      <c r="F104" s="599" t="str">
        <f>E6</f>
        <v>10k</v>
      </c>
      <c r="G104" s="1179">
        <f>$F$8</f>
        <v>10000</v>
      </c>
      <c r="H104" s="1179"/>
      <c r="I104" s="1180">
        <f>$G$6*1440</f>
        <v>34.616666666666667</v>
      </c>
      <c r="J104" s="1180"/>
      <c r="K104" s="1181">
        <f>G104/I104</f>
        <v>288.87818969667791</v>
      </c>
      <c r="L104" s="1182"/>
      <c r="M104" s="1183" t="str">
        <f>E6&amp;IF($L$80," Pace / km"," Pace / mile")</f>
        <v>10k Pace / mile</v>
      </c>
      <c r="N104" s="1184"/>
      <c r="O104" s="600">
        <f ca="1">O103/IF(L80,F8/1000,D8)</f>
        <v>3.4150575616756708E-3</v>
      </c>
      <c r="P104" s="1185" t="s">
        <v>246</v>
      </c>
      <c r="Q104" s="1186"/>
      <c r="R104" s="1187"/>
    </row>
    <row r="105" spans="2:21" ht="14.4" thickTop="1" thickBot="1" x14ac:dyDescent="0.3">
      <c r="B105" s="601" t="b">
        <v>0</v>
      </c>
      <c r="C105" s="602"/>
      <c r="D105" s="603"/>
      <c r="E105" s="604"/>
      <c r="F105" s="463" t="s">
        <v>123</v>
      </c>
      <c r="G105" s="463" t="s">
        <v>99</v>
      </c>
      <c r="H105" s="463" t="s">
        <v>101</v>
      </c>
      <c r="I105" s="463" t="s">
        <v>247</v>
      </c>
      <c r="J105" s="463" t="s">
        <v>122</v>
      </c>
      <c r="K105" s="1158" t="s">
        <v>248</v>
      </c>
      <c r="L105" s="1159"/>
      <c r="M105" s="1160" t="str">
        <f>IF($L$80,"Change in Pace / Km","Change in Pace / Mile")</f>
        <v>Change in Pace / Mile</v>
      </c>
      <c r="N105" s="1161"/>
      <c r="O105" s="605">
        <f ca="1">ABS((O76-O104))</f>
        <v>4.537011049909963E-4</v>
      </c>
      <c r="P105" s="606">
        <v>3.1</v>
      </c>
      <c r="Q105" s="1162">
        <f>P105*1.609344</f>
        <v>4.9889664000000007</v>
      </c>
      <c r="R105" s="1163"/>
    </row>
    <row r="106" spans="2:21" x14ac:dyDescent="0.25">
      <c r="B106" s="1164" t="str">
        <f>"Entry Weight &amp; VDOT"</f>
        <v>Entry Weight &amp; VDOT</v>
      </c>
      <c r="C106" s="1165"/>
      <c r="D106" s="1166"/>
      <c r="E106" s="607" t="str">
        <f>IF($C$3,TEXT($C$3,0)&amp;IF(B4," kg"," lbs"),"Weight?")</f>
        <v>160 lbs</v>
      </c>
      <c r="F106" s="608">
        <f>$I$6</f>
        <v>61.522215640700502</v>
      </c>
      <c r="G106" s="609">
        <f>$G$6</f>
        <v>2.4039351851851853E-2</v>
      </c>
      <c r="H106" s="610">
        <f>(G106/($G$104/1000))*IF($B$105,1,1.609)</f>
        <v>3.8679317129629628E-3</v>
      </c>
      <c r="I106" s="611">
        <f>-4.6 + 0.182258 * ($G$104/$I$104) + 0.000104 *($G$104/I104)^2</f>
        <v>56.729224379909823</v>
      </c>
      <c r="J106" s="612">
        <f>0.8+0.1894393*EXP(-0.012778*G106*1440)+0.2989558*EXP(-0.1932605*G106*1440)</f>
        <v>0.92209332497414398</v>
      </c>
      <c r="K106" s="613">
        <f>1/(29.54+5.000663*F106-0.007546*F106^2)*IF(B105,0.62,1)</f>
        <v>3.2401216688661611E-3</v>
      </c>
      <c r="L106" s="614" t="str">
        <f>TEXT(11.033/(K106*1440),"0.00")&amp;IF($B$105, "  km","  mi")</f>
        <v>2.36  mi</v>
      </c>
      <c r="M106" s="615"/>
      <c r="N106" s="615"/>
      <c r="P106" s="616">
        <v>0.41666666666666669</v>
      </c>
      <c r="Q106" s="1167">
        <f>P106/1.609344/60</f>
        <v>4.3150777238703747E-3</v>
      </c>
      <c r="R106" s="1168"/>
    </row>
    <row r="107" spans="2:21" ht="13.8" thickBot="1" x14ac:dyDescent="0.3">
      <c r="B107" s="1169" t="s">
        <v>249</v>
      </c>
      <c r="C107" s="1170"/>
      <c r="D107" s="1171"/>
      <c r="E107" s="617">
        <v>150</v>
      </c>
      <c r="F107" s="618">
        <f>IF(E106="Weight?",E106,IF(E107,$C$3*F106/E107,"-"))</f>
        <v>65.623696683413868</v>
      </c>
      <c r="G107" s="619">
        <f>IF(AND(E107,F107&lt;&gt;"Weight?"),G106*(F106/F107)^$I$93,"-")</f>
        <v>2.2785518383013157E-2</v>
      </c>
      <c r="H107" s="620">
        <f>IF(F107="Weight?","-",(G107/($G$104/1000))*IF($B$105,1,1.609))</f>
        <v>3.666189907826817E-3</v>
      </c>
      <c r="I107" s="621">
        <f>IF(AND(E107,F107&lt;&gt;"Weight?"),-4.6 + 0.182258 * ($G$104/(G107*1440)) + 0.000104 *($G$104/(G107*1440))^2,"-")</f>
        <v>60.607884697272524</v>
      </c>
      <c r="J107" s="622">
        <f>IF(AND(E107,F107&lt;&gt;"Weight?"),0.8+0.1894393*EXP(-0.012778*G107*1440)+0.2989558*EXP(-0.1932605*G107*1440),"-")</f>
        <v>0.92508939778939403</v>
      </c>
      <c r="K107" s="623">
        <f>IF(AND(E107,F107&lt;&gt;"Weight?"),1/(29.54+5.000663*F107-0.007546*F107^2)*IF(B105,0.62,1),"-")</f>
        <v>3.0749799490295418E-3</v>
      </c>
      <c r="L107" s="624" t="str">
        <f>IF(F107="Weight?","-",TEXT(11.033/(K107*1440),"0.00")&amp;IF($B$105, "  km","  mi"))</f>
        <v>2.49  mi</v>
      </c>
      <c r="O107" s="625"/>
      <c r="P107" s="626">
        <v>130</v>
      </c>
      <c r="Q107" s="1172">
        <f>P107*0.45359237</f>
        <v>58.967008100000001</v>
      </c>
      <c r="R107" s="1173"/>
    </row>
    <row r="108" spans="2:21" ht="13.8" thickBot="1" x14ac:dyDescent="0.3">
      <c r="B108" s="627" t="s">
        <v>74</v>
      </c>
      <c r="C108" s="1199" t="s">
        <v>250</v>
      </c>
      <c r="D108" s="1200"/>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1">
        <f>P108*2.54</f>
        <v>187.96</v>
      </c>
      <c r="R108" s="1202"/>
    </row>
    <row r="109" spans="2:21" ht="13.8" thickBot="1" x14ac:dyDescent="0.3">
      <c r="B109" s="636" t="s">
        <v>76</v>
      </c>
      <c r="C109" s="1203" t="s">
        <v>251</v>
      </c>
      <c r="D109" s="1204"/>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5" t="s">
        <v>252</v>
      </c>
      <c r="Q109" s="1186"/>
      <c r="R109" s="1187"/>
    </row>
    <row r="110" spans="2:21" ht="13.8" thickBot="1" x14ac:dyDescent="0.3">
      <c r="B110" s="644" t="b">
        <v>1</v>
      </c>
      <c r="C110" s="1205" t="str">
        <f>"Elite "&amp;E6</f>
        <v>Elite 10k</v>
      </c>
      <c r="D110" s="1206"/>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7">
        <f>P110*0.621371192</f>
        <v>0.80778254960000007</v>
      </c>
      <c r="R110" s="1208"/>
    </row>
    <row r="111" spans="2:21" ht="14.4" thickTop="1" thickBot="1" x14ac:dyDescent="0.3">
      <c r="B111" s="654"/>
      <c r="C111" s="655"/>
      <c r="D111" s="655"/>
      <c r="E111" s="656"/>
      <c r="F111" s="657"/>
      <c r="G111" s="658"/>
      <c r="H111" s="659"/>
      <c r="I111" s="660"/>
      <c r="J111" s="661"/>
      <c r="K111" s="659"/>
      <c r="L111" s="662"/>
      <c r="O111" s="625"/>
      <c r="P111" s="663">
        <v>0.2590277777777778</v>
      </c>
      <c r="Q111" s="1188">
        <f>P111/0.62137117223/60</f>
        <v>6.947746890374965E-3</v>
      </c>
      <c r="R111" s="1189"/>
    </row>
    <row r="112" spans="2:21" ht="13.8" thickBot="1" x14ac:dyDescent="0.3">
      <c r="B112" s="664"/>
      <c r="C112" s="1190" t="s">
        <v>253</v>
      </c>
      <c r="D112" s="1190"/>
      <c r="E112" s="1190"/>
      <c r="F112" s="1190"/>
      <c r="G112" s="1190"/>
      <c r="H112" s="1190"/>
      <c r="I112" s="1191" t="s">
        <v>254</v>
      </c>
      <c r="J112" s="1191"/>
      <c r="K112" s="1191"/>
      <c r="L112" s="665"/>
      <c r="N112" s="625"/>
      <c r="O112" s="625"/>
      <c r="P112" s="666">
        <v>62</v>
      </c>
      <c r="Q112" s="1192">
        <f>P112*2.20462262</f>
        <v>136.68660244</v>
      </c>
      <c r="R112" s="1193"/>
    </row>
    <row r="113" spans="2:34" ht="13.8" thickBot="1" x14ac:dyDescent="0.3">
      <c r="B113" s="667" t="s">
        <v>53</v>
      </c>
      <c r="C113" s="668">
        <v>170</v>
      </c>
      <c r="D113" s="669" t="s">
        <v>255</v>
      </c>
      <c r="E113" s="668">
        <v>50</v>
      </c>
      <c r="F113" s="669" t="s">
        <v>256</v>
      </c>
      <c r="G113" s="668">
        <v>149</v>
      </c>
      <c r="H113" s="670" t="s">
        <v>17</v>
      </c>
      <c r="I113" s="671">
        <v>0.33124999999999999</v>
      </c>
      <c r="J113" s="1194" t="str">
        <f>"vVO2max  =  "&amp;TEXT(I113*(G113-E113)/(C113-E113),"h:mm")</f>
        <v>vVO2max  =  6:33</v>
      </c>
      <c r="K113" s="1195"/>
      <c r="L113" s="1196"/>
      <c r="N113" s="625"/>
      <c r="O113" s="625"/>
      <c r="P113" s="672">
        <v>188</v>
      </c>
      <c r="Q113" s="1197">
        <f>P113*0.393700787</f>
        <v>74.015747955999998</v>
      </c>
      <c r="R113" s="1198"/>
    </row>
    <row r="114" spans="2:34" ht="13.8" thickBot="1" x14ac:dyDescent="0.3">
      <c r="B114" s="673"/>
      <c r="C114" s="674"/>
      <c r="D114" s="674"/>
      <c r="E114" s="674"/>
      <c r="F114" s="674"/>
      <c r="G114" s="674"/>
      <c r="H114" s="674"/>
      <c r="I114" s="674"/>
      <c r="J114" s="674"/>
      <c r="K114" s="674"/>
      <c r="L114" s="675"/>
      <c r="N114" s="625"/>
      <c r="O114" s="625"/>
      <c r="P114" s="1216" t="s">
        <v>257</v>
      </c>
      <c r="Q114" s="1186"/>
      <c r="R114" s="1187"/>
    </row>
    <row r="115" spans="2:34" ht="14.4" thickTop="1" thickBot="1" x14ac:dyDescent="0.3">
      <c r="B115" s="1045" t="s">
        <v>258</v>
      </c>
      <c r="C115" s="1046"/>
      <c r="D115" s="1046"/>
      <c r="E115" s="1046"/>
      <c r="F115" s="1046"/>
      <c r="G115" s="1046"/>
      <c r="H115" s="1046"/>
      <c r="I115" s="1046"/>
      <c r="J115" s="1046"/>
      <c r="K115" s="1217"/>
      <c r="L115" s="1047"/>
      <c r="N115" s="625"/>
      <c r="O115" s="625"/>
      <c r="P115" s="616">
        <v>0.41666666666666669</v>
      </c>
      <c r="Q115" s="676">
        <f>P115*1440</f>
        <v>600</v>
      </c>
      <c r="R115" s="677">
        <f>60/P115/24</f>
        <v>6</v>
      </c>
    </row>
    <row r="116" spans="2:34" ht="13.8" thickBot="1" x14ac:dyDescent="0.3">
      <c r="B116" s="1218" t="s">
        <v>158</v>
      </c>
      <c r="C116" s="1219"/>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1209" t="s">
        <v>267</v>
      </c>
      <c r="C117" s="1210"/>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1211" t="s">
        <v>269</v>
      </c>
      <c r="C118" s="1212"/>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1213" t="s">
        <v>272</v>
      </c>
      <c r="C119" s="1215"/>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1209" t="s">
        <v>274</v>
      </c>
      <c r="C120" s="1210"/>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1211" t="s">
        <v>277</v>
      </c>
      <c r="C121" s="1212"/>
      <c r="D121" s="714" t="s">
        <v>278</v>
      </c>
      <c r="E121" s="695"/>
      <c r="F121" s="695"/>
      <c r="G121" s="695">
        <v>2.6</v>
      </c>
      <c r="H121" s="695"/>
      <c r="I121" s="695"/>
      <c r="J121" s="695"/>
      <c r="K121" s="696"/>
      <c r="L121" s="697">
        <f>IF(SUM(E121:K121)&gt;0,SUM(E121:K121)/L126,"---")</f>
        <v>6.9892473118279563E-2</v>
      </c>
      <c r="M121" s="698" t="s">
        <v>279</v>
      </c>
      <c r="P121" s="1185" t="s">
        <v>280</v>
      </c>
      <c r="Q121" s="1186"/>
      <c r="R121" s="1187"/>
    </row>
    <row r="122" spans="2:34" ht="13.8" thickBot="1" x14ac:dyDescent="0.3">
      <c r="B122" s="1213" t="s">
        <v>281</v>
      </c>
      <c r="C122" s="1214"/>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1209" t="s">
        <v>282</v>
      </c>
      <c r="C123" s="1210"/>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1213" t="s">
        <v>285</v>
      </c>
      <c r="C124" s="1215"/>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1213" t="s">
        <v>287</v>
      </c>
      <c r="C125" s="1229"/>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1230" t="s">
        <v>290</v>
      </c>
      <c r="X131" s="1231"/>
      <c r="Y131" s="1231"/>
      <c r="Z131" s="1231"/>
      <c r="AA131" s="1231"/>
      <c r="AB131" s="1231"/>
      <c r="AC131" s="1231"/>
      <c r="AD131" s="1231"/>
      <c r="AE131" s="1231"/>
      <c r="AF131" s="1231"/>
      <c r="AG131" s="1232"/>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1233" t="s">
        <v>291</v>
      </c>
      <c r="AE133" s="1234"/>
      <c r="AF133" s="1235"/>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1236" t="s">
        <v>299</v>
      </c>
      <c r="X216" s="1236"/>
      <c r="Y216" s="1236"/>
      <c r="Z216" s="1236"/>
      <c r="AA216" s="1236"/>
      <c r="AB216" s="1236"/>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0.82476061679595536</v>
      </c>
      <c r="X217" s="783">
        <f t="shared" si="40"/>
        <v>0.82476061679595536</v>
      </c>
      <c r="Y217" s="783">
        <f t="shared" si="40"/>
        <v>0.82476061679595536</v>
      </c>
      <c r="Z217" s="783">
        <f t="shared" si="40"/>
        <v>0.82476061679595536</v>
      </c>
      <c r="AA217" s="783">
        <f t="shared" si="40"/>
        <v>0.82476061679595536</v>
      </c>
      <c r="AB217" s="784">
        <f t="shared" si="40"/>
        <v>0.82476061679595536</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4.2178127832517209E-3</v>
      </c>
      <c r="X218" s="786">
        <f t="shared" si="41"/>
        <v>4.2178127832517209E-3</v>
      </c>
      <c r="Y218" s="786">
        <f t="shared" si="41"/>
        <v>4.2178127832517209E-3</v>
      </c>
      <c r="Z218" s="786">
        <f t="shared" si="41"/>
        <v>4.2178127832517209E-3</v>
      </c>
      <c r="AA218" s="786">
        <f t="shared" si="41"/>
        <v>4.2178127832517209E-3</v>
      </c>
      <c r="AB218" s="787">
        <f t="shared" si="41"/>
        <v>4.2178127832517209E-3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-4.2294832735026468E-3</v>
      </c>
      <c r="X219" s="789">
        <f t="shared" si="42"/>
        <v>-4.2294832735026468E-3</v>
      </c>
      <c r="Y219" s="789">
        <f t="shared" si="42"/>
        <v>-4.2294832735026468E-3</v>
      </c>
      <c r="Z219" s="789">
        <f t="shared" si="42"/>
        <v>-4.2294832735026468E-3</v>
      </c>
      <c r="AA219" s="789">
        <f t="shared" si="42"/>
        <v>-4.2294832735026468E-3</v>
      </c>
      <c r="AB219" s="790">
        <f t="shared" si="42"/>
        <v>-4.2294832735026468E-3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1224" t="s">
        <v>300</v>
      </c>
      <c r="X232" s="1225"/>
      <c r="Y232" s="1226"/>
      <c r="Z232" s="1224" t="str">
        <f>"Projected Impact of Temperature on "&amp;$E$6&amp;" Time"</f>
        <v>Projected Impact of Temperature on 10k Time</v>
      </c>
      <c r="AA232" s="1225"/>
      <c r="AB232" s="1225"/>
      <c r="AC232" s="1225"/>
      <c r="AD232" s="1225"/>
      <c r="AE232" s="1227" t="s">
        <v>301</v>
      </c>
      <c r="AF232" s="1228"/>
      <c r="AG232" s="795" t="b">
        <v>0</v>
      </c>
    </row>
    <row r="233" spans="17:33" ht="13.8" thickBot="1" x14ac:dyDescent="0.3">
      <c r="W233" s="1220" t="str">
        <f>"Temperature  °"&amp;IF($L$80,"C","F")</f>
        <v>Temperature  °F</v>
      </c>
      <c r="X233" s="1221"/>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1222" t="s">
        <v>203</v>
      </c>
      <c r="X234" s="1223"/>
      <c r="Y234" s="799">
        <f>IF(AND($E$6&gt;0,$G$6&gt;0),$G$6,"-")</f>
        <v>2.4039351851851853E-2</v>
      </c>
      <c r="Z234" s="800">
        <f>IF($Y234&lt;&gt;"-",$Y234+$Y234*(0.0015437*IF($L$80,(Z233*9/5)+32,Z233)-0.09108933),"-")</f>
        <v>2.407619624525463E-2</v>
      </c>
      <c r="AA234" s="800">
        <f>IF($Y234&lt;&gt;"-",$Y234+$Y234*(0.0015437*IF($L$80,(AA233*9/5)+32,AA233)-0.09108933),"-")</f>
        <v>2.4261743982523148E-2</v>
      </c>
      <c r="AB234" s="800">
        <f t="shared" ref="AB234:AG234" si="43">IF($Y234&lt;&gt;"-",$Y234+$Y234*(0.0015437*IF($L$80,(AB233*9/5)+32,AB233)-0.09108933),"-")</f>
        <v>2.4447291719791667E-2</v>
      </c>
      <c r="AC234" s="800">
        <f t="shared" si="43"/>
        <v>2.4632839457060188E-2</v>
      </c>
      <c r="AD234" s="800">
        <f t="shared" si="43"/>
        <v>2.4818387194328707E-2</v>
      </c>
      <c r="AE234" s="800">
        <f t="shared" si="43"/>
        <v>2.5003934931597225E-2</v>
      </c>
      <c r="AF234" s="800">
        <f t="shared" si="43"/>
        <v>2.5189482668865743E-2</v>
      </c>
      <c r="AG234" s="800">
        <f t="shared" si="43"/>
        <v>2.5375030406134261E-2</v>
      </c>
    </row>
    <row r="235" spans="17:33" ht="13.8" thickBot="1" x14ac:dyDescent="0.3">
      <c r="W235" s="33"/>
    </row>
    <row r="236" spans="17:33" ht="13.8" thickBot="1" x14ac:dyDescent="0.3">
      <c r="W236" s="1224" t="s">
        <v>302</v>
      </c>
      <c r="X236" s="1225"/>
      <c r="Y236" s="1226"/>
      <c r="Z236" s="1224" t="str">
        <f>"Projected Impact of Temperature on "&amp;$E$6&amp;" Time"</f>
        <v>Projected Impact of Temperature on 10k Time</v>
      </c>
      <c r="AA236" s="1225"/>
      <c r="AB236" s="1225"/>
      <c r="AC236" s="1225"/>
      <c r="AD236" s="1225"/>
      <c r="AE236" s="1227" t="s">
        <v>303</v>
      </c>
      <c r="AF236" s="1228"/>
      <c r="AG236" s="795" t="b">
        <v>0</v>
      </c>
    </row>
    <row r="237" spans="17:33" ht="13.8" thickBot="1" x14ac:dyDescent="0.3">
      <c r="W237" s="1220" t="str">
        <f>"Temp + Dew Point  °"&amp;IF($L$80,"C","F")</f>
        <v>Temp + Dew Point  °F</v>
      </c>
      <c r="X237" s="1221"/>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1222" t="s">
        <v>203</v>
      </c>
      <c r="X238" s="1223"/>
      <c r="Y238" s="799">
        <f>IF(AND($E$6&gt;0,$G$6&gt;0),$G$6,"-")</f>
        <v>2.4039351851851853E-2</v>
      </c>
      <c r="Z238" s="800">
        <f>IF($Y238&lt;&gt;"-",$Y238+$Y238*(0.000012229*IF($L$80,((Z237*9/5)+64)^2,Z237^2) - (0.002174242*IF($L$80,((Z237*9/5)+64),Z237)) + 0.0954329),"")</f>
        <v>2.4141210912731484E-2</v>
      </c>
      <c r="AA238" s="800">
        <f>IF($Y238&lt;&gt;"-",$Y238+$Y238*(0.000012229*IF($L$80,((AA237*9/5)+64)^2,AA237^2) - (0.002174242*IF($L$80,((AA237*9/5)+64),AA237)) + 0.0954329),"")</f>
        <v>2.4294684865972225E-2</v>
      </c>
      <c r="AB238" s="800">
        <f t="shared" ref="AB238:AG238" si="44">IF($Y238&lt;&gt;"-",$Y238+$Y238*(0.000012229*IF($L$80,((AB237*9/5)+64)^2,AB237^2) - (0.002174242*IF($L$80,((AB237*9/5)+64),AB237)) + 0.0954329),"")</f>
        <v>2.4506954265972224E-2</v>
      </c>
      <c r="AC238" s="800">
        <f t="shared" si="44"/>
        <v>2.4778019112731482E-2</v>
      </c>
      <c r="AD238" s="800">
        <f t="shared" si="44"/>
        <v>2.5107879406250002E-2</v>
      </c>
      <c r="AE238" s="800">
        <f t="shared" si="44"/>
        <v>2.549653514652778E-2</v>
      </c>
      <c r="AF238" s="800">
        <f t="shared" si="44"/>
        <v>2.5943986333564817E-2</v>
      </c>
      <c r="AG238" s="800">
        <f t="shared" si="44"/>
        <v>2.6450232967361112E-2</v>
      </c>
    </row>
    <row r="239" spans="17:33" ht="13.8" thickBot="1" x14ac:dyDescent="0.3"/>
    <row r="240" spans="17:33" ht="13.8" thickBot="1" x14ac:dyDescent="0.3">
      <c r="W240" s="1224" t="s">
        <v>304</v>
      </c>
      <c r="X240" s="1225"/>
      <c r="Y240" s="1226"/>
      <c r="Z240" s="1224" t="str">
        <f>"Projected Impact of Temperature on "&amp;$E$6&amp;" Time"</f>
        <v>Projected Impact of Temperature on 10k Time</v>
      </c>
      <c r="AA240" s="1225"/>
      <c r="AB240" s="1225"/>
      <c r="AC240" s="1225"/>
      <c r="AD240" s="1225"/>
      <c r="AE240" s="1227" t="s">
        <v>305</v>
      </c>
      <c r="AF240" s="1228"/>
      <c r="AG240" s="795" t="b">
        <v>0</v>
      </c>
    </row>
    <row r="241" spans="23:33" ht="13.8" thickBot="1" x14ac:dyDescent="0.3">
      <c r="W241" s="1220" t="str">
        <f>"Heat Index  °"&amp;IF($L$80,"C","F")</f>
        <v>Heat Index  °F</v>
      </c>
      <c r="X241" s="1221"/>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1222" t="s">
        <v>203</v>
      </c>
      <c r="X242" s="1223"/>
      <c r="Y242" s="799">
        <f>IF(AND($E$6&gt;0,$G$6&gt;0),$G$6,"-")</f>
        <v>2.4039351851851853E-2</v>
      </c>
      <c r="Z242" s="800">
        <f t="shared" ref="Z242:AF242" si="45">IF($Y242&lt;&gt;"-",$Y242+$Y242*(0.00000000220395*IF($L$80,((Z241*9/5)+32)^4,Z241^4) - 0.0000004341222*IF($L$80,((Z241*9/5)+32)^3,Z241^3) + 0.0000608143905*IF($L$80,((Z241*9/5)+32)^2,Z241^2) - 0.0039308500021*IF($L$80,((Z241*9/5)+32),Z241) + 0.08700948577525),"-")</f>
        <v>2.4156738128399219E-2</v>
      </c>
      <c r="AA242" s="800">
        <f t="shared" si="45"/>
        <v>2.4372379185217886E-2</v>
      </c>
      <c r="AB242" s="800">
        <f t="shared" si="45"/>
        <v>2.4754686287220582E-2</v>
      </c>
      <c r="AC242" s="800">
        <f t="shared" si="45"/>
        <v>2.533641008965731E-2</v>
      </c>
      <c r="AD242" s="800">
        <f t="shared" si="45"/>
        <v>2.6163016814861394E-2</v>
      </c>
      <c r="AE242" s="800">
        <f t="shared" si="45"/>
        <v>2.7292688252249505E-2</v>
      </c>
      <c r="AF242" s="800">
        <f t="shared" si="45"/>
        <v>2.8796321758321648E-2</v>
      </c>
      <c r="AG242" s="803" t="s">
        <v>91</v>
      </c>
    </row>
    <row r="243" spans="23:33" ht="13.8" thickBot="1" x14ac:dyDescent="0.3"/>
    <row r="244" spans="23:33" ht="13.8" thickBot="1" x14ac:dyDescent="0.3">
      <c r="W244" s="1224" t="s">
        <v>306</v>
      </c>
      <c r="X244" s="1225"/>
      <c r="Y244" s="1226"/>
      <c r="Z244" s="1224" t="str">
        <f>"Projected Impact of Temperature on "&amp;$E$6&amp;" Time"</f>
        <v>Projected Impact of Temperature on 10k Time</v>
      </c>
      <c r="AA244" s="1225"/>
      <c r="AB244" s="1225"/>
      <c r="AC244" s="1225"/>
      <c r="AD244" s="1225"/>
      <c r="AE244" s="1237" t="s">
        <v>307</v>
      </c>
      <c r="AF244" s="1238"/>
      <c r="AG244" s="795" t="b">
        <v>0</v>
      </c>
    </row>
    <row r="245" spans="23:33" ht="13.8" thickBot="1" x14ac:dyDescent="0.3">
      <c r="W245" s="1220" t="str">
        <f>"Temperature  °"&amp;IF($L$80,"C","F")</f>
        <v>Temperature  °F</v>
      </c>
      <c r="X245" s="1221"/>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1222" t="s">
        <v>203</v>
      </c>
      <c r="X246" s="1223"/>
      <c r="Y246" s="800" t="s">
        <v>91</v>
      </c>
      <c r="Z246" s="800">
        <f>IF($AB246&lt;&gt;"-",$AB246*(1+$AA$254),"-")</f>
        <v>2.4825438657407408E-2</v>
      </c>
      <c r="AA246" s="800">
        <f>IF($AB246&lt;&gt;"-",$AB246*(1+$AA$255),"-")</f>
        <v>2.4236474537037037E-2</v>
      </c>
      <c r="AB246" s="799">
        <f>IF(AND($E$6&gt;0,$G$6&gt;0),$G$6,"-")</f>
        <v>2.4039351851851853E-2</v>
      </c>
      <c r="AC246" s="800">
        <f>IF($AB246&lt;&gt;"-",$AB246*(1+$AA$257),"-")</f>
        <v>2.4236474537037037E-2</v>
      </c>
      <c r="AD246" s="800">
        <f>IF($AB246&lt;&gt;"-",$AB246*(1+$AA$258),"-")</f>
        <v>2.4851881944444449E-2</v>
      </c>
      <c r="AE246" s="800">
        <f>IF($AB246&lt;&gt;"-",$AB246*(1+$AA$259),"-")</f>
        <v>2.5945672453703703E-2</v>
      </c>
      <c r="AF246" s="800">
        <f>IF($AB246&lt;&gt;"-",$AB246*(1+$AA$260),"-")</f>
        <v>2.7652466435185191E-2</v>
      </c>
      <c r="AG246" s="803" t="s">
        <v>91</v>
      </c>
    </row>
    <row r="247" spans="23:33" ht="13.8" thickBot="1" x14ac:dyDescent="0.3"/>
    <row r="248" spans="23:33" ht="13.8" thickBot="1" x14ac:dyDescent="0.3">
      <c r="W248" s="1224" t="s">
        <v>308</v>
      </c>
      <c r="X248" s="1225"/>
      <c r="Y248" s="1226"/>
      <c r="Z248" s="1224" t="str">
        <f>"Projected Impact of Temperature on "&amp;$E$6&amp;" Time"</f>
        <v>Projected Impact of Temperature on 10k Time</v>
      </c>
      <c r="AA248" s="1225"/>
      <c r="AB248" s="1225"/>
      <c r="AC248" s="1225"/>
      <c r="AD248" s="1225"/>
      <c r="AE248" s="1237" t="s">
        <v>307</v>
      </c>
      <c r="AF248" s="1238"/>
      <c r="AG248" s="795" t="b">
        <v>0</v>
      </c>
    </row>
    <row r="249" spans="23:33" ht="13.8" thickBot="1" x14ac:dyDescent="0.3">
      <c r="W249" s="1220" t="str">
        <f>"Temperature  °"&amp;IF($L$80,"C","F")</f>
        <v>Temperature  °F</v>
      </c>
      <c r="X249" s="1221"/>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1222" t="s">
        <v>203</v>
      </c>
      <c r="X250" s="1223"/>
      <c r="Y250" s="800" t="s">
        <v>91</v>
      </c>
      <c r="Z250" s="800">
        <f>IF($AB250&lt;&gt;"-",$AB250*(1+$AD$254),"-")</f>
        <v>2.4642739583333333E-2</v>
      </c>
      <c r="AA250" s="800">
        <f>IF($AB250&lt;&gt;"-",$AB250*(1+$AD$255),"-")</f>
        <v>2.4190799768518519E-2</v>
      </c>
      <c r="AB250" s="799">
        <f>IF(AND($E$6&gt;0,$G$6&gt;0),$G$6,"-")</f>
        <v>2.4039351851851853E-2</v>
      </c>
      <c r="AC250" s="800">
        <f>IF($AB250&lt;&gt;"-",$AB250*(1+$AD$257),"-")</f>
        <v>2.4190799768518519E-2</v>
      </c>
      <c r="AD250" s="800">
        <f>IF($AB250&lt;&gt;"-",$AB250*(1+$AD$258),"-")</f>
        <v>2.4659567129629634E-2</v>
      </c>
      <c r="AE250" s="800">
        <f>IF($AB250&lt;&gt;"-",$AB250*(1+$AD$259),"-")</f>
        <v>2.5481712962962966E-2</v>
      </c>
      <c r="AF250" s="800">
        <f>IF($AB250&lt;&gt;"-",$AB250*(1+$AD$260),"-")</f>
        <v>2.6726951388888889E-2</v>
      </c>
      <c r="AG250" s="803" t="s">
        <v>91</v>
      </c>
    </row>
    <row r="252" spans="23:33" x14ac:dyDescent="0.25">
      <c r="W252" t="s">
        <v>309</v>
      </c>
      <c r="AF252" s="1236" t="s">
        <v>310</v>
      </c>
      <c r="AG252" s="1236"/>
    </row>
    <row r="253" spans="23:33" x14ac:dyDescent="0.25">
      <c r="Y253" s="1236" t="s">
        <v>311</v>
      </c>
      <c r="Z253" s="1236"/>
      <c r="AA253" s="1236" t="s">
        <v>312</v>
      </c>
      <c r="AB253" s="1236"/>
      <c r="AE253" s="805" t="s">
        <v>313</v>
      </c>
      <c r="AF253" s="806">
        <f>0.0015437*IF($L$80,($N$95*9/5)+32,$N$95)-0.09108933</f>
        <v>3.2406670000000012E-2</v>
      </c>
      <c r="AG253" s="807">
        <f ca="1">IF($M$102,MAX(AF253*$O$91,0),0)</f>
        <v>6.6608974596373417E-4</v>
      </c>
    </row>
    <row r="254" spans="23:33" x14ac:dyDescent="0.25">
      <c r="W254" s="1239"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1240"/>
      <c r="X255" s="812" t="s">
        <v>317</v>
      </c>
      <c r="Y255" s="812">
        <v>1.01</v>
      </c>
      <c r="Z255" s="813">
        <f t="shared" si="46"/>
        <v>33.817999999999998</v>
      </c>
      <c r="AA255" s="814">
        <v>8.2000000000000007E-3</v>
      </c>
      <c r="AB255" s="812">
        <v>1.85</v>
      </c>
      <c r="AC255" s="812">
        <f t="shared" si="47"/>
        <v>35.33</v>
      </c>
      <c r="AD255" s="814">
        <v>6.3E-3</v>
      </c>
      <c r="AE255" s="815"/>
      <c r="AF255" s="1236" t="s">
        <v>318</v>
      </c>
      <c r="AG255" s="1236"/>
    </row>
    <row r="256" spans="23:33" x14ac:dyDescent="0.25">
      <c r="W256" s="1240"/>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1240"/>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1240"/>
      <c r="X258" s="812" t="s">
        <v>321</v>
      </c>
      <c r="Y258" s="812">
        <v>16.02</v>
      </c>
      <c r="Z258" s="813">
        <f t="shared" si="46"/>
        <v>60.835999999999999</v>
      </c>
      <c r="AA258" s="814">
        <v>3.3799999999999997E-2</v>
      </c>
      <c r="AB258" s="812">
        <v>16.850000000000001</v>
      </c>
      <c r="AC258" s="812">
        <f t="shared" si="47"/>
        <v>62.33</v>
      </c>
      <c r="AD258" s="814">
        <v>2.58E-2</v>
      </c>
      <c r="AE258" s="815"/>
      <c r="AF258" s="1236" t="s">
        <v>304</v>
      </c>
      <c r="AG258" s="1236"/>
    </row>
    <row r="259" spans="23:33" x14ac:dyDescent="0.25">
      <c r="W259" s="1240"/>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6.116242824349467E-4</v>
      </c>
    </row>
    <row r="260" spans="23:33" x14ac:dyDescent="0.25">
      <c r="W260" s="1241"/>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1236" t="s">
        <v>324</v>
      </c>
      <c r="AG261" s="1236"/>
    </row>
    <row r="262" spans="23:33" x14ac:dyDescent="0.25">
      <c r="W262" t="s">
        <v>325</v>
      </c>
      <c r="X262" s="33"/>
      <c r="Z262" t="s">
        <v>326</v>
      </c>
      <c r="AA262" s="33"/>
      <c r="AE262" s="805" t="s">
        <v>313</v>
      </c>
      <c r="AF262" s="806">
        <f>X263*IF($L$80,(($N$95*9/5)+32)^2,$N$95^2) +(X264*IF($L$80,(($N$95*9/5)+32),$N$95)) + X265</f>
        <v>0.15757841435455355</v>
      </c>
      <c r="AG262" s="807">
        <f ca="1">IF($M$102,MAX(AF262*$O$91,0),0)</f>
        <v>3.2388815631717973E-3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1236" t="s">
        <v>329</v>
      </c>
      <c r="AG264" s="1236"/>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2.2272566485560712E-3</v>
      </c>
    </row>
    <row r="266" spans="23:33" x14ac:dyDescent="0.25">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- 55</vt:lpstr>
      <vt:lpstr>2Q - 80</vt:lpstr>
      <vt:lpstr>Daniel's Mileage</vt:lpstr>
      <vt:lpstr>Q Sessions</vt:lpstr>
      <vt:lpstr>Daniel's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2025-06-13T22:28:28Z</cp:lastPrinted>
  <dcterms:created xsi:type="dcterms:W3CDTF">2023-06-02T14:14:53Z</dcterms:created>
  <dcterms:modified xsi:type="dcterms:W3CDTF">2025-06-26T18:12:01Z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