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9BF5DF5A-5303-4F75-8B9E-94794E96E620}"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 i="9" l="1"/>
  <c r="J60" i="9"/>
  <c r="H60" i="9"/>
  <c r="G60" i="9"/>
  <c r="J57" i="9"/>
  <c r="I57" i="9"/>
  <c r="J55" i="9"/>
  <c r="K55" i="9"/>
  <c r="H55" i="9"/>
  <c r="G55" i="9"/>
  <c r="J53" i="9"/>
  <c r="H52" i="9"/>
  <c r="G52" i="9"/>
  <c r="I50" i="9"/>
  <c r="H49" i="9"/>
  <c r="G49" i="9"/>
  <c r="J48" i="9"/>
  <c r="J43" i="9"/>
  <c r="AA21" i="9"/>
  <c r="AB21" i="9" s="1"/>
  <c r="AA22" i="9"/>
  <c r="AB22" i="9"/>
  <c r="AA61" i="9"/>
  <c r="AB61" i="9" s="1"/>
  <c r="AA62" i="9"/>
  <c r="AB62" i="9" s="1"/>
  <c r="AA63" i="9"/>
  <c r="AB63" i="9" s="1"/>
  <c r="AA64" i="9"/>
  <c r="AB64" i="9" s="1"/>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115" i="9"/>
  <c r="AD115" i="9" s="1"/>
  <c r="AC84" i="9"/>
  <c r="AD84" i="9" s="1"/>
  <c r="AC82" i="9"/>
  <c r="AD82" i="9" s="1"/>
  <c r="AC81" i="9"/>
  <c r="AD81"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AA60" i="9" s="1"/>
  <c r="AB60" i="9" s="1"/>
  <c r="AC66" i="9" s="1"/>
  <c r="AD66" i="9" s="1"/>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AA58" i="9" s="1"/>
  <c r="AB58" i="9" s="1"/>
  <c r="AC64" i="9" s="1"/>
  <c r="Z50" i="9"/>
  <c r="AA50" i="9" s="1"/>
  <c r="AB50" i="9" s="1"/>
  <c r="Z67" i="9"/>
  <c r="Z82" i="9"/>
  <c r="Z119" i="9"/>
  <c r="Z102" i="9"/>
  <c r="Z132" i="9"/>
  <c r="Z111" i="9"/>
  <c r="Z11" i="9"/>
  <c r="AA11" i="9" s="1"/>
  <c r="AB11" i="9" s="1"/>
  <c r="AC17" i="9" s="1"/>
  <c r="AD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65" i="9" l="1"/>
  <c r="AD65" i="9" s="1"/>
  <c r="AE64" i="9"/>
  <c r="AD64" i="9"/>
  <c r="AC62" i="9"/>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<sst xmlns="http://schemas.openxmlformats.org/spreadsheetml/2006/main" count="1246" uniqueCount="502">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</sst>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32.159999999999997</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71.099999999999994</c:v>
                </c:pt>
                <c:pt idx="54">
                  <c:v>59.760000000000005</c:v>
                </c:pt>
                <c:pt idx="55">
                  <c:v>52.26</c:v>
                </c:pt>
                <c:pt idx="56">
                  <c:v>32.159999999999997</c:v>
                </c:pt>
                <c:pt idx="57">
                  <c:v>25.14</c:v>
                </c:pt>
                <c:pt idx="58">
                  <c:v>17.54</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79.66</c:v>
                </c:pt>
                <c:pt idx="54" formatCode="0">
                  <c:v>76.695714285714288</c:v>
                </c:pt>
                <c:pt idx="55" formatCode="0">
                  <c:v>72.404285714285706</c:v>
                </c:pt>
                <c:pt idx="56" formatCode="0">
                  <c:v>65.239999999999995</c:v>
                </c:pt>
                <c:pt idx="57" formatCode="0">
                  <c:v>56.93</c:v>
                </c:pt>
                <c:pt idx="58" formatCode="0">
                  <c:v>48.157142857142851</c:v>
                </c:pt>
                <c:pt idx="59" formatCode="0">
                  <c:v>36.851428571428578</c:v>
                </c:pt>
                <c:pt idx="60" formatCode="0">
                  <c:v>26.694285714285712</c:v>
                </c:pt>
                <c:pt idx="61" formatCode="0">
                  <c:v>18.157142857142855</c:v>
                </c:pt>
                <c:pt idx="62" formatCode="0">
                  <c:v>10.691428571428572</c:v>
                </c:pt>
                <c:pt idx="63" formatCode="0">
                  <c:v>6.097142857142857</c:v>
                </c:pt>
                <c:pt idx="64" formatCode="0">
                  <c:v>2.5057142857142858</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71.099999999999994</c:v>
                      </c:pt>
                      <c:pt idx="54">
                        <c:v>59.760000000000005</c:v>
                      </c:pt>
                      <c:pt idx="55">
                        <c:v>52.26</c:v>
                      </c:pt>
                      <c:pt idx="56">
                        <c:v>32.159999999999997</c:v>
                      </c:pt>
                      <c:pt idx="57">
                        <c:v>25.14</c:v>
                      </c:pt>
                      <c:pt idx="58">
                        <c:v>17.54</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102.67284166666668</c:v>
                </c:pt>
                <c:pt idx="48">
                  <c:v>93.591175000000007</c:v>
                </c:pt>
                <c:pt idx="49">
                  <c:v>87.37167500000001</c:v>
                </c:pt>
                <c:pt idx="50">
                  <c:v>38.258050000000004</c:v>
                </c:pt>
                <c:pt idx="51">
                  <c:v>32.446383333333337</c:v>
                </c:pt>
                <c:pt idx="52">
                  <c:v>26.403050000000004</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71.099999999999994</c:v>
                </c:pt>
                <c:pt idx="54">
                  <c:v>59.760000000000005</c:v>
                </c:pt>
                <c:pt idx="55">
                  <c:v>52.26</c:v>
                </c:pt>
                <c:pt idx="56">
                  <c:v>32.159999999999997</c:v>
                </c:pt>
                <c:pt idx="57">
                  <c:v>25.14</c:v>
                </c:pt>
                <c:pt idx="58">
                  <c:v>17.54</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102.67284166666668</c:v>
                </c:pt>
                <c:pt idx="54" formatCode="0.0">
                  <c:v>93.591175000000007</c:v>
                </c:pt>
                <c:pt idx="55" formatCode="0.0">
                  <c:v>87.37167500000001</c:v>
                </c:pt>
                <c:pt idx="56" formatCode="0.0">
                  <c:v>38.258050000000004</c:v>
                </c:pt>
                <c:pt idx="57" formatCode="0.0">
                  <c:v>32.446383333333337</c:v>
                </c:pt>
                <c:pt idx="58" formatCode="0.0">
                  <c:v>26.403050000000004</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63" activePane="bottomLeft" state="frozen"/>
      <selection pane="bottomLeft" activeCell="E102" sqref="E102"/>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
      <c r="A3" s="10" t="s">
        <v>6</v>
      </c>
      <c r="B3" s="11">
        <v>45942</v>
      </c>
      <c r="C3" s="885" t="s">
        <v>7</v>
      </c>
      <c r="D3" s="882"/>
      <c r="E3" s="883"/>
      <c r="F3" s="7" t="s">
        <v>34</v>
      </c>
      <c r="G3" s="872" t="s">
        <v>458</v>
      </c>
      <c r="H3" s="872"/>
      <c r="I3" s="6"/>
      <c r="J3" s="4" t="s">
        <v>123</v>
      </c>
      <c r="K3" s="781">
        <f>'Daniel''s Tables'!$I$6</f>
        <v>61.766335932854794</v>
      </c>
      <c r="L3" s="876"/>
      <c r="M3" s="876"/>
      <c r="N3" s="881"/>
      <c r="O3" s="16"/>
      <c r="P3" s="6"/>
      <c r="Q3" s="4"/>
      <c r="R3" s="4"/>
      <c r="S3" s="4"/>
      <c r="T3" s="4"/>
      <c r="U3" s="4"/>
      <c r="V3" s="4"/>
      <c r="W3" s="4"/>
      <c r="X3" s="4"/>
      <c r="Y3" s="4"/>
      <c r="Z3" s="4"/>
      <c r="AA3" s="4"/>
      <c r="AB3" s="4"/>
      <c r="AC3" s="4"/>
    </row>
    <row r="4" spans="1:35" ht="15.75" customHeight="1" x14ac:dyDescent="0.2">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7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7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7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7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
      <c r="A50" s="87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
      <c r="A51" s="87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
      <c r="A52" s="87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
      <c r="A53" s="87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
      <c r="A54" s="87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
      <c r="A55" s="87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
      <c r="A56" s="87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
      <c r="A57" s="87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
      <c r="A58" s="87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18.785494047619046</v>
      </c>
      <c r="AE58" s="838"/>
    </row>
    <row r="59" spans="1:31" ht="15.75" customHeight="1" x14ac:dyDescent="0.2">
      <c r="A59" s="87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18.264541666666666</v>
      </c>
      <c r="AE59" s="838"/>
    </row>
    <row r="60" spans="1:31" ht="15.75" customHeight="1" x14ac:dyDescent="0.2">
      <c r="A60" s="87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16.151298809523812</v>
      </c>
      <c r="AE60" s="838"/>
    </row>
    <row r="61" spans="1:31" ht="15.75" customHeight="1" x14ac:dyDescent="0.2">
      <c r="A61" s="87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71.099999999999994</v>
      </c>
      <c r="U61" s="868">
        <f t="shared" si="8"/>
        <v>79.66</v>
      </c>
      <c r="V61" s="4">
        <v>70</v>
      </c>
      <c r="W61" s="4">
        <f t="shared" si="9"/>
        <v>77</v>
      </c>
      <c r="X61" s="868">
        <f t="shared" si="10"/>
        <v>77.857142857142861</v>
      </c>
      <c r="Y61" s="4"/>
      <c r="Z61" s="869" t="e">
        <f t="shared" si="11"/>
        <v>#DIV/0!</v>
      </c>
      <c r="AA61" s="4">
        <f>IF(H61*G61,LOOKUP(Z61,'Daniel''s Tables'!$Z$135:$Z$214,'Daniel''s Tables'!$AB$135:$AB$214),0)</f>
        <v>0</v>
      </c>
      <c r="AB61" s="869">
        <f t="shared" si="12"/>
        <v>0</v>
      </c>
      <c r="AC61" s="871">
        <f t="shared" si="6"/>
        <v>102.67284166666668</v>
      </c>
      <c r="AD61" s="838">
        <f t="shared" si="7"/>
        <v>14.667548809523812</v>
      </c>
      <c r="AE61" s="838"/>
    </row>
    <row r="62" spans="1:31" ht="15.75" customHeight="1" x14ac:dyDescent="0.2">
      <c r="A62" s="87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2.6124999999999998</v>
      </c>
      <c r="Q62" s="865"/>
      <c r="R62" s="4"/>
      <c r="T62" s="16">
        <f t="shared" si="5"/>
        <v>59.760000000000005</v>
      </c>
      <c r="U62" s="868">
        <f t="shared" si="8"/>
        <v>76.695714285714288</v>
      </c>
      <c r="V62" s="4">
        <v>70</v>
      </c>
      <c r="W62" s="4">
        <f t="shared" si="9"/>
        <v>76</v>
      </c>
      <c r="X62" s="868">
        <f t="shared" si="10"/>
        <v>77.714285714285708</v>
      </c>
      <c r="Y62" s="4"/>
      <c r="Z62" s="869" t="e">
        <f t="shared" si="11"/>
        <v>#DIV/0!</v>
      </c>
      <c r="AA62" s="4">
        <f>IF(H62*G62,LOOKUP(Z62,'Daniel''s Tables'!$Z$135:$Z$214,'Daniel''s Tables'!$AB$135:$AB$214),0)</f>
        <v>0</v>
      </c>
      <c r="AB62" s="869">
        <f t="shared" si="12"/>
        <v>0</v>
      </c>
      <c r="AC62" s="871">
        <f t="shared" si="6"/>
        <v>93.591175000000007</v>
      </c>
      <c r="AD62" s="838">
        <f t="shared" si="7"/>
        <v>13.370167857142858</v>
      </c>
      <c r="AE62" s="838"/>
    </row>
    <row r="63" spans="1:31" ht="15.75" customHeight="1" x14ac:dyDescent="0.2">
      <c r="A63" s="874"/>
      <c r="B63" s="6">
        <v>72</v>
      </c>
      <c r="C63" s="17">
        <f t="shared" si="0"/>
        <v>45870</v>
      </c>
      <c r="D63" s="6" t="s">
        <v>28</v>
      </c>
      <c r="E63" s="4" t="s">
        <v>442</v>
      </c>
      <c r="F63" s="6">
        <v>5</v>
      </c>
      <c r="G63" s="6"/>
      <c r="H63" s="29"/>
      <c r="I63" s="6" t="str">
        <f t="shared" si="14"/>
        <v>0:00</v>
      </c>
      <c r="J63" s="6"/>
      <c r="K63" s="6"/>
      <c r="L63" s="6" t="str">
        <f t="shared" si="2"/>
        <v>0:00</v>
      </c>
      <c r="M63" s="6"/>
      <c r="N63" s="28">
        <f>SUM(H58:H64)</f>
        <v>0.17026620370370371</v>
      </c>
      <c r="O63" s="16"/>
      <c r="P63" s="863">
        <f>N64+P56</f>
        <v>502.47</v>
      </c>
      <c r="Q63" s="866"/>
      <c r="R63" s="4"/>
      <c r="T63" s="16">
        <f t="shared" si="5"/>
        <v>52.26</v>
      </c>
      <c r="U63" s="868">
        <f t="shared" si="8"/>
        <v>72.404285714285706</v>
      </c>
      <c r="V63" s="4">
        <v>70</v>
      </c>
      <c r="W63" s="4">
        <f t="shared" si="9"/>
        <v>73</v>
      </c>
      <c r="X63" s="868">
        <f t="shared" si="10"/>
        <v>76.857142857142861</v>
      </c>
      <c r="Y63" s="4"/>
      <c r="Z63" s="869" t="e">
        <f t="shared" si="11"/>
        <v>#DIV/0!</v>
      </c>
      <c r="AA63" s="4">
        <f>IF(H63*G63,LOOKUP(Z63,'Daniel''s Tables'!$Z$135:$Z$214,'Daniel''s Tables'!$AB$135:$AB$214),0)</f>
        <v>0</v>
      </c>
      <c r="AB63" s="869">
        <f t="shared" si="12"/>
        <v>0</v>
      </c>
      <c r="AC63" s="871">
        <f t="shared" si="6"/>
        <v>87.37167500000001</v>
      </c>
      <c r="AD63" s="838">
        <f t="shared" si="7"/>
        <v>12.481667857142858</v>
      </c>
      <c r="AE63" s="838"/>
    </row>
    <row r="64" spans="1:31" ht="15.75" customHeight="1" x14ac:dyDescent="0.2">
      <c r="A64" s="87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32.159999999999997</v>
      </c>
      <c r="O64" s="16"/>
      <c r="P64" s="863">
        <f>M64+P57</f>
        <v>574</v>
      </c>
      <c r="Q64" s="862">
        <f>P63/P64</f>
        <v>0.87538327526132409</v>
      </c>
      <c r="R64" s="4"/>
      <c r="T64" s="16">
        <f t="shared" si="5"/>
        <v>32.159999999999997</v>
      </c>
      <c r="U64" s="868">
        <f t="shared" si="8"/>
        <v>65.239999999999995</v>
      </c>
      <c r="V64" s="4">
        <v>70</v>
      </c>
      <c r="W64" s="4">
        <f t="shared" si="9"/>
        <v>72</v>
      </c>
      <c r="X64" s="868">
        <f t="shared" si="10"/>
        <v>75.714285714285708</v>
      </c>
      <c r="Y64" s="4"/>
      <c r="Z64" s="869" t="e">
        <f t="shared" si="11"/>
        <v>#DIV/0!</v>
      </c>
      <c r="AA64" s="4">
        <f>IF(H64*G64,LOOKUP(Z64,'Daniel''s Tables'!$Z$135:$Z$214,'Daniel''s Tables'!$AB$135:$AB$214),0)</f>
        <v>0</v>
      </c>
      <c r="AB64" s="869">
        <f t="shared" si="12"/>
        <v>0</v>
      </c>
      <c r="AC64" s="871">
        <f t="shared" si="6"/>
        <v>38.258050000000004</v>
      </c>
      <c r="AD64" s="838">
        <f t="shared" si="7"/>
        <v>5.4654357142857153</v>
      </c>
      <c r="AE64" s="838">
        <f>AC64</f>
        <v>38.258050000000004</v>
      </c>
    </row>
    <row r="65" spans="1:31" ht="15.75" customHeight="1" x14ac:dyDescent="0.2">
      <c r="A65" s="87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25.14</v>
      </c>
      <c r="U65" s="868">
        <f t="shared" si="8"/>
        <v>56.93</v>
      </c>
      <c r="V65" s="4">
        <v>70</v>
      </c>
      <c r="W65" s="4">
        <f t="shared" si="9"/>
        <v>70</v>
      </c>
      <c r="X65" s="868">
        <f t="shared" si="10"/>
        <v>74.428571428571431</v>
      </c>
      <c r="Y65" s="4"/>
      <c r="Z65" s="869" t="e">
        <f t="shared" si="11"/>
        <v>#DIV/0!</v>
      </c>
      <c r="AA65" s="4">
        <f>IF(H65*G65,LOOKUP(Z65,'Daniel''s Tables'!$Z$135:$Z$214,'Daniel''s Tables'!$AB$135:$AB$214),0)</f>
        <v>0</v>
      </c>
      <c r="AB65" s="869">
        <f t="shared" si="12"/>
        <v>0</v>
      </c>
      <c r="AC65" s="871">
        <f t="shared" si="6"/>
        <v>32.446383333333337</v>
      </c>
      <c r="AD65" s="838">
        <f t="shared" si="7"/>
        <v>4.6351976190476192</v>
      </c>
      <c r="AE65" s="838"/>
    </row>
    <row r="66" spans="1:31" ht="15.75" customHeight="1" x14ac:dyDescent="0.2">
      <c r="A66" s="87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17.54</v>
      </c>
      <c r="U66" s="868">
        <f t="shared" si="8"/>
        <v>48.157142857142851</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26.403050000000004</v>
      </c>
      <c r="AD66" s="838">
        <f t="shared" si="7"/>
        <v>3.7718642857142863</v>
      </c>
      <c r="AE66" s="838"/>
    </row>
    <row r="67" spans="1:31" ht="15.75" customHeight="1" x14ac:dyDescent="0.2">
      <c r="A67" s="873"/>
      <c r="B67" s="854">
        <v>68</v>
      </c>
      <c r="C67" s="855">
        <f t="shared" si="0"/>
        <v>45874</v>
      </c>
      <c r="D67" s="854" t="s">
        <v>34</v>
      </c>
      <c r="E67" s="856" t="s">
        <v>501</v>
      </c>
      <c r="F67" s="854">
        <v>10</v>
      </c>
      <c r="G67" s="854"/>
      <c r="H67" s="857"/>
      <c r="I67" s="854" t="str">
        <f t="shared" si="14"/>
        <v>0:00</v>
      </c>
      <c r="J67" s="857"/>
      <c r="K67" s="854"/>
      <c r="L67" s="854" t="str">
        <f t="shared" si="2"/>
        <v>0:00</v>
      </c>
      <c r="M67" s="854"/>
      <c r="N67" s="854"/>
      <c r="O67" s="858"/>
      <c r="P67" s="863"/>
      <c r="Q67" s="864"/>
      <c r="R67" s="4"/>
      <c r="T67" s="16">
        <f t="shared" si="5"/>
        <v>0</v>
      </c>
      <c r="U67" s="868">
        <f t="shared" si="8"/>
        <v>36.851428571428578</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26.694285714285712</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2.6124999999999998</v>
      </c>
      <c r="Q69" s="865"/>
      <c r="R69" s="4"/>
      <c r="T69" s="16">
        <f t="shared" si="5"/>
        <v>0</v>
      </c>
      <c r="U69" s="868">
        <f t="shared" si="8"/>
        <v>18.157142857142855</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502.47</v>
      </c>
      <c r="Q70" s="866"/>
      <c r="R70" s="4"/>
      <c r="T70" s="16">
        <f t="shared" si="5"/>
        <v>0</v>
      </c>
      <c r="U70" s="868">
        <f t="shared" si="8"/>
        <v>10.691428571428572</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0.78266355140186916</v>
      </c>
      <c r="R71" s="4"/>
      <c r="T71" s="16">
        <f t="shared" si="5"/>
        <v>0</v>
      </c>
      <c r="U71" s="868">
        <f t="shared" si="8"/>
        <v>6.097142857142857</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2.5057142857142858</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7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7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7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7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2.6124999999999998</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7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502.47</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7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0.69594182825484774</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2.6124999999999998</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502.47</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0.63124371859296491</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2.6124999999999998</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502.47</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0.57888248847926271</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2.6124999999999998</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502.47</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0.53003164556962024</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74"/>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74"/>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74"/>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4"/>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2.6124999999999998</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502.47</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0.49165362035225052</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2.6124999999999998</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502.47</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0.46098165137614683</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2.6124999999999998</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502.47</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0.43466262975778547</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2.6124999999999998</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502.47</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0.41389621087314665</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2.6124999999999998</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502.47</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0.3991024622716442</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1" sqref="K41"/>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K9">
        <f>'2Q - 80'!N57</f>
        <v>82.31</v>
      </c>
      <c r="L9" s="838">
        <f t="shared" ref="L9:L12" si="3">(K9-K8)/((K9+K8)/2)*100</f>
        <v>18.184227965540089</v>
      </c>
    </row>
    <row r="10" spans="1:12" x14ac:dyDescent="0.2">
      <c r="A10">
        <v>8</v>
      </c>
      <c r="B10">
        <v>11</v>
      </c>
      <c r="C10" s="825">
        <v>0.9</v>
      </c>
      <c r="D10" s="825">
        <v>0.9</v>
      </c>
      <c r="E10" s="825">
        <v>0.9</v>
      </c>
      <c r="F10" s="825"/>
      <c r="G10">
        <f t="shared" si="1"/>
        <v>49.5</v>
      </c>
      <c r="H10">
        <f t="shared" si="0"/>
        <v>63</v>
      </c>
      <c r="I10">
        <f t="shared" si="2"/>
        <v>72</v>
      </c>
      <c r="K10">
        <f>'2Q - 80'!N64</f>
        <v>32.159999999999997</v>
      </c>
      <c r="L10" s="838">
        <f t="shared" si="3"/>
        <v>-87.621210797588901</v>
      </c>
    </row>
    <row r="11" spans="1:12" x14ac:dyDescent="0.2">
      <c r="A11">
        <v>9</v>
      </c>
      <c r="B11">
        <v>10</v>
      </c>
      <c r="C11" s="825">
        <v>0.9</v>
      </c>
      <c r="D11" s="825">
        <v>0.9</v>
      </c>
      <c r="E11" s="825">
        <v>0.8</v>
      </c>
      <c r="F11" s="825"/>
      <c r="G11">
        <f t="shared" si="1"/>
        <v>49.5</v>
      </c>
      <c r="H11">
        <f t="shared" si="0"/>
        <v>63</v>
      </c>
      <c r="I11">
        <f t="shared" si="2"/>
        <v>64</v>
      </c>
      <c r="K11">
        <f>'2Q - 80'!N71</f>
        <v>0</v>
      </c>
      <c r="L11" s="838">
        <f t="shared" si="3"/>
        <v>-200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
      <c r="A6" s="890"/>
      <c r="B6" s="825" t="s">
        <v>335</v>
      </c>
      <c r="C6" s="825" t="s">
        <v>354</v>
      </c>
      <c r="D6" s="838">
        <f>4+ (5*(1000/1600)) + (4*(400/1600)) +2</f>
        <v>10.125</v>
      </c>
      <c r="E6">
        <v>13</v>
      </c>
      <c r="F6" s="890"/>
      <c r="I6" s="890"/>
      <c r="J6" s="825" t="s">
        <v>335</v>
      </c>
      <c r="K6" s="825" t="s">
        <v>396</v>
      </c>
      <c r="L6">
        <v>15</v>
      </c>
      <c r="M6" s="889"/>
    </row>
    <row r="7" spans="1:13" x14ac:dyDescent="0.2">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5" thickBot="1" x14ac:dyDescent="0.25">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5" thickBot="1" x14ac:dyDescent="0.25">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25" thickTop="1" thickBot="1" x14ac:dyDescent="0.25">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5" thickBot="1" x14ac:dyDescent="0.25">
      <c r="B45" s="1203" t="s">
        <v>111</v>
      </c>
      <c r="C45" s="1204"/>
      <c r="D45" s="1204"/>
      <c r="E45" s="1204"/>
      <c r="F45" s="1204"/>
      <c r="G45" s="1204"/>
      <c r="H45" s="1204"/>
      <c r="I45" s="1204"/>
      <c r="J45" s="1204"/>
      <c r="K45" s="1204"/>
      <c r="L45" s="1204"/>
      <c r="M45" s="1204"/>
      <c r="N45" s="1204"/>
      <c r="O45" s="1204"/>
      <c r="P45" s="1204"/>
      <c r="Q45" s="1204"/>
      <c r="R45" s="120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5" thickBot="1" x14ac:dyDescent="0.25">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5" thickBot="1" x14ac:dyDescent="0.25">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25" thickTop="1" thickBot="1" x14ac:dyDescent="0.25">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5" thickBot="1" x14ac:dyDescent="0.25">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5" thickBot="1" x14ac:dyDescent="0.25">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5" thickBot="1" x14ac:dyDescent="0.25">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5" thickBot="1" x14ac:dyDescent="0.25">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5" thickBot="1" x14ac:dyDescent="0.25">
      <c r="B79" s="483"/>
      <c r="M79" s="484"/>
      <c r="N79" s="24"/>
      <c r="O79" s="485"/>
      <c r="P79" s="1100" t="s">
        <v>201</v>
      </c>
      <c r="Q79" s="1101"/>
      <c r="R79" s="486">
        <f>IF(AND($C$2&gt;0,$P$80&gt;0),IF($B$4,$P$80 / ($C$2/100)^2,$P$80 / $C$2^2*703),"")</f>
        <v>18.498158078143003</v>
      </c>
      <c r="T79" s="458"/>
      <c r="U79" s="458"/>
      <c r="V79" s="33"/>
      <c r="W79" s="33"/>
    </row>
    <row r="80" spans="2:28" ht="13.5" thickBot="1" x14ac:dyDescent="0.25">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25" thickTop="1" thickBot="1" x14ac:dyDescent="0.25">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5" thickTop="1" x14ac:dyDescent="0.2">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5" thickBot="1" x14ac:dyDescent="0.25">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3">
        <f>ROUND((-4.6 + 0.182258 * ((P85*IF(R86,1000,1))/Q85/1440*(IF(R86,1,1609.344))) + 0.000104 *((P85*IF(R86,1000,1))/Q85/1440*(IF(R86,1,1609.344)))^2)/R85,1)</f>
        <v>83.3</v>
      </c>
      <c r="Q86" s="1074"/>
      <c r="R86" s="520" t="b">
        <v>0</v>
      </c>
    </row>
    <row r="87" spans="2:23" ht="14.25" thickTop="1" thickBot="1" x14ac:dyDescent="0.25">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5" thickBot="1" x14ac:dyDescent="0.25">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25" thickTop="1" thickBot="1" x14ac:dyDescent="0.25">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5" thickBot="1" x14ac:dyDescent="0.25">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5" thickBot="1" x14ac:dyDescent="0.25">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5" thickBot="1" x14ac:dyDescent="0.25">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25" thickTop="1" thickBot="1" x14ac:dyDescent="0.25">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5" thickBot="1" x14ac:dyDescent="0.25">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25" thickTop="1" thickBot="1" x14ac:dyDescent="0.25">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5" thickBot="1" x14ac:dyDescent="0.25">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5" thickBot="1" x14ac:dyDescent="0.25">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5" thickBot="1" x14ac:dyDescent="0.25">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5" thickBot="1" x14ac:dyDescent="0.25">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25" thickTop="1" thickBot="1" x14ac:dyDescent="0.25">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5" thickBot="1" x14ac:dyDescent="0.25">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5" thickBot="1" x14ac:dyDescent="0.25">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5" thickBot="1" x14ac:dyDescent="0.25">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5" thickBot="1" x14ac:dyDescent="0.25">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25" thickTop="1" thickBot="1" x14ac:dyDescent="0.25">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5" thickBot="1" x14ac:dyDescent="0.25">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5" thickBot="1" x14ac:dyDescent="0.25">
      <c r="B113" s="667" t="s">
        <v>53</v>
      </c>
      <c r="C113" s="668">
        <v>201</v>
      </c>
      <c r="D113" s="669" t="s">
        <v>255</v>
      </c>
      <c r="E113" s="668">
        <v>53</v>
      </c>
      <c r="F113" s="669" t="s">
        <v>256</v>
      </c>
      <c r="G113" s="668">
        <v>155</v>
      </c>
      <c r="H113" s="670" t="s">
        <v>17</v>
      </c>
      <c r="I113" s="671">
        <v>0.31597222222222221</v>
      </c>
      <c r="J113" s="937" t="str">
        <f>"vVO2max  =  "&amp;TEXT(I113*(G113-E113)/(C113-E113),"h:mm")</f>
        <v>vVO2max  =  5:13</v>
      </c>
      <c r="K113" s="938"/>
      <c r="L113" s="939"/>
      <c r="N113" s="625"/>
      <c r="O113" s="625"/>
      <c r="P113" s="672">
        <v>188</v>
      </c>
      <c r="Q113" s="940">
        <f>P113*0.393700787</f>
        <v>74.015747955999998</v>
      </c>
      <c r="R113" s="941"/>
    </row>
    <row r="114" spans="2:34" ht="13.5" thickBot="1" x14ac:dyDescent="0.25">
      <c r="B114" s="673"/>
      <c r="C114" s="674"/>
      <c r="D114" s="674"/>
      <c r="E114" s="674"/>
      <c r="F114" s="674"/>
      <c r="G114" s="674"/>
      <c r="H114" s="674"/>
      <c r="I114" s="674"/>
      <c r="J114" s="674"/>
      <c r="K114" s="674"/>
      <c r="L114" s="675"/>
      <c r="N114" s="625"/>
      <c r="O114" s="625"/>
      <c r="P114" s="924" t="s">
        <v>257</v>
      </c>
      <c r="Q114" s="920"/>
      <c r="R114" s="921"/>
    </row>
    <row r="115" spans="2:34" ht="14.25" thickTop="1" thickBot="1" x14ac:dyDescent="0.25">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5" thickBot="1" x14ac:dyDescent="0.25">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5" thickBot="1" x14ac:dyDescent="0.25">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09" t="s">
        <v>290</v>
      </c>
      <c r="X131" s="910"/>
      <c r="Y131" s="910"/>
      <c r="Z131" s="910"/>
      <c r="AA131" s="910"/>
      <c r="AB131" s="910"/>
      <c r="AC131" s="910"/>
      <c r="AD131" s="910"/>
      <c r="AE131" s="910"/>
      <c r="AF131" s="910"/>
      <c r="AG131" s="91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2" t="s">
        <v>291</v>
      </c>
      <c r="AE133" s="913"/>
      <c r="AF133" s="91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5" thickBot="1" x14ac:dyDescent="0.25">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5" thickBot="1" x14ac:dyDescent="0.25">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5" thickBot="1" x14ac:dyDescent="0.25">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5" thickBot="1" x14ac:dyDescent="0.25">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5" thickBot="1" x14ac:dyDescent="0.25">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2" t="s">
        <v>310</v>
      </c>
      <c r="AG252" s="892"/>
    </row>
    <row r="253" spans="23:33" x14ac:dyDescent="0.2">
      <c r="Y253" s="892" t="s">
        <v>311</v>
      </c>
      <c r="Z253" s="892"/>
      <c r="AA253" s="892" t="s">
        <v>312</v>
      </c>
      <c r="AB253" s="892"/>
      <c r="AE253" s="805" t="s">
        <v>313</v>
      </c>
      <c r="AF253" s="806">
        <f>0.0015437*IF($L$80,($N$95*9/5)+32,$N$95)-0.09108933</f>
        <v>3.2406670000000012E-2</v>
      </c>
      <c r="AG253" s="807">
        <f ca="1">IF($M$102,MAX(AF253*$O$91,0),0)</f>
        <v>6.6384485996385633E-4</v>
      </c>
    </row>
    <row r="254" spans="23:33" x14ac:dyDescent="0.2">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2" t="s">
        <v>324</v>
      </c>
      <c r="AG261" s="892"/>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2025-07-30T16:23:59Z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