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9727A9BC-0B78-4666-914D-08B2915F98DE}"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9" l="1"/>
  <c r="K55" i="9"/>
  <c r="H55" i="9"/>
  <c r="G55" i="9"/>
  <c r="J53" i="9"/>
  <c r="H52" i="9"/>
  <c r="G52" i="9"/>
  <c r="I50" i="9"/>
  <c r="H49" i="9"/>
  <c r="G49" i="9"/>
  <c r="J48" i="9"/>
  <c r="J43" i="9"/>
  <c r="AA21" i="9"/>
  <c r="AB21" i="9" s="1"/>
  <c r="AA22" i="9"/>
  <c r="AB22" i="9"/>
  <c r="AA58" i="9"/>
  <c r="AB58" i="9" s="1"/>
  <c r="AA59" i="9"/>
  <c r="AB59" i="9" s="1"/>
  <c r="AA60" i="9"/>
  <c r="AB60" i="9" s="1"/>
  <c r="AA61" i="9"/>
  <c r="AB61" i="9" s="1"/>
  <c r="AA62" i="9"/>
  <c r="AB62" i="9" s="1"/>
  <c r="AA63" i="9"/>
  <c r="AB63" i="9" s="1"/>
  <c r="AA64" i="9"/>
  <c r="AB64" i="9" s="1"/>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<sst xmlns="http://schemas.openxmlformats.org/spreadsheetml/2006/main" count="1246" uniqueCount="501">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</sst>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18" fontId="1" fillId="36" borderId="0" xfId="0" applyNumberFormat="1" applyFont="1" applyFill="1" applyAlignment="1">
      <alignment horizont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54.709999999999994</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74.8</c:v>
                </c:pt>
                <c:pt idx="49">
                  <c:v>54.709999999999994</c:v>
                </c:pt>
                <c:pt idx="50">
                  <c:v>48.69</c:v>
                </c:pt>
                <c:pt idx="51">
                  <c:v>36.730000000000004</c:v>
                </c:pt>
                <c:pt idx="52">
                  <c:v>19.38</c:v>
                </c:pt>
                <c:pt idx="53">
                  <c:v>11.34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75.599999999999994</c:v>
                </c:pt>
                <c:pt idx="49" formatCode="0">
                  <c:v>73.617142857142852</c:v>
                </c:pt>
                <c:pt idx="50" formatCode="0">
                  <c:v>70.790000000000006</c:v>
                </c:pt>
                <c:pt idx="51" formatCode="0">
                  <c:v>65.702857142857141</c:v>
                </c:pt>
                <c:pt idx="52" formatCode="0">
                  <c:v>56.861428571428576</c:v>
                </c:pt>
                <c:pt idx="53" formatCode="0">
                  <c:v>46.594285714285711</c:v>
                </c:pt>
                <c:pt idx="54" formatCode="0">
                  <c:v>35.092857142857142</c:v>
                </c:pt>
                <c:pt idx="55" formatCode="0">
                  <c:v>24.407142857142855</c:v>
                </c:pt>
                <c:pt idx="56" formatCode="0">
                  <c:v>16.591428571428573</c:v>
                </c:pt>
                <c:pt idx="57" formatCode="0">
                  <c:v>9.6357142857142861</c:v>
                </c:pt>
                <c:pt idx="58" formatCode="0">
                  <c:v>4.3885714285714288</c:v>
                </c:pt>
                <c:pt idx="59" formatCode="0">
                  <c:v>1.6199999999999999</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74.8</c:v>
                      </c:pt>
                      <c:pt idx="49">
                        <c:v>54.709999999999994</c:v>
                      </c:pt>
                      <c:pt idx="50">
                        <c:v>48.69</c:v>
                      </c:pt>
                      <c:pt idx="51">
                        <c:v>36.730000000000004</c:v>
                      </c:pt>
                      <c:pt idx="52">
                        <c:v>19.38</c:v>
                      </c:pt>
                      <c:pt idx="53">
                        <c:v>11.34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106.60384166666665</c:v>
                </c:pt>
                <c:pt idx="43">
                  <c:v>77.520508333333325</c:v>
                </c:pt>
                <c:pt idx="44">
                  <c:v>70.353666666666669</c:v>
                </c:pt>
                <c:pt idx="45">
                  <c:v>60.663666666666657</c:v>
                </c:pt>
                <c:pt idx="46">
                  <c:v>19.467916666666667</c:v>
                </c:pt>
                <c:pt idx="47">
                  <c:v>9.081666666666667</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74.8</c:v>
                </c:pt>
                <c:pt idx="49">
                  <c:v>54.709999999999994</c:v>
                </c:pt>
                <c:pt idx="50">
                  <c:v>48.69</c:v>
                </c:pt>
                <c:pt idx="51">
                  <c:v>36.730000000000004</c:v>
                </c:pt>
                <c:pt idx="52">
                  <c:v>19.38</c:v>
                </c:pt>
                <c:pt idx="53">
                  <c:v>11.34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106.60384166666665</c:v>
                </c:pt>
                <c:pt idx="49" formatCode="0.0">
                  <c:v>77.520508333333325</c:v>
                </c:pt>
                <c:pt idx="50" formatCode="0.0">
                  <c:v>70.353666666666669</c:v>
                </c:pt>
                <c:pt idx="51" formatCode="0.0">
                  <c:v>60.663666666666657</c:v>
                </c:pt>
                <c:pt idx="52" formatCode="0.0">
                  <c:v>19.467916666666667</c:v>
                </c:pt>
                <c:pt idx="53" formatCode="0.0">
                  <c:v>9.081666666666667</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42" activePane="bottomLeft" state="frozen"/>
      <selection pane="bottomLeft" activeCell="G56" sqref="G5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
      <c r="A50" s="88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
      <c r="A51" s="88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
      <c r="A52" s="88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
      <c r="A53" s="88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
      <c r="A54" s="88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
      <c r="A55" s="883"/>
      <c r="B55" s="854">
        <v>80</v>
      </c>
      <c r="C55" s="855">
        <f t="shared" si="0"/>
        <v>45862</v>
      </c>
      <c r="D55" s="854" t="s">
        <v>27</v>
      </c>
      <c r="E55" s="856" t="s">
        <v>437</v>
      </c>
      <c r="F55" s="854">
        <v>10</v>
      </c>
      <c r="G55" s="854">
        <f>7.5+3.84</f>
        <v>11.34</v>
      </c>
      <c r="H55" s="857">
        <f>TIME(0,55,52) + TIME(0,34,57)</f>
        <v>6.3067129629629626E-2</v>
      </c>
      <c r="I55" s="854" t="str">
        <f t="shared" si="13"/>
        <v>8:01</v>
      </c>
      <c r="J55" s="1244">
        <f>TIME(0,0,62) +TIME(0,0,75) + 4*(TIME(0,0,80)) + TIME(0,0,74) + TIME(0,0,79) + TIME(0,0,81) + TIME(0,0,56)</f>
        <v>8.6458333333333335E-3</v>
      </c>
      <c r="K55" s="854">
        <f>0.25*10</f>
        <v>2.5</v>
      </c>
      <c r="L55" s="854" t="str">
        <f t="shared" si="2"/>
        <v>4:59</v>
      </c>
      <c r="M55" s="854"/>
      <c r="N55" s="859"/>
      <c r="O55" s="858" t="s">
        <v>500</v>
      </c>
      <c r="P55" s="861">
        <f>N56+P48</f>
        <v>2.3112268518518522</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
      <c r="A56" s="88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0.28092592592592591</v>
      </c>
      <c r="O56" s="858"/>
      <c r="P56" s="863">
        <f>N57+P49</f>
        <v>442.71</v>
      </c>
      <c r="Q56" s="866"/>
      <c r="R56" s="4"/>
      <c r="T56" s="16">
        <f t="shared" si="5"/>
        <v>74.8</v>
      </c>
      <c r="U56" s="868">
        <f t="shared" si="8"/>
        <v>75.599999999999994</v>
      </c>
      <c r="V56" s="4">
        <v>70</v>
      </c>
      <c r="W56" s="4">
        <f t="shared" si="9"/>
        <v>79</v>
      </c>
      <c r="X56" s="868">
        <f t="shared" si="10"/>
        <v>76.857142857142861</v>
      </c>
      <c r="Y56" s="4"/>
      <c r="Z56" s="869" t="e">
        <f t="shared" si="11"/>
        <v>#DIV/0!</v>
      </c>
      <c r="AA56" s="4">
        <f>IF(H56*G56,LOOKUP(Z56,'Daniel''s Tables'!$Z$135:$Z$214,'Daniel''s Tables'!$AB$135:$AB$214),0)</f>
        <v>0</v>
      </c>
      <c r="AB56" s="869">
        <f t="shared" si="12"/>
        <v>0</v>
      </c>
      <c r="AC56" s="871">
        <f t="shared" si="6"/>
        <v>106.60384166666665</v>
      </c>
      <c r="AD56" s="838">
        <f t="shared" si="7"/>
        <v>15.229120238095236</v>
      </c>
      <c r="AE56" s="838"/>
    </row>
    <row r="57" spans="1:31" ht="15.75" customHeight="1" x14ac:dyDescent="0.2">
      <c r="A57" s="88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54.709999999999994</v>
      </c>
      <c r="O57" s="858"/>
      <c r="P57" s="863">
        <f>M57+P50</f>
        <v>502</v>
      </c>
      <c r="Q57" s="862">
        <f>P56/P57</f>
        <v>0.88189243027888442</v>
      </c>
      <c r="R57" s="4"/>
      <c r="T57" s="16">
        <f t="shared" si="5"/>
        <v>54.709999999999994</v>
      </c>
      <c r="U57" s="868">
        <f t="shared" si="8"/>
        <v>73.617142857142852</v>
      </c>
      <c r="V57" s="4">
        <v>70</v>
      </c>
      <c r="W57" s="4">
        <f t="shared" si="9"/>
        <v>80</v>
      </c>
      <c r="X57" s="868">
        <f t="shared" si="10"/>
        <v>78.285714285714292</v>
      </c>
      <c r="Y57" s="4"/>
      <c r="Z57" s="869" t="e">
        <f t="shared" si="11"/>
        <v>#DIV/0!</v>
      </c>
      <c r="AA57" s="4">
        <f>IF(H57*G57,LOOKUP(Z57,'Daniel''s Tables'!$Z$135:$Z$214,'Daniel''s Tables'!$AB$135:$AB$214),0)</f>
        <v>0</v>
      </c>
      <c r="AB57" s="869">
        <f t="shared" si="12"/>
        <v>0</v>
      </c>
      <c r="AC57" s="871">
        <f t="shared" si="6"/>
        <v>77.520508333333325</v>
      </c>
      <c r="AD57" s="838">
        <f t="shared" si="7"/>
        <v>11.074358333333333</v>
      </c>
      <c r="AE57" s="838">
        <f>AC57</f>
        <v>77.520508333333325</v>
      </c>
    </row>
    <row r="58" spans="1:31" ht="15.75" customHeight="1" x14ac:dyDescent="0.2">
      <c r="A58" s="88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48.69</v>
      </c>
      <c r="U58" s="868">
        <f t="shared" si="8"/>
        <v>70.790000000000006</v>
      </c>
      <c r="V58" s="4">
        <v>70</v>
      </c>
      <c r="W58" s="4">
        <f t="shared" si="9"/>
        <v>79</v>
      </c>
      <c r="X58" s="868">
        <f t="shared" si="10"/>
        <v>79.285714285714292</v>
      </c>
      <c r="Y58" s="4"/>
      <c r="Z58" s="869" t="e">
        <f t="shared" si="11"/>
        <v>#DIV/0!</v>
      </c>
      <c r="AA58" s="4">
        <f>IF(H58*G58,LOOKUP(Z58,'Daniel''s Tables'!$Z$135:$Z$214,'Daniel''s Tables'!$AB$135:$AB$214),0)</f>
        <v>0</v>
      </c>
      <c r="AB58" s="869">
        <f t="shared" si="12"/>
        <v>0</v>
      </c>
      <c r="AC58" s="871">
        <f t="shared" si="6"/>
        <v>70.353666666666669</v>
      </c>
      <c r="AD58" s="838">
        <f t="shared" si="7"/>
        <v>10.05052380952381</v>
      </c>
      <c r="AE58" s="838"/>
    </row>
    <row r="59" spans="1:31" ht="15.75" customHeight="1" x14ac:dyDescent="0.2">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36.730000000000004</v>
      </c>
      <c r="U59" s="868">
        <f t="shared" si="8"/>
        <v>65.702857142857141</v>
      </c>
      <c r="V59" s="4">
        <v>70</v>
      </c>
      <c r="W59" s="4">
        <f t="shared" si="9"/>
        <v>76</v>
      </c>
      <c r="X59" s="868">
        <f t="shared" si="10"/>
        <v>79.571428571428569</v>
      </c>
      <c r="Y59" s="4"/>
      <c r="Z59" s="869" t="e">
        <f t="shared" si="11"/>
        <v>#DIV/0!</v>
      </c>
      <c r="AA59" s="4">
        <f>IF(H59*G59,LOOKUP(Z59,'Daniel''s Tables'!$Z$135:$Z$214,'Daniel''s Tables'!$AB$135:$AB$214),0)</f>
        <v>0</v>
      </c>
      <c r="AB59" s="869">
        <f t="shared" si="12"/>
        <v>0</v>
      </c>
      <c r="AC59" s="871">
        <f t="shared" si="6"/>
        <v>60.663666666666657</v>
      </c>
      <c r="AD59" s="838">
        <f t="shared" si="7"/>
        <v>8.6662380952380946</v>
      </c>
      <c r="AE59" s="838"/>
    </row>
    <row r="60" spans="1:31" ht="15.75" customHeight="1" x14ac:dyDescent="0.2">
      <c r="A60" s="88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19.38</v>
      </c>
      <c r="U60" s="868">
        <f t="shared" si="8"/>
        <v>56.861428571428576</v>
      </c>
      <c r="V60" s="4">
        <v>70</v>
      </c>
      <c r="W60" s="4">
        <f t="shared" si="9"/>
        <v>77</v>
      </c>
      <c r="X60" s="868">
        <f t="shared" si="10"/>
        <v>78.857142857142861</v>
      </c>
      <c r="Y60" s="4"/>
      <c r="Z60" s="869" t="e">
        <f t="shared" si="11"/>
        <v>#DIV/0!</v>
      </c>
      <c r="AA60" s="4">
        <f>IF(H60*G60,LOOKUP(Z60,'Daniel''s Tables'!$Z$135:$Z$214,'Daniel''s Tables'!$AB$135:$AB$214),0)</f>
        <v>0</v>
      </c>
      <c r="AB60" s="869">
        <f t="shared" si="12"/>
        <v>0</v>
      </c>
      <c r="AC60" s="871">
        <f t="shared" si="6"/>
        <v>19.467916666666667</v>
      </c>
      <c r="AD60" s="838">
        <f t="shared" si="7"/>
        <v>2.7811309523809524</v>
      </c>
      <c r="AE60" s="838"/>
    </row>
    <row r="61" spans="1:31" ht="15.75" customHeight="1" x14ac:dyDescent="0.2">
      <c r="A61" s="88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11.34</v>
      </c>
      <c r="U61" s="868">
        <f t="shared" si="8"/>
        <v>46.594285714285711</v>
      </c>
      <c r="V61" s="4">
        <v>70</v>
      </c>
      <c r="W61" s="4">
        <f t="shared" si="9"/>
        <v>77</v>
      </c>
      <c r="X61" s="868">
        <f t="shared" si="10"/>
        <v>77.857142857142861</v>
      </c>
      <c r="Y61" s="4"/>
      <c r="Z61" s="869" t="e">
        <f t="shared" si="11"/>
        <v>#DIV/0!</v>
      </c>
      <c r="AA61" s="4">
        <f>IF(H61*G61,LOOKUP(Z61,'Daniel''s Tables'!$Z$135:$Z$214,'Daniel''s Tables'!$AB$135:$AB$214),0)</f>
        <v>0</v>
      </c>
      <c r="AB61" s="869">
        <f t="shared" si="12"/>
        <v>0</v>
      </c>
      <c r="AC61" s="871">
        <f t="shared" si="6"/>
        <v>9.081666666666667</v>
      </c>
      <c r="AD61" s="838">
        <f t="shared" si="7"/>
        <v>1.2973809523809525</v>
      </c>
      <c r="AE61" s="838"/>
    </row>
    <row r="62" spans="1:31" ht="15.75" customHeight="1" x14ac:dyDescent="0.2">
      <c r="A62" s="88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2.3112268518518522</v>
      </c>
      <c r="Q62" s="865"/>
      <c r="R62" s="4"/>
      <c r="T62" s="16">
        <f t="shared" si="5"/>
        <v>0</v>
      </c>
      <c r="U62" s="868">
        <f t="shared" si="8"/>
        <v>35.092857142857142</v>
      </c>
      <c r="V62" s="4">
        <v>70</v>
      </c>
      <c r="W62" s="4">
        <f t="shared" si="9"/>
        <v>76</v>
      </c>
      <c r="X62" s="868">
        <f t="shared" si="10"/>
        <v>77.714285714285708</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
      <c r="A63" s="88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442.71</v>
      </c>
      <c r="Q63" s="866"/>
      <c r="R63" s="4"/>
      <c r="T63" s="16">
        <f t="shared" si="5"/>
        <v>0</v>
      </c>
      <c r="U63" s="868">
        <f t="shared" si="8"/>
        <v>24.407142857142855</v>
      </c>
      <c r="V63" s="4">
        <v>70</v>
      </c>
      <c r="W63" s="4">
        <f t="shared" si="9"/>
        <v>73</v>
      </c>
      <c r="X63" s="868">
        <f t="shared" si="10"/>
        <v>76.857142857142861</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
      <c r="A64" s="88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0.77127177700348426</v>
      </c>
      <c r="R64" s="4"/>
      <c r="T64" s="16">
        <f t="shared" si="5"/>
        <v>0</v>
      </c>
      <c r="U64" s="868">
        <f t="shared" si="8"/>
        <v>16.591428571428573</v>
      </c>
      <c r="V64" s="4">
        <v>70</v>
      </c>
      <c r="W64" s="4">
        <f t="shared" si="9"/>
        <v>72</v>
      </c>
      <c r="X64" s="868">
        <f t="shared" si="10"/>
        <v>75.714285714285708</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
      <c r="A65" s="88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9.6357142857142861</v>
      </c>
      <c r="V65" s="4">
        <v>70</v>
      </c>
      <c r="W65" s="4">
        <f t="shared" si="9"/>
        <v>70</v>
      </c>
      <c r="X65" s="868">
        <f t="shared" si="10"/>
        <v>74.428571428571431</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
      <c r="A66" s="88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4.3885714285714288</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
      <c r="A67" s="88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1.6199999999999999</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2.3112268518518522</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442.71</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0.68957943925233645</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8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8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8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8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2.3112268518518522</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8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442.71</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8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0.61317174515235451</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2.3112268518518522</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442.71</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0.55616834170854268</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2.3112268518518522</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442.71</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0.51003456221198151</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2.3112268518518522</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442.71</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0.46699367088607591</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8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8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8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8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2.3112268518518522</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442.71</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0.43318003913894321</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2.3112268518518522</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442.71</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0.40615596330275228</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2.3112268518518522</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442.71</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0.38296712802768162</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2.3112268518518522</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442.71</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0.36467051070840195</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2.3112268518518522</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442.71</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0.35163621922160443</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1" sqref="K41"/>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K9">
        <f>'2Q - 80'!N57</f>
        <v>54.709999999999994</v>
      </c>
      <c r="L9" s="838">
        <f t="shared" ref="L9:L12" si="3">(K9-K8)/((K9+K8)/2)*100</f>
        <v>-22.514193025141946</v>
      </c>
    </row>
    <row r="10" spans="1:12" x14ac:dyDescent="0.2">
      <c r="A10">
        <v>8</v>
      </c>
      <c r="B10">
        <v>11</v>
      </c>
      <c r="C10" s="825">
        <v>0.9</v>
      </c>
      <c r="D10" s="825">
        <v>0.9</v>
      </c>
      <c r="E10" s="825">
        <v>0.9</v>
      </c>
      <c r="F10" s="825"/>
      <c r="G10">
        <f t="shared" si="1"/>
        <v>49.5</v>
      </c>
      <c r="H10">
        <f t="shared" si="0"/>
        <v>63</v>
      </c>
      <c r="I10">
        <f t="shared" si="2"/>
        <v>72</v>
      </c>
      <c r="K10">
        <f>'2Q - 80'!N64</f>
        <v>0</v>
      </c>
      <c r="L10" s="838">
        <f t="shared" si="3"/>
        <v>-200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
      <c r="A4" s="889"/>
      <c r="B4" s="825" t="s">
        <v>335</v>
      </c>
      <c r="C4" s="825" t="s">
        <v>337</v>
      </c>
      <c r="D4" s="838">
        <f>8+3+2+3</f>
        <v>16</v>
      </c>
      <c r="E4">
        <v>15</v>
      </c>
      <c r="F4" s="889"/>
      <c r="I4" s="889"/>
      <c r="J4" s="825" t="s">
        <v>335</v>
      </c>
      <c r="K4" s="825" t="s">
        <v>391</v>
      </c>
      <c r="L4">
        <v>17</v>
      </c>
      <c r="M4" s="889"/>
    </row>
    <row r="5" spans="1:13" x14ac:dyDescent="0.2">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
      <c r="A6" s="889"/>
      <c r="B6" s="825" t="s">
        <v>335</v>
      </c>
      <c r="C6" s="825" t="s">
        <v>354</v>
      </c>
      <c r="D6" s="838">
        <f>4+ (5*(1000/1600)) + (4*(400/1600)) +2</f>
        <v>10.125</v>
      </c>
      <c r="E6">
        <v>13</v>
      </c>
      <c r="F6" s="889"/>
      <c r="I6" s="889"/>
      <c r="J6" s="825" t="s">
        <v>335</v>
      </c>
      <c r="K6" s="825" t="s">
        <v>396</v>
      </c>
      <c r="L6">
        <v>15</v>
      </c>
      <c r="M6" s="890"/>
    </row>
    <row r="7" spans="1:13" x14ac:dyDescent="0.2">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
      <c r="A8" s="889"/>
      <c r="B8" s="825" t="s">
        <v>335</v>
      </c>
      <c r="C8" s="825" t="s">
        <v>341</v>
      </c>
      <c r="D8" s="838">
        <f>6+3+2+1+1</f>
        <v>13</v>
      </c>
      <c r="E8">
        <v>14</v>
      </c>
      <c r="F8" s="889"/>
      <c r="I8" s="889"/>
      <c r="J8" s="825" t="s">
        <v>335</v>
      </c>
      <c r="K8" s="825" t="s">
        <v>394</v>
      </c>
      <c r="L8">
        <v>17</v>
      </c>
      <c r="M8" s="889"/>
    </row>
    <row r="9" spans="1:13" x14ac:dyDescent="0.2">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
      <c r="A10" s="889"/>
      <c r="B10" s="825" t="s">
        <v>335</v>
      </c>
      <c r="C10" s="825" t="s">
        <v>342</v>
      </c>
      <c r="D10" s="839">
        <f>(40/7.5) + (3*2) + (2*1) + 1</f>
        <v>14.333333333333332</v>
      </c>
      <c r="E10">
        <v>15</v>
      </c>
      <c r="F10" s="889"/>
      <c r="I10" s="889"/>
      <c r="J10" s="825" t="s">
        <v>335</v>
      </c>
      <c r="K10" s="825" t="s">
        <v>399</v>
      </c>
      <c r="L10">
        <v>16</v>
      </c>
      <c r="M10" s="889"/>
    </row>
    <row r="11" spans="1:13" x14ac:dyDescent="0.2">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
      <c r="A12" s="889"/>
      <c r="B12" s="825" t="s">
        <v>335</v>
      </c>
      <c r="C12" s="825" t="s">
        <v>348</v>
      </c>
      <c r="D12" s="838">
        <f xml:space="preserve"> 8+(6*(1/1.6))+2</f>
        <v>13.75</v>
      </c>
      <c r="E12">
        <v>14</v>
      </c>
      <c r="F12" s="889"/>
      <c r="I12" s="889"/>
      <c r="J12" s="825" t="s">
        <v>335</v>
      </c>
      <c r="K12" s="825" t="s">
        <v>401</v>
      </c>
      <c r="L12">
        <v>17</v>
      </c>
      <c r="M12" s="889"/>
    </row>
    <row r="13" spans="1:13" x14ac:dyDescent="0.2">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
      <c r="A14" s="889"/>
      <c r="B14" s="825" t="s">
        <v>335</v>
      </c>
      <c r="C14" s="825" t="s">
        <v>351</v>
      </c>
      <c r="D14" s="838">
        <f>(40/7.5)+3+(2*2)+2</f>
        <v>14.333333333333332</v>
      </c>
      <c r="E14">
        <v>15</v>
      </c>
      <c r="F14" s="889"/>
      <c r="I14" s="889"/>
      <c r="J14" s="825" t="s">
        <v>335</v>
      </c>
      <c r="K14" s="825" t="s">
        <v>398</v>
      </c>
      <c r="L14">
        <v>17</v>
      </c>
      <c r="M14" s="889"/>
    </row>
    <row r="15" spans="1:13" x14ac:dyDescent="0.2">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
      <c r="A16" s="889"/>
      <c r="B16" s="825" t="s">
        <v>335</v>
      </c>
      <c r="C16" s="825" t="s">
        <v>352</v>
      </c>
      <c r="D16" s="838">
        <f>4+3+2+2+1+2</f>
        <v>14</v>
      </c>
      <c r="E16">
        <v>14</v>
      </c>
      <c r="F16" s="889"/>
      <c r="I16" s="889"/>
      <c r="J16" s="825" t="s">
        <v>335</v>
      </c>
      <c r="K16" s="825" t="s">
        <v>403</v>
      </c>
      <c r="L16">
        <v>15</v>
      </c>
      <c r="M16" s="889"/>
    </row>
    <row r="17" spans="1:13" x14ac:dyDescent="0.2">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
      <c r="A18" s="889"/>
      <c r="B18" s="825" t="s">
        <v>335</v>
      </c>
      <c r="C18" s="825" t="s">
        <v>355</v>
      </c>
      <c r="D18" s="838">
        <f>8+(5*(1/1.6))+(4*0.25)+1</f>
        <v>13.125</v>
      </c>
      <c r="E18">
        <v>15</v>
      </c>
      <c r="F18" s="889"/>
      <c r="I18" s="889"/>
      <c r="J18" s="825" t="s">
        <v>335</v>
      </c>
      <c r="K18" s="825" t="s">
        <v>405</v>
      </c>
      <c r="L18">
        <v>17</v>
      </c>
      <c r="M18" s="889"/>
    </row>
    <row r="19" spans="1:13" x14ac:dyDescent="0.2">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
      <c r="A20" s="889"/>
      <c r="B20" s="825" t="s">
        <v>335</v>
      </c>
      <c r="C20" s="825" t="s">
        <v>358</v>
      </c>
      <c r="D20" s="838">
        <f>2+12+2</f>
        <v>16</v>
      </c>
      <c r="E20">
        <v>16</v>
      </c>
      <c r="F20" s="889"/>
      <c r="I20" s="889"/>
      <c r="J20" s="825" t="s">
        <v>335</v>
      </c>
      <c r="K20" s="825" t="s">
        <v>406</v>
      </c>
      <c r="L20">
        <v>18</v>
      </c>
      <c r="M20" s="889"/>
    </row>
    <row r="21" spans="1:13" x14ac:dyDescent="0.2">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
      <c r="A22" s="889"/>
      <c r="B22" s="825" t="s">
        <v>335</v>
      </c>
      <c r="C22" s="825" t="s">
        <v>360</v>
      </c>
      <c r="D22" s="838">
        <f>5+(4*2)+2</f>
        <v>15</v>
      </c>
      <c r="E22">
        <v>15</v>
      </c>
      <c r="F22" s="889"/>
      <c r="I22" s="889"/>
      <c r="J22" s="825" t="s">
        <v>335</v>
      </c>
      <c r="K22" s="825" t="s">
        <v>408</v>
      </c>
      <c r="L22">
        <v>16</v>
      </c>
      <c r="M22" s="889"/>
    </row>
    <row r="23" spans="1:13" x14ac:dyDescent="0.2">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
      <c r="A24" s="889"/>
      <c r="B24" s="825" t="s">
        <v>335</v>
      </c>
      <c r="C24" s="825" t="s">
        <v>348</v>
      </c>
      <c r="D24" s="838">
        <f xml:space="preserve"> 8+(6*(1/1.6))+2</f>
        <v>13.75</v>
      </c>
      <c r="E24">
        <v>16</v>
      </c>
      <c r="F24" s="889"/>
      <c r="I24" s="889"/>
      <c r="J24" s="825" t="s">
        <v>335</v>
      </c>
      <c r="K24" s="825" t="s">
        <v>410</v>
      </c>
      <c r="L24">
        <v>17</v>
      </c>
      <c r="M24" s="889"/>
    </row>
    <row r="25" spans="1:13" x14ac:dyDescent="0.2">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
      <c r="A26" s="889"/>
      <c r="B26" s="825" t="s">
        <v>335</v>
      </c>
      <c r="C26" s="825" t="s">
        <v>365</v>
      </c>
      <c r="D26" s="838">
        <f>2+8+(2*2)+2</f>
        <v>16</v>
      </c>
      <c r="E26">
        <v>16</v>
      </c>
      <c r="F26" s="889"/>
      <c r="I26" s="889"/>
      <c r="J26" s="825" t="s">
        <v>335</v>
      </c>
      <c r="K26" s="825" t="s">
        <v>412</v>
      </c>
      <c r="L26">
        <v>15</v>
      </c>
      <c r="M26" s="889"/>
    </row>
    <row r="27" spans="1:13" x14ac:dyDescent="0.2">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
      <c r="A28" s="889"/>
      <c r="B28" s="825" t="s">
        <v>335</v>
      </c>
      <c r="C28" s="825" t="s">
        <v>367</v>
      </c>
      <c r="D28" s="839">
        <f>(40/7.5) + (4*2) + (2*1) + 1</f>
        <v>16.333333333333332</v>
      </c>
      <c r="E28">
        <v>17</v>
      </c>
      <c r="F28" s="889"/>
      <c r="I28" s="889"/>
      <c r="J28" s="825" t="s">
        <v>335</v>
      </c>
      <c r="K28" s="825" t="s">
        <v>414</v>
      </c>
      <c r="L28">
        <v>14</v>
      </c>
      <c r="M28" s="889"/>
    </row>
    <row r="29" spans="1:13" x14ac:dyDescent="0.2">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
      <c r="A30" s="889"/>
      <c r="B30" s="825" t="s">
        <v>335</v>
      </c>
      <c r="C30" s="825" t="s">
        <v>369</v>
      </c>
      <c r="D30" s="838">
        <f>8+(5*(1/1.6))+(6*0.125)+1</f>
        <v>12.875</v>
      </c>
      <c r="E30">
        <v>16</v>
      </c>
      <c r="F30" s="889"/>
      <c r="I30" s="889"/>
      <c r="J30" s="825" t="s">
        <v>335</v>
      </c>
      <c r="K30" s="825" t="s">
        <v>416</v>
      </c>
      <c r="L30">
        <v>14</v>
      </c>
      <c r="M30" s="889"/>
    </row>
    <row r="31" spans="1:13" x14ac:dyDescent="0.2">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
      <c r="A32" s="889"/>
      <c r="B32" s="825" t="s">
        <v>335</v>
      </c>
      <c r="C32" s="825" t="s">
        <v>371</v>
      </c>
      <c r="D32" s="838">
        <f>6+(5*(1/1.6))+4</f>
        <v>13.125</v>
      </c>
      <c r="E32">
        <v>15</v>
      </c>
      <c r="F32" s="889"/>
      <c r="I32" s="889"/>
      <c r="J32" s="825" t="s">
        <v>335</v>
      </c>
      <c r="K32" s="825" t="s">
        <v>417</v>
      </c>
      <c r="L32">
        <v>12</v>
      </c>
      <c r="M32" s="889"/>
    </row>
    <row r="33" spans="1:13" x14ac:dyDescent="0.2">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
      <c r="A34" s="889"/>
      <c r="B34" s="825" t="s">
        <v>335</v>
      </c>
      <c r="C34" s="825" t="s">
        <v>373</v>
      </c>
      <c r="D34" s="838">
        <f>2+(4*2)+2</f>
        <v>12</v>
      </c>
      <c r="E34">
        <v>12</v>
      </c>
      <c r="F34" s="889"/>
      <c r="I34" s="889"/>
      <c r="J34" s="825" t="s">
        <v>335</v>
      </c>
      <c r="K34" s="825" t="s">
        <v>420</v>
      </c>
      <c r="L34">
        <v>12</v>
      </c>
      <c r="M34" s="889"/>
    </row>
    <row r="35" spans="1:13" x14ac:dyDescent="0.2">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
      <c r="A36" s="889"/>
      <c r="B36" s="825" t="s">
        <v>335</v>
      </c>
      <c r="C36" s="825" t="s">
        <v>375</v>
      </c>
      <c r="D36" s="838">
        <f>3+1+2+1+2+2</f>
        <v>11</v>
      </c>
      <c r="E36">
        <v>11</v>
      </c>
      <c r="F36" s="889"/>
      <c r="I36" s="889"/>
      <c r="J36" s="825" t="s">
        <v>335</v>
      </c>
      <c r="K36" s="825" t="s">
        <v>421</v>
      </c>
      <c r="L36">
        <v>12</v>
      </c>
      <c r="M36" s="889"/>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5" thickBot="1" x14ac:dyDescent="0.25">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5" thickBot="1" x14ac:dyDescent="0.25">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25" thickTop="1" thickBot="1" x14ac:dyDescent="0.25">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5" thickBot="1" x14ac:dyDescent="0.25">
      <c r="B45" s="934" t="s">
        <v>111</v>
      </c>
      <c r="C45" s="935"/>
      <c r="D45" s="935"/>
      <c r="E45" s="935"/>
      <c r="F45" s="935"/>
      <c r="G45" s="935"/>
      <c r="H45" s="935"/>
      <c r="I45" s="935"/>
      <c r="J45" s="935"/>
      <c r="K45" s="935"/>
      <c r="L45" s="935"/>
      <c r="M45" s="935"/>
      <c r="N45" s="935"/>
      <c r="O45" s="935"/>
      <c r="P45" s="935"/>
      <c r="Q45" s="935"/>
      <c r="R45" s="93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5" thickBot="1" x14ac:dyDescent="0.25">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5" thickBot="1" x14ac:dyDescent="0.25">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25" thickTop="1" thickBot="1" x14ac:dyDescent="0.25">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5" thickBot="1" x14ac:dyDescent="0.25">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5" thickBot="1" x14ac:dyDescent="0.25">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5" thickBot="1" x14ac:dyDescent="0.25">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5" thickBot="1" x14ac:dyDescent="0.25">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5" thickBot="1" x14ac:dyDescent="0.25">
      <c r="B79" s="483"/>
      <c r="M79" s="484"/>
      <c r="N79" s="24"/>
      <c r="O79" s="485"/>
      <c r="P79" s="1020" t="s">
        <v>201</v>
      </c>
      <c r="Q79" s="1021"/>
      <c r="R79" s="486">
        <f>IF(AND($C$2&gt;0,$P$80&gt;0),IF($B$4,$P$80 / ($C$2/100)^2,$P$80 / $C$2^2*703),"")</f>
        <v>18.498158078143003</v>
      </c>
      <c r="T79" s="458"/>
      <c r="U79" s="458"/>
      <c r="V79" s="33"/>
      <c r="W79" s="33"/>
    </row>
    <row r="80" spans="2:28" ht="13.5" thickBot="1" x14ac:dyDescent="0.25">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25" thickTop="1" thickBot="1" x14ac:dyDescent="0.25">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5" thickTop="1" x14ac:dyDescent="0.2">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5" thickBot="1" x14ac:dyDescent="0.25">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5">
        <f>ROUND((-4.6 + 0.182258 * ((P85*IF(R86,1000,1))/Q85/1440*(IF(R86,1,1609.344))) + 0.000104 *((P85*IF(R86,1000,1))/Q85/1440*(IF(R86,1,1609.344)))^2)/R85,1)</f>
        <v>83.3</v>
      </c>
      <c r="Q86" s="1076"/>
      <c r="R86" s="520" t="b">
        <v>0</v>
      </c>
    </row>
    <row r="87" spans="2:23" ht="14.25" thickTop="1" thickBot="1" x14ac:dyDescent="0.25">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5" thickBot="1" x14ac:dyDescent="0.25">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25" thickTop="1" thickBot="1" x14ac:dyDescent="0.25">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5" thickBot="1" x14ac:dyDescent="0.25">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5" thickBot="1" x14ac:dyDescent="0.25">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5" thickBot="1" x14ac:dyDescent="0.25">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25" thickTop="1" thickBot="1" x14ac:dyDescent="0.25">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5" thickBot="1" x14ac:dyDescent="0.25">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25" thickTop="1" thickBot="1" x14ac:dyDescent="0.25">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5" thickBot="1" x14ac:dyDescent="0.25">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5" thickBot="1" x14ac:dyDescent="0.25">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5" thickBot="1" x14ac:dyDescent="0.25">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5" thickBot="1" x14ac:dyDescent="0.25">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25" thickTop="1" thickBot="1" x14ac:dyDescent="0.25">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5" thickBot="1" x14ac:dyDescent="0.25">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5" thickBot="1" x14ac:dyDescent="0.25">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5" thickBot="1" x14ac:dyDescent="0.25">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5" thickBot="1" x14ac:dyDescent="0.25">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25" thickTop="1" thickBot="1" x14ac:dyDescent="0.25">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5" thickBot="1" x14ac:dyDescent="0.25">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5" thickBot="1" x14ac:dyDescent="0.25">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5" thickBot="1" x14ac:dyDescent="0.25">
      <c r="B114" s="673"/>
      <c r="C114" s="674"/>
      <c r="D114" s="674"/>
      <c r="E114" s="674"/>
      <c r="F114" s="674"/>
      <c r="G114" s="674"/>
      <c r="H114" s="674"/>
      <c r="I114" s="674"/>
      <c r="J114" s="674"/>
      <c r="K114" s="674"/>
      <c r="L114" s="675"/>
      <c r="N114" s="625"/>
      <c r="O114" s="625"/>
      <c r="P114" s="1215" t="s">
        <v>257</v>
      </c>
      <c r="Q114" s="1185"/>
      <c r="R114" s="1186"/>
    </row>
    <row r="115" spans="2:34" ht="14.25" thickTop="1" thickBot="1" x14ac:dyDescent="0.25">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5" thickBot="1" x14ac:dyDescent="0.25">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5" thickBot="1" x14ac:dyDescent="0.25">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29" t="s">
        <v>290</v>
      </c>
      <c r="X131" s="1230"/>
      <c r="Y131" s="1230"/>
      <c r="Z131" s="1230"/>
      <c r="AA131" s="1230"/>
      <c r="AB131" s="1230"/>
      <c r="AC131" s="1230"/>
      <c r="AD131" s="1230"/>
      <c r="AE131" s="1230"/>
      <c r="AF131" s="1230"/>
      <c r="AG131" s="123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2" t="s">
        <v>291</v>
      </c>
      <c r="AE133" s="1233"/>
      <c r="AF133" s="123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5" thickBot="1" x14ac:dyDescent="0.25">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5" thickBot="1" x14ac:dyDescent="0.25">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5" thickBot="1" x14ac:dyDescent="0.25">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5" thickBot="1" x14ac:dyDescent="0.25">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5" thickBot="1" x14ac:dyDescent="0.25">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5" t="s">
        <v>310</v>
      </c>
      <c r="AG252" s="1235"/>
    </row>
    <row r="253" spans="23:33" x14ac:dyDescent="0.2">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5" t="s">
        <v>324</v>
      </c>
      <c r="AG261" s="1235"/>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2025-07-25T17:48:24Z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