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69F4FBFA-F33B-4361-85EE-44985FA2C8DB}" xr6:coauthVersionLast="47" xr6:coauthVersionMax="47" xr10:uidLastSave="{00000000-0000-0000-0000-000000000000}"/>
  <bookViews>
    <workbookView xWindow="2868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2" i="9" l="1"/>
  <c r="J99" i="9"/>
  <c r="K99" i="9"/>
  <c r="J96" i="9"/>
  <c r="H96" i="9"/>
  <c r="G96" i="9"/>
  <c r="J95" i="9"/>
  <c r="K95" i="9"/>
  <c r="K90" i="9"/>
  <c r="J90" i="9"/>
  <c r="K88" i="9"/>
  <c r="J88" i="9"/>
  <c r="K4" i="7" l="1"/>
  <c r="J85" i="9"/>
  <c r="J81" i="9"/>
  <c r="K81" i="9"/>
  <c r="J75"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117" i="9"/>
  <c r="AD118" i="9"/>
  <c r="AD119"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8" i="9"/>
  <c r="AB78" i="9" s="1"/>
  <c r="AA103" i="9"/>
  <c r="AB103" i="9"/>
  <c r="AA104" i="9"/>
  <c r="AB104" i="9" s="1"/>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113" i="9"/>
  <c r="AC123" i="9"/>
  <c r="AC124" i="9"/>
  <c r="AC126" i="9"/>
  <c r="AC125" i="9"/>
  <c r="AC116" i="9"/>
  <c r="AC135" i="9"/>
  <c r="AC112" i="9"/>
  <c r="AC133" i="9"/>
  <c r="AC121" i="9"/>
  <c r="AC120" i="9"/>
  <c r="AC109" i="9"/>
  <c r="AC119" i="9"/>
  <c r="AC111" i="9"/>
  <c r="AC110" i="9"/>
  <c r="AD116" i="9" s="1"/>
  <c r="AC128" i="9"/>
  <c r="AC118" i="9"/>
  <c r="AC134" i="9"/>
  <c r="AC132" i="9"/>
  <c r="AC122" i="9"/>
  <c r="AC130" i="9"/>
  <c r="AC117" i="9"/>
  <c r="AC131" i="9"/>
  <c r="AC127"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D115" i="9" l="1"/>
  <c r="AE113" i="9"/>
  <c r="AE120"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AA99" i="9" s="1"/>
  <c r="AB99" i="9" s="1"/>
  <c r="Z66" i="9"/>
  <c r="AA66" i="9" s="1"/>
  <c r="AB66" i="9" s="1"/>
  <c r="Z23" i="9"/>
  <c r="AA23" i="9" s="1"/>
  <c r="AB23" i="9" s="1"/>
  <c r="Z45" i="9"/>
  <c r="AA45" i="9" s="1"/>
  <c r="AB45" i="9" s="1"/>
  <c r="Z14" i="9"/>
  <c r="AA14" i="9" s="1"/>
  <c r="AB14" i="9" s="1"/>
  <c r="Z60" i="9"/>
  <c r="AA60" i="9" s="1"/>
  <c r="AB60" i="9" s="1"/>
  <c r="Z118" i="9"/>
  <c r="Z28" i="9"/>
  <c r="AA28" i="9" s="1"/>
  <c r="AB28" i="9" s="1"/>
  <c r="Z94" i="9"/>
  <c r="AA94" i="9" s="1"/>
  <c r="AB94" i="9" s="1"/>
  <c r="Z54" i="9"/>
  <c r="AA54" i="9" s="1"/>
  <c r="AB54" i="9" s="1"/>
  <c r="Z101" i="9"/>
  <c r="AA101" i="9" s="1"/>
  <c r="AB101" i="9" s="1"/>
  <c r="Z12" i="9"/>
  <c r="AA12" i="9" s="1"/>
  <c r="AB12" i="9" s="1"/>
  <c r="Z107" i="9"/>
  <c r="Z73" i="9"/>
  <c r="AA73" i="9" s="1"/>
  <c r="AB73" i="9" s="1"/>
  <c r="Z37" i="9"/>
  <c r="AA37" i="9" s="1"/>
  <c r="AB37" i="9" s="1"/>
  <c r="Z110" i="9"/>
  <c r="Z77" i="9"/>
  <c r="AA77" i="9" s="1"/>
  <c r="AB77" i="9" s="1"/>
  <c r="Z39" i="9"/>
  <c r="AA39" i="9" s="1"/>
  <c r="AB39" i="9" s="1"/>
  <c r="Z17" i="9"/>
  <c r="AA17" i="9" s="1"/>
  <c r="AB17" i="9" s="1"/>
  <c r="Z96" i="9"/>
  <c r="AA96" i="9" s="1"/>
  <c r="AB96" i="9" s="1"/>
  <c r="Z86" i="9"/>
  <c r="AA86" i="9" s="1"/>
  <c r="AB86" i="9" s="1"/>
  <c r="Z106" i="9"/>
  <c r="Z95" i="9"/>
  <c r="AA95" i="9" s="1"/>
  <c r="AB95" i="9" s="1"/>
  <c r="Z18" i="9"/>
  <c r="AA18" i="9" s="1"/>
  <c r="AB18" i="9" s="1"/>
  <c r="AC24" i="9" s="1"/>
  <c r="Z68" i="9"/>
  <c r="AA68" i="9" s="1"/>
  <c r="AB68" i="9" s="1"/>
  <c r="Z97" i="9"/>
  <c r="AA97" i="9" s="1"/>
  <c r="AB97" i="9" s="1"/>
  <c r="Z125" i="9"/>
  <c r="Z85" i="9"/>
  <c r="AA85" i="9" s="1"/>
  <c r="AB85" i="9" s="1"/>
  <c r="Z64" i="9"/>
  <c r="AA64" i="9" s="1"/>
  <c r="AB64" i="9" s="1"/>
  <c r="Z88" i="9"/>
  <c r="AA88" i="9" s="1"/>
  <c r="AB88" i="9" s="1"/>
  <c r="Z100" i="9"/>
  <c r="AA100" i="9" s="1"/>
  <c r="AB100" i="9" s="1"/>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AA83" i="9" s="1"/>
  <c r="AB83" i="9" s="1"/>
  <c r="Z20" i="9"/>
  <c r="AA20" i="9" s="1"/>
  <c r="AB20" i="9" s="1"/>
  <c r="Z22" i="9"/>
  <c r="Z51" i="9"/>
  <c r="AA51" i="9" s="1"/>
  <c r="AB51" i="9" s="1"/>
  <c r="Z134" i="9"/>
  <c r="Z78" i="9"/>
  <c r="Z49" i="9"/>
  <c r="AA49" i="9" s="1"/>
  <c r="AB49" i="9" s="1"/>
  <c r="Z135" i="9"/>
  <c r="Z108" i="9"/>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Z102" i="9"/>
  <c r="AA102" i="9" s="1"/>
  <c r="AB102" i="9" s="1"/>
  <c r="AC108" i="9" s="1"/>
  <c r="AD114" i="9" s="1"/>
  <c r="Z132" i="9"/>
  <c r="Z111" i="9"/>
  <c r="Z11" i="9"/>
  <c r="AA11" i="9" s="1"/>
  <c r="AB11" i="9" s="1"/>
  <c r="AC17" i="9" s="1"/>
  <c r="Z89" i="9"/>
  <c r="AA89" i="9" s="1"/>
  <c r="AB89" i="9" s="1"/>
  <c r="Z105" i="9"/>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Z93" i="9"/>
  <c r="AA93" i="9" s="1"/>
  <c r="AB93" i="9" s="1"/>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AC32" i="9" s="1"/>
  <c r="Z131" i="9"/>
  <c r="Z92" i="9"/>
  <c r="AA92" i="9" s="1"/>
  <c r="AB92" i="9" s="1"/>
  <c r="Z44" i="9"/>
  <c r="AA44" i="9" s="1"/>
  <c r="AB44" i="9" s="1"/>
  <c r="Z47" i="9"/>
  <c r="AA47" i="9" s="1"/>
  <c r="AB47" i="9" s="1"/>
  <c r="Z114" i="9"/>
  <c r="Z55" i="9"/>
  <c r="AA55" i="9" s="1"/>
  <c r="AB55" i="9" s="1"/>
  <c r="Z76" i="9"/>
  <c r="AA76" i="9" s="1"/>
  <c r="AB76" i="9" s="1"/>
  <c r="Z41" i="9"/>
  <c r="AA41" i="9" s="1"/>
  <c r="AB41" i="9" s="1"/>
  <c r="Z43" i="9"/>
  <c r="AA43" i="9" s="1"/>
  <c r="AB43" i="9" s="1"/>
  <c r="Z104" i="9"/>
  <c r="Z90" i="9"/>
  <c r="AA90" i="9" s="1"/>
  <c r="AB90" i="9" s="1"/>
  <c r="Z62" i="9"/>
  <c r="AA62" i="9" s="1"/>
  <c r="AB62" i="9" s="1"/>
  <c r="Z24" i="9"/>
  <c r="AA24" i="9" s="1"/>
  <c r="AB24" i="9" s="1"/>
  <c r="Z57" i="9"/>
  <c r="AA57" i="9" s="1"/>
  <c r="AB57" i="9" s="1"/>
  <c r="Z103" i="9"/>
  <c r="Z72" i="9"/>
  <c r="AA72" i="9" s="1"/>
  <c r="AB72" i="9" s="1"/>
  <c r="Z91" i="9"/>
  <c r="AA91" i="9" s="1"/>
  <c r="AB91" i="9" s="1"/>
  <c r="Z61" i="9"/>
  <c r="AA61" i="9" s="1"/>
  <c r="AB61" i="9" s="1"/>
  <c r="Z109" i="9"/>
  <c r="Z115" i="9"/>
  <c r="Z74" i="9"/>
  <c r="AA74" i="9" s="1"/>
  <c r="AB74" i="9" s="1"/>
  <c r="Z25" i="9"/>
  <c r="AA25" i="9" s="1"/>
  <c r="AB25" i="9" s="1"/>
  <c r="Z126" i="9"/>
  <c r="Z129" i="9"/>
  <c r="Z98" i="9"/>
  <c r="AA98" i="9" s="1"/>
  <c r="AB98" i="9" s="1"/>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106" i="9" l="1"/>
  <c r="AC107" i="9"/>
  <c r="AD113" i="9" s="1"/>
  <c r="AD112" i="9"/>
  <c r="AE106" i="9"/>
  <c r="AC105" i="9"/>
  <c r="AD111" i="9" s="1"/>
  <c r="AC104" i="9"/>
  <c r="AD110" i="9"/>
  <c r="AC103" i="9"/>
  <c r="AD109" i="9" s="1"/>
  <c r="AC102" i="9"/>
  <c r="AD108" i="9" s="1"/>
  <c r="AC101" i="9"/>
  <c r="AC100" i="9"/>
  <c r="AC99" i="9"/>
  <c r="AC97" i="9"/>
  <c r="AC98" i="9"/>
  <c r="AC95" i="9"/>
  <c r="AC96" i="9"/>
  <c r="AC94" i="9"/>
  <c r="AC93" i="9"/>
  <c r="AC91" i="9"/>
  <c r="AC92" i="9"/>
  <c r="AC90" i="9"/>
  <c r="AE92" i="9"/>
  <c r="AC88" i="9"/>
  <c r="AC89" i="9"/>
  <c r="AC86" i="9"/>
  <c r="AC87" i="9"/>
  <c r="AC84" i="9"/>
  <c r="AC85" i="9"/>
  <c r="AC83" i="9"/>
  <c r="AC82" i="9"/>
  <c r="AC77" i="9"/>
  <c r="AC81" i="9"/>
  <c r="AC80" i="9"/>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104" i="9" l="1"/>
  <c r="AD107" i="9"/>
  <c r="AD105" i="9"/>
  <c r="AE99" i="9"/>
  <c r="AD106" i="9"/>
  <c r="AD98" i="9"/>
  <c r="AD101" i="9"/>
  <c r="AD100" i="9"/>
  <c r="AD102" i="9"/>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<sst xmlns="http://schemas.openxmlformats.org/spreadsheetml/2006/main" count="1246" uniqueCount="506">
  <si>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</si>
  <si>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</si>
  <si>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</si>
  <si>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</si>
  <si>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</si>
  <si>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</si>
  <si>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</si>
  <si>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</si>
  <si>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</si>
  <si>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</si>
  <si>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</si>
  <si>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</si>
  <si>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</si>
  <si>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</si>
  <si>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</si>
  <si>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</si>
  <si>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</si>
  <si>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</si>
  <si>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</si>
  <si>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</si>
  <si>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</si>
  <si>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</si>
  <si>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</si>
  <si>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</si>
  <si>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</si>
  <si>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</si>
  <si>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</si>
  <si>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</si>
  <si>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</si>
  <si>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</si>
  <si>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</si>
  <si>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</si>
  <si>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</si>
  <si>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</si>
  <si>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</si>
  <si>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</si>
  <si>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</si>
  <si>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</si>
  <si>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</si>
  <si>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</si>
  <si>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</si>
  <si>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</si>
  <si>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</si>
  <si>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</si>
  <si>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</si>
  <si>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</si>
  <si>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</si>
  <si>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</si>
  <si>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</si>
  <si>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</si>
  <si>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</si>
  <si>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</si>
  <si>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</si>
  <si>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</si>
  <si>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</si>
  <si>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</si>
  <si>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</si>
  <si>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</si>
  <si>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</si>
  <si>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</si>
  <si>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</si>
  <si>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</si>
  <si>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</si>
  <si>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</si>
  <si>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</si>
  <si>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</si>
  <si>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</si>
  <si>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</si>
  <si>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</si>
  <si>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</si>
  <si>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</si>
  <si>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</si>
  <si>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</si>
  <si>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</si>
  <si>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</si>
  <si>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</si>
  <si>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</si>
  <si>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</si>
  <si>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</si>
  <si>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</si>
  <si>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</si>
  <si>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</si>
  <si>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</si>
  <si>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</si>
  <si>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</si>
  <si>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</si>
  <si>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</si>
  <si>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</si>
  <si>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</si>
  <si>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</si>
  <si>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</si>
  <si>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</si>
  <si>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</si>
  <si>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</si>
  <si>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</si>
  <si>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</si>
  <si>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</si>
  <si>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</si>
  <si>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</si>
  <si>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</si>
  <si>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</si>
  <si>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</si>
  <si>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</si>
  <si>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</si>
  <si>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</si>
  <si>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</si>
  <si>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</si>
  <si>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</si>
  <si>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</si>
  <si>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</si>
  <si>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</si>
  <si>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</si>
  <si>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</si>
  <si>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</si>
  <si>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</si>
  <si>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</si>
  <si>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</si>
  <si>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</si>
  <si>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</si>
  <si>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</si>
  <si>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</si>
  <si>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</si>
  <si>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</si>
  <si>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</si>
  <si>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</si>
  <si>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</si>
  <si>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</si>
  <si>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</si>
  <si>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</si>
  <si>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</si>
  <si>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</si>
  <si>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</si>
  <si>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</si>
  <si>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</si>
  <si>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</si>
  <si>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</si>
  <si>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</si>
  <si>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</si>
  <si>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</si>
  <si>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</si>
  <si>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</si>
  <si>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</si>
  <si>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</si>
  <si>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</si>
  <si>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</si>
  <si>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</si>
  <si>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</si>
  <si>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</si>
  <si>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</si>
  <si>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</si>
  <si>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</si>
  <si>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</si>
  <si>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</si>
  <si>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</si>
  <si>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</si>
  <si>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</si>
  <si>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</si>
  <si>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</si>
  <si>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</si>
  <si>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</si>
  <si>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</si>
  <si>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</si>
  <si>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</si>
  <si>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</si>
  <si>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</si>
  <si>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</si>
  <si>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</si>
  <si>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</si>
  <si>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</si>
  <si>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</si>
  <si>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</si>
  <si>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</si>
  <si>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</si>
  <si>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</si>
  <si>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</si>
  <si>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</si>
  <si>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</si>
  <si>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</si>
  <si>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</si>
  <si>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</si>
  <si>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</si>
  <si>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</si>
  <si>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</si>
  <si>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</si>
  <si>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</si>
  <si>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</si>
  <si>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</si>
  <si>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</si>
  <si>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</si>
  <si>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</si>
  <si>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</si>
  <si>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</si>
  <si>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</si>
  <si>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</si>
  <si>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</si>
  <si>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</si>
  <si>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</si>
  <si>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</si>
  <si>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</si>
  <si>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</si>
  <si>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</si>
  <si>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</si>
  <si>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</si>
  <si>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</si>
  <si>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</si>
  <si>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</si>
  <si>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</si>
  <si>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</si>
  <si>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</si>
  <si>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</si>
  <si>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</si>
  <si>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</si>
  <si>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</si>
  <si>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</si>
  <si>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</si>
  <si>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</si>
  <si>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</si>
  <si>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</si>
  <si>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</si>
  <si>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</si>
  <si>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</si>
  <si>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</si>
  <si>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</si>
  <si>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</si>
  <si>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</si>
  <si>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</si>
  <si>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</si>
  <si>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</si>
  <si>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</si>
  <si>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</si>
  <si>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</si>
  <si>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</si>
  <si>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</si>
  <si>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</si>
  <si>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</si>
  <si>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</si>
  <si>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</si>
  <si>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</si>
  <si>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</si>
  <si>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</si>
  <si>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</si>
  <si>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</si>
  <si>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</si>
  <si>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</si>
  <si>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</si>
  <si>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</si>
  <si>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</si>
  <si>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</si>
  <si>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</si>
  <si>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</si>
  <si>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</si>
  <si>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</si>
  <si>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</si>
  <si>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</si>
  <si>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</si>
  <si>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</si>
  <si>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</si>
  <si>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</si>
  <si>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</si>
  <si>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</si>
  <si>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</si>
  <si>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</si>
  <si>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</si>
  <si>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</si>
  <si>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</si>
  <si>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</si>
  <si>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</si>
  <si>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</si>
  <si>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</si>
  <si>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</si>
  <si>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</si>
  <si>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</si>
  <si>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</si>
  <si>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</si>
  <si>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</si>
  <si>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</si>
  <si>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</si>
  <si>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</si>
  <si>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</si>
  <si>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</si>
  <si>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</si>
  <si>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</si>
  <si>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</si>
  <si>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</si>
  <si>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</si>
  <si>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</si>
  <si>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</si>
  <si>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</si>
  <si>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</si>
  <si>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</si>
  <si>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</si>
  <si>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</si>
  <si>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</si>
  <si>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</si>
  <si>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</si>
  <si>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</si>
  <si>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</si>
  <si>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</si>
  <si>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</si>
  <si>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</si>
  <si>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</si>
  <si>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</si>
  <si>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</si>
  <si>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</si>
  <si>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</si>
  <si>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</si>
  <si>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</si>
  <si>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</si>
  <si>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</si>
  <si>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</si>
  <si>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</si>
  <si>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</si>
  <si>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</si>
  <si>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</si>
  <si>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</si>
  <si>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</si>
  <si>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</si>
  <si>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</si>
  <si>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</si>
  <si>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</si>
  <si>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</si>
  <si>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</si>
  <si>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</si>
  <si>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</si>
  <si>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</si>
  <si>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</si>
  <si>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</si>
  <si>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</si>
  <si>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</si>
  <si>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</si>
  <si>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</si>
  <si>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</si>
  <si>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</si>
  <si>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</si>
  <si>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</si>
  <si>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</si>
  <si>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</si>
  <si>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</si>
  <si>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</si>
  <si>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</si>
  <si>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</si>
  <si>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</si>
  <si>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</si>
  <si>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</si>
  <si>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</si>
  <si>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</si>
  <si>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</si>
  <si>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</si>
  <si>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</si>
  <si>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</si>
  <si>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</si>
  <si>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</si>
  <si>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</si>
  <si>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</si>
  <si>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</si>
  <si>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</si>
  <si>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</si>
  <si>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</si>
  <si>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</si>
  <si>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</si>
  <si>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</si>
  <si>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</si>
  <si>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</si>
  <si>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</si>
  <si>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</si>
  <si>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</si>
  <si>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</si>
  <si>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</si>
  <si>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</si>
  <si>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</si>
  <si>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</si>
  <si>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</si>
  <si>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</si>
  <si>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</si>
  <si>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</si>
  <si>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</si>
  <si>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</si>
  <si>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</si>
  <si>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</si>
  <si>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</si>
  <si>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</si>
  <si>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</si>
  <si>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</si>
  <si>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</si>
  <si>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</si>
  <si>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</si>
  <si>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</si>
  <si>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</si>
  <si>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</si>
  <si>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</si>
  <si>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</si>
  <si>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</si>
  <si>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</si>
  <si>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</si>
  <si>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</si>
  <si>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</si>
  <si>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</si>
  <si>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</si>
  <si>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</si>
  <si>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</si>
  <si>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</si>
  <si>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</si>
  <si>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</si>
  <si>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</si>
  <si>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</si>
  <si>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</si>
  <si>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</si>
  <si>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</si>
  <si>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</si>
  <si>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</si>
  <si>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</si>
  <si>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</si>
  <si>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</si>
  <si>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</si>
  <si>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</si>
  <si>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</si>
  <si>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</si>
  <si>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</si>
  <si>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</si>
  <si>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</si>
  <si>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</si>
  <si>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</si>
  <si>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</si>
  <si>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</si>
  <si>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</si>
  <si>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</si>
  <si>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</si>
  <si>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</si>
  <si>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</si>
  <si>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</si>
  <si>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</si>
  <si>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</si>
  <si>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</si>
  <si>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</si>
  <si>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</si>
  <si>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</si>
  <si>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</si>
  <si>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</si>
  <si>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</si>
  <si>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</si>
  <si>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</si>
  <si>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</si>
  <si>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</si>
  <si>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</si>
  <si>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</si>
  <si>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</si>
  <si>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</si>
  <si>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</si>
  <si>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</si>
  <si>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</si>
  <si>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</si>
  <si>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</si>
  <si>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</si>
  <si>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</si>
  <si>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</si>
  <si>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</si>
  <si>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</si>
  <si>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</si>
  <si>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</si>
  <si>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</si>
  <si>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</si>
  <si>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</si>
  <si>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</si>
  <si>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</si>
  <si>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</si>
  <si>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</si>
  <si>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</si>
  <si>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</si>
  <si>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</si>
  <si>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</si>
  <si>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</si>
  <si>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</si>
  <si>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</si>
  <si>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</si>
  <si>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</si>
  <si>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</si>
  <si>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</si>
  <si>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</si>
  <si>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</si>
  <si>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</si>
  <si>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</si>
  <si>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</si>
  <si>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</si>
  <si>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</si>
  <si>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</si>
  <si>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</si>
  <si>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</si>
  <si>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</si>
  <si>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</si>
  <si>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</si>
  <si>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</si>
  <si>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</si>
  <si>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</si>
  <si>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</si>
  <si>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</si>
  <si>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</si>
  <si>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</si>
  <si>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</si>
  <si>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</si>
  <si>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</si>
  <si>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</si>
  <si>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</si>
  <si>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</si>
  <si>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</si>
  <si>
    <t>2E + 8M + 1T + 4M + 1T + 1M +2E</t>
  </si>
  <si>
    <t>10E (or shorter tempo)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</si>
</sst>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6">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177" fontId="1" fillId="0" borderId="0" xfId="0" applyNumberFormat="1" applyFont="1" applyAlignment="1">
      <alignment horizontal="center"/>
    </xf>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80.349999999999994</c:v>
                </c:pt>
                <c:pt idx="13">
                  <c:v>30.86</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66.02</c:v>
                </c:pt>
                <c:pt idx="96">
                  <c:v>55.91</c:v>
                </c:pt>
                <c:pt idx="97">
                  <c:v>50.870000000000005</c:v>
                </c:pt>
                <c:pt idx="98">
                  <c:v>30.86</c:v>
                </c:pt>
                <c:pt idx="99">
                  <c:v>23.11</c:v>
                </c:pt>
                <c:pt idx="100">
                  <c:v>12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76</c:v>
                </c:pt>
                <c:pt idx="93">
                  <c:v>72</c:v>
                </c:pt>
                <c:pt idx="94">
                  <c:v>70</c:v>
                </c:pt>
                <c:pt idx="95">
                  <c:v>70</c:v>
                </c:pt>
                <c:pt idx="96">
                  <c:v>68</c:v>
                </c:pt>
                <c:pt idx="97">
                  <c:v>66</c:v>
                </c:pt>
                <c:pt idx="98">
                  <c:v>68</c:v>
                </c:pt>
                <c:pt idx="99">
                  <c:v>64</c:v>
                </c:pt>
                <c:pt idx="100">
                  <c:v>66</c:v>
                </c:pt>
                <c:pt idx="101">
                  <c:v>66</c:v>
                </c:pt>
                <c:pt idx="102">
                  <c:v>67</c:v>
                </c:pt>
                <c:pt idx="103">
                  <c:v>65</c:v>
                </c:pt>
                <c:pt idx="104">
                  <c:v>78</c:v>
                </c:pt>
                <c:pt idx="105">
                  <c:v>66</c:v>
                </c:pt>
                <c:pt idx="106">
                  <c:v>66</c:v>
                </c:pt>
                <c:pt idx="107">
                  <c:v>63</c:v>
                </c:pt>
                <c:pt idx="108">
                  <c:v>63</c:v>
                </c:pt>
                <c:pt idx="109">
                  <c:v>61</c:v>
                </c:pt>
                <c:pt idx="110">
                  <c:v>61</c:v>
                </c:pt>
                <c:pt idx="111">
                  <c:v>48</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77.285714285714292</c:v>
                      </c:pt>
                      <c:pt idx="100" formatCode="0">
                        <c:v>76.142857142857139</c:v>
                      </c:pt>
                      <c:pt idx="101" formatCode="0">
                        <c:v>74.714285714285708</c:v>
                      </c:pt>
                      <c:pt idx="102" formatCode="0">
                        <c:v>73.714285714285708</c:v>
                      </c:pt>
                      <c:pt idx="103" formatCode="0">
                        <c:v>72.428571428571431</c:v>
                      </c:pt>
                      <c:pt idx="104" formatCode="0">
                        <c:v>70.857142857142861</c:v>
                      </c:pt>
                      <c:pt idx="105" formatCode="0">
                        <c:v>70</c:v>
                      </c:pt>
                      <c:pt idx="106" formatCode="0">
                        <c:v>68.285714285714292</c:v>
                      </c:pt>
                      <c:pt idx="107" formatCode="0">
                        <c:v>67.428571428571431</c:v>
                      </c:pt>
                      <c:pt idx="108" formatCode="0">
                        <c:v>66.857142857142861</c:v>
                      </c:pt>
                      <c:pt idx="109" formatCode="0">
                        <c:v>66.428571428571431</c:v>
                      </c:pt>
                      <c:pt idx="110" formatCode="0">
                        <c:v>66</c:v>
                      </c:pt>
                      <c:pt idx="111" formatCode="0">
                        <c:v>67.714285714285708</c:v>
                      </c:pt>
                      <c:pt idx="112" formatCode="0">
                        <c:v>67.428571428571431</c:v>
                      </c:pt>
                      <c:pt idx="113" formatCode="0">
                        <c:v>67.714285714285708</c:v>
                      </c:pt>
                      <c:pt idx="114" formatCode="0">
                        <c:v>67.285714285714292</c:v>
                      </c:pt>
                      <c:pt idx="115" formatCode="0">
                        <c:v>66.857142857142861</c:v>
                      </c:pt>
                      <c:pt idx="116" formatCode="0">
                        <c:v>66</c:v>
                      </c:pt>
                      <c:pt idx="117" formatCode="0">
                        <c:v>65.428571428571431</c:v>
                      </c:pt>
                      <c:pt idx="118" formatCode="0">
                        <c:v>61.142857142857146</c:v>
                      </c:pt>
                      <c:pt idx="119" formatCode="0">
                        <c:v>60</c:v>
                      </c:pt>
                      <c:pt idx="120" formatCode="0">
                        <c:v>59.428571428571431</c:v>
                      </c:pt>
                      <c:pt idx="121" formatCode="0">
                        <c:v>59.714285714285715</c:v>
                      </c:pt>
                      <c:pt idx="122" formatCode="0">
                        <c:v>59.571428571428569</c:v>
                      </c:pt>
                      <c:pt idx="123" formatCode="0">
                        <c:v>59.857142857142854</c:v>
                      </c:pt>
                      <c:pt idx="124" formatCode="0">
                        <c:v>59.714285714285715</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77.285714285714292</c:v>
                </c:pt>
                <c:pt idx="100" formatCode="0">
                  <c:v>76.142857142857139</c:v>
                </c:pt>
                <c:pt idx="101" formatCode="0">
                  <c:v>74.714285714285708</c:v>
                </c:pt>
                <c:pt idx="102" formatCode="0">
                  <c:v>73.714285714285708</c:v>
                </c:pt>
                <c:pt idx="103" formatCode="0">
                  <c:v>72.428571428571431</c:v>
                </c:pt>
                <c:pt idx="104" formatCode="0">
                  <c:v>70.857142857142861</c:v>
                </c:pt>
                <c:pt idx="105" formatCode="0">
                  <c:v>70</c:v>
                </c:pt>
                <c:pt idx="106" formatCode="0">
                  <c:v>68.285714285714292</c:v>
                </c:pt>
                <c:pt idx="107" formatCode="0">
                  <c:v>67.428571428571431</c:v>
                </c:pt>
                <c:pt idx="108" formatCode="0">
                  <c:v>66.857142857142861</c:v>
                </c:pt>
                <c:pt idx="109" formatCode="0">
                  <c:v>66.428571428571431</c:v>
                </c:pt>
                <c:pt idx="110" formatCode="0">
                  <c:v>66</c:v>
                </c:pt>
                <c:pt idx="111" formatCode="0">
                  <c:v>67.714285714285708</c:v>
                </c:pt>
                <c:pt idx="112" formatCode="0">
                  <c:v>67.428571428571431</c:v>
                </c:pt>
                <c:pt idx="113" formatCode="0">
                  <c:v>67.714285714285708</c:v>
                </c:pt>
                <c:pt idx="114" formatCode="0">
                  <c:v>67.285714285714292</c:v>
                </c:pt>
                <c:pt idx="115" formatCode="0">
                  <c:v>66.857142857142861</c:v>
                </c:pt>
                <c:pt idx="116" formatCode="0">
                  <c:v>66</c:v>
                </c:pt>
                <c:pt idx="117" formatCode="0">
                  <c:v>65.428571428571431</c:v>
                </c:pt>
                <c:pt idx="118" formatCode="0">
                  <c:v>61.142857142857146</c:v>
                </c:pt>
                <c:pt idx="119" formatCode="0">
                  <c:v>60</c:v>
                </c:pt>
                <c:pt idx="120" formatCode="0">
                  <c:v>59.428571428571431</c:v>
                </c:pt>
                <c:pt idx="121" formatCode="0">
                  <c:v>59.714285714285715</c:v>
                </c:pt>
                <c:pt idx="122" formatCode="0">
                  <c:v>59.571428571428569</c:v>
                </c:pt>
                <c:pt idx="123" formatCode="0">
                  <c:v>59.857142857142854</c:v>
                </c:pt>
                <c:pt idx="124" formatCode="0">
                  <c:v>59.714285714285715</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72.841428571428565</c:v>
                </c:pt>
                <c:pt idx="86" formatCode="0">
                  <c:v>73.694285714285712</c:v>
                </c:pt>
                <c:pt idx="87" formatCode="0">
                  <c:v>75.484285714285718</c:v>
                </c:pt>
                <c:pt idx="88" formatCode="0">
                  <c:v>77.860000000000014</c:v>
                </c:pt>
                <c:pt idx="89" formatCode="0">
                  <c:v>78.242857142857147</c:v>
                </c:pt>
                <c:pt idx="90" formatCode="0">
                  <c:v>79.362857142857138</c:v>
                </c:pt>
                <c:pt idx="91" formatCode="0">
                  <c:v>80.151428571428568</c:v>
                </c:pt>
                <c:pt idx="92" formatCode="0">
                  <c:v>80.929999999999993</c:v>
                </c:pt>
                <c:pt idx="93" formatCode="0">
                  <c:v>81.298571428571449</c:v>
                </c:pt>
                <c:pt idx="94" formatCode="0">
                  <c:v>81.055714285714288</c:v>
                </c:pt>
                <c:pt idx="95" formatCode="0">
                  <c:v>78.271428571428572</c:v>
                </c:pt>
                <c:pt idx="96" formatCode="0">
                  <c:v>74.754285714285714</c:v>
                </c:pt>
                <c:pt idx="97" formatCode="0">
                  <c:v>70.518571428571434</c:v>
                </c:pt>
                <c:pt idx="98" formatCode="0">
                  <c:v>63.448571428571427</c:v>
                </c:pt>
                <c:pt idx="99" formatCode="0">
                  <c:v>55.308571428571426</c:v>
                </c:pt>
                <c:pt idx="100" formatCode="0">
                  <c:v>45.42285714285714</c:v>
                </c:pt>
                <c:pt idx="101" formatCode="0">
                  <c:v>34.110000000000007</c:v>
                </c:pt>
                <c:pt idx="102" formatCode="0">
                  <c:v>24.678571428571427</c:v>
                </c:pt>
                <c:pt idx="103" formatCode="0">
                  <c:v>16.69142857142857</c:v>
                </c:pt>
                <c:pt idx="104" formatCode="0">
                  <c:v>9.4242857142857144</c:v>
                </c:pt>
                <c:pt idx="105" formatCode="0">
                  <c:v>5.015714285714286</c:v>
                </c:pt>
                <c:pt idx="106" formatCode="0">
                  <c:v>1.7142857142857142</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66.02</c:v>
                      </c:pt>
                      <c:pt idx="96">
                        <c:v>55.91</c:v>
                      </c:pt>
                      <c:pt idx="97">
                        <c:v>50.870000000000005</c:v>
                      </c:pt>
                      <c:pt idx="98">
                        <c:v>30.86</c:v>
                      </c:pt>
                      <c:pt idx="99">
                        <c:v>23.11</c:v>
                      </c:pt>
                      <c:pt idx="100">
                        <c:v>12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76</c:v>
                      </c:pt>
                      <c:pt idx="93">
                        <c:v>72</c:v>
                      </c:pt>
                      <c:pt idx="94">
                        <c:v>70</c:v>
                      </c:pt>
                      <c:pt idx="95">
                        <c:v>70</c:v>
                      </c:pt>
                      <c:pt idx="96">
                        <c:v>68</c:v>
                      </c:pt>
                      <c:pt idx="97">
                        <c:v>66</c:v>
                      </c:pt>
                      <c:pt idx="98">
                        <c:v>68</c:v>
                      </c:pt>
                      <c:pt idx="99">
                        <c:v>64</c:v>
                      </c:pt>
                      <c:pt idx="100">
                        <c:v>66</c:v>
                      </c:pt>
                      <c:pt idx="101">
                        <c:v>66</c:v>
                      </c:pt>
                      <c:pt idx="102">
                        <c:v>67</c:v>
                      </c:pt>
                      <c:pt idx="103">
                        <c:v>65</c:v>
                      </c:pt>
                      <c:pt idx="104">
                        <c:v>78</c:v>
                      </c:pt>
                      <c:pt idx="105">
                        <c:v>66</c:v>
                      </c:pt>
                      <c:pt idx="106">
                        <c:v>66</c:v>
                      </c:pt>
                      <c:pt idx="107">
                        <c:v>63</c:v>
                      </c:pt>
                      <c:pt idx="108">
                        <c:v>63</c:v>
                      </c:pt>
                      <c:pt idx="109">
                        <c:v>61</c:v>
                      </c:pt>
                      <c:pt idx="110">
                        <c:v>61</c:v>
                      </c:pt>
                      <c:pt idx="111">
                        <c:v>48</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124.81065000000002</c:v>
                </c:pt>
                <c:pt idx="63">
                  <c:v>126.61231666666669</c:v>
                </c:pt>
                <c:pt idx="64">
                  <c:v>101.58458333333334</c:v>
                </c:pt>
                <c:pt idx="65">
                  <c:v>98.241250000000008</c:v>
                </c:pt>
                <c:pt idx="66">
                  <c:v>77.973850000000013</c:v>
                </c:pt>
                <c:pt idx="67">
                  <c:v>94.86481666666667</c:v>
                </c:pt>
                <c:pt idx="68">
                  <c:v>57.025649999999999</c:v>
                </c:pt>
                <c:pt idx="69">
                  <c:v>58.328550000000007</c:v>
                </c:pt>
                <c:pt idx="70">
                  <c:v>61.665616666666672</c:v>
                </c:pt>
                <c:pt idx="71">
                  <c:v>100.60061666666667</c:v>
                </c:pt>
                <c:pt idx="72">
                  <c:v>103.48728333333332</c:v>
                </c:pt>
                <c:pt idx="73">
                  <c:v>101.53348333333334</c:v>
                </c:pt>
                <c:pt idx="74">
                  <c:v>97.161350000000013</c:v>
                </c:pt>
                <c:pt idx="75">
                  <c:v>100.05167500000002</c:v>
                </c:pt>
                <c:pt idx="76">
                  <c:v>136.31537500000002</c:v>
                </c:pt>
                <c:pt idx="77">
                  <c:v>131.23664166666669</c:v>
                </c:pt>
                <c:pt idx="78">
                  <c:v>120.54150833333333</c:v>
                </c:pt>
                <c:pt idx="79">
                  <c:v>120.563175</c:v>
                </c:pt>
                <c:pt idx="80">
                  <c:v>120.52282500000001</c:v>
                </c:pt>
                <c:pt idx="81">
                  <c:v>130.35824166666669</c:v>
                </c:pt>
                <c:pt idx="82">
                  <c:v>130.64631666666668</c:v>
                </c:pt>
                <c:pt idx="83">
                  <c:v>100.24771666666666</c:v>
                </c:pt>
                <c:pt idx="84">
                  <c:v>100.21771666666666</c:v>
                </c:pt>
                <c:pt idx="85">
                  <c:v>126.10200833333332</c:v>
                </c:pt>
                <c:pt idx="86">
                  <c:v>126.73627500000001</c:v>
                </c:pt>
                <c:pt idx="87">
                  <c:v>126.63134166666667</c:v>
                </c:pt>
                <c:pt idx="88">
                  <c:v>121.17715833333332</c:v>
                </c:pt>
                <c:pt idx="89">
                  <c:v>110.73715833333333</c:v>
                </c:pt>
                <c:pt idx="90">
                  <c:v>99.344658333333328</c:v>
                </c:pt>
                <c:pt idx="91">
                  <c:v>95.242991666666668</c:v>
                </c:pt>
                <c:pt idx="92">
                  <c:v>41.118833333333328</c:v>
                </c:pt>
                <c:pt idx="93">
                  <c:v>33.802900000000001</c:v>
                </c:pt>
                <c:pt idx="94">
                  <c:v>24.906233333333333</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66.02</c:v>
                </c:pt>
                <c:pt idx="96">
                  <c:v>55.91</c:v>
                </c:pt>
                <c:pt idx="97">
                  <c:v>50.870000000000005</c:v>
                </c:pt>
                <c:pt idx="98">
                  <c:v>30.86</c:v>
                </c:pt>
                <c:pt idx="99">
                  <c:v>23.11</c:v>
                </c:pt>
                <c:pt idx="100">
                  <c:v>12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124.81065000000002</c:v>
                </c:pt>
                <c:pt idx="69" formatCode="0.0">
                  <c:v>126.61231666666669</c:v>
                </c:pt>
                <c:pt idx="70" formatCode="0.0">
                  <c:v>101.58458333333334</c:v>
                </c:pt>
                <c:pt idx="71" formatCode="0.0">
                  <c:v>98.241250000000008</c:v>
                </c:pt>
                <c:pt idx="72" formatCode="0.0">
                  <c:v>77.973850000000013</c:v>
                </c:pt>
                <c:pt idx="73" formatCode="0.0">
                  <c:v>94.86481666666667</c:v>
                </c:pt>
                <c:pt idx="74" formatCode="0.0">
                  <c:v>57.025649999999999</c:v>
                </c:pt>
                <c:pt idx="75" formatCode="0.0">
                  <c:v>58.328550000000007</c:v>
                </c:pt>
                <c:pt idx="76" formatCode="0.0">
                  <c:v>61.665616666666672</c:v>
                </c:pt>
                <c:pt idx="77" formatCode="0.0">
                  <c:v>100.60061666666667</c:v>
                </c:pt>
                <c:pt idx="78" formatCode="0.0">
                  <c:v>103.48728333333332</c:v>
                </c:pt>
                <c:pt idx="79" formatCode="0.0">
                  <c:v>101.53348333333334</c:v>
                </c:pt>
                <c:pt idx="80" formatCode="0.0">
                  <c:v>97.161350000000013</c:v>
                </c:pt>
                <c:pt idx="81" formatCode="0.0">
                  <c:v>100.05167500000002</c:v>
                </c:pt>
                <c:pt idx="82" formatCode="0.0">
                  <c:v>136.31537500000002</c:v>
                </c:pt>
                <c:pt idx="83" formatCode="0.0">
                  <c:v>131.23664166666669</c:v>
                </c:pt>
                <c:pt idx="84" formatCode="0.0">
                  <c:v>120.54150833333333</c:v>
                </c:pt>
                <c:pt idx="85" formatCode="0.0">
                  <c:v>120.563175</c:v>
                </c:pt>
                <c:pt idx="86" formatCode="0.0">
                  <c:v>120.52282500000001</c:v>
                </c:pt>
                <c:pt idx="87" formatCode="0.0">
                  <c:v>130.35824166666669</c:v>
                </c:pt>
                <c:pt idx="88" formatCode="0.0">
                  <c:v>130.64631666666668</c:v>
                </c:pt>
                <c:pt idx="89" formatCode="0.0">
                  <c:v>100.24771666666666</c:v>
                </c:pt>
                <c:pt idx="90" formatCode="0.0">
                  <c:v>100.21771666666666</c:v>
                </c:pt>
                <c:pt idx="91" formatCode="0.0">
                  <c:v>126.10200833333332</c:v>
                </c:pt>
                <c:pt idx="92" formatCode="0.0">
                  <c:v>126.73627500000001</c:v>
                </c:pt>
                <c:pt idx="93" formatCode="0.0">
                  <c:v>126.63134166666667</c:v>
                </c:pt>
                <c:pt idx="94" formatCode="0.0">
                  <c:v>121.17715833333332</c:v>
                </c:pt>
                <c:pt idx="95" formatCode="0.0">
                  <c:v>110.73715833333333</c:v>
                </c:pt>
                <c:pt idx="96" formatCode="0.0">
                  <c:v>99.344658333333328</c:v>
                </c:pt>
                <c:pt idx="97" formatCode="0.0">
                  <c:v>95.242991666666668</c:v>
                </c:pt>
                <c:pt idx="98" formatCode="0.0">
                  <c:v>41.118833333333328</c:v>
                </c:pt>
                <c:pt idx="99" formatCode="0.0">
                  <c:v>33.802900000000001</c:v>
                </c:pt>
                <c:pt idx="100" formatCode="0.0">
                  <c:v>24.906233333333333</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92" activePane="bottomLeft" state="frozen"/>
      <selection pane="bottomLeft" activeCell="G103" sqref="G103"/>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79" t="s">
        <v>1</v>
      </c>
      <c r="D1" s="880"/>
      <c r="E1" s="881"/>
      <c r="F1" s="3" t="s">
        <v>382</v>
      </c>
      <c r="G1" s="874" t="s">
        <v>460</v>
      </c>
      <c r="H1" s="874"/>
      <c r="I1" s="23" t="s">
        <v>2</v>
      </c>
      <c r="J1" s="874" t="s">
        <v>462</v>
      </c>
      <c r="K1" s="874"/>
      <c r="L1" s="882"/>
      <c r="M1" s="880"/>
      <c r="N1" s="881"/>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6" t="s">
        <v>5</v>
      </c>
      <c r="D2" s="878"/>
      <c r="E2" s="883"/>
      <c r="F2" s="7" t="s">
        <v>33</v>
      </c>
      <c r="G2" s="874" t="s">
        <v>457</v>
      </c>
      <c r="H2" s="874"/>
      <c r="I2" s="6"/>
      <c r="J2" s="4"/>
      <c r="L2" s="878"/>
      <c r="M2" s="878"/>
      <c r="N2" s="883"/>
      <c r="O2" s="16"/>
      <c r="P2" s="8"/>
      <c r="Q2" s="9"/>
      <c r="R2" s="4"/>
      <c r="S2" s="4"/>
      <c r="T2" s="4"/>
      <c r="U2" s="4"/>
      <c r="V2" s="4"/>
      <c r="W2" s="4"/>
      <c r="X2" s="4"/>
      <c r="Y2" s="4"/>
      <c r="Z2" s="4"/>
      <c r="AA2" s="4"/>
      <c r="AB2" s="4"/>
      <c r="AC2" s="4"/>
    </row>
    <row r="3" spans="1:35" ht="15.75" customHeight="1" x14ac:dyDescent="0.2">
      <c r="A3" s="10" t="s">
        <v>6</v>
      </c>
      <c r="B3" s="11">
        <v>45942</v>
      </c>
      <c r="C3" s="887" t="s">
        <v>7</v>
      </c>
      <c r="D3" s="884"/>
      <c r="E3" s="885"/>
      <c r="F3" s="7" t="s">
        <v>34</v>
      </c>
      <c r="G3" s="874" t="s">
        <v>458</v>
      </c>
      <c r="H3" s="874"/>
      <c r="I3" s="6"/>
      <c r="J3" s="4" t="s">
        <v>123</v>
      </c>
      <c r="K3" s="781">
        <f>'Daniel''s Tables'!$I$6</f>
        <v>61.766335932854794</v>
      </c>
      <c r="L3" s="878"/>
      <c r="M3" s="878"/>
      <c r="N3" s="883"/>
      <c r="O3" s="16"/>
      <c r="P3" s="6"/>
      <c r="Q3" s="4"/>
      <c r="R3" s="4"/>
      <c r="S3" s="4"/>
      <c r="T3" s="4"/>
      <c r="U3" s="4"/>
      <c r="V3" s="4"/>
      <c r="W3" s="4"/>
      <c r="X3" s="4"/>
      <c r="Y3" s="4"/>
      <c r="Z3" s="4"/>
      <c r="AA3" s="4"/>
      <c r="AB3" s="4"/>
      <c r="AC3" s="4"/>
    </row>
    <row r="4" spans="1:35" ht="15.75" customHeight="1" x14ac:dyDescent="0.2">
      <c r="A4" s="16"/>
      <c r="B4" s="6"/>
      <c r="C4" s="6"/>
      <c r="D4" s="6"/>
      <c r="E4" s="4"/>
      <c r="F4" s="12" t="s">
        <v>383</v>
      </c>
      <c r="G4" s="888" t="s">
        <v>461</v>
      </c>
      <c r="H4" s="888"/>
      <c r="I4" s="13"/>
      <c r="J4" s="850"/>
      <c r="K4" s="851"/>
      <c r="L4" s="884"/>
      <c r="M4" s="884"/>
      <c r="N4" s="885"/>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77" t="s">
        <v>9</v>
      </c>
      <c r="F6" s="878"/>
      <c r="G6" s="878"/>
      <c r="H6" s="878"/>
      <c r="I6" s="878"/>
      <c r="J6" s="878"/>
      <c r="K6" s="878"/>
      <c r="L6" s="878"/>
      <c r="M6" s="878"/>
      <c r="N6" s="6"/>
      <c r="O6" s="16"/>
      <c r="P6" s="6"/>
      <c r="Q6" s="4"/>
      <c r="R6" s="4"/>
      <c r="S6" s="4"/>
      <c r="T6" s="4"/>
      <c r="U6" s="4"/>
      <c r="V6" s="4"/>
      <c r="W6" s="4"/>
      <c r="X6" s="4"/>
      <c r="Y6" s="4"/>
      <c r="Z6" s="874" t="s">
        <v>490</v>
      </c>
      <c r="AA6" s="874"/>
      <c r="AB6" s="874"/>
      <c r="AC6" s="874"/>
      <c r="AD6" s="874"/>
      <c r="AE6" s="874"/>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75"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75"/>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75"/>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75"/>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75"/>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75"/>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
      <c r="A15" s="875"/>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
      <c r="A16" s="876"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
      <c r="A17" s="876"/>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
      <c r="A18" s="876"/>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
      <c r="A19" s="876"/>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
      <c r="A20" s="876"/>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
      <c r="A21" s="876"/>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
      <c r="A22" s="876"/>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
      <c r="A23" s="875"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
      <c r="A24" s="875"/>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
      <c r="A25" s="875"/>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
      <c r="A26" s="875"/>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
      <c r="A27" s="875"/>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
      <c r="A28" s="875"/>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
      <c r="A29" s="875"/>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
      <c r="A30" s="876"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
      <c r="A31" s="876"/>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
      <c r="A32" s="876"/>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
      <c r="A33" s="876"/>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
      <c r="A34" s="876"/>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
      <c r="A35" s="876"/>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
      <c r="A36" s="876"/>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
      <c r="A37" s="875"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
      <c r="A38" s="875"/>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
      <c r="A39" s="875"/>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
      <c r="A40" s="875"/>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
      <c r="A41" s="875"/>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
      <c r="A42" s="875"/>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
      <c r="A43" s="875"/>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
      <c r="A44" s="876"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
      <c r="A45" s="876"/>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
      <c r="A46" s="876"/>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
      <c r="A47" s="876"/>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
      <c r="A48" s="876"/>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
      <c r="A49" s="876"/>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
      <c r="A50" s="876"/>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
      <c r="A51" s="875"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
      <c r="A52" s="875"/>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
      <c r="A53" s="875"/>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
      <c r="A54" s="875"/>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
      <c r="A55" s="875"/>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
      <c r="A56" s="875"/>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
      <c r="A57" s="875"/>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
      <c r="A58" s="876"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
      <c r="A59" s="876"/>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
      <c r="A60" s="876"/>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
      <c r="A61" s="876"/>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
      <c r="A62" s="876"/>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
      <c r="A63" s="876"/>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
      <c r="A64" s="876"/>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
      <c r="A65" s="875"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
      <c r="A66" s="875"/>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
      <c r="A67" s="875"/>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
      <c r="A68" s="875"/>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
      <c r="A69" s="875"/>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
      <c r="A70" s="875"/>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
      <c r="A71" s="875"/>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
      <c r="A72" s="876"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
      <c r="A73" s="876"/>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
      <c r="A74" s="876"/>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
      <c r="A75" s="876"/>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
      <c r="A76" s="876"/>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0.59755851223732137</v>
      </c>
      <c r="AA76" s="4">
        <f>IF(H76*G76,LOOKUP(Z76,'Daniel''s Tables'!$Z$135:$Z$214,'Daniel''s Tables'!$AB$135:$AB$214),0)</f>
        <v>0.10500000000000001</v>
      </c>
      <c r="AB76" s="869">
        <f t="shared" si="12"/>
        <v>4.2245000000000008</v>
      </c>
      <c r="AC76" s="871">
        <f t="shared" si="6"/>
        <v>124.81065000000002</v>
      </c>
      <c r="AD76" s="838">
        <f t="shared" si="7"/>
        <v>134.10913452380953</v>
      </c>
      <c r="AE76" s="838"/>
    </row>
    <row r="77" spans="1:31" ht="15.75" customHeight="1" x14ac:dyDescent="0.2">
      <c r="A77" s="876"/>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0.5623253989515784</v>
      </c>
      <c r="AA77" s="4">
        <f>IF(H77*G77,LOOKUP(Z77,'Daniel''s Tables'!$Z$135:$Z$214,'Daniel''s Tables'!$AB$135:$AB$214),0)</f>
        <v>0.1</v>
      </c>
      <c r="AB77" s="869">
        <f t="shared" si="12"/>
        <v>5.873333333333334</v>
      </c>
      <c r="AC77" s="871">
        <f t="shared" si="6"/>
        <v>126.61231666666669</v>
      </c>
      <c r="AD77" s="838">
        <f t="shared" si="7"/>
        <v>133.81166071428575</v>
      </c>
      <c r="AE77" s="838"/>
    </row>
    <row r="78" spans="1:31" ht="15.75" customHeight="1" x14ac:dyDescent="0.2">
      <c r="A78" s="876"/>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101.58458333333334</v>
      </c>
      <c r="AD78" s="838">
        <f t="shared" si="7"/>
        <v>131.6496238095238</v>
      </c>
      <c r="AE78" s="838">
        <f>AC78</f>
        <v>101.58458333333334</v>
      </c>
    </row>
    <row r="79" spans="1:31" ht="15.75" customHeight="1" x14ac:dyDescent="0.2">
      <c r="A79" s="875"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0.58468678596165247</v>
      </c>
      <c r="AA79" s="4">
        <f>IF(H79*G79,LOOKUP(Z79,'Daniel''s Tables'!$Z$135:$Z$214,'Daniel''s Tables'!$AB$135:$AB$214),0)</f>
        <v>0.1</v>
      </c>
      <c r="AB79" s="869">
        <f t="shared" si="12"/>
        <v>3.7733333333333334</v>
      </c>
      <c r="AC79" s="871">
        <f t="shared" ref="AC79:AC135" si="16">SUM(AB73:AB79)</f>
        <v>98.241250000000008</v>
      </c>
      <c r="AD79" s="838">
        <f t="shared" ref="AD79:AD135" si="17">SUM(AC73:AC79)/7</f>
        <v>128.63958690476193</v>
      </c>
      <c r="AE79" s="838"/>
    </row>
    <row r="80" spans="1:31" ht="15.75" customHeight="1" x14ac:dyDescent="0.2">
      <c r="A80" s="875"/>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0.6217365591948576</v>
      </c>
      <c r="AA80" s="4">
        <f>IF(H80*G80,LOOKUP(Z80,'Daniel''s Tables'!$Z$135:$Z$214,'Daniel''s Tables'!$AB$135:$AB$214),0)</f>
        <v>0.13500000000000001</v>
      </c>
      <c r="AB80" s="869">
        <f t="shared" ref="AB80:AB135" si="22">H80*1440*AA80</f>
        <v>10.995750000000001</v>
      </c>
      <c r="AC80" s="871">
        <f t="shared" si="16"/>
        <v>77.973850000000013</v>
      </c>
      <c r="AD80" s="838">
        <f t="shared" si="17"/>
        <v>118.86229285714286</v>
      </c>
      <c r="AE80" s="838"/>
    </row>
    <row r="81" spans="1:31" ht="15.75" customHeight="1" x14ac:dyDescent="0.2">
      <c r="A81" s="875"/>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0.67413230318601225</v>
      </c>
      <c r="AA81" s="4">
        <f>IF(H81*G81,LOOKUP(Z81,'Daniel''s Tables'!$Z$135:$Z$214,'Daniel''s Tables'!$AB$135:$AB$214),0)</f>
        <v>0.217</v>
      </c>
      <c r="AB81" s="869">
        <f t="shared" si="22"/>
        <v>24.897133333333333</v>
      </c>
      <c r="AC81" s="871">
        <f t="shared" si="16"/>
        <v>94.86481666666667</v>
      </c>
      <c r="AD81" s="838">
        <f t="shared" si="17"/>
        <v>113.70588809523811</v>
      </c>
      <c r="AE81" s="838"/>
    </row>
    <row r="82" spans="1:31" ht="15.75" customHeight="1" x14ac:dyDescent="0.2">
      <c r="A82" s="875"/>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0.60643320428329373</v>
      </c>
      <c r="AA82" s="4">
        <f>IF(H82*G82,LOOKUP(Z82,'Daniel''s Tables'!$Z$135:$Z$214,'Daniel''s Tables'!$AB$135:$AB$214),0)</f>
        <v>0.11599999999999999</v>
      </c>
      <c r="AB82" s="869">
        <f t="shared" si="22"/>
        <v>7.2615999999999996</v>
      </c>
      <c r="AC82" s="871">
        <f t="shared" si="16"/>
        <v>57.025649999999999</v>
      </c>
      <c r="AD82" s="838">
        <f t="shared" si="17"/>
        <v>97.301873809523826</v>
      </c>
      <c r="AE82" s="838"/>
    </row>
    <row r="83" spans="1:31" ht="15.75" customHeight="1" x14ac:dyDescent="0.2">
      <c r="A83" s="875"/>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0.60738243595768127</v>
      </c>
      <c r="AA83" s="4">
        <f>IF(H83*G83,LOOKUP(Z83,'Daniel''s Tables'!$Z$135:$Z$214,'Daniel''s Tables'!$AB$135:$AB$214),0)</f>
        <v>0.11599999999999999</v>
      </c>
      <c r="AB83" s="869">
        <f t="shared" si="22"/>
        <v>5.5274000000000001</v>
      </c>
      <c r="AC83" s="871">
        <f t="shared" si="16"/>
        <v>58.328550000000007</v>
      </c>
      <c r="AD83" s="838">
        <f t="shared" si="17"/>
        <v>87.804430952380955</v>
      </c>
      <c r="AE83" s="838"/>
    </row>
    <row r="84" spans="1:31" ht="15.75" customHeight="1" x14ac:dyDescent="0.2">
      <c r="A84" s="875"/>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0.60901934056597617</v>
      </c>
      <c r="AA84" s="4">
        <f>IF(H84*G84,LOOKUP(Z84,'Daniel''s Tables'!$Z$135:$Z$214,'Daniel''s Tables'!$AB$135:$AB$214),0)</f>
        <v>0.11599999999999999</v>
      </c>
      <c r="AB84" s="869">
        <f t="shared" si="22"/>
        <v>9.2103999999999999</v>
      </c>
      <c r="AC84" s="871">
        <f t="shared" si="16"/>
        <v>61.665616666666672</v>
      </c>
      <c r="AD84" s="838">
        <f t="shared" si="17"/>
        <v>78.52633095238096</v>
      </c>
      <c r="AE84" s="838"/>
    </row>
    <row r="85" spans="1:31" ht="15.75" customHeight="1" x14ac:dyDescent="0.2">
      <c r="A85" s="875"/>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0.73900104126697719</v>
      </c>
      <c r="AA85" s="4">
        <f>IF(H85*G85,LOOKUP(Z85,'Daniel''s Tables'!$Z$135:$Z$214,'Daniel''s Tables'!$AB$135:$AB$214),0)</f>
        <v>0.32500000000000001</v>
      </c>
      <c r="AB85" s="869">
        <f t="shared" si="22"/>
        <v>38.935000000000002</v>
      </c>
      <c r="AC85" s="871">
        <f t="shared" si="16"/>
        <v>100.60061666666667</v>
      </c>
      <c r="AD85" s="838">
        <f t="shared" si="17"/>
        <v>78.385764285714302</v>
      </c>
      <c r="AE85" s="838">
        <f>AC85</f>
        <v>100.60061666666667</v>
      </c>
    </row>
    <row r="86" spans="1:31" ht="15.75" customHeight="1" x14ac:dyDescent="0.2">
      <c r="A86" s="876"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0.57632123324660423</v>
      </c>
      <c r="AA86" s="4">
        <f>IF(H86*G86,LOOKUP(Z86,'Daniel''s Tables'!$Z$135:$Z$214,'Daniel''s Tables'!$AB$135:$AB$214),0)</f>
        <v>0.1</v>
      </c>
      <c r="AB86" s="869">
        <f t="shared" si="22"/>
        <v>6.66</v>
      </c>
      <c r="AC86" s="871">
        <f t="shared" si="16"/>
        <v>103.48728333333332</v>
      </c>
      <c r="AD86" s="838">
        <f t="shared" si="17"/>
        <v>79.135197619047631</v>
      </c>
      <c r="AE86" s="838"/>
    </row>
    <row r="87" spans="1:31" ht="15.75" customHeight="1" x14ac:dyDescent="0.2">
      <c r="A87" s="876"/>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0.6687712370843093</v>
      </c>
      <c r="AA87" s="4">
        <f>IF(H87*G87,LOOKUP(Z87,'Daniel''s Tables'!$Z$135:$Z$214,'Daniel''s Tables'!$AB$135:$AB$214),0)</f>
        <v>0.20850000000000002</v>
      </c>
      <c r="AB87" s="869">
        <f t="shared" si="22"/>
        <v>9.0419500000000017</v>
      </c>
      <c r="AC87" s="871">
        <f t="shared" si="16"/>
        <v>101.53348333333334</v>
      </c>
      <c r="AD87" s="838">
        <f t="shared" si="17"/>
        <v>82.500859523809524</v>
      </c>
      <c r="AE87" s="838"/>
    </row>
    <row r="88" spans="1:31" ht="15.75" customHeight="1" x14ac:dyDescent="0.2">
      <c r="A88" s="876"/>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0.693758590253441</v>
      </c>
      <c r="AA88" s="4">
        <f>IF(H88*G88,LOOKUP(Z88,'Daniel''s Tables'!$Z$135:$Z$214,'Daniel''s Tables'!$AB$135:$AB$214),0)</f>
        <v>0.25</v>
      </c>
      <c r="AB88" s="869">
        <f t="shared" si="22"/>
        <v>20.525000000000002</v>
      </c>
      <c r="AC88" s="871">
        <f t="shared" si="16"/>
        <v>97.161350000000013</v>
      </c>
      <c r="AD88" s="838">
        <f t="shared" si="17"/>
        <v>82.82893571428572</v>
      </c>
      <c r="AE88" s="838"/>
    </row>
    <row r="89" spans="1:31" ht="15.75" customHeight="1" x14ac:dyDescent="0.2">
      <c r="A89" s="876"/>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0.63714953112580963</v>
      </c>
      <c r="AA89" s="4">
        <f>IF(H89*G89,LOOKUP(Z89,'Daniel''s Tables'!$Z$135:$Z$214,'Daniel''s Tables'!$AB$135:$AB$214),0)</f>
        <v>0.1585</v>
      </c>
      <c r="AB89" s="869">
        <f t="shared" si="22"/>
        <v>10.151925</v>
      </c>
      <c r="AC89" s="871">
        <f t="shared" si="16"/>
        <v>100.05167500000002</v>
      </c>
      <c r="AD89" s="838">
        <f t="shared" si="17"/>
        <v>88.975510714285718</v>
      </c>
      <c r="AE89" s="838"/>
    </row>
    <row r="90" spans="1:31" ht="15.75" customHeight="1" x14ac:dyDescent="0.2">
      <c r="A90" s="876"/>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0.7945045042482074</v>
      </c>
      <c r="AA90" s="4">
        <f>IF(H90*G90,LOOKUP(Z90,'Daniel''s Tables'!$Z$135:$Z$214,'Daniel''s Tables'!$AB$135:$AB$214),0)</f>
        <v>0.442</v>
      </c>
      <c r="AB90" s="869">
        <f t="shared" si="22"/>
        <v>41.7911</v>
      </c>
      <c r="AC90" s="871">
        <f t="shared" si="16"/>
        <v>136.31537500000002</v>
      </c>
      <c r="AD90" s="838">
        <f t="shared" si="17"/>
        <v>100.11648571428573</v>
      </c>
      <c r="AE90" s="838"/>
    </row>
    <row r="91" spans="1:31" ht="15.75" customHeight="1" x14ac:dyDescent="0.2">
      <c r="A91" s="876"/>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0.57110519518676628</v>
      </c>
      <c r="AA91" s="4">
        <f>IF(H91*G91,LOOKUP(Z91,'Daniel''s Tables'!$Z$135:$Z$214,'Daniel''s Tables'!$AB$135:$AB$214),0)</f>
        <v>0.1</v>
      </c>
      <c r="AB91" s="869">
        <f t="shared" si="22"/>
        <v>4.1316666666666668</v>
      </c>
      <c r="AC91" s="871">
        <f t="shared" si="16"/>
        <v>131.23664166666669</v>
      </c>
      <c r="AD91" s="838">
        <f t="shared" si="17"/>
        <v>110.05520357142859</v>
      </c>
      <c r="AE91" s="838"/>
    </row>
    <row r="92" spans="1:31" ht="15.75" customHeight="1" x14ac:dyDescent="0.2">
      <c r="A92" s="876"/>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0.65703712031268247</v>
      </c>
      <c r="AA92" s="4">
        <f>IF(H92*G92,LOOKUP(Z92,'Daniel''s Tables'!$Z$135:$Z$214,'Daniel''s Tables'!$AB$135:$AB$214),0)</f>
        <v>0.1915</v>
      </c>
      <c r="AB92" s="869">
        <f t="shared" si="22"/>
        <v>28.239866666666668</v>
      </c>
      <c r="AC92" s="871">
        <f t="shared" si="16"/>
        <v>120.54150833333333</v>
      </c>
      <c r="AD92" s="838">
        <f t="shared" si="17"/>
        <v>112.90390238095237</v>
      </c>
      <c r="AE92" s="838">
        <f>AC92</f>
        <v>120.54150833333333</v>
      </c>
    </row>
    <row r="93" spans="1:31" ht="15.75" customHeight="1" x14ac:dyDescent="0.2">
      <c r="A93" s="875" t="s">
        <v>43</v>
      </c>
      <c r="B93" s="854">
        <v>42</v>
      </c>
      <c r="C93" s="855">
        <f t="shared" si="0"/>
        <v>45900</v>
      </c>
      <c r="D93" s="854" t="s">
        <v>31</v>
      </c>
      <c r="E93" s="856" t="s">
        <v>385</v>
      </c>
      <c r="F93" s="854">
        <v>8</v>
      </c>
      <c r="G93" s="854">
        <v>8.01</v>
      </c>
      <c r="H93" s="857">
        <v>4.6400462962962963E-2</v>
      </c>
      <c r="I93" s="854" t="str">
        <f t="shared" si="14"/>
        <v>8:20</v>
      </c>
      <c r="J93" s="854"/>
      <c r="K93" s="854"/>
      <c r="L93" s="854" t="str">
        <f t="shared" si="2"/>
        <v>0:00</v>
      </c>
      <c r="M93" s="856"/>
      <c r="N93" s="856"/>
      <c r="O93" s="858"/>
      <c r="P93" s="863"/>
      <c r="Q93" s="862"/>
      <c r="R93" s="4"/>
      <c r="S93" s="4"/>
      <c r="T93" s="16">
        <f t="shared" si="15"/>
        <v>74.64</v>
      </c>
      <c r="U93" s="868">
        <f t="shared" si="18"/>
        <v>72.841428571428565</v>
      </c>
      <c r="V93" s="4">
        <v>70</v>
      </c>
      <c r="W93" s="4">
        <f t="shared" si="19"/>
        <v>71</v>
      </c>
      <c r="X93" s="868">
        <f t="shared" si="20"/>
        <v>70.142857142857139</v>
      </c>
      <c r="Y93" s="4"/>
      <c r="Z93" s="869">
        <f t="shared" si="21"/>
        <v>0.55748505699268058</v>
      </c>
      <c r="AA93" s="4">
        <f>IF(H93*G93,LOOKUP(Z93,'Daniel''s Tables'!$Z$135:$Z$214,'Daniel''s Tables'!$AB$135:$AB$214),0)</f>
        <v>0.1</v>
      </c>
      <c r="AB93" s="869">
        <f t="shared" si="22"/>
        <v>6.6816666666666666</v>
      </c>
      <c r="AC93" s="871">
        <f t="shared" si="16"/>
        <v>120.563175</v>
      </c>
      <c r="AD93" s="838">
        <f t="shared" si="17"/>
        <v>115.3433154761905</v>
      </c>
      <c r="AE93" s="838"/>
    </row>
    <row r="94" spans="1:31" ht="15.75" customHeight="1" x14ac:dyDescent="0.2">
      <c r="A94" s="875"/>
      <c r="B94" s="854">
        <v>41</v>
      </c>
      <c r="C94" s="855">
        <f t="shared" si="0"/>
        <v>45901</v>
      </c>
      <c r="D94" s="854" t="s">
        <v>33</v>
      </c>
      <c r="E94" s="856" t="s">
        <v>437</v>
      </c>
      <c r="F94" s="854">
        <v>10</v>
      </c>
      <c r="G94" s="854">
        <v>10</v>
      </c>
      <c r="H94" s="857">
        <v>5.3888888888888889E-2</v>
      </c>
      <c r="I94" s="854" t="str">
        <f t="shared" si="14"/>
        <v>7:46</v>
      </c>
      <c r="J94" s="854"/>
      <c r="K94" s="854"/>
      <c r="L94" s="854" t="str">
        <f t="shared" si="2"/>
        <v>0:00</v>
      </c>
      <c r="M94" s="854"/>
      <c r="N94" s="854"/>
      <c r="O94" s="858"/>
      <c r="P94" s="863"/>
      <c r="Q94" s="864"/>
      <c r="R94" s="4"/>
      <c r="S94" s="4"/>
      <c r="T94" s="16">
        <f t="shared" si="15"/>
        <v>78.61999999999999</v>
      </c>
      <c r="U94" s="868">
        <f t="shared" si="18"/>
        <v>73.694285714285712</v>
      </c>
      <c r="V94" s="4">
        <v>70</v>
      </c>
      <c r="W94" s="4">
        <f t="shared" si="19"/>
        <v>73</v>
      </c>
      <c r="X94" s="868">
        <f t="shared" si="20"/>
        <v>69.857142857142861</v>
      </c>
      <c r="Y94" s="4"/>
      <c r="Z94" s="869">
        <f t="shared" si="21"/>
        <v>0.60990376067525076</v>
      </c>
      <c r="AA94" s="4">
        <f>IF(H94*G94,LOOKUP(Z94,'Daniel''s Tables'!$Z$135:$Z$214,'Daniel''s Tables'!$AB$135:$AB$214),0)</f>
        <v>0.11599999999999999</v>
      </c>
      <c r="AB94" s="869">
        <f t="shared" si="22"/>
        <v>9.001599999999998</v>
      </c>
      <c r="AC94" s="871">
        <f t="shared" si="16"/>
        <v>120.52282500000001</v>
      </c>
      <c r="AD94" s="838">
        <f t="shared" si="17"/>
        <v>118.05607857142857</v>
      </c>
      <c r="AE94" s="838"/>
    </row>
    <row r="95" spans="1:31" ht="15.75" customHeight="1" x14ac:dyDescent="0.2">
      <c r="A95" s="875"/>
      <c r="B95" s="854">
        <v>40</v>
      </c>
      <c r="C95" s="855">
        <f t="shared" si="0"/>
        <v>45902</v>
      </c>
      <c r="D95" s="854" t="s">
        <v>34</v>
      </c>
      <c r="E95" s="856" t="s">
        <v>414</v>
      </c>
      <c r="F95" s="854">
        <v>14</v>
      </c>
      <c r="G95" s="854">
        <v>14.01</v>
      </c>
      <c r="H95" s="857">
        <v>6.4872685185185186E-2</v>
      </c>
      <c r="I95" s="854" t="str">
        <f t="shared" si="14"/>
        <v>6:40</v>
      </c>
      <c r="J95" s="857">
        <f>TIME(0,11,12)+TIME(0,11,7)+TIME(0,11,7)+TIME(0,10,49)</f>
        <v>3.0729166666666665E-2</v>
      </c>
      <c r="K95" s="854">
        <f>4*2</f>
        <v>8</v>
      </c>
      <c r="L95" s="854" t="str">
        <f t="shared" si="2"/>
        <v>5:32</v>
      </c>
      <c r="M95" s="854"/>
      <c r="N95" s="854"/>
      <c r="O95" s="858"/>
      <c r="P95" s="863"/>
      <c r="Q95" s="864"/>
      <c r="R95" s="4"/>
      <c r="S95" s="4"/>
      <c r="T95" s="16">
        <f t="shared" si="15"/>
        <v>80.89</v>
      </c>
      <c r="U95" s="868">
        <f t="shared" si="18"/>
        <v>75.484285714285718</v>
      </c>
      <c r="V95" s="4">
        <v>70</v>
      </c>
      <c r="W95" s="4">
        <f t="shared" si="19"/>
        <v>77</v>
      </c>
      <c r="X95" s="868">
        <f t="shared" si="20"/>
        <v>71.142857142857139</v>
      </c>
      <c r="Y95" s="4"/>
      <c r="Z95" s="869">
        <f t="shared" si="21"/>
        <v>0.73580425766247715</v>
      </c>
      <c r="AA95" s="4">
        <f>IF(H95*G95,LOOKUP(Z95,'Daniel''s Tables'!$Z$135:$Z$214,'Daniel''s Tables'!$AB$135:$AB$214),0)</f>
        <v>0.32500000000000001</v>
      </c>
      <c r="AB95" s="869">
        <f t="shared" si="22"/>
        <v>30.360416666666669</v>
      </c>
      <c r="AC95" s="871">
        <f t="shared" si="16"/>
        <v>130.35824166666669</v>
      </c>
      <c r="AD95" s="838">
        <f t="shared" si="17"/>
        <v>122.79849166666668</v>
      </c>
      <c r="AE95" s="838"/>
    </row>
    <row r="96" spans="1:31" ht="15.75" customHeight="1" x14ac:dyDescent="0.2">
      <c r="A96" s="875"/>
      <c r="B96" s="854">
        <v>39</v>
      </c>
      <c r="C96" s="855">
        <f t="shared" si="0"/>
        <v>45903</v>
      </c>
      <c r="D96" s="854" t="s">
        <v>26</v>
      </c>
      <c r="E96" s="856" t="s">
        <v>437</v>
      </c>
      <c r="F96" s="854">
        <v>10</v>
      </c>
      <c r="G96" s="854">
        <f>8.14+5.03</f>
        <v>13.170000000000002</v>
      </c>
      <c r="H96" s="857">
        <f>TIME(1,6,36) + TIME(0,37,48)</f>
        <v>7.2499999999999995E-2</v>
      </c>
      <c r="I96" s="854" t="str">
        <f t="shared" si="14"/>
        <v>7:56</v>
      </c>
      <c r="J96" s="857">
        <f>TIME(0,3,41)</f>
        <v>2.5578703703703705E-3</v>
      </c>
      <c r="K96" s="854">
        <v>0.8</v>
      </c>
      <c r="L96" s="854" t="str">
        <f t="shared" si="2"/>
        <v>4:36</v>
      </c>
      <c r="M96" s="854"/>
      <c r="N96" s="854"/>
      <c r="O96" s="858"/>
      <c r="P96" s="861"/>
      <c r="Q96" s="865"/>
      <c r="R96" s="4"/>
      <c r="S96" s="4"/>
      <c r="T96" s="16">
        <f t="shared" si="15"/>
        <v>85.51</v>
      </c>
      <c r="U96" s="868">
        <f t="shared" si="18"/>
        <v>77.860000000000014</v>
      </c>
      <c r="V96" s="4">
        <v>70</v>
      </c>
      <c r="W96" s="4">
        <f t="shared" si="19"/>
        <v>82</v>
      </c>
      <c r="X96" s="868">
        <f t="shared" si="20"/>
        <v>73.428571428571431</v>
      </c>
      <c r="Y96" s="4"/>
      <c r="Z96" s="869">
        <f t="shared" si="21"/>
        <v>0.59398230286747544</v>
      </c>
      <c r="AA96" s="4">
        <f>IF(H96*G96,LOOKUP(Z96,'Daniel''s Tables'!$Z$135:$Z$214,'Daniel''s Tables'!$AB$135:$AB$214),0)</f>
        <v>0.1</v>
      </c>
      <c r="AB96" s="869">
        <f t="shared" si="22"/>
        <v>10.44</v>
      </c>
      <c r="AC96" s="871">
        <f t="shared" si="16"/>
        <v>130.64631666666668</v>
      </c>
      <c r="AD96" s="838">
        <f t="shared" si="17"/>
        <v>127.16915476190476</v>
      </c>
      <c r="AE96" s="838"/>
    </row>
    <row r="97" spans="1:31" ht="15.75" customHeight="1" x14ac:dyDescent="0.2">
      <c r="A97" s="875"/>
      <c r="B97" s="854">
        <v>38</v>
      </c>
      <c r="C97" s="855">
        <f t="shared" si="0"/>
        <v>45904</v>
      </c>
      <c r="D97" s="854" t="s">
        <v>27</v>
      </c>
      <c r="E97" s="856" t="s">
        <v>443</v>
      </c>
      <c r="F97" s="854">
        <v>12</v>
      </c>
      <c r="G97" s="854">
        <v>10.11</v>
      </c>
      <c r="H97" s="857">
        <v>5.2743055555555557E-2</v>
      </c>
      <c r="I97" s="854" t="str">
        <f t="shared" si="14"/>
        <v>7:31</v>
      </c>
      <c r="J97" s="854"/>
      <c r="K97" s="854"/>
      <c r="L97" s="854" t="str">
        <f t="shared" si="2"/>
        <v>0:00</v>
      </c>
      <c r="M97" s="854"/>
      <c r="N97" s="859"/>
      <c r="O97" s="858"/>
      <c r="P97" s="861">
        <f>N98+P90</f>
        <v>4.6558217592592595</v>
      </c>
      <c r="Q97" s="865"/>
      <c r="R97" s="4"/>
      <c r="S97" s="4"/>
      <c r="T97" s="16">
        <f t="shared" si="15"/>
        <v>80.53</v>
      </c>
      <c r="U97" s="868">
        <f t="shared" si="18"/>
        <v>78.242857142857147</v>
      </c>
      <c r="V97" s="4">
        <v>70</v>
      </c>
      <c r="W97" s="4">
        <f t="shared" si="19"/>
        <v>79</v>
      </c>
      <c r="X97" s="868">
        <f t="shared" si="20"/>
        <v>74.571428571428569</v>
      </c>
      <c r="Y97" s="4"/>
      <c r="Z97" s="869">
        <f t="shared" si="21"/>
        <v>0.63492936916040565</v>
      </c>
      <c r="AA97" s="4">
        <f>IF(H97*G97,LOOKUP(Z97,'Daniel''s Tables'!$Z$135:$Z$214,'Daniel''s Tables'!$AB$135:$AB$214),0)</f>
        <v>0.15</v>
      </c>
      <c r="AB97" s="869">
        <f t="shared" si="22"/>
        <v>11.3925</v>
      </c>
      <c r="AC97" s="871">
        <f t="shared" si="16"/>
        <v>100.24771666666666</v>
      </c>
      <c r="AD97" s="838">
        <f t="shared" si="17"/>
        <v>122.01663214285715</v>
      </c>
      <c r="AE97" s="838"/>
    </row>
    <row r="98" spans="1:31" ht="15.75" customHeight="1" x14ac:dyDescent="0.2">
      <c r="A98" s="875"/>
      <c r="B98" s="854">
        <v>37</v>
      </c>
      <c r="C98" s="855">
        <f t="shared" si="0"/>
        <v>45905</v>
      </c>
      <c r="D98" s="854" t="s">
        <v>28</v>
      </c>
      <c r="E98" s="856" t="s">
        <v>440</v>
      </c>
      <c r="F98" s="854">
        <v>7</v>
      </c>
      <c r="G98" s="854">
        <v>5.04</v>
      </c>
      <c r="H98" s="857">
        <v>2.8483796296296295E-2</v>
      </c>
      <c r="I98" s="854" t="str">
        <f t="shared" si="14"/>
        <v>8:08</v>
      </c>
      <c r="J98" s="854"/>
      <c r="K98" s="854"/>
      <c r="L98" s="854" t="str">
        <f t="shared" si="2"/>
        <v>0:00</v>
      </c>
      <c r="M98" s="854"/>
      <c r="N98" s="859">
        <f>SUM(H93:H99)</f>
        <v>0.40640046296296295</v>
      </c>
      <c r="O98" s="858"/>
      <c r="P98" s="863">
        <f>N99+P91</f>
        <v>907.78</v>
      </c>
      <c r="Q98" s="866"/>
      <c r="R98" s="4"/>
      <c r="S98" s="4"/>
      <c r="T98" s="16">
        <f t="shared" si="15"/>
        <v>80.52000000000001</v>
      </c>
      <c r="U98" s="868">
        <f t="shared" si="18"/>
        <v>79.362857142857138</v>
      </c>
      <c r="V98" s="4">
        <v>70</v>
      </c>
      <c r="W98" s="4">
        <f t="shared" si="19"/>
        <v>81</v>
      </c>
      <c r="X98" s="868">
        <f t="shared" si="20"/>
        <v>76.285714285714292</v>
      </c>
      <c r="Y98" s="4"/>
      <c r="Z98" s="869">
        <f t="shared" si="21"/>
        <v>0.57488770360010255</v>
      </c>
      <c r="AA98" s="4">
        <f>IF(H98*G98,LOOKUP(Z98,'Daniel''s Tables'!$Z$135:$Z$214,'Daniel''s Tables'!$AB$135:$AB$214),0)</f>
        <v>0.1</v>
      </c>
      <c r="AB98" s="869">
        <f t="shared" si="22"/>
        <v>4.1016666666666666</v>
      </c>
      <c r="AC98" s="871">
        <f t="shared" si="16"/>
        <v>100.21771666666666</v>
      </c>
      <c r="AD98" s="838">
        <f t="shared" si="17"/>
        <v>117.58535714285715</v>
      </c>
      <c r="AE98" s="838"/>
    </row>
    <row r="99" spans="1:31" ht="15.75" customHeight="1" x14ac:dyDescent="0.2">
      <c r="A99" s="875"/>
      <c r="B99" s="854">
        <v>36</v>
      </c>
      <c r="C99" s="855">
        <f t="shared" si="0"/>
        <v>45906</v>
      </c>
      <c r="D99" s="854" t="s">
        <v>30</v>
      </c>
      <c r="E99" s="856" t="s">
        <v>504</v>
      </c>
      <c r="F99" s="854">
        <v>19</v>
      </c>
      <c r="G99" s="854">
        <v>20.010000000000002</v>
      </c>
      <c r="H99" s="857">
        <v>8.7511574074074075E-2</v>
      </c>
      <c r="I99" s="854" t="str">
        <f t="shared" si="14"/>
        <v>6:18</v>
      </c>
      <c r="J99" s="857">
        <f>TIME(0,46,57)+TIME(0,5,34)+TIME(0,23,25)+TIME(0,5,33)+TIME(0,5,49)</f>
        <v>6.0624999999999991E-2</v>
      </c>
      <c r="K99" s="854">
        <f>8+1+4+1+1</f>
        <v>15</v>
      </c>
      <c r="L99" s="854" t="str">
        <f t="shared" si="2"/>
        <v>5:49</v>
      </c>
      <c r="M99" s="856">
        <f>SUM(F93:F99)</f>
        <v>80</v>
      </c>
      <c r="N99" s="854">
        <f>SUM(G93:G99)</f>
        <v>80.349999999999994</v>
      </c>
      <c r="O99" s="858"/>
      <c r="P99" s="863">
        <f>M99+P92</f>
        <v>947</v>
      </c>
      <c r="Q99" s="862">
        <f>P98/P99</f>
        <v>0.95858500527983104</v>
      </c>
      <c r="R99" s="4"/>
      <c r="S99" s="4"/>
      <c r="T99" s="16">
        <f t="shared" si="15"/>
        <v>80.349999999999994</v>
      </c>
      <c r="U99" s="868">
        <f t="shared" si="18"/>
        <v>80.151428571428568</v>
      </c>
      <c r="V99" s="4">
        <v>70</v>
      </c>
      <c r="W99" s="4">
        <f t="shared" si="19"/>
        <v>80</v>
      </c>
      <c r="X99" s="868">
        <f t="shared" si="20"/>
        <v>77.571428571428569</v>
      </c>
      <c r="Y99" s="4"/>
      <c r="Z99" s="869">
        <f t="shared" si="21"/>
        <v>0.78953592481482882</v>
      </c>
      <c r="AA99" s="4">
        <f>IF(H99*G99,LOOKUP(Z99,'Daniel''s Tables'!$Z$135:$Z$214,'Daniel''s Tables'!$AB$135:$AB$214),0)</f>
        <v>0.42949999999999999</v>
      </c>
      <c r="AB99" s="869">
        <f t="shared" si="22"/>
        <v>54.124158333333334</v>
      </c>
      <c r="AC99" s="871">
        <f t="shared" si="16"/>
        <v>126.10200833333332</v>
      </c>
      <c r="AD99" s="838">
        <f t="shared" si="17"/>
        <v>118.37971428571429</v>
      </c>
      <c r="AE99" s="838">
        <f>AC99</f>
        <v>126.10200833333332</v>
      </c>
    </row>
    <row r="100" spans="1:31" ht="15.75" customHeight="1" x14ac:dyDescent="0.2">
      <c r="A100" s="876" t="s">
        <v>44</v>
      </c>
      <c r="B100" s="6">
        <v>35</v>
      </c>
      <c r="C100" s="17">
        <f t="shared" si="0"/>
        <v>45907</v>
      </c>
      <c r="D100" s="6" t="s">
        <v>31</v>
      </c>
      <c r="E100" s="4" t="s">
        <v>385</v>
      </c>
      <c r="F100" s="6">
        <v>8</v>
      </c>
      <c r="G100" s="6">
        <v>7.75</v>
      </c>
      <c r="H100" s="29">
        <v>4.1643518518518517E-2</v>
      </c>
      <c r="I100" s="6" t="str">
        <f t="shared" si="14"/>
        <v>7:44</v>
      </c>
      <c r="J100" s="6"/>
      <c r="K100" s="6"/>
      <c r="L100" s="6" t="str">
        <f t="shared" si="2"/>
        <v>0:00</v>
      </c>
      <c r="M100" s="4"/>
      <c r="N100" s="4"/>
      <c r="O100" s="16"/>
      <c r="P100" s="863"/>
      <c r="Q100" s="862"/>
      <c r="R100" s="4"/>
      <c r="S100" s="4"/>
      <c r="T100" s="16">
        <f t="shared" si="15"/>
        <v>80.09</v>
      </c>
      <c r="U100" s="868">
        <f t="shared" si="18"/>
        <v>80.929999999999993</v>
      </c>
      <c r="V100" s="4">
        <v>70</v>
      </c>
      <c r="W100" s="4">
        <f t="shared" si="19"/>
        <v>80</v>
      </c>
      <c r="X100" s="868">
        <f t="shared" si="20"/>
        <v>78.857142857142861</v>
      </c>
      <c r="Y100" s="4"/>
      <c r="Z100" s="869">
        <f t="shared" si="21"/>
        <v>0.61209188502111489</v>
      </c>
      <c r="AA100" s="4">
        <f>IF(H100*G100,LOOKUP(Z100,'Daniel''s Tables'!$Z$135:$Z$214,'Daniel''s Tables'!$AB$135:$AB$214),0)</f>
        <v>0.122</v>
      </c>
      <c r="AB100" s="869">
        <f t="shared" si="22"/>
        <v>7.3159333333333327</v>
      </c>
      <c r="AC100" s="871">
        <f t="shared" si="16"/>
        <v>126.73627500000001</v>
      </c>
      <c r="AD100" s="838">
        <f t="shared" si="17"/>
        <v>119.26158571428572</v>
      </c>
      <c r="AE100" s="838"/>
    </row>
    <row r="101" spans="1:31" ht="15.75" customHeight="1" x14ac:dyDescent="0.2">
      <c r="A101" s="876"/>
      <c r="B101" s="6">
        <v>34</v>
      </c>
      <c r="C101" s="17">
        <f t="shared" si="0"/>
        <v>45908</v>
      </c>
      <c r="D101" s="6" t="s">
        <v>33</v>
      </c>
      <c r="E101" s="4" t="s">
        <v>437</v>
      </c>
      <c r="F101" s="6">
        <v>10</v>
      </c>
      <c r="G101" s="6">
        <v>11.11</v>
      </c>
      <c r="H101" s="29">
        <v>6.1782407407407404E-2</v>
      </c>
      <c r="I101" s="6" t="str">
        <f t="shared" si="14"/>
        <v>8:00</v>
      </c>
      <c r="J101" s="6"/>
      <c r="K101" s="6"/>
      <c r="L101" s="6" t="str">
        <f t="shared" si="2"/>
        <v>0:00</v>
      </c>
      <c r="M101" s="6"/>
      <c r="N101" s="6"/>
      <c r="O101" s="16"/>
      <c r="P101" s="863"/>
      <c r="Q101" s="864"/>
      <c r="R101" s="4"/>
      <c r="S101" s="4"/>
      <c r="T101" s="16">
        <f t="shared" si="15"/>
        <v>81.2</v>
      </c>
      <c r="U101" s="868">
        <f t="shared" si="18"/>
        <v>81.298571428571449</v>
      </c>
      <c r="V101" s="4">
        <v>70</v>
      </c>
      <c r="W101" s="4">
        <f t="shared" si="19"/>
        <v>80</v>
      </c>
      <c r="X101" s="868">
        <f t="shared" si="20"/>
        <v>79.857142857142861</v>
      </c>
      <c r="Y101" s="4"/>
      <c r="Z101" s="869">
        <f t="shared" si="21"/>
        <v>0.58655406714238068</v>
      </c>
      <c r="AA101" s="4">
        <f>IF(H101*G101,LOOKUP(Z101,'Daniel''s Tables'!$Z$135:$Z$214,'Daniel''s Tables'!$AB$135:$AB$214),0)</f>
        <v>0.1</v>
      </c>
      <c r="AB101" s="869">
        <f t="shared" si="22"/>
        <v>8.8966666666666665</v>
      </c>
      <c r="AC101" s="871">
        <f t="shared" si="16"/>
        <v>126.63134166666667</v>
      </c>
      <c r="AD101" s="838">
        <f t="shared" si="17"/>
        <v>120.13423095238095</v>
      </c>
      <c r="AE101" s="838"/>
    </row>
    <row r="102" spans="1:31" ht="15.75" customHeight="1" x14ac:dyDescent="0.2">
      <c r="A102" s="876"/>
      <c r="B102" s="6">
        <v>33</v>
      </c>
      <c r="C102" s="17">
        <f t="shared" si="0"/>
        <v>45909</v>
      </c>
      <c r="D102" s="6" t="s">
        <v>34</v>
      </c>
      <c r="E102" s="4" t="s">
        <v>416</v>
      </c>
      <c r="F102" s="6">
        <v>14</v>
      </c>
      <c r="G102" s="6">
        <v>12</v>
      </c>
      <c r="H102" s="29">
        <v>5.6064814814814817E-2</v>
      </c>
      <c r="I102" s="6" t="str">
        <f t="shared" si="14"/>
        <v>6:44</v>
      </c>
      <c r="J102" s="29">
        <f>TIME(0,30,175)</f>
        <v>2.2858796296296297E-2</v>
      </c>
      <c r="K102" s="873">
        <v>6.2</v>
      </c>
      <c r="L102" s="6" t="str">
        <f t="shared" si="2"/>
        <v>5:19</v>
      </c>
      <c r="M102" s="6"/>
      <c r="N102" s="6"/>
      <c r="O102" s="16"/>
      <c r="P102" s="863"/>
      <c r="Q102" s="864"/>
      <c r="R102" s="4"/>
      <c r="S102" s="4"/>
      <c r="T102" s="16">
        <f t="shared" si="15"/>
        <v>79.19</v>
      </c>
      <c r="U102" s="868">
        <f t="shared" si="18"/>
        <v>81.055714285714288</v>
      </c>
      <c r="V102" s="4">
        <v>70</v>
      </c>
      <c r="W102" s="4">
        <f t="shared" si="19"/>
        <v>80</v>
      </c>
      <c r="X102" s="868">
        <f t="shared" si="20"/>
        <v>80.285714285714292</v>
      </c>
      <c r="Y102" s="4"/>
      <c r="Z102" s="869">
        <f t="shared" si="21"/>
        <v>0.72772161889896736</v>
      </c>
      <c r="AA102" s="4">
        <f>IF(H102*G102,LOOKUP(Z102,'Daniel''s Tables'!$Z$135:$Z$214,'Daniel''s Tables'!$AB$135:$AB$214),0)</f>
        <v>0.3085</v>
      </c>
      <c r="AB102" s="869">
        <f t="shared" si="22"/>
        <v>24.906233333333333</v>
      </c>
      <c r="AC102" s="871">
        <f t="shared" si="16"/>
        <v>121.17715833333332</v>
      </c>
      <c r="AD102" s="838">
        <f t="shared" si="17"/>
        <v>118.82264761904761</v>
      </c>
      <c r="AE102" s="838"/>
    </row>
    <row r="103" spans="1:31" ht="15.75" customHeight="1" x14ac:dyDescent="0.2">
      <c r="A103" s="876"/>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66.02</v>
      </c>
      <c r="U103" s="868">
        <f t="shared" si="18"/>
        <v>78.271428571428572</v>
      </c>
      <c r="V103" s="4">
        <v>70</v>
      </c>
      <c r="W103" s="4">
        <f t="shared" si="19"/>
        <v>77</v>
      </c>
      <c r="X103" s="868">
        <f t="shared" si="20"/>
        <v>79.571428571428569</v>
      </c>
      <c r="Y103" s="4"/>
      <c r="Z103" s="869" t="e">
        <f t="shared" si="21"/>
        <v>#DIV/0!</v>
      </c>
      <c r="AA103" s="4">
        <f>IF(H103*G103,LOOKUP(Z103,'Daniel''s Tables'!$Z$135:$Z$214,'Daniel''s Tables'!$AB$135:$AB$214),0)</f>
        <v>0</v>
      </c>
      <c r="AB103" s="869">
        <f t="shared" si="22"/>
        <v>0</v>
      </c>
      <c r="AC103" s="871">
        <f t="shared" si="16"/>
        <v>110.73715833333333</v>
      </c>
      <c r="AD103" s="838">
        <f t="shared" si="17"/>
        <v>115.97848214285715</v>
      </c>
      <c r="AE103" s="838"/>
    </row>
    <row r="104" spans="1:31" ht="15.75" customHeight="1" x14ac:dyDescent="0.2">
      <c r="A104" s="876"/>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4.8153125000000001</v>
      </c>
      <c r="Q104" s="865"/>
      <c r="R104" s="4"/>
      <c r="S104" s="4"/>
      <c r="T104" s="16">
        <f t="shared" si="15"/>
        <v>55.91</v>
      </c>
      <c r="U104" s="868">
        <f t="shared" si="18"/>
        <v>74.754285714285714</v>
      </c>
      <c r="V104" s="4">
        <v>70</v>
      </c>
      <c r="W104" s="4">
        <f t="shared" si="19"/>
        <v>77</v>
      </c>
      <c r="X104" s="868">
        <f t="shared" si="20"/>
        <v>79.285714285714292</v>
      </c>
      <c r="Y104" s="4"/>
      <c r="Z104" s="869" t="e">
        <f t="shared" si="21"/>
        <v>#DIV/0!</v>
      </c>
      <c r="AA104" s="4">
        <f>IF(H104*G104,LOOKUP(Z104,'Daniel''s Tables'!$Z$135:$Z$214,'Daniel''s Tables'!$AB$135:$AB$214),0)</f>
        <v>0</v>
      </c>
      <c r="AB104" s="869">
        <f t="shared" si="22"/>
        <v>0</v>
      </c>
      <c r="AC104" s="871">
        <f t="shared" si="16"/>
        <v>99.344658333333328</v>
      </c>
      <c r="AD104" s="838">
        <f t="shared" si="17"/>
        <v>115.84947380952381</v>
      </c>
      <c r="AE104" s="838"/>
    </row>
    <row r="105" spans="1:31" ht="15.75" customHeight="1" x14ac:dyDescent="0.2">
      <c r="A105" s="876"/>
      <c r="B105" s="6">
        <v>30</v>
      </c>
      <c r="C105" s="17">
        <f t="shared" si="0"/>
        <v>45912</v>
      </c>
      <c r="D105" s="6" t="s">
        <v>28</v>
      </c>
      <c r="E105" s="4" t="s">
        <v>384</v>
      </c>
      <c r="F105" s="6">
        <v>7</v>
      </c>
      <c r="G105" s="6"/>
      <c r="H105" s="29"/>
      <c r="I105" s="6" t="str">
        <f t="shared" si="14"/>
        <v>0:00</v>
      </c>
      <c r="J105" s="6"/>
      <c r="K105" s="6"/>
      <c r="L105" s="6" t="str">
        <f t="shared" si="2"/>
        <v>0:00</v>
      </c>
      <c r="M105" s="6"/>
      <c r="N105" s="28">
        <f>SUM(H100:H106)</f>
        <v>0.15949074074074074</v>
      </c>
      <c r="O105" s="16"/>
      <c r="P105" s="863">
        <f>N106+P98</f>
        <v>938.64</v>
      </c>
      <c r="Q105" s="866"/>
      <c r="R105" s="4"/>
      <c r="S105" s="4"/>
      <c r="T105" s="16">
        <f t="shared" si="15"/>
        <v>50.870000000000005</v>
      </c>
      <c r="U105" s="868">
        <f t="shared" si="18"/>
        <v>70.518571428571434</v>
      </c>
      <c r="V105" s="4">
        <v>70</v>
      </c>
      <c r="W105" s="4">
        <f t="shared" si="19"/>
        <v>77</v>
      </c>
      <c r="X105" s="868">
        <f t="shared" si="20"/>
        <v>78.714285714285708</v>
      </c>
      <c r="Y105" s="4"/>
      <c r="Z105" s="869" t="e">
        <f t="shared" si="21"/>
        <v>#DIV/0!</v>
      </c>
      <c r="AA105" s="4">
        <f>IF(H105*G105,LOOKUP(Z105,'Daniel''s Tables'!$Z$135:$Z$214,'Daniel''s Tables'!$AB$135:$AB$214),0)</f>
        <v>0</v>
      </c>
      <c r="AB105" s="869">
        <f t="shared" si="22"/>
        <v>0</v>
      </c>
      <c r="AC105" s="871">
        <f t="shared" si="16"/>
        <v>95.242991666666668</v>
      </c>
      <c r="AD105" s="838">
        <f t="shared" si="17"/>
        <v>115.13879880952381</v>
      </c>
      <c r="AE105" s="838"/>
    </row>
    <row r="106" spans="1:31" ht="15.75" customHeight="1" x14ac:dyDescent="0.2">
      <c r="A106" s="876"/>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30.86</v>
      </c>
      <c r="O106" s="16"/>
      <c r="P106" s="863">
        <f>M106+P99</f>
        <v>1021</v>
      </c>
      <c r="Q106" s="862">
        <f>P105/P106</f>
        <v>0.91933398628795293</v>
      </c>
      <c r="R106" s="4"/>
      <c r="S106" s="4"/>
      <c r="T106" s="16">
        <f t="shared" si="15"/>
        <v>30.86</v>
      </c>
      <c r="U106" s="868">
        <f t="shared" si="18"/>
        <v>63.448571428571427</v>
      </c>
      <c r="V106" s="4">
        <v>70</v>
      </c>
      <c r="W106" s="4">
        <f t="shared" si="19"/>
        <v>74</v>
      </c>
      <c r="X106" s="868">
        <f t="shared" si="20"/>
        <v>77.857142857142861</v>
      </c>
      <c r="Y106" s="4"/>
      <c r="Z106" s="869" t="e">
        <f t="shared" si="21"/>
        <v>#DIV/0!</v>
      </c>
      <c r="AA106" s="4">
        <f>IF(H106*G106,LOOKUP(Z106,'Daniel''s Tables'!$Z$135:$Z$214,'Daniel''s Tables'!$AB$135:$AB$214),0)</f>
        <v>0</v>
      </c>
      <c r="AB106" s="869">
        <f t="shared" si="22"/>
        <v>0</v>
      </c>
      <c r="AC106" s="871">
        <f t="shared" si="16"/>
        <v>41.118833333333328</v>
      </c>
      <c r="AD106" s="838">
        <f t="shared" si="17"/>
        <v>102.99834523809523</v>
      </c>
      <c r="AE106" s="838">
        <f>AC106</f>
        <v>41.118833333333328</v>
      </c>
    </row>
    <row r="107" spans="1:31" ht="15.75" customHeight="1" x14ac:dyDescent="0.2">
      <c r="A107" s="875"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23.11</v>
      </c>
      <c r="U107" s="868">
        <f t="shared" si="18"/>
        <v>55.308571428571426</v>
      </c>
      <c r="V107" s="4">
        <v>70</v>
      </c>
      <c r="W107" s="4">
        <f t="shared" si="19"/>
        <v>76</v>
      </c>
      <c r="X107" s="868">
        <f t="shared" si="20"/>
        <v>77.285714285714292</v>
      </c>
      <c r="Y107" s="4"/>
      <c r="Z107" s="869" t="e">
        <f t="shared" si="21"/>
        <v>#DIV/0!</v>
      </c>
      <c r="AA107" s="4">
        <f>IF(H107*G107,LOOKUP(Z107,'Daniel''s Tables'!$Z$135:$Z$214,'Daniel''s Tables'!$AB$135:$AB$214),0)</f>
        <v>0</v>
      </c>
      <c r="AB107" s="869">
        <f t="shared" si="22"/>
        <v>0</v>
      </c>
      <c r="AC107" s="871">
        <f t="shared" si="16"/>
        <v>33.802900000000001</v>
      </c>
      <c r="AD107" s="838">
        <f t="shared" si="17"/>
        <v>89.722148809523802</v>
      </c>
      <c r="AE107" s="838"/>
    </row>
    <row r="108" spans="1:31" ht="15.75" customHeight="1" x14ac:dyDescent="0.2">
      <c r="A108" s="875"/>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12</v>
      </c>
      <c r="U108" s="868">
        <f t="shared" si="18"/>
        <v>45.42285714285714</v>
      </c>
      <c r="V108" s="4">
        <v>70</v>
      </c>
      <c r="W108" s="4">
        <f t="shared" si="19"/>
        <v>72</v>
      </c>
      <c r="X108" s="868">
        <f t="shared" si="20"/>
        <v>76.142857142857139</v>
      </c>
      <c r="Y108" s="4"/>
      <c r="Z108" s="869" t="e">
        <f t="shared" si="21"/>
        <v>#DIV/0!</v>
      </c>
      <c r="AA108" s="4">
        <f>IF(H108*G108,LOOKUP(Z108,'Daniel''s Tables'!$Z$135:$Z$214,'Daniel''s Tables'!$AB$135:$AB$214),0)</f>
        <v>0</v>
      </c>
      <c r="AB108" s="869">
        <f t="shared" si="22"/>
        <v>0</v>
      </c>
      <c r="AC108" s="871">
        <f t="shared" si="16"/>
        <v>24.906233333333333</v>
      </c>
      <c r="AD108" s="838">
        <f t="shared" si="17"/>
        <v>75.189990476190474</v>
      </c>
      <c r="AE108" s="838"/>
    </row>
    <row r="109" spans="1:31" ht="15.75" customHeight="1" x14ac:dyDescent="0.2">
      <c r="A109" s="875"/>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34.110000000000007</v>
      </c>
      <c r="V109" s="4">
        <v>70</v>
      </c>
      <c r="W109" s="4">
        <f t="shared" si="19"/>
        <v>70</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57.878967857142861</v>
      </c>
      <c r="AE109" s="838"/>
    </row>
    <row r="110" spans="1:31" ht="15.75" customHeight="1" x14ac:dyDescent="0.2">
      <c r="A110" s="875"/>
      <c r="B110" s="854">
        <v>25</v>
      </c>
      <c r="C110" s="855">
        <f t="shared" si="0"/>
        <v>45917</v>
      </c>
      <c r="D110" s="854" t="s">
        <v>26</v>
      </c>
      <c r="E110" s="856" t="s">
        <v>384</v>
      </c>
      <c r="F110" s="854">
        <v>7</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24.678571428571427</v>
      </c>
      <c r="V110" s="4">
        <v>70</v>
      </c>
      <c r="W110" s="4">
        <f t="shared" si="19"/>
        <v>70</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42.059373809523812</v>
      </c>
      <c r="AE110" s="838"/>
    </row>
    <row r="111" spans="1:31" ht="15.75" customHeight="1" x14ac:dyDescent="0.2">
      <c r="A111" s="875"/>
      <c r="B111" s="854">
        <v>24</v>
      </c>
      <c r="C111" s="855">
        <f t="shared" si="0"/>
        <v>45918</v>
      </c>
      <c r="D111" s="854" t="s">
        <v>27</v>
      </c>
      <c r="E111" s="856" t="s">
        <v>505</v>
      </c>
      <c r="F111" s="854">
        <v>10</v>
      </c>
      <c r="G111" s="854"/>
      <c r="H111" s="857"/>
      <c r="I111" s="854" t="str">
        <f t="shared" si="14"/>
        <v>0:00</v>
      </c>
      <c r="J111" s="854"/>
      <c r="K111" s="854"/>
      <c r="L111" s="854" t="str">
        <f t="shared" si="2"/>
        <v>0:00</v>
      </c>
      <c r="M111" s="854"/>
      <c r="N111" s="859"/>
      <c r="O111" s="858"/>
      <c r="P111" s="861">
        <f>N112+P104</f>
        <v>4.8153125000000001</v>
      </c>
      <c r="Q111" s="865"/>
      <c r="R111" s="4"/>
      <c r="S111" s="4"/>
      <c r="T111" s="16">
        <f t="shared" si="15"/>
        <v>0</v>
      </c>
      <c r="U111" s="868">
        <f t="shared" si="18"/>
        <v>16.69142857142857</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27.867279761904765</v>
      </c>
      <c r="AE111" s="838"/>
    </row>
    <row r="112" spans="1:31" ht="15.75" customHeight="1" x14ac:dyDescent="0.2">
      <c r="A112" s="875"/>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938.64</v>
      </c>
      <c r="Q112" s="866"/>
      <c r="R112" s="4"/>
      <c r="S112" s="4"/>
      <c r="T112" s="16">
        <f t="shared" si="15"/>
        <v>0</v>
      </c>
      <c r="U112" s="868">
        <f t="shared" si="18"/>
        <v>9.4242857142857144</v>
      </c>
      <c r="V112" s="4">
        <v>70</v>
      </c>
      <c r="W112" s="4">
        <f t="shared" si="19"/>
        <v>66</v>
      </c>
      <c r="X112" s="868">
        <f t="shared" si="20"/>
        <v>70.857142857142861</v>
      </c>
      <c r="Y112" s="4"/>
      <c r="Z112" s="869" t="e">
        <f t="shared" si="21"/>
        <v>#DIV/0!</v>
      </c>
      <c r="AA112" s="4">
        <f>IF(H112*G112,LOOKUP(Z112,'Daniel''s Tables'!$Z$135:$Z$214,'Daniel''s Tables'!$AB$135:$AB$214),0)</f>
        <v>0</v>
      </c>
      <c r="AB112" s="869">
        <f t="shared" si="22"/>
        <v>0</v>
      </c>
      <c r="AC112" s="871">
        <f t="shared" si="16"/>
        <v>0</v>
      </c>
      <c r="AD112" s="838">
        <f t="shared" si="17"/>
        <v>14.261138095238094</v>
      </c>
      <c r="AE112" s="838"/>
    </row>
    <row r="113" spans="1:31" ht="15.75" customHeight="1" x14ac:dyDescent="0.2">
      <c r="A113" s="875"/>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1089</v>
      </c>
      <c r="Q113" s="862">
        <f>P112/P113</f>
        <v>0.86192837465564742</v>
      </c>
      <c r="R113" s="4"/>
      <c r="S113" s="4"/>
      <c r="T113" s="16">
        <f t="shared" si="15"/>
        <v>0</v>
      </c>
      <c r="U113" s="868">
        <f t="shared" si="18"/>
        <v>5.015714285714286</v>
      </c>
      <c r="V113" s="4">
        <v>70</v>
      </c>
      <c r="W113" s="4">
        <f t="shared" si="19"/>
        <v>68</v>
      </c>
      <c r="X113" s="868">
        <f t="shared" si="20"/>
        <v>70</v>
      </c>
      <c r="Y113" s="4"/>
      <c r="Z113" s="869" t="e">
        <f t="shared" si="21"/>
        <v>#DIV/0!</v>
      </c>
      <c r="AA113" s="4">
        <f>IF(H113*G113,LOOKUP(Z113,'Daniel''s Tables'!$Z$135:$Z$214,'Daniel''s Tables'!$AB$135:$AB$214),0)</f>
        <v>0</v>
      </c>
      <c r="AB113" s="869">
        <f t="shared" si="22"/>
        <v>0</v>
      </c>
      <c r="AC113" s="871">
        <f t="shared" si="16"/>
        <v>0</v>
      </c>
      <c r="AD113" s="838">
        <f t="shared" si="17"/>
        <v>8.3870190476190469</v>
      </c>
      <c r="AE113" s="838">
        <f>AC113</f>
        <v>0</v>
      </c>
    </row>
    <row r="114" spans="1:31" ht="15.75" customHeight="1" x14ac:dyDescent="0.2">
      <c r="A114" s="876"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1.7142857142857142</v>
      </c>
      <c r="V114" s="4">
        <v>70</v>
      </c>
      <c r="W114" s="4">
        <f t="shared" si="19"/>
        <v>64</v>
      </c>
      <c r="X114" s="868">
        <f t="shared" si="20"/>
        <v>68.285714285714292</v>
      </c>
      <c r="Y114" s="4"/>
      <c r="Z114" s="869" t="e">
        <f t="shared" si="21"/>
        <v>#DIV/0!</v>
      </c>
      <c r="AA114" s="4">
        <f>IF(H114*G114,LOOKUP(Z114,'Daniel''s Tables'!$Z$135:$Z$214,'Daniel''s Tables'!$AB$135:$AB$214),0)</f>
        <v>0</v>
      </c>
      <c r="AB114" s="869">
        <f t="shared" si="22"/>
        <v>0</v>
      </c>
      <c r="AC114" s="871">
        <f t="shared" si="16"/>
        <v>0</v>
      </c>
      <c r="AD114" s="838">
        <f t="shared" si="17"/>
        <v>3.5580333333333334</v>
      </c>
      <c r="AE114" s="838"/>
    </row>
    <row r="115" spans="1:31" ht="15.75" customHeight="1" x14ac:dyDescent="0.2">
      <c r="A115" s="876"/>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67.428571428571431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76"/>
      <c r="B116" s="6">
        <v>19</v>
      </c>
      <c r="C116" s="17">
        <f t="shared" si="0"/>
        <v>45923</v>
      </c>
      <c r="D116" s="6" t="s">
        <v>34</v>
      </c>
      <c r="E116" s="4" t="s">
        <v>420</v>
      </c>
      <c r="F116" s="6">
        <v>12</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66</v>
      </c>
      <c r="X116" s="868">
        <f t="shared" si="20"/>
        <v>66.857142857142861</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76"/>
      <c r="B117" s="6">
        <v>18</v>
      </c>
      <c r="C117" s="17">
        <f t="shared" si="0"/>
        <v>45924</v>
      </c>
      <c r="D117" s="6" t="s">
        <v>26</v>
      </c>
      <c r="E117" s="4" t="s">
        <v>385</v>
      </c>
      <c r="F117" s="6">
        <v>8</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67</v>
      </c>
      <c r="X117" s="868">
        <f t="shared" si="20"/>
        <v>66.428571428571431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76"/>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4.8153125000000001</v>
      </c>
      <c r="Q118" s="865"/>
      <c r="R118" s="4"/>
      <c r="S118" s="4"/>
      <c r="T118" s="16">
        <f t="shared" si="15"/>
        <v>0</v>
      </c>
      <c r="U118" s="868">
        <f t="shared" si="18"/>
        <v>0</v>
      </c>
      <c r="V118" s="4">
        <v>70</v>
      </c>
      <c r="W118" s="4">
        <f t="shared" si="19"/>
        <v>65</v>
      </c>
      <c r="X118" s="868">
        <f t="shared" si="20"/>
        <v>66</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76"/>
      <c r="B119" s="6">
        <v>16</v>
      </c>
      <c r="C119" s="17">
        <f t="shared" si="0"/>
        <v>45926</v>
      </c>
      <c r="D119" s="6" t="s">
        <v>28</v>
      </c>
      <c r="E119" s="4" t="s">
        <v>418</v>
      </c>
      <c r="F119" s="6">
        <v>18</v>
      </c>
      <c r="G119" s="6"/>
      <c r="H119" s="29"/>
      <c r="I119" s="6" t="str">
        <f t="shared" si="14"/>
        <v>0:00</v>
      </c>
      <c r="J119" s="6"/>
      <c r="K119" s="6"/>
      <c r="L119" s="6" t="str">
        <f t="shared" si="2"/>
        <v>0:00</v>
      </c>
      <c r="M119" s="6"/>
      <c r="N119" s="28">
        <f>SUM(H114:H120)</f>
        <v>0</v>
      </c>
      <c r="O119" s="16"/>
      <c r="P119" s="863">
        <f>N120+P112</f>
        <v>938.64</v>
      </c>
      <c r="Q119" s="866"/>
      <c r="R119" s="4"/>
      <c r="S119" s="4"/>
      <c r="T119" s="16">
        <f t="shared" si="15"/>
        <v>0</v>
      </c>
      <c r="U119" s="868">
        <f t="shared" si="18"/>
        <v>0</v>
      </c>
      <c r="V119" s="4">
        <v>70</v>
      </c>
      <c r="W119" s="4">
        <f t="shared" si="19"/>
        <v>78</v>
      </c>
      <c r="X119" s="868">
        <f t="shared" si="20"/>
        <v>67.714285714285708</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76"/>
      <c r="B120" s="6">
        <v>15</v>
      </c>
      <c r="C120" s="17">
        <f t="shared" si="0"/>
        <v>45927</v>
      </c>
      <c r="D120" s="6" t="s">
        <v>30</v>
      </c>
      <c r="E120" s="4" t="s">
        <v>381</v>
      </c>
      <c r="F120" s="6">
        <v>6</v>
      </c>
      <c r="G120" s="6"/>
      <c r="H120" s="29"/>
      <c r="I120" s="6" t="str">
        <f t="shared" si="14"/>
        <v>0:00</v>
      </c>
      <c r="J120" s="29"/>
      <c r="K120" s="6"/>
      <c r="L120" s="6" t="str">
        <f t="shared" si="2"/>
        <v>0:00</v>
      </c>
      <c r="M120" s="4">
        <f>SUM(F114:F120)</f>
        <v>66</v>
      </c>
      <c r="N120" s="6">
        <f>SUM(G114:G120)</f>
        <v>0</v>
      </c>
      <c r="O120" s="16"/>
      <c r="P120" s="863">
        <f>M120+P113</f>
        <v>1155</v>
      </c>
      <c r="Q120" s="862">
        <f>P119/P120</f>
        <v>0.81267532467532466</v>
      </c>
      <c r="R120" s="4"/>
      <c r="S120" s="4"/>
      <c r="T120" s="16">
        <f t="shared" si="15"/>
        <v>0</v>
      </c>
      <c r="U120" s="868">
        <f t="shared" si="18"/>
        <v>0</v>
      </c>
      <c r="V120" s="4">
        <v>70</v>
      </c>
      <c r="W120" s="4">
        <f t="shared" si="19"/>
        <v>66</v>
      </c>
      <c r="X120" s="868">
        <f t="shared" si="20"/>
        <v>67.428571428571431</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75"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67.714285714285708</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75"/>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67.285714285714292</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75"/>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63</v>
      </c>
      <c r="X123" s="868">
        <f t="shared" si="20"/>
        <v>66.857142857142861</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75"/>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66</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75"/>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4.8153125000000001</v>
      </c>
      <c r="Q125" s="865"/>
      <c r="R125" s="4"/>
      <c r="S125" s="4"/>
      <c r="T125" s="16">
        <f t="shared" si="15"/>
        <v>0</v>
      </c>
      <c r="U125" s="868">
        <f t="shared" si="18"/>
        <v>0</v>
      </c>
      <c r="V125" s="4">
        <v>70</v>
      </c>
      <c r="W125" s="4">
        <f t="shared" si="19"/>
        <v>61</v>
      </c>
      <c r="X125" s="868">
        <f t="shared" si="20"/>
        <v>65.428571428571431</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75"/>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938.64</v>
      </c>
      <c r="Q126" s="866"/>
      <c r="R126" s="4"/>
      <c r="S126" s="4"/>
      <c r="T126" s="16">
        <f t="shared" si="15"/>
        <v>0</v>
      </c>
      <c r="U126" s="868">
        <f t="shared" si="18"/>
        <v>0</v>
      </c>
      <c r="V126" s="4">
        <v>70</v>
      </c>
      <c r="W126" s="4">
        <f t="shared" si="19"/>
        <v>48</v>
      </c>
      <c r="X126" s="868">
        <f t="shared" si="20"/>
        <v>61.142857142857146</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75"/>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1213</v>
      </c>
      <c r="Q127" s="862">
        <f>P126/P127</f>
        <v>0.7738169826875515</v>
      </c>
      <c r="R127" s="4"/>
      <c r="S127" s="4"/>
      <c r="T127" s="16">
        <f t="shared" si="15"/>
        <v>0</v>
      </c>
      <c r="U127" s="868">
        <f t="shared" si="18"/>
        <v>0</v>
      </c>
      <c r="V127" s="4">
        <v>70</v>
      </c>
      <c r="W127" s="4">
        <f t="shared" si="19"/>
        <v>58</v>
      </c>
      <c r="X127" s="868">
        <f t="shared" si="20"/>
        <v>60</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76"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59.428571428571431</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76"/>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59.714285714285715</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76"/>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59.571428571428569</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76"/>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59.857142857142854</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76"/>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4.8153125000000001</v>
      </c>
      <c r="Q132" s="865"/>
      <c r="R132" s="4"/>
      <c r="S132" s="4"/>
      <c r="T132" s="16">
        <f t="shared" si="15"/>
        <v>0</v>
      </c>
      <c r="U132" s="868">
        <f t="shared" si="18"/>
        <v>0</v>
      </c>
      <c r="V132" s="4">
        <v>70</v>
      </c>
      <c r="W132" s="4">
        <f t="shared" si="19"/>
        <v>60</v>
      </c>
      <c r="X132" s="868">
        <f t="shared" si="20"/>
        <v>59.714285714285715</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76"/>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938.64</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76"/>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1258</v>
      </c>
      <c r="Q134" s="862">
        <f>P133/P134</f>
        <v>0.7461367249602544</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28" sqref="K28"/>
    </sheetView>
  </sheetViews>
  <sheetFormatPr defaultRowHeight="12.75" x14ac:dyDescent="0.2"/>
  <cols>
    <col min="12" max="12" width="17.85546875" customWidth="1"/>
  </cols>
  <sheetData>
    <row r="1" spans="1:12" x14ac:dyDescent="0.2">
      <c r="C1" s="889" t="s">
        <v>333</v>
      </c>
      <c r="D1" s="890"/>
      <c r="G1" s="889" t="s">
        <v>477</v>
      </c>
      <c r="H1" s="890"/>
      <c r="I1" s="33"/>
    </row>
    <row r="2" spans="1:12" x14ac:dyDescent="0.2">
      <c r="B2" s="825" t="s">
        <v>331</v>
      </c>
      <c r="C2" s="825" t="s">
        <v>448</v>
      </c>
      <c r="D2" s="825" t="s">
        <v>332</v>
      </c>
      <c r="E2" s="825" t="s">
        <v>476</v>
      </c>
      <c r="F2" s="825"/>
      <c r="G2" s="825" t="s">
        <v>448</v>
      </c>
      <c r="H2" s="825" t="s">
        <v>332</v>
      </c>
      <c r="I2" s="825" t="s">
        <v>476</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
      <c r="A15">
        <v>13</v>
      </c>
      <c r="B15">
        <v>6</v>
      </c>
      <c r="C15" s="825">
        <v>1</v>
      </c>
      <c r="D15" s="825">
        <v>1</v>
      </c>
      <c r="E15" s="825">
        <v>1</v>
      </c>
      <c r="F15" s="825"/>
      <c r="G15">
        <f t="shared" si="1"/>
        <v>55</v>
      </c>
      <c r="H15">
        <f t="shared" si="0"/>
        <v>70</v>
      </c>
      <c r="I15">
        <f t="shared" si="2"/>
        <v>80</v>
      </c>
      <c r="J15">
        <f t="shared" si="3"/>
        <v>85</v>
      </c>
      <c r="K15">
        <f>'2Q - 80'!N99</f>
        <v>80.349999999999994</v>
      </c>
      <c r="L15" s="838">
        <f>(K15-K14)/((K15+K14)/2)*100</f>
        <v>7.114318855522594</v>
      </c>
    </row>
    <row r="16" spans="1:12" x14ac:dyDescent="0.2">
      <c r="A16">
        <v>14</v>
      </c>
      <c r="B16">
        <v>5</v>
      </c>
      <c r="C16" s="825">
        <v>0.9</v>
      </c>
      <c r="D16" s="825">
        <v>0.9</v>
      </c>
      <c r="E16" s="825">
        <v>0.9</v>
      </c>
      <c r="F16" s="825"/>
      <c r="G16">
        <f t="shared" si="1"/>
        <v>49.5</v>
      </c>
      <c r="H16">
        <f t="shared" si="0"/>
        <v>63</v>
      </c>
      <c r="I16">
        <f t="shared" si="2"/>
        <v>72</v>
      </c>
      <c r="J16">
        <f t="shared" si="3"/>
        <v>76.5</v>
      </c>
      <c r="K16">
        <f>'2Q - 80'!N106</f>
        <v>30.86</v>
      </c>
      <c r="L16" s="838">
        <f>(K16-K15)/((K16+K15)/2)*100</f>
        <v>-89.002787519107983</v>
      </c>
    </row>
    <row r="17" spans="1:12" x14ac:dyDescent="0.2">
      <c r="A17">
        <v>15</v>
      </c>
      <c r="B17">
        <v>4</v>
      </c>
      <c r="C17" s="825">
        <v>0.9</v>
      </c>
      <c r="D17" s="825">
        <v>0.9</v>
      </c>
      <c r="E17" s="825">
        <v>0.8</v>
      </c>
      <c r="F17" s="825"/>
      <c r="G17">
        <f t="shared" si="1"/>
        <v>49.5</v>
      </c>
      <c r="H17">
        <f t="shared" si="0"/>
        <v>63</v>
      </c>
      <c r="I17">
        <f t="shared" si="2"/>
        <v>64</v>
      </c>
      <c r="J17">
        <f t="shared" si="3"/>
        <v>68</v>
      </c>
      <c r="K17">
        <f>'2Q - 80'!N113</f>
        <v>0</v>
      </c>
      <c r="L17" s="838">
        <f>(K17-K16)/((K17+K16)/2)*100</f>
        <v>-200</v>
      </c>
    </row>
    <row r="18" spans="1:12" x14ac:dyDescent="0.2">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
      <c r="A20">
        <v>18</v>
      </c>
      <c r="B20">
        <v>1</v>
      </c>
      <c r="G20">
        <v>25</v>
      </c>
      <c r="H20">
        <f>13+8+8+7+5+3+3</f>
        <v>47</v>
      </c>
      <c r="I20">
        <f>13+8+9+7+5+3+3</f>
        <v>48</v>
      </c>
      <c r="J20">
        <f t="shared" si="3"/>
        <v>0</v>
      </c>
      <c r="K20">
        <f>'2Q - 80'!N134</f>
        <v>0</v>
      </c>
      <c r="L20" s="838" t="e">
        <f t="shared" si="5"/>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3" t="s">
        <v>378</v>
      </c>
      <c r="B1" s="893"/>
      <c r="C1" s="893"/>
      <c r="D1" s="893"/>
      <c r="E1" s="893"/>
      <c r="F1" s="893"/>
      <c r="I1" s="893" t="s">
        <v>389</v>
      </c>
      <c r="J1" s="893"/>
      <c r="K1" s="893"/>
      <c r="L1" s="893"/>
      <c r="M1" s="893"/>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2">
        <v>18</v>
      </c>
      <c r="B3" s="825" t="s">
        <v>314</v>
      </c>
      <c r="C3" s="825" t="s">
        <v>336</v>
      </c>
      <c r="D3" s="838">
        <f>1+6+1+6+2</f>
        <v>16</v>
      </c>
      <c r="E3">
        <v>16</v>
      </c>
      <c r="F3" s="891">
        <f>'Daniel''s Metrics'!G3 - ('Q Sessions'!D3+'Q Sessions'!D4)</f>
        <v>12</v>
      </c>
      <c r="I3" s="892">
        <v>18</v>
      </c>
      <c r="J3" s="825" t="s">
        <v>314</v>
      </c>
      <c r="K3" s="825" t="s">
        <v>390</v>
      </c>
      <c r="L3">
        <v>18</v>
      </c>
      <c r="M3" s="891">
        <f>'Daniel''s Metrics'!I3 - (L3+L4)</f>
        <v>29</v>
      </c>
    </row>
    <row r="4" spans="1:13" x14ac:dyDescent="0.2">
      <c r="A4" s="892"/>
      <c r="B4" s="825" t="s">
        <v>335</v>
      </c>
      <c r="C4" s="825" t="s">
        <v>337</v>
      </c>
      <c r="D4" s="838">
        <f>8+3+2+3</f>
        <v>16</v>
      </c>
      <c r="E4">
        <v>15</v>
      </c>
      <c r="F4" s="892"/>
      <c r="I4" s="892"/>
      <c r="J4" s="825" t="s">
        <v>335</v>
      </c>
      <c r="K4" s="825" t="s">
        <v>391</v>
      </c>
      <c r="L4">
        <v>17</v>
      </c>
      <c r="M4" s="892"/>
    </row>
    <row r="5" spans="1:13" x14ac:dyDescent="0.2">
      <c r="A5" s="892">
        <v>17</v>
      </c>
      <c r="B5" s="825" t="s">
        <v>314</v>
      </c>
      <c r="C5" s="825" t="s">
        <v>338</v>
      </c>
      <c r="D5" s="838">
        <f>2+3+(60/7.5)+1+1</f>
        <v>15</v>
      </c>
      <c r="E5">
        <v>15</v>
      </c>
      <c r="F5" s="891">
        <f>'Daniel''s Metrics'!G5 - ('Q Sessions'!D5+'Q Sessions'!D6)</f>
        <v>24.375</v>
      </c>
      <c r="I5" s="892">
        <v>17</v>
      </c>
      <c r="J5" s="825" t="s">
        <v>314</v>
      </c>
      <c r="K5" s="825" t="s">
        <v>392</v>
      </c>
      <c r="L5">
        <v>18</v>
      </c>
      <c r="M5" s="891">
        <f>'Daniel''s Metrics'!I4 -(L5+L6)</f>
        <v>31</v>
      </c>
    </row>
    <row r="6" spans="1:13" x14ac:dyDescent="0.2">
      <c r="A6" s="892"/>
      <c r="B6" s="825" t="s">
        <v>335</v>
      </c>
      <c r="C6" s="825" t="s">
        <v>354</v>
      </c>
      <c r="D6" s="838">
        <f>4+ (5*(1000/1600)) + (4*(400/1600)) +2</f>
        <v>10.125</v>
      </c>
      <c r="E6">
        <v>13</v>
      </c>
      <c r="F6" s="892"/>
      <c r="I6" s="892"/>
      <c r="J6" s="825" t="s">
        <v>335</v>
      </c>
      <c r="K6" s="825" t="s">
        <v>396</v>
      </c>
      <c r="L6">
        <v>15</v>
      </c>
      <c r="M6" s="891"/>
    </row>
    <row r="7" spans="1:13" x14ac:dyDescent="0.2">
      <c r="A7" s="892">
        <v>16</v>
      </c>
      <c r="B7" s="825" t="s">
        <v>314</v>
      </c>
      <c r="C7" s="825" t="s">
        <v>339</v>
      </c>
      <c r="D7" s="838">
        <v>16</v>
      </c>
      <c r="E7">
        <v>16</v>
      </c>
      <c r="F7" s="891">
        <f>'Daniel''s Metrics'!G7 - ('Q Sessions'!D7+'Q Sessions'!D8)</f>
        <v>20.5</v>
      </c>
      <c r="I7" s="892">
        <v>16</v>
      </c>
      <c r="J7" s="825" t="s">
        <v>314</v>
      </c>
      <c r="K7" s="825" t="s">
        <v>393</v>
      </c>
      <c r="L7">
        <v>18</v>
      </c>
      <c r="M7" s="891">
        <f>'Daniel''s Metrics'!I5 -(L7+L8)</f>
        <v>37</v>
      </c>
    </row>
    <row r="8" spans="1:13" x14ac:dyDescent="0.2">
      <c r="A8" s="892"/>
      <c r="B8" s="825" t="s">
        <v>335</v>
      </c>
      <c r="C8" s="825" t="s">
        <v>341</v>
      </c>
      <c r="D8" s="838">
        <f>6+3+2+1+1</f>
        <v>13</v>
      </c>
      <c r="E8">
        <v>14</v>
      </c>
      <c r="F8" s="892"/>
      <c r="I8" s="892"/>
      <c r="J8" s="825" t="s">
        <v>335</v>
      </c>
      <c r="K8" s="825" t="s">
        <v>394</v>
      </c>
      <c r="L8">
        <v>17</v>
      </c>
      <c r="M8" s="892"/>
    </row>
    <row r="9" spans="1:13" x14ac:dyDescent="0.2">
      <c r="A9" s="892">
        <v>15</v>
      </c>
      <c r="B9" s="825" t="s">
        <v>314</v>
      </c>
      <c r="C9" s="825" t="s">
        <v>340</v>
      </c>
      <c r="D9" s="838">
        <f>2+8+1+3+2</f>
        <v>16</v>
      </c>
      <c r="E9">
        <v>16</v>
      </c>
      <c r="F9" s="891">
        <f>'Daniel''s Metrics'!G9 - ('Q Sessions'!D9+'Q Sessions'!D10)</f>
        <v>24.666666666666668</v>
      </c>
      <c r="I9" s="892">
        <v>15</v>
      </c>
      <c r="J9" s="825" t="s">
        <v>314</v>
      </c>
      <c r="K9" s="825" t="s">
        <v>395</v>
      </c>
      <c r="L9">
        <v>18</v>
      </c>
      <c r="M9" s="891">
        <f>'Daniel''s Metrics'!I6 -(L9+L10)</f>
        <v>38</v>
      </c>
    </row>
    <row r="10" spans="1:13" x14ac:dyDescent="0.2">
      <c r="A10" s="892"/>
      <c r="B10" s="825" t="s">
        <v>335</v>
      </c>
      <c r="C10" s="825" t="s">
        <v>342</v>
      </c>
      <c r="D10" s="839">
        <f>(40/7.5) + (3*2) + (2*1) + 1</f>
        <v>14.333333333333332</v>
      </c>
      <c r="E10">
        <v>15</v>
      </c>
      <c r="F10" s="892"/>
      <c r="I10" s="892"/>
      <c r="J10" s="825" t="s">
        <v>335</v>
      </c>
      <c r="K10" s="825" t="s">
        <v>399</v>
      </c>
      <c r="L10">
        <v>16</v>
      </c>
      <c r="M10" s="892"/>
    </row>
    <row r="11" spans="1:13" x14ac:dyDescent="0.2">
      <c r="A11" s="892">
        <v>14</v>
      </c>
      <c r="B11" s="825" t="s">
        <v>314</v>
      </c>
      <c r="C11" s="825" t="s">
        <v>347</v>
      </c>
      <c r="D11" s="838">
        <f>1+(2*2)+(60/7.5)+2+1</f>
        <v>16</v>
      </c>
      <c r="E11">
        <v>16</v>
      </c>
      <c r="F11" s="891">
        <f>'Daniel''s Metrics'!G11 - ('Q Sessions'!D11+'Q Sessions'!D12)</f>
        <v>19.75</v>
      </c>
      <c r="I11" s="892">
        <v>14</v>
      </c>
      <c r="J11" s="825" t="s">
        <v>314</v>
      </c>
      <c r="K11" s="825" t="s">
        <v>400</v>
      </c>
      <c r="L11">
        <v>18</v>
      </c>
      <c r="M11" s="891">
        <f>'Daniel''s Metrics'!I7 -(L11+L12)</f>
        <v>37</v>
      </c>
    </row>
    <row r="12" spans="1:13" x14ac:dyDescent="0.2">
      <c r="A12" s="892"/>
      <c r="B12" s="825" t="s">
        <v>335</v>
      </c>
      <c r="C12" s="825" t="s">
        <v>348</v>
      </c>
      <c r="D12" s="838">
        <f xml:space="preserve"> 8+(6*(1/1.6))+2</f>
        <v>13.75</v>
      </c>
      <c r="E12">
        <v>14</v>
      </c>
      <c r="F12" s="892"/>
      <c r="I12" s="892"/>
      <c r="J12" s="825" t="s">
        <v>335</v>
      </c>
      <c r="K12" s="825" t="s">
        <v>401</v>
      </c>
      <c r="L12">
        <v>17</v>
      </c>
      <c r="M12" s="892"/>
    </row>
    <row r="13" spans="1:13" x14ac:dyDescent="0.2">
      <c r="A13" s="892">
        <v>13</v>
      </c>
      <c r="B13" s="825" t="s">
        <v>314</v>
      </c>
      <c r="C13" s="825" t="s">
        <v>349</v>
      </c>
      <c r="D13" s="838">
        <v>17</v>
      </c>
      <c r="E13">
        <v>17</v>
      </c>
      <c r="F13" s="891">
        <f>'Daniel''s Metrics'!G13 - ('Q Sessions'!D13+'Q Sessions'!D14)</f>
        <v>23.666666666666668</v>
      </c>
      <c r="I13" s="892">
        <v>13</v>
      </c>
      <c r="J13" s="825" t="s">
        <v>314</v>
      </c>
      <c r="K13" s="825" t="s">
        <v>397</v>
      </c>
      <c r="L13">
        <v>19</v>
      </c>
      <c r="M13" s="891">
        <f>'Daniel''s Metrics'!I8 -(L13+L14)</f>
        <v>28</v>
      </c>
    </row>
    <row r="14" spans="1:13" x14ac:dyDescent="0.2">
      <c r="A14" s="892"/>
      <c r="B14" s="825" t="s">
        <v>335</v>
      </c>
      <c r="C14" s="825" t="s">
        <v>351</v>
      </c>
      <c r="D14" s="838">
        <f>(40/7.5)+3+(2*2)+2</f>
        <v>14.333333333333332</v>
      </c>
      <c r="E14">
        <v>15</v>
      </c>
      <c r="F14" s="892"/>
      <c r="I14" s="892"/>
      <c r="J14" s="825" t="s">
        <v>335</v>
      </c>
      <c r="K14" s="825" t="s">
        <v>398</v>
      </c>
      <c r="L14">
        <v>17</v>
      </c>
      <c r="M14" s="892"/>
    </row>
    <row r="15" spans="1:13" x14ac:dyDescent="0.2">
      <c r="A15" s="892">
        <v>12</v>
      </c>
      <c r="B15" s="825" t="s">
        <v>314</v>
      </c>
      <c r="C15" s="825" t="s">
        <v>350</v>
      </c>
      <c r="D15" s="838">
        <f>1+8+1+6+1</f>
        <v>17</v>
      </c>
      <c r="E15">
        <v>17</v>
      </c>
      <c r="F15" s="891">
        <f>'Daniel''s Metrics'!G15 - ('Q Sessions'!D15+'Q Sessions'!D16)</f>
        <v>24</v>
      </c>
      <c r="I15" s="892">
        <v>12</v>
      </c>
      <c r="J15" s="825" t="s">
        <v>314</v>
      </c>
      <c r="K15" s="825" t="s">
        <v>402</v>
      </c>
      <c r="L15">
        <v>19</v>
      </c>
      <c r="M15" s="891">
        <f>'Daniel''s Metrics'!I9 -(L15+L16)</f>
        <v>46</v>
      </c>
    </row>
    <row r="16" spans="1:13" x14ac:dyDescent="0.2">
      <c r="A16" s="892"/>
      <c r="B16" s="825" t="s">
        <v>335</v>
      </c>
      <c r="C16" s="825" t="s">
        <v>352</v>
      </c>
      <c r="D16" s="838">
        <f>4+3+2+2+1+2</f>
        <v>14</v>
      </c>
      <c r="E16">
        <v>14</v>
      </c>
      <c r="F16" s="892"/>
      <c r="I16" s="892"/>
      <c r="J16" s="825" t="s">
        <v>335</v>
      </c>
      <c r="K16" s="825" t="s">
        <v>403</v>
      </c>
      <c r="L16">
        <v>15</v>
      </c>
      <c r="M16" s="892"/>
    </row>
    <row r="17" spans="1:13" x14ac:dyDescent="0.2">
      <c r="A17" s="892">
        <v>11</v>
      </c>
      <c r="B17" s="825" t="s">
        <v>314</v>
      </c>
      <c r="C17" s="825" t="s">
        <v>353</v>
      </c>
      <c r="D17" s="838">
        <f>12+3+1</f>
        <v>16</v>
      </c>
      <c r="E17">
        <v>16</v>
      </c>
      <c r="F17" s="891">
        <f>'Daniel''s Metrics'!G17 - ('Q Sessions'!D17+'Q Sessions'!D18)</f>
        <v>20.375</v>
      </c>
      <c r="I17" s="892">
        <v>11</v>
      </c>
      <c r="J17" s="825" t="s">
        <v>314</v>
      </c>
      <c r="K17" s="825" t="s">
        <v>404</v>
      </c>
      <c r="L17">
        <v>19</v>
      </c>
      <c r="M17" s="891">
        <f>'Daniel''s Metrics'!I10 -(L17+L18)</f>
        <v>36</v>
      </c>
    </row>
    <row r="18" spans="1:13" x14ac:dyDescent="0.2">
      <c r="A18" s="892"/>
      <c r="B18" s="825" t="s">
        <v>335</v>
      </c>
      <c r="C18" s="825" t="s">
        <v>355</v>
      </c>
      <c r="D18" s="838">
        <f>8+(5*(1/1.6))+(4*0.25)+1</f>
        <v>13.125</v>
      </c>
      <c r="E18">
        <v>15</v>
      </c>
      <c r="F18" s="892"/>
      <c r="I18" s="892"/>
      <c r="J18" s="825" t="s">
        <v>335</v>
      </c>
      <c r="K18" s="825" t="s">
        <v>405</v>
      </c>
      <c r="L18">
        <v>17</v>
      </c>
      <c r="M18" s="892"/>
    </row>
    <row r="19" spans="1:13" x14ac:dyDescent="0.2">
      <c r="A19" s="892">
        <v>10</v>
      </c>
      <c r="B19" s="825" t="s">
        <v>314</v>
      </c>
      <c r="C19" s="825" t="s">
        <v>356</v>
      </c>
      <c r="D19" s="838">
        <v>18</v>
      </c>
      <c r="E19">
        <v>18</v>
      </c>
      <c r="F19" s="891">
        <f>'Daniel''s Metrics'!G19 - ('Q Sessions'!D19+'Q Sessions'!D20)</f>
        <v>10</v>
      </c>
      <c r="I19" s="892">
        <v>10</v>
      </c>
      <c r="J19" s="825" t="s">
        <v>314</v>
      </c>
      <c r="K19" s="825" t="s">
        <v>411</v>
      </c>
      <c r="L19">
        <v>20</v>
      </c>
      <c r="M19" s="891">
        <f>'Daniel''s Metrics'!I11 -(L19+L20)</f>
        <v>26</v>
      </c>
    </row>
    <row r="20" spans="1:13" x14ac:dyDescent="0.2">
      <c r="A20" s="892"/>
      <c r="B20" s="825" t="s">
        <v>335</v>
      </c>
      <c r="C20" s="825" t="s">
        <v>358</v>
      </c>
      <c r="D20" s="838">
        <f>2+12+2</f>
        <v>16</v>
      </c>
      <c r="E20">
        <v>16</v>
      </c>
      <c r="F20" s="892"/>
      <c r="I20" s="892"/>
      <c r="J20" s="825" t="s">
        <v>335</v>
      </c>
      <c r="K20" s="825" t="s">
        <v>406</v>
      </c>
      <c r="L20">
        <v>18</v>
      </c>
      <c r="M20" s="892"/>
    </row>
    <row r="21" spans="1:13" x14ac:dyDescent="0.2">
      <c r="A21" s="892">
        <v>9</v>
      </c>
      <c r="B21" s="825" t="s">
        <v>314</v>
      </c>
      <c r="C21" s="825" t="s">
        <v>359</v>
      </c>
      <c r="D21" s="838">
        <f>3+6+1+4+1+1</f>
        <v>16</v>
      </c>
      <c r="E21">
        <v>16</v>
      </c>
      <c r="F21" s="891">
        <f>'Daniel''s Metrics'!G21 - ('Q Sessions'!D21+'Q Sessions'!D22)</f>
        <v>-31</v>
      </c>
      <c r="I21" s="892">
        <v>9</v>
      </c>
      <c r="J21" s="825" t="s">
        <v>314</v>
      </c>
      <c r="K21" s="825" t="s">
        <v>407</v>
      </c>
      <c r="L21">
        <v>18</v>
      </c>
      <c r="M21" s="891">
        <f>'Daniel''s Metrics'!I12 -(L21+L22)</f>
        <v>46</v>
      </c>
    </row>
    <row r="22" spans="1:13" x14ac:dyDescent="0.2">
      <c r="A22" s="892"/>
      <c r="B22" s="825" t="s">
        <v>335</v>
      </c>
      <c r="C22" s="825" t="s">
        <v>360</v>
      </c>
      <c r="D22" s="838">
        <f>5+(4*2)+2</f>
        <v>15</v>
      </c>
      <c r="E22">
        <v>15</v>
      </c>
      <c r="F22" s="892"/>
      <c r="I22" s="892"/>
      <c r="J22" s="825" t="s">
        <v>335</v>
      </c>
      <c r="K22" s="825" t="s">
        <v>408</v>
      </c>
      <c r="L22">
        <v>16</v>
      </c>
      <c r="M22" s="892"/>
    </row>
    <row r="23" spans="1:13" x14ac:dyDescent="0.2">
      <c r="A23" s="892">
        <v>8</v>
      </c>
      <c r="B23" s="825" t="s">
        <v>314</v>
      </c>
      <c r="C23" s="825" t="s">
        <v>361</v>
      </c>
      <c r="D23" s="838">
        <f>2+2+(60/7)+2+2</f>
        <v>16.571428571428569</v>
      </c>
      <c r="E23">
        <v>17</v>
      </c>
      <c r="F23" s="891">
        <f>'Daniel''s Metrics'!G23 - ('Q Sessions'!D23+'Q Sessions'!D24)</f>
        <v>-30.321428571428569</v>
      </c>
      <c r="I23" s="892">
        <v>8</v>
      </c>
      <c r="J23" s="825" t="s">
        <v>314</v>
      </c>
      <c r="K23" s="825" t="s">
        <v>409</v>
      </c>
      <c r="L23">
        <v>18</v>
      </c>
      <c r="M23" s="891">
        <f>'Daniel''s Metrics'!I13 -(L23+L24)</f>
        <v>37</v>
      </c>
    </row>
    <row r="24" spans="1:13" x14ac:dyDescent="0.2">
      <c r="A24" s="892"/>
      <c r="B24" s="825" t="s">
        <v>335</v>
      </c>
      <c r="C24" s="825" t="s">
        <v>348</v>
      </c>
      <c r="D24" s="838">
        <f xml:space="preserve"> 8+(6*(1/1.6))+2</f>
        <v>13.75</v>
      </c>
      <c r="E24">
        <v>16</v>
      </c>
      <c r="F24" s="892"/>
      <c r="I24" s="892"/>
      <c r="J24" s="825" t="s">
        <v>335</v>
      </c>
      <c r="K24" s="825" t="s">
        <v>410</v>
      </c>
      <c r="L24">
        <v>17</v>
      </c>
      <c r="M24" s="892"/>
    </row>
    <row r="25" spans="1:13" x14ac:dyDescent="0.2">
      <c r="A25" s="892">
        <v>7</v>
      </c>
      <c r="B25" s="825" t="s">
        <v>314</v>
      </c>
      <c r="C25" s="825" t="s">
        <v>364</v>
      </c>
      <c r="D25" s="838">
        <v>20</v>
      </c>
      <c r="E25">
        <v>20</v>
      </c>
      <c r="F25" s="891">
        <f>'Daniel''s Metrics'!G25 - ('Q Sessions'!D25+'Q Sessions'!D26)</f>
        <v>-36</v>
      </c>
      <c r="I25" s="892">
        <v>7</v>
      </c>
      <c r="J25" s="825" t="s">
        <v>314</v>
      </c>
      <c r="K25" s="825" t="s">
        <v>411</v>
      </c>
      <c r="L25">
        <v>20</v>
      </c>
      <c r="M25" s="891">
        <f>'Daniel''s Metrics'!I14 -(L25+L26)</f>
        <v>37</v>
      </c>
    </row>
    <row r="26" spans="1:13" x14ac:dyDescent="0.2">
      <c r="A26" s="892"/>
      <c r="B26" s="825" t="s">
        <v>335</v>
      </c>
      <c r="C26" s="825" t="s">
        <v>365</v>
      </c>
      <c r="D26" s="838">
        <f>2+8+(2*2)+2</f>
        <v>16</v>
      </c>
      <c r="E26">
        <v>16</v>
      </c>
      <c r="F26" s="892"/>
      <c r="I26" s="892"/>
      <c r="J26" s="825" t="s">
        <v>335</v>
      </c>
      <c r="K26" s="825" t="s">
        <v>412</v>
      </c>
      <c r="L26">
        <v>15</v>
      </c>
      <c r="M26" s="892"/>
    </row>
    <row r="27" spans="1:13" x14ac:dyDescent="0.2">
      <c r="A27" s="892">
        <v>6</v>
      </c>
      <c r="B27" s="825" t="s">
        <v>314</v>
      </c>
      <c r="C27" s="825" t="s">
        <v>366</v>
      </c>
      <c r="D27" s="838">
        <f>3+12+2</f>
        <v>17</v>
      </c>
      <c r="E27">
        <v>17</v>
      </c>
      <c r="F27" s="891">
        <f>'Daniel''s Metrics'!G27 - ('Q Sessions'!D27+'Q Sessions'!D28)</f>
        <v>-33.333333333333329</v>
      </c>
      <c r="I27" s="892">
        <v>6</v>
      </c>
      <c r="J27" s="825" t="s">
        <v>314</v>
      </c>
      <c r="K27" s="825" t="s">
        <v>413</v>
      </c>
      <c r="L27">
        <v>18</v>
      </c>
      <c r="M27" s="891">
        <f>'Daniel''s Metrics'!I15 -(L27+L28)</f>
        <v>48</v>
      </c>
    </row>
    <row r="28" spans="1:13" x14ac:dyDescent="0.2">
      <c r="A28" s="892"/>
      <c r="B28" s="825" t="s">
        <v>335</v>
      </c>
      <c r="C28" s="825" t="s">
        <v>367</v>
      </c>
      <c r="D28" s="839">
        <f>(40/7.5) + (4*2) + (2*1) + 1</f>
        <v>16.333333333333332</v>
      </c>
      <c r="E28">
        <v>17</v>
      </c>
      <c r="F28" s="892"/>
      <c r="I28" s="892"/>
      <c r="J28" s="825" t="s">
        <v>335</v>
      </c>
      <c r="K28" s="825" t="s">
        <v>414</v>
      </c>
      <c r="L28">
        <v>14</v>
      </c>
      <c r="M28" s="892"/>
    </row>
    <row r="29" spans="1:13" x14ac:dyDescent="0.2">
      <c r="A29" s="892">
        <v>5</v>
      </c>
      <c r="B29" s="825" t="s">
        <v>314</v>
      </c>
      <c r="C29" s="825" t="s">
        <v>368</v>
      </c>
      <c r="D29" s="838">
        <f>6+2+6+2+1</f>
        <v>17</v>
      </c>
      <c r="E29">
        <v>17</v>
      </c>
      <c r="F29" s="891">
        <f>'Daniel''s Metrics'!G29 - ('Q Sessions'!D29+'Q Sessions'!D30)</f>
        <v>-29.875</v>
      </c>
      <c r="I29" s="892">
        <v>5</v>
      </c>
      <c r="J29" s="825" t="s">
        <v>314</v>
      </c>
      <c r="K29" s="825" t="s">
        <v>415</v>
      </c>
      <c r="L29">
        <v>16</v>
      </c>
      <c r="M29" s="891">
        <f>'Daniel''s Metrics'!I16 -(L29+L30)</f>
        <v>42</v>
      </c>
    </row>
    <row r="30" spans="1:13" x14ac:dyDescent="0.2">
      <c r="A30" s="892"/>
      <c r="B30" s="825" t="s">
        <v>335</v>
      </c>
      <c r="C30" s="825" t="s">
        <v>369</v>
      </c>
      <c r="D30" s="838">
        <f>8+(5*(1/1.6))+(6*0.125)+1</f>
        <v>12.875</v>
      </c>
      <c r="E30">
        <v>16</v>
      </c>
      <c r="F30" s="892"/>
      <c r="I30" s="892"/>
      <c r="J30" s="825" t="s">
        <v>335</v>
      </c>
      <c r="K30" s="825" t="s">
        <v>416</v>
      </c>
      <c r="L30">
        <v>14</v>
      </c>
      <c r="M30" s="892"/>
    </row>
    <row r="31" spans="1:13" x14ac:dyDescent="0.2">
      <c r="A31" s="892">
        <v>4</v>
      </c>
      <c r="B31" s="825" t="s">
        <v>314</v>
      </c>
      <c r="C31" s="825" t="s">
        <v>370</v>
      </c>
      <c r="D31" s="838">
        <v>20</v>
      </c>
      <c r="E31">
        <v>20</v>
      </c>
      <c r="F31" s="891">
        <f>'Daniel''s Metrics'!G31 - ('Q Sessions'!D31+'Q Sessions'!D32)</f>
        <v>-33.125</v>
      </c>
      <c r="I31" s="892">
        <v>4</v>
      </c>
      <c r="J31" s="825" t="s">
        <v>314</v>
      </c>
      <c r="K31" s="825" t="s">
        <v>393</v>
      </c>
      <c r="L31">
        <v>18</v>
      </c>
      <c r="M31" s="891">
        <f>'Daniel''s Metrics'!I17 -(L31+L32)</f>
        <v>34</v>
      </c>
    </row>
    <row r="32" spans="1:13" x14ac:dyDescent="0.2">
      <c r="A32" s="892"/>
      <c r="B32" s="825" t="s">
        <v>335</v>
      </c>
      <c r="C32" s="825" t="s">
        <v>371</v>
      </c>
      <c r="D32" s="838">
        <f>6+(5*(1/1.6))+4</f>
        <v>13.125</v>
      </c>
      <c r="E32">
        <v>15</v>
      </c>
      <c r="F32" s="892"/>
      <c r="I32" s="892"/>
      <c r="J32" s="825" t="s">
        <v>335</v>
      </c>
      <c r="K32" s="825" t="s">
        <v>417</v>
      </c>
      <c r="L32">
        <v>12</v>
      </c>
      <c r="M32" s="892"/>
    </row>
    <row r="33" spans="1:13" x14ac:dyDescent="0.2">
      <c r="A33" s="892">
        <v>3</v>
      </c>
      <c r="B33" s="825" t="s">
        <v>314</v>
      </c>
      <c r="C33" s="825" t="s">
        <v>372</v>
      </c>
      <c r="D33" s="838">
        <f>2+6+1+6+2</f>
        <v>17</v>
      </c>
      <c r="E33">
        <v>17</v>
      </c>
      <c r="F33" s="891">
        <f>'Daniel''s Metrics'!G33 - ('Q Sessions'!D33+'Q Sessions'!D34)</f>
        <v>-29</v>
      </c>
      <c r="I33" s="892">
        <v>3</v>
      </c>
      <c r="J33" s="825" t="s">
        <v>314</v>
      </c>
      <c r="K33" s="825" t="s">
        <v>418</v>
      </c>
      <c r="L33">
        <v>18</v>
      </c>
      <c r="M33" s="891">
        <f>'Daniel''s Metrics'!I18 -(L33+L34)</f>
        <v>34</v>
      </c>
    </row>
    <row r="34" spans="1:13" x14ac:dyDescent="0.2">
      <c r="A34" s="892"/>
      <c r="B34" s="825" t="s">
        <v>335</v>
      </c>
      <c r="C34" s="825" t="s">
        <v>373</v>
      </c>
      <c r="D34" s="838">
        <f>2+(4*2)+2</f>
        <v>12</v>
      </c>
      <c r="E34">
        <v>12</v>
      </c>
      <c r="F34" s="892"/>
      <c r="I34" s="892"/>
      <c r="J34" s="825" t="s">
        <v>335</v>
      </c>
      <c r="K34" s="825" t="s">
        <v>420</v>
      </c>
      <c r="L34">
        <v>12</v>
      </c>
      <c r="M34" s="892"/>
    </row>
    <row r="35" spans="1:13" x14ac:dyDescent="0.2">
      <c r="A35" s="892">
        <v>2</v>
      </c>
      <c r="B35" s="825" t="s">
        <v>314</v>
      </c>
      <c r="C35" s="825" t="s">
        <v>374</v>
      </c>
      <c r="D35" s="838">
        <f>2+(3*2)+7</f>
        <v>15</v>
      </c>
      <c r="E35">
        <v>15</v>
      </c>
      <c r="F35" s="891">
        <f>'Daniel''s Metrics'!G35 - ('Q Sessions'!D35+'Q Sessions'!D36)</f>
        <v>-26</v>
      </c>
      <c r="I35" s="892">
        <v>2</v>
      </c>
      <c r="J35" s="825" t="s">
        <v>314</v>
      </c>
      <c r="K35" s="825" t="s">
        <v>419</v>
      </c>
      <c r="L35">
        <v>16</v>
      </c>
      <c r="M35" s="891">
        <f>'Daniel''s Metrics'!I19 -(L35+L36)</f>
        <v>28</v>
      </c>
    </row>
    <row r="36" spans="1:13" x14ac:dyDescent="0.2">
      <c r="A36" s="892"/>
      <c r="B36" s="825" t="s">
        <v>335</v>
      </c>
      <c r="C36" s="825" t="s">
        <v>375</v>
      </c>
      <c r="D36" s="838">
        <f>3+1+2+1+2+2</f>
        <v>11</v>
      </c>
      <c r="E36">
        <v>11</v>
      </c>
      <c r="F36" s="892"/>
      <c r="I36" s="892"/>
      <c r="J36" s="825" t="s">
        <v>335</v>
      </c>
      <c r="K36" s="825" t="s">
        <v>421</v>
      </c>
      <c r="L36">
        <v>12</v>
      </c>
      <c r="M36" s="892"/>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35" workbookViewId="0">
      <selection activeCell="J61" sqref="J61"/>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5" t="s">
        <v>51</v>
      </c>
      <c r="H2" s="1235"/>
      <c r="I2" s="1235"/>
      <c r="J2" s="1235"/>
      <c r="K2" s="1235"/>
      <c r="L2" s="1235"/>
      <c r="M2" s="1235"/>
      <c r="N2" s="38"/>
      <c r="O2" s="38"/>
      <c r="P2" s="39"/>
      <c r="Q2" s="40" t="s">
        <v>52</v>
      </c>
      <c r="R2" s="41">
        <v>44166</v>
      </c>
    </row>
    <row r="3" spans="1:34" ht="13.5" thickBot="1" x14ac:dyDescent="0.25">
      <c r="B3" s="42" t="str">
        <f>"Weight"&amp;IF($B$4," (kg):"," (lb):")</f>
        <v>Weight (lb):</v>
      </c>
      <c r="C3" s="43">
        <v>160</v>
      </c>
      <c r="D3" s="44" t="s">
        <v>53</v>
      </c>
      <c r="E3" s="45">
        <v>201</v>
      </c>
      <c r="G3" s="1236"/>
      <c r="H3" s="1236"/>
      <c r="I3" s="1236"/>
      <c r="J3" s="1236"/>
      <c r="K3" s="1236"/>
      <c r="L3" s="1236"/>
      <c r="M3" s="1236"/>
      <c r="P3" s="1237" t="str">
        <f>P73</f>
        <v>Male Peak Potential - 10k</v>
      </c>
      <c r="Q3" s="1238"/>
      <c r="R3" s="1239"/>
      <c r="S3" s="6" t="s">
        <v>54</v>
      </c>
      <c r="T3" s="6"/>
      <c r="U3" s="6"/>
      <c r="V3" s="6"/>
    </row>
    <row r="4" spans="1:34" ht="13.5" thickBot="1" x14ac:dyDescent="0.25">
      <c r="B4" s="46" t="b">
        <v>0</v>
      </c>
      <c r="C4" s="47" t="b">
        <v>1</v>
      </c>
      <c r="D4" s="48" t="s">
        <v>55</v>
      </c>
      <c r="E4" s="49">
        <v>54</v>
      </c>
      <c r="F4" s="50"/>
      <c r="G4" s="1240" t="s">
        <v>56</v>
      </c>
      <c r="H4" s="1240"/>
      <c r="I4" s="1240"/>
      <c r="J4" s="1240"/>
      <c r="K4" s="1240"/>
      <c r="L4" s="1240"/>
      <c r="M4" s="1240"/>
      <c r="N4" s="51"/>
      <c r="O4" s="52" t="b">
        <v>0</v>
      </c>
      <c r="P4" s="1241" t="str">
        <f>"Open Class Standard:"</f>
        <v>Open Class Standard:</v>
      </c>
      <c r="Q4" s="1242"/>
      <c r="R4" s="53">
        <f>R74</f>
        <v>1.8553240740740742E-2</v>
      </c>
      <c r="S4" s="6" t="s">
        <v>57</v>
      </c>
      <c r="T4" s="6"/>
      <c r="U4" s="6"/>
      <c r="V4" s="6"/>
      <c r="W4" s="1184" t="s">
        <v>58</v>
      </c>
      <c r="X4" s="1185"/>
      <c r="Y4" s="1185"/>
      <c r="Z4" s="1185"/>
      <c r="AA4" s="1185"/>
      <c r="AB4" s="1185"/>
      <c r="AC4" s="1185"/>
      <c r="AD4" s="1185"/>
      <c r="AE4" s="1185"/>
      <c r="AF4" s="1185"/>
      <c r="AG4" s="1186"/>
    </row>
    <row r="5" spans="1:34" ht="14.25" thickTop="1" thickBot="1" x14ac:dyDescent="0.25">
      <c r="B5" s="1187" t="s">
        <v>59</v>
      </c>
      <c r="C5" s="1188"/>
      <c r="D5" s="1188"/>
      <c r="E5" s="54">
        <f ca="1">IF(AND(DATEDIF($E$2,NOW(),"y")&gt;=0,DATEDIF($E$2,NOW(),"y")&lt;110),DATEDIF($E$2,NOW(),"y"),"Birthdate?")</f>
        <v>31</v>
      </c>
      <c r="G5" s="24" t="s">
        <v>60</v>
      </c>
      <c r="H5" s="55"/>
      <c r="I5" s="1189" t="str">
        <f ca="1">IF(R5="No Std","Custom Entry - No Std",IF(R5="Birthdate?",R5,"AGP  " &amp; IF($C$4,"M-","F-")&amp;$E$5&amp;":   "&amp;TEXT($R$5/$G$6,"0.00%")))</f>
        <v>AGP  M-31:   77.52%</v>
      </c>
      <c r="J5" s="1190"/>
      <c r="K5" s="1191" t="s">
        <v>61</v>
      </c>
      <c r="L5" s="1192"/>
      <c r="M5" s="1192"/>
      <c r="N5" s="56" t="s">
        <v>62</v>
      </c>
      <c r="O5" s="57" t="s">
        <v>63</v>
      </c>
      <c r="P5" s="1193" t="str">
        <f ca="1">"Age "&amp;TEXT(E5,"#")&amp; " Standard:"</f>
        <v>Age 31 Standard:</v>
      </c>
      <c r="Q5" s="1194"/>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1195">
        <f>IF(AND($E$6&gt;0,$G$6&gt;0),(-4.6 + 0.182258 * (F8/G6/1440) + 0.000104 *(F8/G6/1440)^2)/D9,1)</f>
        <v>61.766335932854794</v>
      </c>
      <c r="J6" s="1196"/>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4" t="str">
        <f>"Peak Potential at "&amp;ROUND(C3,1)&amp;IF(B4," kg"," lb")</f>
        <v>Peak Potential at 160 lb</v>
      </c>
      <c r="Q6" s="1225"/>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6" t="s">
        <v>70</v>
      </c>
      <c r="F7" s="1227"/>
      <c r="G7" s="122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9">
        <f>IF(E6="Custom",S8,HLOOKUP(E6,J7:P8,2,0))</f>
        <v>6.2137119223733395</v>
      </c>
      <c r="E8" s="1230"/>
      <c r="F8" s="1231">
        <f>IF(E6="Custom",S9,HLOOKUP(E6,J7:P9,3,0))</f>
        <v>10000</v>
      </c>
      <c r="G8" s="1232"/>
      <c r="H8" s="1233" t="s">
        <v>82</v>
      </c>
      <c r="I8" s="123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11">
        <f>IF($G$6&gt;0,0.8+0.1894393 * EXP(-0.012778*G6*1440)+0.2989558* EXP(-0.1932605*G6*1440),0)</f>
        <v>0.92228339421748917</v>
      </c>
      <c r="E9" s="1212"/>
      <c r="F9" s="94" t="str">
        <f>"▼2nd ed 67%"</f>
        <v>▼2nd ed 67%</v>
      </c>
      <c r="G9" s="95" t="str">
        <f>"1st ed 70%▼"</f>
        <v>1st ed 70%▼</v>
      </c>
      <c r="H9" s="1213" t="s">
        <v>84</v>
      </c>
      <c r="I9" s="121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1215" t="s">
        <v>88</v>
      </c>
      <c r="I17" s="1215"/>
      <c r="J17" s="1215"/>
      <c r="K17" s="1215"/>
      <c r="L17" s="1215"/>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6" t="s">
        <v>92</v>
      </c>
      <c r="N27" s="1217"/>
      <c r="O27" s="1217"/>
      <c r="P27" s="1217"/>
      <c r="Q27" s="1217"/>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8" t="s">
        <v>106</v>
      </c>
      <c r="N42" s="1219"/>
      <c r="O42" s="1219"/>
      <c r="P42" s="1219"/>
      <c r="Q42" s="1219"/>
      <c r="R42" s="1220"/>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21" t="s">
        <v>107</v>
      </c>
      <c r="N43" s="1222"/>
      <c r="O43" s="1222"/>
      <c r="P43" s="1222" t="s">
        <v>108</v>
      </c>
      <c r="Q43" s="1222"/>
      <c r="R43" s="1223"/>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2" t="s">
        <v>109</v>
      </c>
      <c r="N44" s="1203"/>
      <c r="O44" s="1203"/>
      <c r="P44" s="1203" t="s">
        <v>110</v>
      </c>
      <c r="Q44" s="1203"/>
      <c r="R44" s="1204"/>
    </row>
    <row r="45" spans="2:28" ht="13.5" thickBot="1" x14ac:dyDescent="0.25">
      <c r="B45" s="1205" t="s">
        <v>111</v>
      </c>
      <c r="C45" s="1206"/>
      <c r="D45" s="1206"/>
      <c r="E45" s="1206"/>
      <c r="F45" s="1206"/>
      <c r="G45" s="1206"/>
      <c r="H45" s="1206"/>
      <c r="I45" s="1206"/>
      <c r="J45" s="1206"/>
      <c r="K45" s="1206"/>
      <c r="L45" s="1206"/>
      <c r="M45" s="1206"/>
      <c r="N45" s="1206"/>
      <c r="O45" s="1206"/>
      <c r="P45" s="1206"/>
      <c r="Q45" s="1206"/>
      <c r="R45" s="1207"/>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4" t="s">
        <v>112</v>
      </c>
      <c r="X46" s="874"/>
    </row>
    <row r="47" spans="2:28" ht="14.25" thickTop="1" thickBot="1" x14ac:dyDescent="0.25">
      <c r="B47" s="311">
        <f>E3</f>
        <v>201</v>
      </c>
      <c r="C47" s="312"/>
      <c r="D47" s="1208" t="str">
        <f>"Custom Heart Rate Zones - "&amp;IF(L47,"% HR Reserve","% HRmax")</f>
        <v>Custom Heart Rate Zones - % HRmax</v>
      </c>
      <c r="E47" s="1208"/>
      <c r="F47" s="1208"/>
      <c r="G47" s="1208"/>
      <c r="H47" s="1208"/>
      <c r="I47" s="1208"/>
      <c r="J47" s="1208"/>
      <c r="K47" s="313"/>
      <c r="L47" s="314" t="b">
        <v>0</v>
      </c>
      <c r="M47" s="315" t="s">
        <v>113</v>
      </c>
      <c r="N47" s="1209" t="s">
        <v>114</v>
      </c>
      <c r="O47" s="1210"/>
      <c r="P47" s="1210"/>
      <c r="Q47" s="316" t="b">
        <v>1</v>
      </c>
      <c r="R47" s="317">
        <v>25</v>
      </c>
      <c r="W47" s="1174" t="s">
        <v>115</v>
      </c>
      <c r="X47" s="1174"/>
      <c r="Y47" s="1174" t="s">
        <v>116</v>
      </c>
      <c r="Z47" s="1174"/>
      <c r="AA47" s="1174"/>
      <c r="AB47" s="1174"/>
    </row>
    <row r="48" spans="2:28" ht="13.5" thickBot="1" x14ac:dyDescent="0.25">
      <c r="B48" s="318">
        <f>E4</f>
        <v>54</v>
      </c>
      <c r="C48" s="1175" t="s">
        <v>117</v>
      </c>
      <c r="D48" s="1176"/>
      <c r="E48" s="1177" t="s">
        <v>65</v>
      </c>
      <c r="F48" s="1176"/>
      <c r="G48" s="1177" t="s">
        <v>118</v>
      </c>
      <c r="H48" s="1176"/>
      <c r="I48" s="1177" t="s">
        <v>76</v>
      </c>
      <c r="J48" s="1176"/>
      <c r="K48" s="1177" t="s">
        <v>78</v>
      </c>
      <c r="L48" s="1178"/>
      <c r="M48" s="319" t="s">
        <v>119</v>
      </c>
      <c r="N48" s="320" t="str">
        <f ca="1">"Age: "&amp;$E$5</f>
        <v>Age: 31</v>
      </c>
      <c r="O48" s="321"/>
      <c r="P48" s="322" t="str">
        <f>"Wght: "&amp;$C$3</f>
        <v>Wght: 160</v>
      </c>
      <c r="Q48" s="323" t="b">
        <v>1</v>
      </c>
      <c r="R48" s="324">
        <v>155</v>
      </c>
      <c r="S48" s="325"/>
      <c r="T48" s="1179" t="s">
        <v>120</v>
      </c>
      <c r="U48" s="1180"/>
      <c r="W48" s="326"/>
      <c r="X48" s="327" t="s">
        <v>121</v>
      </c>
      <c r="Y48" s="1181" t="s">
        <v>122</v>
      </c>
      <c r="Z48" s="1182"/>
      <c r="AA48" s="1182" t="s">
        <v>123</v>
      </c>
      <c r="AB48" s="1183"/>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7" t="str">
        <f>IF($L$47,TEXT((($B$47-$B$48)*C49)+$B$48,0)&amp;"  -  "&amp;TEXT((($B$47-$B$48)*D49)+$B$48,0),TEXT($B$47*C49,0)&amp;"  -  "&amp;TEXT($B$47*D49,0))</f>
        <v>131  -  161</v>
      </c>
      <c r="D50" s="1198"/>
      <c r="E50" s="1199" t="str">
        <f>IF($L$47,TEXT((($B$47-$B$48)*E49)+$B$48,0)&amp;"  -  "&amp;TEXT((($B$47-$B$48)*F49)+$B$48,0),TEXT($B$47*E49,0)&amp;"  -  "&amp;TEXT($B$47*F49,0))</f>
        <v>161  -  179</v>
      </c>
      <c r="F50" s="1200"/>
      <c r="G50" s="1199" t="str">
        <f>IF($L$47,TEXT((($B$47-$B$48)*G49)+$B$48,0)&amp;"  -  "&amp;TEXT((($B$47-$B$48)*H49)+$B$48,0),TEXT($B$47*G49,0)&amp;"  -  "&amp;TEXT($B$47*H49,0))</f>
        <v>177  -  185</v>
      </c>
      <c r="H50" s="1200"/>
      <c r="I50" s="1199" t="str">
        <f>IF($L$47,TEXT((($B$47-$B$48)*I49)+$B$48,0)&amp;"  -  "&amp;TEXT((($B$47-$B$48)*J49)+$B$48,0),TEXT($B$47*I49,0)&amp;"  -  "&amp;TEXT($B$47*J49,0))</f>
        <v>185  -  193</v>
      </c>
      <c r="J50" s="1200"/>
      <c r="K50" s="1199" t="str">
        <f>IF($L$47,TEXT((($B$47-$B$48)*K49)+$B$48,0)&amp;"  -  "&amp;TEXT((($B$47-$B$48)*L49)+$B$48,0),TEXT($B$47*K49,0)&amp;"  -  "&amp;TEXT($B$47*L49,0))</f>
        <v>185  -  201</v>
      </c>
      <c r="L50" s="1201"/>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3" t="s">
        <v>132</v>
      </c>
      <c r="D52" s="1173"/>
      <c r="E52" s="1173"/>
      <c r="F52" s="1173"/>
      <c r="G52" s="1173"/>
      <c r="H52" s="1173"/>
      <c r="I52" s="1173"/>
      <c r="J52" s="1173"/>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1158" t="s">
        <v>135</v>
      </c>
      <c r="C53" s="1159"/>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1160" t="str">
        <f>IF($L$52,"Pace / km","Pace / mile")</f>
        <v>Pace / mile</v>
      </c>
      <c r="C54" s="1161"/>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1162" t="s">
        <v>139</v>
      </c>
      <c r="C55" s="1163"/>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4" t="str">
        <f>"◄ "&amp;J80&amp;" - "&amp;LEFT(B81,LEN(B81)-3)&amp;IF(L52,"°C","°F")</f>
        <v>◄ J.Daniels - Temperature °F</v>
      </c>
      <c r="E56" s="1165"/>
      <c r="F56" s="1166"/>
      <c r="G56" s="1167" t="s">
        <v>142</v>
      </c>
      <c r="H56" s="1168"/>
      <c r="I56" s="1168"/>
      <c r="J56" s="1168"/>
      <c r="K56" s="1168"/>
      <c r="L56" s="1169"/>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1170" t="s">
        <v>143</v>
      </c>
      <c r="C57" s="1171"/>
      <c r="D57" s="1171"/>
      <c r="E57" s="1171"/>
      <c r="F57" s="1171"/>
      <c r="G57" s="1171" t="s">
        <v>144</v>
      </c>
      <c r="H57" s="1171"/>
      <c r="I57" s="1171"/>
      <c r="J57" s="1171"/>
      <c r="K57" s="1171"/>
      <c r="L57" s="1172"/>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1035" t="str">
        <f>"Interval Split Times In "&amp;IF(L58,"Metric","US/Imperial")&amp;" Distances (Daniels)"</f>
        <v>Interval Split Times In Metric Distances (Daniels)</v>
      </c>
      <c r="C58" s="1036"/>
      <c r="D58" s="1036"/>
      <c r="E58" s="1036"/>
      <c r="F58" s="1036"/>
      <c r="G58" s="1036"/>
      <c r="H58" s="1036"/>
      <c r="I58" s="1036"/>
      <c r="J58" s="1036"/>
      <c r="K58" s="1149"/>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1129" t="str">
        <f>"Pace per "&amp;IF($L$58,"/ km","/ mile")</f>
        <v>Pace per / km</v>
      </c>
      <c r="C59" s="1131"/>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1150">
        <f>B61-(IF(L58,1000,1609.344)/400) * TIME(0,0,6)</f>
        <v>2.1063461147120799E-3</v>
      </c>
      <c r="C60" s="1151"/>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1152">
        <f>IF(AND($E$6&gt;0,$G$6&gt;0),(1/(29.54 + 5.000663 * ($I$6*0.98) - 0.007546 * ($I$6*0.98)^2)*IF($L$58,1000,1609.344)/1440),"-")</f>
        <v>2.2799572258231909E-3</v>
      </c>
      <c r="C61" s="1153"/>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1154">
        <f>IF(AND($E$6&gt;0,$G$6&gt;0),(1/(29.54 + 5.000663 * ($I$6*0.88) - 0.007546 * ($I$6*0.88)^2)*IF($L$58,1000,1609.344)/1440),"-")</f>
        <v>2.4885662925217037E-3</v>
      </c>
      <c r="C62" s="1155"/>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1156">
        <f>IF($L$58, R15,R14)</f>
        <v>2.1471161368400772E-3</v>
      </c>
      <c r="C63" s="1157"/>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139">
        <f>IF($L$58, P15,P14)</f>
        <v>2.2982369516722965E-3</v>
      </c>
      <c r="C64" s="1140"/>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141">
        <f>IF($L$58,N15,N14)</f>
        <v>2.3958333324182401E-3</v>
      </c>
      <c r="C65" s="1142"/>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143" t="s">
        <v>152</v>
      </c>
      <c r="C66" s="1144"/>
      <c r="D66" s="1144"/>
      <c r="E66" s="1144"/>
      <c r="F66" s="1144"/>
      <c r="G66" s="1144"/>
      <c r="H66" s="1144"/>
      <c r="I66" s="1144"/>
      <c r="J66" s="1144"/>
      <c r="K66" s="1144"/>
      <c r="L66" s="1145"/>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146" t="s">
        <v>156</v>
      </c>
      <c r="C68" s="1147"/>
      <c r="D68" s="1147"/>
      <c r="E68" s="1147"/>
      <c r="F68" s="1124" t="s">
        <v>157</v>
      </c>
      <c r="G68" s="1124"/>
      <c r="H68" s="1124"/>
      <c r="I68" s="1124"/>
      <c r="J68" s="1124"/>
      <c r="K68" s="1148"/>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1129" t="s">
        <v>158</v>
      </c>
      <c r="C69" s="1130"/>
      <c r="D69" s="1131"/>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1105" t="s">
        <v>168</v>
      </c>
      <c r="C70" s="1106"/>
      <c r="D70" s="1107"/>
      <c r="E70" s="440" t="str">
        <f>IF($L$68,"1.6 k","Mile")</f>
        <v>Mile</v>
      </c>
      <c r="F70" s="440" t="s">
        <v>169</v>
      </c>
      <c r="G70" s="440" t="s">
        <v>170</v>
      </c>
      <c r="H70" s="440" t="s">
        <v>171</v>
      </c>
      <c r="I70" s="440" t="s">
        <v>172</v>
      </c>
      <c r="J70" s="440" t="s">
        <v>173</v>
      </c>
      <c r="K70" s="440" t="s">
        <v>174</v>
      </c>
      <c r="L70" s="441" t="s">
        <v>175</v>
      </c>
      <c r="M70" s="442">
        <v>0.13295138888888888</v>
      </c>
      <c r="N70" s="1132" t="s">
        <v>176</v>
      </c>
      <c r="O70" s="1024"/>
      <c r="P70" s="443" t="b">
        <v>0</v>
      </c>
      <c r="Q70" s="1133" t="s">
        <v>177</v>
      </c>
      <c r="R70" s="1134"/>
    </row>
    <row r="71" spans="2:28" ht="13.5" thickBot="1" x14ac:dyDescent="0.25">
      <c r="B71" s="1112" t="str">
        <f>IF($L$68,"Pace / km","Pace / mile")</f>
        <v>Pace / mile</v>
      </c>
      <c r="C71" s="1113"/>
      <c r="D71" s="1114"/>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5" t="s">
        <v>181</v>
      </c>
      <c r="R71" s="1136"/>
    </row>
    <row r="72" spans="2:28" ht="14.25" thickTop="1" thickBot="1" x14ac:dyDescent="0.25">
      <c r="B72" s="1137"/>
      <c r="C72" s="1138"/>
      <c r="D72" s="1138"/>
      <c r="E72" s="1138"/>
      <c r="F72" s="1138"/>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6" t="s">
        <v>182</v>
      </c>
      <c r="C73" s="1117"/>
      <c r="D73" s="1117"/>
      <c r="E73" s="1117"/>
      <c r="F73" s="1117"/>
      <c r="G73" s="1117"/>
      <c r="H73" s="1117"/>
      <c r="I73" s="1117"/>
      <c r="J73" s="1117"/>
      <c r="K73" s="1117"/>
      <c r="L73" s="1118"/>
      <c r="M73" s="1119" t="str">
        <f>"Entry Time Grading - "&amp;E6</f>
        <v>Entry Time Grading - 10k</v>
      </c>
      <c r="N73" s="1120"/>
      <c r="O73" s="1121"/>
      <c r="P73" s="1119" t="str">
        <f>IF(C4,"Male","Female")&amp;" Peak Potential - "&amp;$E$6</f>
        <v>Male Peak Potential - 10k</v>
      </c>
      <c r="Q73" s="1120"/>
      <c r="R73" s="1121"/>
      <c r="T73" s="458"/>
      <c r="U73" s="458"/>
      <c r="V73" s="33"/>
    </row>
    <row r="74" spans="2:28" ht="13.5" thickBot="1" x14ac:dyDescent="0.25">
      <c r="B74" s="1122" t="s">
        <v>183</v>
      </c>
      <c r="C74" s="1123"/>
      <c r="D74" s="1123"/>
      <c r="E74" s="1123"/>
      <c r="F74" s="1124" t="s">
        <v>184</v>
      </c>
      <c r="G74" s="1124"/>
      <c r="H74" s="1124"/>
      <c r="I74" s="1124"/>
      <c r="J74" s="1124"/>
      <c r="K74" s="1124"/>
      <c r="L74" s="459" t="b">
        <v>0</v>
      </c>
      <c r="M74" s="1125" t="str">
        <f ca="1">IF($C$4," Male ","Female ")&amp;IF(ISNUMBER($E$5),$E$5,"")</f>
        <v xml:space="preserve"> Male 31</v>
      </c>
      <c r="N74" s="1126"/>
      <c r="O74" s="1127">
        <f>$G$6</f>
        <v>2.3958333333333331E-2</v>
      </c>
      <c r="P74" s="460"/>
      <c r="Q74" s="461" t="s">
        <v>185</v>
      </c>
      <c r="R74" s="462">
        <f>IF(R72="No","No Std",LOOKUP($D$8,$S$50:$S$69,IF($C$4,$T$50:$T$69,$U$50:$U$69)))</f>
        <v>1.8553240740740742E-2</v>
      </c>
      <c r="T74" s="458"/>
      <c r="U74" s="458"/>
      <c r="V74" s="33"/>
      <c r="W74" s="33"/>
    </row>
    <row r="75" spans="2:28" ht="13.5" thickBot="1" x14ac:dyDescent="0.25">
      <c r="B75" s="1129" t="s">
        <v>186</v>
      </c>
      <c r="C75" s="1130"/>
      <c r="D75" s="1130"/>
      <c r="E75" s="1131"/>
      <c r="F75" s="463" t="s">
        <v>187</v>
      </c>
      <c r="G75" s="463" t="s">
        <v>188</v>
      </c>
      <c r="H75" s="463" t="s">
        <v>189</v>
      </c>
      <c r="I75" s="463" t="s">
        <v>190</v>
      </c>
      <c r="J75" s="463" t="s">
        <v>191</v>
      </c>
      <c r="K75" s="463" t="s">
        <v>192</v>
      </c>
      <c r="L75" s="464" t="s">
        <v>193</v>
      </c>
      <c r="M75" s="1108" t="str">
        <f>IF(O74=$G$6, "Current Entry Time","Manual Time")</f>
        <v>Current Entry Time</v>
      </c>
      <c r="N75" s="1109"/>
      <c r="O75" s="1128"/>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5" t="s">
        <v>194</v>
      </c>
      <c r="C76" s="1106"/>
      <c r="D76" s="1106"/>
      <c r="E76" s="1107"/>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8"/>
      <c r="N76" s="1109"/>
      <c r="O76" s="470">
        <f>O74/IF(L80,F8/1000,D8)</f>
        <v>3.85572E-3</v>
      </c>
      <c r="P76" s="1110" t="s">
        <v>195</v>
      </c>
      <c r="Q76" s="1111"/>
      <c r="R76" s="471">
        <f ca="1">IF($O$85="Yes",$E$5,"Birthdate?")</f>
        <v>31</v>
      </c>
      <c r="T76" s="458"/>
      <c r="U76" s="458"/>
      <c r="V76" s="33"/>
      <c r="W76" s="33"/>
    </row>
    <row r="77" spans="2:28" ht="13.5" thickBot="1" x14ac:dyDescent="0.25">
      <c r="B77" s="1112" t="str">
        <f>IF($L$74,"Zone Pace / km","Zone Pace / mile")</f>
        <v>Zone Pace / mile</v>
      </c>
      <c r="C77" s="1113"/>
      <c r="D77" s="1113"/>
      <c r="E77" s="1114"/>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2" t="s">
        <v>196</v>
      </c>
      <c r="N77" s="1103"/>
      <c r="O77" s="473" t="s">
        <v>101</v>
      </c>
      <c r="P77" s="1110" t="s">
        <v>197</v>
      </c>
      <c r="Q77" s="1115"/>
      <c r="R77" s="474">
        <f>IF(AND($C$2&gt;0,$C$3&gt;0),IF($B$4,$C$3 / ($C$2/100)^2,$C$3 / $C$2^2*703),"Wght / Hght?")</f>
        <v>22.313033128347552</v>
      </c>
      <c r="T77" s="458"/>
      <c r="U77" s="458"/>
      <c r="V77" s="33"/>
      <c r="W77" s="33"/>
    </row>
    <row r="78" spans="2:28" ht="13.5" thickBot="1" x14ac:dyDescent="0.25">
      <c r="B78" s="475" t="s">
        <v>198</v>
      </c>
      <c r="C78" s="476">
        <f>IF($E$3&lt;&gt;"",$E$3*0.9,"")</f>
        <v>180.9</v>
      </c>
      <c r="D78" s="1095" t="b">
        <v>0</v>
      </c>
      <c r="E78" s="1096"/>
      <c r="F78" s="477">
        <v>157</v>
      </c>
      <c r="G78" s="478"/>
      <c r="H78" s="479" t="s">
        <v>199</v>
      </c>
      <c r="I78" s="480">
        <f>+L6</f>
        <v>4.0049592314720488E-3</v>
      </c>
      <c r="J78" s="1095" t="b">
        <v>0</v>
      </c>
      <c r="K78" s="1096"/>
      <c r="L78" s="481">
        <v>0.30208333333333331</v>
      </c>
      <c r="M78" s="1097" t="s">
        <v>200</v>
      </c>
      <c r="N78" s="1098"/>
      <c r="O78" s="1099"/>
      <c r="P78" s="1100" t="str">
        <f>"current age, wght "&amp;ROUND($C$3,1)</f>
        <v>current age, wght 160</v>
      </c>
      <c r="Q78" s="1101"/>
      <c r="R78" s="482">
        <f ca="1">IF(R72="no","-",IF(AND($C$2&gt;0,$C$3&gt;0,$O$85="yes"),MAX($R$75*(C3/MIN(D98,F100))^$I$93,$R$75),"""?"))</f>
        <v>2.1699223478671283E-2</v>
      </c>
      <c r="T78" s="458"/>
      <c r="U78" s="458"/>
      <c r="V78" s="33"/>
      <c r="W78" s="33"/>
    </row>
    <row r="79" spans="2:28" ht="13.5" thickBot="1" x14ac:dyDescent="0.25">
      <c r="B79" s="483"/>
      <c r="M79" s="484"/>
      <c r="N79" s="24"/>
      <c r="O79" s="485"/>
      <c r="P79" s="1102" t="s">
        <v>201</v>
      </c>
      <c r="Q79" s="1103"/>
      <c r="R79" s="486">
        <f>IF(AND($C$2&gt;0,$P$80&gt;0),IF($B$4,$P$80 / ($C$2/100)^2,$P$80 / $C$2^2*703),"")</f>
        <v>18.498158078143003</v>
      </c>
      <c r="T79" s="458"/>
      <c r="U79" s="458"/>
      <c r="V79" s="33"/>
      <c r="W79" s="33"/>
    </row>
    <row r="80" spans="2:28" ht="13.5" thickBot="1" x14ac:dyDescent="0.25">
      <c r="B80" s="487"/>
      <c r="C80" s="1036" t="str">
        <f>"Projected Impact of Temperature on "&amp;E6&amp;" Time "&amp;IF($D$85=4,IF($C$4,"- Male","- Female"),"")</f>
        <v xml:space="preserve">Projected Impact of Temperature on 10k Time </v>
      </c>
      <c r="D80" s="1036"/>
      <c r="E80" s="1036"/>
      <c r="F80" s="1036"/>
      <c r="G80" s="1036"/>
      <c r="H80" s="1036"/>
      <c r="I80" s="1036"/>
      <c r="J80" s="1104" t="str">
        <f>IF($D$85=1,HYPERLINK($AE$232,"J.Daniels"),IF($D$85=2,HYPERLINK($AE$236,"M.Hadley"),IF($D$85=3,HYPERLINK($AE$240,"Tinman"),IF($D$85=4,HYPERLINK($AE$244,"El Helou, et al")))))</f>
        <v>J.Daniels</v>
      </c>
      <c r="K80" s="1104"/>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2" t="str">
        <f>IF($D$85=1,W233,IF($D$85=2,W237,IF($D$85=3,W241,IF($D$85=4,W245))))</f>
        <v>Temperature  °F</v>
      </c>
      <c r="C81" s="1083"/>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3" t="s">
        <v>202</v>
      </c>
      <c r="N81" s="1034"/>
      <c r="O81" s="1078"/>
      <c r="P81" s="162"/>
      <c r="R81" s="492"/>
      <c r="T81" s="458"/>
      <c r="U81" s="458"/>
      <c r="V81" s="33"/>
      <c r="W81" s="33"/>
    </row>
    <row r="82" spans="2:23" ht="14.25" thickTop="1" thickBot="1" x14ac:dyDescent="0.25">
      <c r="B82" s="1084" t="s">
        <v>203</v>
      </c>
      <c r="C82" s="1085"/>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6" t="s">
        <v>204</v>
      </c>
      <c r="N82" s="1087"/>
      <c r="O82" s="495">
        <v>25</v>
      </c>
      <c r="P82" s="927" t="s">
        <v>205</v>
      </c>
      <c r="Q82" s="928"/>
      <c r="R82" s="930"/>
    </row>
    <row r="83" spans="2:23" ht="13.5" thickTop="1" x14ac:dyDescent="0.2">
      <c r="B83" s="1088" t="str">
        <f>IF($L$80,"Adj Pace / km","Adj Pace / mile")</f>
        <v>Adj Pace / mile</v>
      </c>
      <c r="C83" s="1089"/>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90" t="s">
        <v>206</v>
      </c>
      <c r="N83" s="1091"/>
      <c r="O83" s="499">
        <f ca="1">ABS(IF($O$85="yes",$O$74-$O$84,0))</f>
        <v>2.4118055555556739E-5</v>
      </c>
      <c r="P83" s="1092" t="s">
        <v>207</v>
      </c>
      <c r="Q83" s="1093"/>
      <c r="R83" s="1094"/>
      <c r="T83" s="500"/>
    </row>
    <row r="84" spans="2:23" ht="13.5" thickBot="1" x14ac:dyDescent="0.25">
      <c r="B84" s="1069" t="str">
        <f>IF($L$80,"Drop in Seconds / km","Drop in Seconds / mile")</f>
        <v>Drop in Seconds / mile</v>
      </c>
      <c r="C84" s="1070"/>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1" t="str">
        <f>IF(M100,"Age Grade Equivalent","No Age Grading")</f>
        <v>Age Grade Equivalent</v>
      </c>
      <c r="N84" s="1072"/>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5">
        <f>ROUND((-4.6 + 0.182258 * ((P85*IF(R86,1000,1))/Q85/1440*(IF(R86,1,1609.344))) + 0.000104 *((P85*IF(R86,1000,1))/Q85/1440*(IF(R86,1,1609.344)))^2)/R85,1)</f>
        <v>83.3</v>
      </c>
      <c r="Q86" s="1076"/>
      <c r="R86" s="520" t="b">
        <v>0</v>
      </c>
    </row>
    <row r="87" spans="2:23" ht="14.25" thickTop="1" thickBot="1" x14ac:dyDescent="0.25">
      <c r="B87" s="969" t="str">
        <f>"Projected Impact of Weight Change on "&amp;$E$6&amp;" Time (Daniels)"</f>
        <v>Projected Impact of Weight Change on 10k Time (Daniels)</v>
      </c>
      <c r="C87" s="970"/>
      <c r="D87" s="970"/>
      <c r="E87" s="970"/>
      <c r="F87" s="970"/>
      <c r="G87" s="970"/>
      <c r="H87" s="970"/>
      <c r="I87" s="970"/>
      <c r="J87" s="970"/>
      <c r="K87" s="970"/>
      <c r="L87" s="1077"/>
      <c r="M87" s="1033" t="s">
        <v>210</v>
      </c>
      <c r="N87" s="1034"/>
      <c r="O87" s="1078"/>
      <c r="P87" s="1079" t="s">
        <v>211</v>
      </c>
      <c r="Q87" s="1080"/>
      <c r="R87" s="1081"/>
    </row>
    <row r="88" spans="2:23" ht="13.5" thickBot="1" x14ac:dyDescent="0.25">
      <c r="B88" s="1054" t="str">
        <f>IF($C$4,"Male","Female")</f>
        <v>Male</v>
      </c>
      <c r="C88" s="1055"/>
      <c r="D88" s="521" t="s">
        <v>212</v>
      </c>
      <c r="E88" s="522">
        <f ca="1">$E$5</f>
        <v>31</v>
      </c>
      <c r="F88" s="1056" t="str">
        <f>IF($B$4,"Height (cm):","Height (in):")</f>
        <v>Height (in):</v>
      </c>
      <c r="G88" s="1057" t="str">
        <f>IF($B$4,"Height (cm):","Height (in):")</f>
        <v>Height (in):</v>
      </c>
      <c r="H88" s="523">
        <f>$C$2</f>
        <v>71</v>
      </c>
      <c r="I88" s="1058" t="str">
        <f>"Weight"&amp;IF($B$4," (kg):"," (lb):")</f>
        <v>Weight (lb):</v>
      </c>
      <c r="J88" s="1059" t="str">
        <f>"Weight"&amp;IF($B$4," (kg):"," (lb):")</f>
        <v>Weight (lb):</v>
      </c>
      <c r="K88" s="523">
        <f>$C$3</f>
        <v>160</v>
      </c>
      <c r="L88" s="524" t="b">
        <v>0</v>
      </c>
      <c r="M88" s="1060">
        <f>IF($C$3&gt;0,$C$3,"Current Weight?")</f>
        <v>160</v>
      </c>
      <c r="N88" s="1061"/>
      <c r="O88" s="1062">
        <f ca="1">IF(AND($N$89&gt;0,$N$90&gt;0,$N$90&lt;&gt;"",$M$101),ABS($O$84-$O$91),0)</f>
        <v>3.4493934814051122E-3</v>
      </c>
      <c r="P88" s="1018" t="s">
        <v>213</v>
      </c>
      <c r="Q88" s="1019"/>
      <c r="R88" s="1020"/>
    </row>
    <row r="89" spans="2:23" ht="14.25" thickTop="1" thickBot="1" x14ac:dyDescent="0.25">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3"/>
      <c r="P89" s="531" t="s">
        <v>215</v>
      </c>
      <c r="Q89" s="505" t="s">
        <v>99</v>
      </c>
      <c r="R89" s="532" t="s">
        <v>101</v>
      </c>
    </row>
    <row r="90" spans="2:23" ht="13.5" thickBot="1" x14ac:dyDescent="0.25">
      <c r="B90" s="1067" t="s">
        <v>216</v>
      </c>
      <c r="C90" s="1068"/>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4"/>
      <c r="P90" s="512">
        <v>26.218800000000002</v>
      </c>
      <c r="Q90" s="513">
        <v>0.17318287037037036</v>
      </c>
      <c r="R90" s="540">
        <f>Q90/P90</f>
        <v>6.6052935439596915E-3</v>
      </c>
    </row>
    <row r="91" spans="2:23" ht="13.5" thickBot="1" x14ac:dyDescent="0.25">
      <c r="B91" s="1041" t="s">
        <v>217</v>
      </c>
      <c r="C91" s="1042"/>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3" t="str">
        <f>IF(M101,"Weight Adjusted Time","No Weight Grading")</f>
        <v>Weight Adjusted Time</v>
      </c>
      <c r="N91" s="1044"/>
      <c r="O91" s="545">
        <f ca="1">IF(AND($N$89&gt;0,$N$90&gt;0,$N$90&lt;&gt;"",$M$101),$O$84*(IF(N89&gt;=MIN(D98,F100,C3),$N$89,MIN(F100,D98,C3))/C3)^$I$93,O84)</f>
        <v>2.0484821796372663E-2</v>
      </c>
      <c r="P91" s="546" t="s">
        <v>218</v>
      </c>
      <c r="Q91" s="547" t="s">
        <v>99</v>
      </c>
      <c r="R91" s="548" t="s">
        <v>101</v>
      </c>
    </row>
    <row r="92" spans="2:23" ht="13.5" thickBot="1" x14ac:dyDescent="0.25">
      <c r="B92" s="1045" t="str">
        <f>IF($L$88,"Est Pace / km","Est Pace / mile")</f>
        <v>Est Pace / mile</v>
      </c>
      <c r="C92" s="1046"/>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47" t="s">
        <v>219</v>
      </c>
      <c r="C93" s="1048"/>
      <c r="D93" s="1048"/>
      <c r="E93" s="1048"/>
      <c r="F93" s="1049"/>
      <c r="G93" s="1050"/>
      <c r="H93" s="559" t="s">
        <v>220</v>
      </c>
      <c r="I93" s="560">
        <v>0.83</v>
      </c>
      <c r="J93" s="1051" t="s">
        <v>221</v>
      </c>
      <c r="K93" s="1051"/>
      <c r="L93" s="561">
        <v>4.4999999999999998E-2</v>
      </c>
      <c r="M93" s="562"/>
      <c r="N93" s="1052" t="s">
        <v>222</v>
      </c>
      <c r="O93" s="1053"/>
      <c r="P93" s="1018" t="s">
        <v>223</v>
      </c>
      <c r="Q93" s="1019"/>
      <c r="R93" s="1020"/>
    </row>
    <row r="94" spans="2:23" ht="14.25" thickTop="1" thickBot="1" x14ac:dyDescent="0.25">
      <c r="B94" s="483"/>
      <c r="C94" s="1032" t="s">
        <v>224</v>
      </c>
      <c r="D94" s="1032"/>
      <c r="E94" s="1032"/>
      <c r="F94" s="1032"/>
      <c r="G94" s="1032"/>
      <c r="H94" s="1032"/>
      <c r="I94" s="1032"/>
      <c r="J94" s="1032"/>
      <c r="K94" s="1032"/>
      <c r="M94" s="1033" t="str">
        <f>IF($D$85=1,W233,IF($D$85=2,W237,IF($D$85=3,W241,IF($D$85=4,W245))))</f>
        <v>Temperature  °F</v>
      </c>
      <c r="N94" s="1034"/>
      <c r="O94" s="563"/>
      <c r="P94" s="531" t="s">
        <v>215</v>
      </c>
      <c r="Q94" s="505" t="s">
        <v>225</v>
      </c>
      <c r="R94" s="532" t="s">
        <v>99</v>
      </c>
    </row>
    <row r="95" spans="2:23" ht="13.5" thickBot="1" x14ac:dyDescent="0.25">
      <c r="B95" s="1035" t="s">
        <v>226</v>
      </c>
      <c r="C95" s="1036"/>
      <c r="D95" s="1036"/>
      <c r="E95" s="1036"/>
      <c r="F95" s="1036"/>
      <c r="G95" s="564" t="str">
        <f>IF($C$4,"Male","Female")</f>
        <v>Male</v>
      </c>
      <c r="H95" s="565" t="str">
        <f ca="1">IF(ISNUMBER($E$5),"Age  "&amp;$E$5,"Birthdate?")</f>
        <v>Age  31</v>
      </c>
      <c r="I95" s="565" t="str">
        <f>"Hgt  "&amp;$C$2</f>
        <v>Hgt  71</v>
      </c>
      <c r="J95" s="566" t="str">
        <f>"Wgt  "&amp;$C$3</f>
        <v>Wgt  160</v>
      </c>
      <c r="K95" s="1037" t="str">
        <f>IF(AND(C2&gt;0,C3&gt;0),"Current BMI = " &amp;ROUND(IF($B$4,$C$3 / ($C$2/100)^2,$C$3 / $C$2^2*703),2),"Wght / Hght?")</f>
        <v>Current BMI = 22.31</v>
      </c>
      <c r="L95" s="1038"/>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9" t="str">
        <f>IF(M102,"Temp Adjusted Time","No Temp Grading")</f>
        <v>Temp Adjusted Time</v>
      </c>
      <c r="N96" s="1040"/>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8" t="s">
        <v>233</v>
      </c>
      <c r="Q98" s="1019"/>
      <c r="R98" s="1020"/>
    </row>
    <row r="99" spans="2:21" ht="14.25" thickTop="1" thickBot="1" x14ac:dyDescent="0.25">
      <c r="B99" s="1021" t="s">
        <v>234</v>
      </c>
      <c r="C99" s="1022"/>
      <c r="D99" s="1022"/>
      <c r="E99" s="1022"/>
      <c r="F99" s="591"/>
      <c r="G99" s="1023" t="s">
        <v>235</v>
      </c>
      <c r="H99" s="1024"/>
      <c r="I99" s="1025" t="s">
        <v>236</v>
      </c>
      <c r="J99" s="1024"/>
      <c r="K99" s="1025" t="s">
        <v>237</v>
      </c>
      <c r="L99" s="1026"/>
      <c r="M99" s="1027" t="s">
        <v>238</v>
      </c>
      <c r="N99" s="1028"/>
      <c r="O99" s="1029"/>
      <c r="P99" s="531" t="s">
        <v>62</v>
      </c>
      <c r="Q99" s="1030" t="s">
        <v>239</v>
      </c>
      <c r="R99" s="1031"/>
      <c r="U99" s="592"/>
    </row>
    <row r="100" spans="2:21" ht="13.5" thickBot="1" x14ac:dyDescent="0.25">
      <c r="B100" s="119"/>
      <c r="C100" s="593"/>
      <c r="D100" s="593"/>
      <c r="E100" s="593"/>
      <c r="F100" s="594">
        <v>144.92499999999998</v>
      </c>
      <c r="G100" s="995" t="s">
        <v>240</v>
      </c>
      <c r="H100" s="996"/>
      <c r="I100" s="997" t="s">
        <v>241</v>
      </c>
      <c r="J100" s="998"/>
      <c r="K100" s="997" t="s">
        <v>242</v>
      </c>
      <c r="L100" s="999"/>
      <c r="M100" s="1000" t="b">
        <v>1</v>
      </c>
      <c r="N100" s="1001" t="b">
        <v>1</v>
      </c>
      <c r="O100" s="569">
        <f ca="1">$O$83</f>
        <v>2.4118055555556739E-5</v>
      </c>
      <c r="P100" s="595">
        <v>0.7</v>
      </c>
      <c r="Q100" s="1002">
        <f>IF($C$8=4,(P100/(1+$C$9)-0.37182)/0.6463,IF($C$8=3,1.303*P100/(1+$C$9)-0.345,IF($C$8=2,1.3*P100/(1+$C$9)-0.293,(P100/(1+$C$9)-0.1578)/0.855)))</f>
        <v>0.6341520467836258</v>
      </c>
      <c r="R100" s="1003"/>
    </row>
    <row r="101" spans="2:21" x14ac:dyDescent="0.2">
      <c r="B101" s="1004" t="str">
        <f>"Based on a height of "&amp;IF($B$4,ROUND($C$2,3)&amp;" cm",INT($C$2/12)&amp;" ft "&amp;ROUND((($C$2/12)-INT($C$2/12))*12,1)&amp;" in")</f>
        <v>Based on a height of 5 ft 11 in</v>
      </c>
      <c r="C101" s="1005"/>
      <c r="D101" s="1006"/>
      <c r="E101" s="1007" t="str">
        <f>"Male       "&amp;IF(B4,"(kg)    ","(lb)    ")</f>
        <v xml:space="preserve">Male       (lb)    </v>
      </c>
      <c r="F101" s="1008"/>
      <c r="G101" s="1009">
        <f>IF($B$4,49.8952+(MAX($C$2,152.4)-152.4)/2.54*2.49476,110+(MAX($C$2,60)-60)*5.5)</f>
        <v>170.5</v>
      </c>
      <c r="H101" s="1010"/>
      <c r="I101" s="1011">
        <f>G101*0.88</f>
        <v>150.04</v>
      </c>
      <c r="J101" s="1012"/>
      <c r="K101" s="1011">
        <f>G101*0.85</f>
        <v>144.92499999999998</v>
      </c>
      <c r="L101" s="1013"/>
      <c r="M101" s="1014" t="b">
        <v>1</v>
      </c>
      <c r="N101" s="1015" t="b">
        <v>1</v>
      </c>
      <c r="O101" s="569">
        <f ca="1">$O$88</f>
        <v>3.4493934814051122E-3</v>
      </c>
      <c r="P101" s="546" t="s">
        <v>243</v>
      </c>
      <c r="Q101" s="1016" t="s">
        <v>239</v>
      </c>
      <c r="R101" s="1017"/>
      <c r="U101" s="592"/>
    </row>
    <row r="102" spans="2:21" ht="13.5" thickBot="1" x14ac:dyDescent="0.25">
      <c r="B102" s="977" t="str">
        <f>IF($B$4,"(Minimum height is 152.4 cm)","(Minimum height is 5 ft, 0 inches)")</f>
        <v>(Minimum height is 5 ft, 0 inches)</v>
      </c>
      <c r="C102" s="978"/>
      <c r="D102" s="979"/>
      <c r="E102" s="980" t="str">
        <f>"Female     "&amp;IF(B4,"(kg)    ","(lb)    ")</f>
        <v xml:space="preserve">Female     (lb)    </v>
      </c>
      <c r="F102" s="981"/>
      <c r="G102" s="982">
        <f>IF($B$4,45.3592+(MAX($C$2,152.4)-152.4)/2.54*2.26796,100+(MAX($C$2,60)-60)*5)</f>
        <v>155</v>
      </c>
      <c r="H102" s="983"/>
      <c r="I102" s="983">
        <f>G102*0.88</f>
        <v>136.4</v>
      </c>
      <c r="J102" s="983"/>
      <c r="K102" s="983">
        <f>G102*0.85</f>
        <v>131.75</v>
      </c>
      <c r="L102" s="984"/>
      <c r="M102" s="985" t="b">
        <v>1</v>
      </c>
      <c r="N102" s="986" t="b">
        <v>1</v>
      </c>
      <c r="O102" s="569">
        <f ca="1">$O$95</f>
        <v>6.6384485996385633E-4</v>
      </c>
      <c r="P102" s="596">
        <v>0.57499999999999996</v>
      </c>
      <c r="Q102" s="987">
        <f>IF($C$8=4,((P102/$E$3*($E$3-$E$4)+E$4/$E$3)/(1+$C$9)-0.37182)/0.6463,IF($C$8=3,1.303*(P102/$E$3*($E$3-$E$4)+E$4/$E$3)/(1+$C$9) - 0.345,IF($C$8=2,(1.3*(P102/$E$3*($E$3-$E$4)+E$4/$E$3)/(1+$C$9)-0.293),((P102/$E$3*($E$3-$E$4)+E$4/$E$3)/(1+$C$9)-0.1578)/0.855)))</f>
        <v>0.62149602862878595</v>
      </c>
      <c r="R102" s="988"/>
    </row>
    <row r="103" spans="2:21" ht="13.5" thickBot="1" x14ac:dyDescent="0.25">
      <c r="B103" s="483"/>
      <c r="I103" s="597"/>
      <c r="J103" s="597"/>
      <c r="M103" s="964" t="s">
        <v>244</v>
      </c>
      <c r="N103" s="965"/>
      <c r="O103" s="598">
        <f ca="1">$O$74+IF(O84&lt;O74,-$O$100,$O$100)+IF($N$89&lt;$M$88,-$O$101,$O$101)+IF($M$97,$O$102,-$O$102)</f>
        <v>2.114866665633652E-2</v>
      </c>
      <c r="P103" s="966" t="str">
        <f>"HR Profile "&amp;IF(AND(C8&gt;=1,C8&lt;=4),C8,1)</f>
        <v>HR Profile 1</v>
      </c>
      <c r="Q103" s="967"/>
      <c r="R103" s="968"/>
    </row>
    <row r="104" spans="2:21" ht="13.5" thickBot="1" x14ac:dyDescent="0.25">
      <c r="B104" s="969" t="s">
        <v>245</v>
      </c>
      <c r="C104" s="970"/>
      <c r="D104" s="970"/>
      <c r="E104" s="970"/>
      <c r="F104" s="599" t="str">
        <f>E6</f>
        <v>10k</v>
      </c>
      <c r="G104" s="971">
        <f>$F$8</f>
        <v>10000</v>
      </c>
      <c r="H104" s="971"/>
      <c r="I104" s="972">
        <f>$G$6*1440</f>
        <v>34.5</v>
      </c>
      <c r="J104" s="972"/>
      <c r="K104" s="973">
        <f>G104/I104</f>
        <v>289.85507246376812</v>
      </c>
      <c r="L104" s="974"/>
      <c r="M104" s="975" t="str">
        <f>E6&amp;IF($L$80," Pace / km"," Pace / mile")</f>
        <v>10k Pace / mile</v>
      </c>
      <c r="N104" s="976"/>
      <c r="O104" s="600">
        <f ca="1">O103/IF(L80,F8/1000,D8)</f>
        <v>3.4035479791375244E-3</v>
      </c>
      <c r="P104" s="921" t="s">
        <v>246</v>
      </c>
      <c r="Q104" s="922"/>
      <c r="R104" s="923"/>
    </row>
    <row r="105" spans="2:21" ht="14.25" thickTop="1" thickBot="1" x14ac:dyDescent="0.25">
      <c r="B105" s="601" t="b">
        <v>0</v>
      </c>
      <c r="C105" s="602"/>
      <c r="D105" s="603"/>
      <c r="E105" s="604"/>
      <c r="F105" s="463" t="s">
        <v>123</v>
      </c>
      <c r="G105" s="463" t="s">
        <v>99</v>
      </c>
      <c r="H105" s="463" t="s">
        <v>101</v>
      </c>
      <c r="I105" s="463" t="s">
        <v>247</v>
      </c>
      <c r="J105" s="463" t="s">
        <v>122</v>
      </c>
      <c r="K105" s="989" t="s">
        <v>248</v>
      </c>
      <c r="L105" s="990"/>
      <c r="M105" s="991" t="str">
        <f>IF($L$80,"Change in Pace / Km","Change in Pace / Mile")</f>
        <v>Change in Pace / Mile</v>
      </c>
      <c r="N105" s="992"/>
      <c r="O105" s="605">
        <f ca="1">ABS((O76-O104))</f>
        <v>4.5217202086247563E-4</v>
      </c>
      <c r="P105" s="606">
        <v>3.1</v>
      </c>
      <c r="Q105" s="993">
        <f>P105*1.609344</f>
        <v>4.9889664000000007</v>
      </c>
      <c r="R105" s="994"/>
    </row>
    <row r="106" spans="2:21" x14ac:dyDescent="0.2">
      <c r="B106" s="954" t="str">
        <f>"Entry Weight &amp; VDOT"</f>
        <v>Entry Weight &amp; VDOT</v>
      </c>
      <c r="C106" s="955"/>
      <c r="D106" s="956"/>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7">
        <f>P106/1.609344/60</f>
        <v>4.3150777238703747E-3</v>
      </c>
      <c r="R106" s="958"/>
    </row>
    <row r="107" spans="2:21" ht="13.5" thickBot="1" x14ac:dyDescent="0.25">
      <c r="B107" s="959" t="s">
        <v>249</v>
      </c>
      <c r="C107" s="960"/>
      <c r="D107" s="961"/>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2">
        <f>P107*0.45359237</f>
        <v>58.967008100000001</v>
      </c>
      <c r="R107" s="963"/>
    </row>
    <row r="108" spans="2:21" ht="13.5" thickBot="1" x14ac:dyDescent="0.25">
      <c r="B108" s="627" t="s">
        <v>74</v>
      </c>
      <c r="C108" s="944" t="s">
        <v>250</v>
      </c>
      <c r="D108" s="945"/>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6">
        <f>P108*2.54</f>
        <v>187.96</v>
      </c>
      <c r="R108" s="947"/>
    </row>
    <row r="109" spans="2:21" ht="13.5" thickBot="1" x14ac:dyDescent="0.25">
      <c r="B109" s="636" t="s">
        <v>76</v>
      </c>
      <c r="C109" s="948" t="s">
        <v>251</v>
      </c>
      <c r="D109" s="949"/>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1" t="s">
        <v>252</v>
      </c>
      <c r="Q109" s="922"/>
      <c r="R109" s="923"/>
    </row>
    <row r="110" spans="2:21" ht="13.5" thickBot="1" x14ac:dyDescent="0.25">
      <c r="B110" s="644" t="b">
        <v>1</v>
      </c>
      <c r="C110" s="950" t="str">
        <f>"Elite "&amp;E6</f>
        <v>Elite 10k</v>
      </c>
      <c r="D110" s="951"/>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2">
        <f>P110*0.621371192</f>
        <v>0.80778254960000007</v>
      </c>
      <c r="R110" s="953"/>
    </row>
    <row r="111" spans="2:21" ht="14.25" thickTop="1" thickBot="1" x14ac:dyDescent="0.25">
      <c r="B111" s="654"/>
      <c r="C111" s="655"/>
      <c r="D111" s="655"/>
      <c r="E111" s="656"/>
      <c r="F111" s="657"/>
      <c r="G111" s="658"/>
      <c r="H111" s="659"/>
      <c r="I111" s="660"/>
      <c r="J111" s="661"/>
      <c r="K111" s="659"/>
      <c r="L111" s="662"/>
      <c r="O111" s="625"/>
      <c r="P111" s="663">
        <v>0.2590277777777778</v>
      </c>
      <c r="Q111" s="933">
        <f>P111/0.62137117223/60</f>
        <v>6.947746890374965E-3</v>
      </c>
      <c r="R111" s="934"/>
    </row>
    <row r="112" spans="2:21" ht="13.5" thickBot="1" x14ac:dyDescent="0.25">
      <c r="B112" s="664"/>
      <c r="C112" s="935" t="s">
        <v>253</v>
      </c>
      <c r="D112" s="935"/>
      <c r="E112" s="935"/>
      <c r="F112" s="935"/>
      <c r="G112" s="935"/>
      <c r="H112" s="935"/>
      <c r="I112" s="936" t="s">
        <v>254</v>
      </c>
      <c r="J112" s="936"/>
      <c r="K112" s="936"/>
      <c r="L112" s="665"/>
      <c r="N112" s="625"/>
      <c r="O112" s="625"/>
      <c r="P112" s="666">
        <v>62</v>
      </c>
      <c r="Q112" s="937">
        <f>P112*2.20462262</f>
        <v>136.68660244</v>
      </c>
      <c r="R112" s="938"/>
    </row>
    <row r="113" spans="2:34" ht="13.5" thickBot="1" x14ac:dyDescent="0.25">
      <c r="B113" s="667" t="s">
        <v>53</v>
      </c>
      <c r="C113" s="668">
        <v>201</v>
      </c>
      <c r="D113" s="669" t="s">
        <v>255</v>
      </c>
      <c r="E113" s="668">
        <v>53</v>
      </c>
      <c r="F113" s="669" t="s">
        <v>256</v>
      </c>
      <c r="G113" s="668">
        <v>155</v>
      </c>
      <c r="H113" s="670" t="s">
        <v>17</v>
      </c>
      <c r="I113" s="671">
        <v>0.31597222222222221</v>
      </c>
      <c r="J113" s="939" t="str">
        <f>"vVO2max  =  "&amp;TEXT(I113*(G113-E113)/(C113-E113),"h:mm")</f>
        <v>vVO2max  =  5:13</v>
      </c>
      <c r="K113" s="940"/>
      <c r="L113" s="941"/>
      <c r="N113" s="625"/>
      <c r="O113" s="625"/>
      <c r="P113" s="672">
        <v>188</v>
      </c>
      <c r="Q113" s="942">
        <f>P113*0.393700787</f>
        <v>74.015747955999998</v>
      </c>
      <c r="R113" s="943"/>
    </row>
    <row r="114" spans="2:34" ht="13.5" thickBot="1" x14ac:dyDescent="0.25">
      <c r="B114" s="673"/>
      <c r="C114" s="674"/>
      <c r="D114" s="674"/>
      <c r="E114" s="674"/>
      <c r="F114" s="674"/>
      <c r="G114" s="674"/>
      <c r="H114" s="674"/>
      <c r="I114" s="674"/>
      <c r="J114" s="674"/>
      <c r="K114" s="674"/>
      <c r="L114" s="675"/>
      <c r="N114" s="625"/>
      <c r="O114" s="625"/>
      <c r="P114" s="926" t="s">
        <v>257</v>
      </c>
      <c r="Q114" s="922"/>
      <c r="R114" s="923"/>
    </row>
    <row r="115" spans="2:34" ht="14.25" thickTop="1" thickBot="1" x14ac:dyDescent="0.25">
      <c r="B115" s="927" t="s">
        <v>258</v>
      </c>
      <c r="C115" s="928"/>
      <c r="D115" s="928"/>
      <c r="E115" s="928"/>
      <c r="F115" s="928"/>
      <c r="G115" s="928"/>
      <c r="H115" s="928"/>
      <c r="I115" s="928"/>
      <c r="J115" s="928"/>
      <c r="K115" s="929"/>
      <c r="L115" s="930"/>
      <c r="N115" s="625"/>
      <c r="O115" s="625"/>
      <c r="P115" s="616">
        <v>0.41666666666666669</v>
      </c>
      <c r="Q115" s="676">
        <f>P115*1440</f>
        <v>600</v>
      </c>
      <c r="R115" s="677">
        <f>60/P115/24</f>
        <v>6</v>
      </c>
    </row>
    <row r="116" spans="2:34" ht="13.5" thickBot="1" x14ac:dyDescent="0.25">
      <c r="B116" s="931" t="s">
        <v>158</v>
      </c>
      <c r="C116" s="932"/>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7" t="s">
        <v>267</v>
      </c>
      <c r="C117" s="918"/>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9" t="s">
        <v>269</v>
      </c>
      <c r="C118" s="920"/>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9" t="s">
        <v>272</v>
      </c>
      <c r="C119" s="925"/>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7" t="s">
        <v>274</v>
      </c>
      <c r="C120" s="918"/>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9" t="s">
        <v>277</v>
      </c>
      <c r="C121" s="920"/>
      <c r="D121" s="714" t="s">
        <v>278</v>
      </c>
      <c r="E121" s="695"/>
      <c r="F121" s="695"/>
      <c r="G121" s="695">
        <v>2.6</v>
      </c>
      <c r="H121" s="695"/>
      <c r="I121" s="695"/>
      <c r="J121" s="695"/>
      <c r="K121" s="696"/>
      <c r="L121" s="697">
        <f>IF(SUM(E121:K121)&gt;0,SUM(E121:K121)/L126,"---")</f>
        <v>6.9892473118279563E-2</v>
      </c>
      <c r="M121" s="698" t="s">
        <v>279</v>
      </c>
      <c r="P121" s="921" t="s">
        <v>280</v>
      </c>
      <c r="Q121" s="922"/>
      <c r="R121" s="923"/>
    </row>
    <row r="122" spans="2:34" ht="13.5" thickBot="1" x14ac:dyDescent="0.25">
      <c r="B122" s="909" t="s">
        <v>281</v>
      </c>
      <c r="C122" s="924"/>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7" t="s">
        <v>282</v>
      </c>
      <c r="C123" s="918"/>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9" t="s">
        <v>285</v>
      </c>
      <c r="C124" s="925"/>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9" t="s">
        <v>287</v>
      </c>
      <c r="C125" s="910"/>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11" t="s">
        <v>290</v>
      </c>
      <c r="X131" s="912"/>
      <c r="Y131" s="912"/>
      <c r="Z131" s="912"/>
      <c r="AA131" s="912"/>
      <c r="AB131" s="912"/>
      <c r="AC131" s="912"/>
      <c r="AD131" s="912"/>
      <c r="AE131" s="912"/>
      <c r="AF131" s="912"/>
      <c r="AG131" s="913"/>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4" t="s">
        <v>291</v>
      </c>
      <c r="AE133" s="915"/>
      <c r="AF133" s="916"/>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4" t="s">
        <v>299</v>
      </c>
      <c r="X216" s="894"/>
      <c r="Y216" s="894"/>
      <c r="Z216" s="894"/>
      <c r="AA216" s="894"/>
      <c r="AB216" s="894"/>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2" t="s">
        <v>300</v>
      </c>
      <c r="X232" s="903"/>
      <c r="Y232" s="904"/>
      <c r="Z232" s="902" t="str">
        <f>"Projected Impact of Temperature on "&amp;$E$6&amp;" Time"</f>
        <v>Projected Impact of Temperature on 10k Time</v>
      </c>
      <c r="AA232" s="903"/>
      <c r="AB232" s="903"/>
      <c r="AC232" s="903"/>
      <c r="AD232" s="903"/>
      <c r="AE232" s="907" t="s">
        <v>301</v>
      </c>
      <c r="AF232" s="908"/>
      <c r="AG232" s="795" t="b">
        <v>0</v>
      </c>
    </row>
    <row r="233" spans="17:33" ht="13.5" thickBot="1" x14ac:dyDescent="0.25">
      <c r="W233" s="895" t="str">
        <f>"Temperature  °"&amp;IF($L$80,"C","F")</f>
        <v>Temperature  °F</v>
      </c>
      <c r="X233" s="896"/>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7" t="s">
        <v>203</v>
      </c>
      <c r="X234" s="898"/>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902" t="s">
        <v>302</v>
      </c>
      <c r="X236" s="903"/>
      <c r="Y236" s="904"/>
      <c r="Z236" s="902" t="str">
        <f>"Projected Impact of Temperature on "&amp;$E$6&amp;" Time"</f>
        <v>Projected Impact of Temperature on 10k Time</v>
      </c>
      <c r="AA236" s="903"/>
      <c r="AB236" s="903"/>
      <c r="AC236" s="903"/>
      <c r="AD236" s="903"/>
      <c r="AE236" s="907" t="s">
        <v>303</v>
      </c>
      <c r="AF236" s="908"/>
      <c r="AG236" s="795" t="b">
        <v>0</v>
      </c>
    </row>
    <row r="237" spans="17:33" ht="13.5" thickBot="1" x14ac:dyDescent="0.25">
      <c r="W237" s="895" t="str">
        <f>"Temp + Dew Point  °"&amp;IF($L$80,"C","F")</f>
        <v>Temp + Dew Point  °F</v>
      </c>
      <c r="X237" s="896"/>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7" t="s">
        <v>203</v>
      </c>
      <c r="X238" s="898"/>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902" t="s">
        <v>304</v>
      </c>
      <c r="X240" s="903"/>
      <c r="Y240" s="904"/>
      <c r="Z240" s="902" t="str">
        <f>"Projected Impact of Temperature on "&amp;$E$6&amp;" Time"</f>
        <v>Projected Impact of Temperature on 10k Time</v>
      </c>
      <c r="AA240" s="903"/>
      <c r="AB240" s="903"/>
      <c r="AC240" s="903"/>
      <c r="AD240" s="903"/>
      <c r="AE240" s="907" t="s">
        <v>305</v>
      </c>
      <c r="AF240" s="908"/>
      <c r="AG240" s="795" t="b">
        <v>0</v>
      </c>
    </row>
    <row r="241" spans="23:33" ht="13.5" thickBot="1" x14ac:dyDescent="0.25">
      <c r="W241" s="895" t="str">
        <f>"Heat Index  °"&amp;IF($L$80,"C","F")</f>
        <v>Heat Index  °F</v>
      </c>
      <c r="X241" s="896"/>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7" t="s">
        <v>203</v>
      </c>
      <c r="X242" s="898"/>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902" t="s">
        <v>306</v>
      </c>
      <c r="X244" s="903"/>
      <c r="Y244" s="904"/>
      <c r="Z244" s="902" t="str">
        <f>"Projected Impact of Temperature on "&amp;$E$6&amp;" Time"</f>
        <v>Projected Impact of Temperature on 10k Time</v>
      </c>
      <c r="AA244" s="903"/>
      <c r="AB244" s="903"/>
      <c r="AC244" s="903"/>
      <c r="AD244" s="903"/>
      <c r="AE244" s="905" t="s">
        <v>307</v>
      </c>
      <c r="AF244" s="906"/>
      <c r="AG244" s="795" t="b">
        <v>0</v>
      </c>
    </row>
    <row r="245" spans="23:33" ht="13.5" thickBot="1" x14ac:dyDescent="0.25">
      <c r="W245" s="895" t="str">
        <f>"Temperature  °"&amp;IF($L$80,"C","F")</f>
        <v>Temperature  °F</v>
      </c>
      <c r="X245" s="896"/>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7" t="s">
        <v>203</v>
      </c>
      <c r="X246" s="898"/>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902" t="s">
        <v>308</v>
      </c>
      <c r="X248" s="903"/>
      <c r="Y248" s="904"/>
      <c r="Z248" s="902" t="str">
        <f>"Projected Impact of Temperature on "&amp;$E$6&amp;" Time"</f>
        <v>Projected Impact of Temperature on 10k Time</v>
      </c>
      <c r="AA248" s="903"/>
      <c r="AB248" s="903"/>
      <c r="AC248" s="903"/>
      <c r="AD248" s="903"/>
      <c r="AE248" s="905" t="s">
        <v>307</v>
      </c>
      <c r="AF248" s="906"/>
      <c r="AG248" s="795" t="b">
        <v>0</v>
      </c>
    </row>
    <row r="249" spans="23:33" ht="13.5" thickBot="1" x14ac:dyDescent="0.25">
      <c r="W249" s="895" t="str">
        <f>"Temperature  °"&amp;IF($L$80,"C","F")</f>
        <v>Temperature  °F</v>
      </c>
      <c r="X249" s="896"/>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7" t="s">
        <v>203</v>
      </c>
      <c r="X250" s="898"/>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894" t="s">
        <v>310</v>
      </c>
      <c r="AG252" s="894"/>
    </row>
    <row r="253" spans="23:33" x14ac:dyDescent="0.2">
      <c r="Y253" s="894" t="s">
        <v>311</v>
      </c>
      <c r="Z253" s="894"/>
      <c r="AA253" s="894" t="s">
        <v>312</v>
      </c>
      <c r="AB253" s="894"/>
      <c r="AE253" s="805" t="s">
        <v>313</v>
      </c>
      <c r="AF253" s="806">
        <f>0.0015437*IF($L$80,($N$95*9/5)+32,$N$95)-0.09108933</f>
        <v>3.2406670000000012E-2</v>
      </c>
      <c r="AG253" s="807">
        <f ca="1">IF($M$102,MAX(AF253*$O$91,0),0)</f>
        <v>6.6384485996385633E-4</v>
      </c>
    </row>
    <row r="254" spans="23:33" x14ac:dyDescent="0.2">
      <c r="W254" s="899"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900"/>
      <c r="X255" s="812" t="s">
        <v>317</v>
      </c>
      <c r="Y255" s="812">
        <v>1.01</v>
      </c>
      <c r="Z255" s="813">
        <f t="shared" si="46"/>
        <v>33.817999999999998</v>
      </c>
      <c r="AA255" s="814">
        <v>8.2000000000000007E-3</v>
      </c>
      <c r="AB255" s="812">
        <v>1.85</v>
      </c>
      <c r="AC255" s="812">
        <f t="shared" si="47"/>
        <v>35.33</v>
      </c>
      <c r="AD255" s="814">
        <v>6.3E-3</v>
      </c>
      <c r="AE255" s="815"/>
      <c r="AF255" s="894" t="s">
        <v>318</v>
      </c>
      <c r="AG255" s="894"/>
    </row>
    <row r="256" spans="23:33" x14ac:dyDescent="0.2">
      <c r="W256" s="900"/>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900"/>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900"/>
      <c r="X258" s="812" t="s">
        <v>321</v>
      </c>
      <c r="Y258" s="812">
        <v>16.02</v>
      </c>
      <c r="Z258" s="813">
        <f t="shared" si="46"/>
        <v>60.835999999999999</v>
      </c>
      <c r="AA258" s="814">
        <v>3.3799999999999997E-2</v>
      </c>
      <c r="AB258" s="812">
        <v>16.850000000000001</v>
      </c>
      <c r="AC258" s="812">
        <f t="shared" si="47"/>
        <v>62.33</v>
      </c>
      <c r="AD258" s="814">
        <v>2.58E-2</v>
      </c>
      <c r="AE258" s="815"/>
      <c r="AF258" s="894" t="s">
        <v>304</v>
      </c>
      <c r="AG258" s="894"/>
    </row>
    <row r="259" spans="23:33" x14ac:dyDescent="0.2">
      <c r="W259" s="900"/>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901"/>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4" t="s">
        <v>324</v>
      </c>
      <c r="AG261" s="894"/>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4" t="s">
        <v>329</v>
      </c>
      <c r="AG264" s="894"/>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9" t="s">
        <v>1</v>
      </c>
      <c r="D1" s="880"/>
      <c r="E1" s="881"/>
      <c r="F1" s="3" t="s">
        <v>382</v>
      </c>
      <c r="G1" s="874" t="s">
        <v>453</v>
      </c>
      <c r="H1" s="874"/>
      <c r="I1" s="23" t="s">
        <v>2</v>
      </c>
      <c r="J1" s="874" t="s">
        <v>451</v>
      </c>
      <c r="K1" s="874"/>
      <c r="L1" s="1245"/>
      <c r="M1" s="880"/>
      <c r="N1" s="881"/>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6" t="s">
        <v>5</v>
      </c>
      <c r="D2" s="878"/>
      <c r="E2" s="883"/>
      <c r="F2" s="7" t="s">
        <v>33</v>
      </c>
      <c r="G2" s="874" t="s">
        <v>452</v>
      </c>
      <c r="H2" s="874"/>
      <c r="I2" s="6"/>
      <c r="J2" s="4"/>
      <c r="L2" s="878"/>
      <c r="M2" s="878"/>
      <c r="N2" s="883"/>
      <c r="O2" s="16"/>
      <c r="P2" s="8"/>
      <c r="Q2" s="9"/>
      <c r="R2" s="4"/>
      <c r="S2" s="4"/>
      <c r="T2" s="4"/>
      <c r="U2" s="4"/>
      <c r="V2" s="4"/>
      <c r="W2" s="4"/>
      <c r="X2" s="4"/>
      <c r="Y2" s="4"/>
      <c r="Z2" s="4"/>
      <c r="AA2" s="4"/>
    </row>
    <row r="3" spans="1:27" ht="15.75" customHeight="1" x14ac:dyDescent="0.2">
      <c r="A3" s="10" t="s">
        <v>6</v>
      </c>
      <c r="B3" s="11">
        <v>45963</v>
      </c>
      <c r="C3" s="887" t="s">
        <v>7</v>
      </c>
      <c r="D3" s="884"/>
      <c r="E3" s="885"/>
      <c r="F3" s="7" t="s">
        <v>34</v>
      </c>
      <c r="G3" s="874" t="s">
        <v>449</v>
      </c>
      <c r="H3" s="874"/>
      <c r="I3" s="6"/>
      <c r="J3" s="4"/>
      <c r="L3" s="878"/>
      <c r="M3" s="878"/>
      <c r="N3" s="883"/>
      <c r="O3" s="16"/>
      <c r="P3" s="6"/>
      <c r="Q3" s="4"/>
      <c r="R3" s="4"/>
      <c r="S3" s="4"/>
      <c r="T3" s="4"/>
      <c r="U3" s="4"/>
      <c r="V3" s="4"/>
      <c r="W3" s="4"/>
      <c r="X3" s="4"/>
      <c r="Y3" s="4"/>
      <c r="Z3" s="4"/>
      <c r="AA3" s="4"/>
    </row>
    <row r="4" spans="1:27" ht="15.75" customHeight="1" x14ac:dyDescent="0.2">
      <c r="A4" s="16"/>
      <c r="B4" s="6"/>
      <c r="C4" s="6"/>
      <c r="D4" s="6"/>
      <c r="E4" s="4"/>
      <c r="F4" s="12" t="s">
        <v>383</v>
      </c>
      <c r="G4" s="888" t="s">
        <v>450</v>
      </c>
      <c r="H4" s="888"/>
      <c r="I4" s="13"/>
      <c r="J4" s="850"/>
      <c r="K4" s="851"/>
      <c r="L4" s="884"/>
      <c r="M4" s="884"/>
      <c r="N4" s="885"/>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7" t="s">
        <v>9</v>
      </c>
      <c r="F6" s="878"/>
      <c r="G6" s="878"/>
      <c r="H6" s="878"/>
      <c r="I6" s="878"/>
      <c r="J6" s="878"/>
      <c r="K6" s="878"/>
      <c r="L6" s="878"/>
      <c r="M6" s="878"/>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6"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6"/>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6"/>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6"/>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6"/>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6"/>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6"/>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3"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3"/>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3"/>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3"/>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3"/>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3"/>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3"/>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6"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6"/>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6"/>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6"/>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6"/>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6"/>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6"/>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3"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3"/>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3"/>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3"/>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3"/>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3"/>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3"/>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6"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6"/>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6"/>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6"/>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6"/>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6"/>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6"/>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3"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3"/>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3"/>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3"/>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3"/>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3"/>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3"/>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6"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6"/>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6"/>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6"/>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6"/>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6"/>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6"/>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3"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3"/>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3"/>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3"/>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3"/>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3"/>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3"/>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6"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6"/>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6"/>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6"/>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6"/>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6"/>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6"/>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3"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3"/>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3"/>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3"/>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3"/>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3"/>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3"/>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6"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6"/>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6"/>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6"/>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6"/>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6"/>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6"/>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3"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3"/>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3"/>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3"/>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3"/>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3"/>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3"/>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6"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6"/>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6"/>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6"/>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6"/>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6"/>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6"/>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3"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3"/>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3"/>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3"/>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3"/>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3"/>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3"/>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6"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6"/>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6"/>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6"/>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6"/>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6"/>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6"/>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3"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3"/>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3"/>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3"/>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3"/>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3"/>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3"/>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6"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6"/>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6"/>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6"/>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6"/>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6"/>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6"/>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3"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3"/>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3"/>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3"/>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3"/>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3"/>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3"/>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3"/>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2025-09-10T16:53:19Z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