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C6F8AC23-09EE-4B59-B2DF-01E3CE8D0210}"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9" i="9" l="1"/>
  <c r="J119" i="9"/>
  <c r="K116" i="9" l="1"/>
  <c r="J116" i="9"/>
  <c r="K111" i="9"/>
  <c r="J111" i="9"/>
  <c r="J109" i="9"/>
  <c r="H108" i="9"/>
  <c r="J106" i="9"/>
  <c r="J102" i="9"/>
  <c r="J99" i="9"/>
  <c r="K99" i="9"/>
  <c r="J96" i="9"/>
  <c r="H96" i="9"/>
  <c r="G96" i="9"/>
  <c r="J95" i="9"/>
  <c r="K95" i="9"/>
  <c r="K90" i="9"/>
  <c r="J90" i="9"/>
  <c r="K88" i="9"/>
  <c r="J88" i="9"/>
  <c r="K4" i="7" l="1"/>
  <c r="J85" i="9"/>
  <c r="J81" i="9"/>
  <c r="K81" i="9"/>
  <c r="J75"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s="1"/>
  <c r="AA78" i="9"/>
  <c r="AB78" i="9" s="1"/>
  <c r="AA122" i="9"/>
  <c r="AB122" i="9" s="1"/>
  <c r="AA123" i="9"/>
  <c r="AB123" i="9" s="1"/>
  <c r="AA124" i="9"/>
  <c r="AB124" i="9" s="1"/>
  <c r="AA125" i="9"/>
  <c r="AB125" i="9" s="1"/>
  <c r="AA126" i="9"/>
  <c r="AB126" i="9" s="1"/>
  <c r="AA127" i="9"/>
  <c r="AB127" i="9" s="1"/>
  <c r="AA128" i="9"/>
  <c r="AB128" i="9" s="1"/>
  <c r="AA129" i="9"/>
  <c r="AB129" i="9" s="1"/>
  <c r="AA130" i="9"/>
  <c r="AB130" i="9" s="1"/>
  <c r="AA131" i="9"/>
  <c r="AB131" i="9" s="1"/>
  <c r="AA132" i="9"/>
  <c r="AB132" i="9" s="1"/>
  <c r="AA133" i="9"/>
  <c r="AB133" i="9" s="1"/>
  <c r="AA134" i="9"/>
  <c r="AB134" i="9" s="1"/>
  <c r="AA135" i="9"/>
  <c r="AB135" i="9"/>
  <c r="H39" i="9"/>
  <c r="G39" i="9"/>
  <c r="K35" i="9"/>
  <c r="G34" i="9"/>
  <c r="G33" i="9"/>
  <c r="K32" i="9"/>
  <c r="AC135" i="9" l="1"/>
  <c r="AC133" i="9"/>
  <c r="AC128" i="9"/>
  <c r="AC134" i="9"/>
  <c r="AC132" i="9"/>
  <c r="AC130" i="9"/>
  <c r="AC131"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135" i="9" l="1"/>
  <c r="AD134" i="9"/>
  <c r="AE134"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F8" i="6" s="1"/>
  <c r="G104" i="6" s="1"/>
  <c r="R9" i="6"/>
  <c r="K9" i="6"/>
  <c r="K8" i="6" s="1"/>
  <c r="S65" i="6" s="1"/>
  <c r="G9" i="6"/>
  <c r="F9" i="6"/>
  <c r="D9" i="6"/>
  <c r="S8" i="6"/>
  <c r="D8" i="6" s="1"/>
  <c r="O59" i="6" s="1"/>
  <c r="X59" i="6" s="1"/>
  <c r="Q8" i="6"/>
  <c r="P8" i="6"/>
  <c r="O8" i="6"/>
  <c r="N8" i="6"/>
  <c r="M8" i="6"/>
  <c r="L8" i="6"/>
  <c r="J8" i="6"/>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R15" i="6" s="1"/>
  <c r="B63" i="6" s="1"/>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R19" i="6" l="1"/>
  <c r="Z99" i="9"/>
  <c r="AA99" i="9" s="1"/>
  <c r="AB99" i="9" s="1"/>
  <c r="Z66" i="9"/>
  <c r="AA66" i="9" s="1"/>
  <c r="AB66" i="9" s="1"/>
  <c r="Z23" i="9"/>
  <c r="AA23" i="9" s="1"/>
  <c r="AB23" i="9" s="1"/>
  <c r="Z45" i="9"/>
  <c r="AA45" i="9" s="1"/>
  <c r="AB45" i="9" s="1"/>
  <c r="Z14" i="9"/>
  <c r="AA14" i="9" s="1"/>
  <c r="AB14" i="9" s="1"/>
  <c r="Z60" i="9"/>
  <c r="AA60" i="9" s="1"/>
  <c r="AB60" i="9" s="1"/>
  <c r="Z118" i="9"/>
  <c r="AA118" i="9" s="1"/>
  <c r="AB118" i="9" s="1"/>
  <c r="Z28" i="9"/>
  <c r="AA28" i="9" s="1"/>
  <c r="AB28" i="9" s="1"/>
  <c r="Z94" i="9"/>
  <c r="AA94" i="9" s="1"/>
  <c r="AB94" i="9" s="1"/>
  <c r="Z54" i="9"/>
  <c r="AA54" i="9" s="1"/>
  <c r="AB54" i="9" s="1"/>
  <c r="Z101" i="9"/>
  <c r="AA101" i="9" s="1"/>
  <c r="AB101" i="9" s="1"/>
  <c r="Z12" i="9"/>
  <c r="AA12" i="9" s="1"/>
  <c r="AB12" i="9" s="1"/>
  <c r="Z107" i="9"/>
  <c r="AA107" i="9" s="1"/>
  <c r="AB107" i="9" s="1"/>
  <c r="Z73" i="9"/>
  <c r="AA73" i="9" s="1"/>
  <c r="AB73" i="9" s="1"/>
  <c r="Z37" i="9"/>
  <c r="AA37" i="9" s="1"/>
  <c r="AB37" i="9" s="1"/>
  <c r="Z110" i="9"/>
  <c r="AA110" i="9" s="1"/>
  <c r="AB110" i="9" s="1"/>
  <c r="Z77" i="9"/>
  <c r="AA77" i="9" s="1"/>
  <c r="AB77" i="9" s="1"/>
  <c r="Z39" i="9"/>
  <c r="AA39" i="9" s="1"/>
  <c r="AB39" i="9" s="1"/>
  <c r="Z17" i="9"/>
  <c r="AA17" i="9" s="1"/>
  <c r="AB17" i="9" s="1"/>
  <c r="Z96" i="9"/>
  <c r="AA96" i="9" s="1"/>
  <c r="AB96" i="9" s="1"/>
  <c r="Z86" i="9"/>
  <c r="AA86" i="9" s="1"/>
  <c r="AB86" i="9" s="1"/>
  <c r="Z106" i="9"/>
  <c r="AA106" i="9" s="1"/>
  <c r="AB106" i="9" s="1"/>
  <c r="Z95" i="9"/>
  <c r="AA95" i="9" s="1"/>
  <c r="AB95" i="9" s="1"/>
  <c r="Z18" i="9"/>
  <c r="AA18" i="9" s="1"/>
  <c r="AB18" i="9" s="1"/>
  <c r="Z68" i="9"/>
  <c r="AA68" i="9" s="1"/>
  <c r="AB68" i="9" s="1"/>
  <c r="Z97" i="9"/>
  <c r="AA97" i="9" s="1"/>
  <c r="AB97" i="9" s="1"/>
  <c r="Z125" i="9"/>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Z79" i="9"/>
  <c r="AA79" i="9" s="1"/>
  <c r="AB79" i="9" s="1"/>
  <c r="Z113" i="9"/>
  <c r="AA113" i="9" s="1"/>
  <c r="AB113" i="9" s="1"/>
  <c r="Z27" i="9"/>
  <c r="AA27" i="9" s="1"/>
  <c r="AB27" i="9" s="1"/>
  <c r="Z121" i="9"/>
  <c r="AA121" i="9" s="1"/>
  <c r="AB121" i="9" s="1"/>
  <c r="Z112" i="9"/>
  <c r="AA112" i="9" s="1"/>
  <c r="AB112" i="9" s="1"/>
  <c r="Z83" i="9"/>
  <c r="AA83" i="9" s="1"/>
  <c r="AB83" i="9" s="1"/>
  <c r="Z20" i="9"/>
  <c r="AA20" i="9" s="1"/>
  <c r="AB20" i="9" s="1"/>
  <c r="Z22" i="9"/>
  <c r="Z51" i="9"/>
  <c r="AA51" i="9" s="1"/>
  <c r="AB51" i="9" s="1"/>
  <c r="Z134" i="9"/>
  <c r="Z78" i="9"/>
  <c r="Z49" i="9"/>
  <c r="AA49" i="9" s="1"/>
  <c r="AB49" i="9" s="1"/>
  <c r="Z135" i="9"/>
  <c r="Z108" i="9"/>
  <c r="AA108" i="9" s="1"/>
  <c r="AB108" i="9" s="1"/>
  <c r="Z19" i="9"/>
  <c r="AA19" i="9" s="1"/>
  <c r="AB19" i="9" s="1"/>
  <c r="AC25" i="9" s="1"/>
  <c r="Z87" i="9"/>
  <c r="AA87" i="9" s="1"/>
  <c r="AB87" i="9" s="1"/>
  <c r="Z8" i="9"/>
  <c r="AA8" i="9" s="1"/>
  <c r="AB8" i="9" s="1"/>
  <c r="Z124" i="9"/>
  <c r="Z58" i="9"/>
  <c r="AA58" i="9" s="1"/>
  <c r="AB58" i="9" s="1"/>
  <c r="Z50" i="9"/>
  <c r="AA50" i="9" s="1"/>
  <c r="AB50" i="9" s="1"/>
  <c r="Z67" i="9"/>
  <c r="AA67" i="9" s="1"/>
  <c r="AB67" i="9" s="1"/>
  <c r="Z82" i="9"/>
  <c r="AA82" i="9" s="1"/>
  <c r="AB82" i="9" s="1"/>
  <c r="Z119" i="9"/>
  <c r="AA119" i="9" s="1"/>
  <c r="AB119" i="9" s="1"/>
  <c r="Z102" i="9"/>
  <c r="AA102" i="9" s="1"/>
  <c r="AB102" i="9" s="1"/>
  <c r="Z132" i="9"/>
  <c r="Z111" i="9"/>
  <c r="AA111" i="9" s="1"/>
  <c r="AB111" i="9" s="1"/>
  <c r="Z11" i="9"/>
  <c r="AA11" i="9" s="1"/>
  <c r="AB11" i="9" s="1"/>
  <c r="Z89" i="9"/>
  <c r="AA89" i="9" s="1"/>
  <c r="AB89" i="9" s="1"/>
  <c r="Z105" i="9"/>
  <c r="AA105" i="9" s="1"/>
  <c r="AB105" i="9" s="1"/>
  <c r="Z59" i="9"/>
  <c r="AA59" i="9" s="1"/>
  <c r="AB59" i="9" s="1"/>
  <c r="Z9" i="9"/>
  <c r="AA9" i="9" s="1"/>
  <c r="AB9" i="9" s="1"/>
  <c r="Z29" i="9"/>
  <c r="AA29" i="9" s="1"/>
  <c r="AB29" i="9" s="1"/>
  <c r="Z38" i="9"/>
  <c r="AA38" i="9" s="1"/>
  <c r="AB38" i="9" s="1"/>
  <c r="Z133" i="9"/>
  <c r="Z84" i="9"/>
  <c r="AA84" i="9" s="1"/>
  <c r="AB84" i="9" s="1"/>
  <c r="Z130" i="9"/>
  <c r="Z80" i="9"/>
  <c r="AA80" i="9" s="1"/>
  <c r="AB80" i="9" s="1"/>
  <c r="Z81" i="9"/>
  <c r="AA81" i="9" s="1"/>
  <c r="AB81" i="9" s="1"/>
  <c r="Z34" i="9"/>
  <c r="AA34" i="9" s="1"/>
  <c r="AB34" i="9" s="1"/>
  <c r="Z21" i="9"/>
  <c r="Z123" i="9"/>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Z131" i="9"/>
  <c r="Z92" i="9"/>
  <c r="AA92" i="9" s="1"/>
  <c r="AB92" i="9" s="1"/>
  <c r="Z44" i="9"/>
  <c r="AA44" i="9" s="1"/>
  <c r="AB44" i="9" s="1"/>
  <c r="Z47" i="9"/>
  <c r="AA47" i="9" s="1"/>
  <c r="AB47" i="9" s="1"/>
  <c r="Z114" i="9"/>
  <c r="AA114" i="9" s="1"/>
  <c r="AB114" i="9" s="1"/>
  <c r="Z55" i="9"/>
  <c r="AA55" i="9" s="1"/>
  <c r="AB55" i="9" s="1"/>
  <c r="Z76" i="9"/>
  <c r="AA76" i="9" s="1"/>
  <c r="AB76" i="9" s="1"/>
  <c r="Z41" i="9"/>
  <c r="AA41" i="9" s="1"/>
  <c r="AB41" i="9" s="1"/>
  <c r="Z43" i="9"/>
  <c r="AA43" i="9" s="1"/>
  <c r="AB43" i="9" s="1"/>
  <c r="Z104" i="9"/>
  <c r="AA104" i="9" s="1"/>
  <c r="AB104"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AA109" i="9" s="1"/>
  <c r="AB109" i="9" s="1"/>
  <c r="Z115" i="9"/>
  <c r="AA115" i="9" s="1"/>
  <c r="AB115" i="9" s="1"/>
  <c r="Z74" i="9"/>
  <c r="AA74" i="9" s="1"/>
  <c r="AB74" i="9" s="1"/>
  <c r="Z25" i="9"/>
  <c r="AA25" i="9" s="1"/>
  <c r="AB25" i="9" s="1"/>
  <c r="Z126" i="9"/>
  <c r="Z129" i="9"/>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AA116" i="9" s="1"/>
  <c r="AB116" i="9" s="1"/>
  <c r="Z117" i="9"/>
  <c r="AA117" i="9" s="1"/>
  <c r="AB117" i="9" s="1"/>
  <c r="Z56" i="9"/>
  <c r="AA56" i="9" s="1"/>
  <c r="AB56" i="9" s="1"/>
  <c r="Z69" i="9"/>
  <c r="AA69" i="9" s="1"/>
  <c r="AB69" i="9" s="1"/>
  <c r="Z120" i="9"/>
  <c r="AA120" i="9" s="1"/>
  <c r="AB120" i="9" s="1"/>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124" i="9" l="1"/>
  <c r="AC126" i="9"/>
  <c r="AC125" i="9"/>
  <c r="AC127" i="9"/>
  <c r="AC121" i="9"/>
  <c r="AC123" i="9"/>
  <c r="AD129" i="9" s="1"/>
  <c r="AC122" i="9"/>
  <c r="AC120" i="9"/>
  <c r="AE120" i="9" s="1"/>
  <c r="AC119" i="9"/>
  <c r="AC116" i="9"/>
  <c r="AC117" i="9"/>
  <c r="AC118" i="9"/>
  <c r="AC114" i="9"/>
  <c r="AC115" i="9"/>
  <c r="AC17" i="9"/>
  <c r="AC32" i="9"/>
  <c r="AC24" i="9"/>
  <c r="AC110" i="9"/>
  <c r="AC112" i="9"/>
  <c r="AC113" i="9"/>
  <c r="AC111" i="9"/>
  <c r="AC109" i="9"/>
  <c r="AC108" i="9"/>
  <c r="AC106" i="9"/>
  <c r="AC107" i="9"/>
  <c r="AC105" i="9"/>
  <c r="AC104" i="9"/>
  <c r="AC103" i="9"/>
  <c r="AC102" i="9"/>
  <c r="AC101" i="9"/>
  <c r="AC100" i="9"/>
  <c r="AC99" i="9"/>
  <c r="AC97" i="9"/>
  <c r="AC98" i="9"/>
  <c r="AC95" i="9"/>
  <c r="AC96" i="9"/>
  <c r="AC94" i="9"/>
  <c r="AC93" i="9"/>
  <c r="AC91" i="9"/>
  <c r="AC92" i="9"/>
  <c r="AE92" i="9" s="1"/>
  <c r="AC90" i="9"/>
  <c r="AC88" i="9"/>
  <c r="AC89" i="9"/>
  <c r="AC86" i="9"/>
  <c r="AC87" i="9"/>
  <c r="AC84" i="9"/>
  <c r="AC85" i="9"/>
  <c r="AC83" i="9"/>
  <c r="AC82" i="9"/>
  <c r="AC77" i="9"/>
  <c r="AC81" i="9"/>
  <c r="AC80" i="9"/>
  <c r="AC79" i="9"/>
  <c r="AC78" i="9"/>
  <c r="AE78" i="9" s="1"/>
  <c r="AC76" i="9"/>
  <c r="AC75" i="9"/>
  <c r="AC73" i="9"/>
  <c r="AC74" i="9"/>
  <c r="AC70" i="9"/>
  <c r="AC71" i="9"/>
  <c r="AC72" i="9"/>
  <c r="AC69" i="9"/>
  <c r="AC64" i="9"/>
  <c r="AE64" i="9" s="1"/>
  <c r="AC67" i="9"/>
  <c r="AC68" i="9"/>
  <c r="AC66" i="9"/>
  <c r="AC65"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124" i="9" l="1"/>
  <c r="AD126" i="9"/>
  <c r="AD131" i="9"/>
  <c r="AD132" i="9"/>
  <c r="AD133" i="9"/>
  <c r="AE127" i="9"/>
  <c r="AD130" i="9"/>
  <c r="AD125" i="9"/>
  <c r="AD128" i="9"/>
  <c r="AD121" i="9"/>
  <c r="AD127" i="9"/>
  <c r="AD115" i="9"/>
  <c r="AD119" i="9"/>
  <c r="AD117" i="9"/>
  <c r="AD116" i="9"/>
  <c r="AD123" i="9"/>
  <c r="AD122" i="9"/>
  <c r="AD120" i="9"/>
  <c r="AE113" i="9"/>
  <c r="AD56" i="9"/>
  <c r="AD39" i="9"/>
  <c r="AD54" i="9"/>
  <c r="AD26" i="9"/>
  <c r="AD58" i="9"/>
  <c r="AD72" i="9"/>
  <c r="AD40" i="9"/>
  <c r="AD69" i="9"/>
  <c r="AD71" i="9"/>
  <c r="AD32" i="9"/>
  <c r="AD70" i="9"/>
  <c r="AD37" i="9"/>
  <c r="AD62" i="9"/>
  <c r="AD44" i="9"/>
  <c r="AD41" i="9"/>
  <c r="AD51" i="9"/>
  <c r="AD68" i="9"/>
  <c r="AD22" i="9"/>
  <c r="AD29" i="9"/>
  <c r="AD52" i="9"/>
  <c r="AD42" i="9"/>
  <c r="AD66" i="9"/>
  <c r="AD59" i="9"/>
  <c r="AD60" i="9"/>
  <c r="AD63" i="9"/>
  <c r="AD46" i="9"/>
  <c r="AD24" i="9"/>
  <c r="AD14" i="9"/>
  <c r="AD17" i="9"/>
  <c r="AD16" i="9"/>
  <c r="AD18" i="9"/>
  <c r="AD19" i="9"/>
  <c r="AD15" i="9"/>
  <c r="AD20" i="9"/>
  <c r="AD27" i="9"/>
  <c r="AD35" i="9"/>
  <c r="AD33" i="9"/>
  <c r="AD64" i="9"/>
  <c r="AD30" i="9"/>
  <c r="AD67" i="9"/>
  <c r="AD50" i="9"/>
  <c r="AD65" i="9"/>
  <c r="AD28" i="9"/>
  <c r="AD43" i="9"/>
  <c r="AD36" i="9"/>
  <c r="AD48" i="9"/>
  <c r="AD31" i="9"/>
  <c r="AD55" i="9"/>
  <c r="AD73" i="9"/>
  <c r="AD61" i="9"/>
  <c r="AD57" i="9"/>
  <c r="AD45" i="9"/>
  <c r="AD49" i="9"/>
  <c r="AD34" i="9"/>
  <c r="AD25" i="9"/>
  <c r="AD23" i="9"/>
  <c r="AD21" i="9"/>
  <c r="AD47" i="9"/>
  <c r="AD53" i="9"/>
  <c r="AD38" i="9"/>
  <c r="AD118" i="9"/>
  <c r="AD114" i="9"/>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<sst xmlns="http://schemas.openxmlformats.org/spreadsheetml/2006/main" count="1252" uniqueCount="511">
  <si>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</si>
  <si>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</si>
  <si>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</si>
  <si>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</si>
  <si>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</si>
  <si>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</si>
  <si>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</si>
  <si>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</si>
  <si>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</si>
  <si>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</si>
  <si>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</si>
  <si>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</si>
  <si>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</si>
  <si>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</si>
  <si>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</si>
  <si>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</si>
  <si>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</si>
  <si>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</si>
  <si>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</si>
  <si>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</si>
  <si>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</si>
  <si>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</si>
  <si>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</si>
  <si>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</si>
  <si>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</si>
  <si>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</si>
  <si>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</si>
  <si>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</si>
  <si>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</si>
  <si>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</si>
  <si>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</si>
  <si>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</si>
  <si>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</si>
  <si>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</si>
  <si>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</si>
  <si>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</si>
  <si>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</si>
  <si>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</si>
  <si>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</si>
  <si>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</si>
  <si>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</si>
  <si>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</si>
  <si>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</si>
  <si>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</si>
  <si>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</si>
  <si>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</si>
  <si>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</si>
  <si>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</si>
  <si>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</si>
  <si>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</si>
  <si>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</si>
  <si>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</si>
  <si>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</si>
  <si>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</si>
  <si>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</si>
  <si>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</si>
  <si>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</si>
  <si>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</si>
  <si>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</si>
  <si>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</si>
  <si>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</si>
  <si>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</si>
  <si>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</si>
  <si>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</si>
  <si>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</si>
  <si>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</si>
  <si>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</si>
  <si>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</si>
  <si>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</si>
  <si>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</si>
  <si>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</si>
  <si>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</si>
  <si>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</si>
  <si>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</si>
  <si>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</si>
  <si>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</si>
  <si>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</si>
  <si>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</si>
  <si>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</si>
  <si>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</si>
  <si>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</si>
  <si>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</si>
  <si>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</si>
  <si>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</si>
  <si>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</si>
  <si>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</si>
  <si>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</si>
  <si>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</si>
  <si>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</si>
  <si>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</si>
  <si>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</si>
  <si>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</si>
  <si>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</si>
  <si>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</si>
  <si>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</si>
  <si>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</si>
  <si>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</si>
  <si>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</si>
  <si>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</si>
  <si>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</si>
  <si>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</si>
  <si>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</si>
  <si>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</si>
  <si>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</si>
  <si>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</si>
  <si>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</si>
  <si>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</si>
  <si>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</si>
  <si>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</si>
  <si>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</si>
  <si>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</si>
  <si>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</si>
  <si>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</si>
  <si>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</si>
  <si>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</si>
  <si>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</si>
  <si>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</si>
  <si>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</si>
  <si>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</si>
  <si>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</si>
  <si>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</si>
  <si>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</si>
  <si>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</si>
  <si>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</si>
  <si>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</si>
  <si>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</si>
  <si>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</si>
  <si>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</si>
  <si>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</si>
  <si>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</si>
  <si>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</si>
  <si>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</si>
  <si>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</si>
  <si>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</si>
  <si>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</si>
  <si>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</si>
  <si>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</si>
  <si>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</si>
  <si>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</si>
  <si>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</si>
  <si>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</si>
  <si>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</si>
  <si>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</si>
  <si>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</si>
  <si>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</si>
  <si>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</si>
  <si>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</si>
  <si>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</si>
  <si>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</si>
  <si>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</si>
  <si>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</si>
  <si>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</si>
  <si>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</si>
  <si>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</si>
  <si>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</si>
  <si>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</si>
  <si>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</si>
  <si>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</si>
  <si>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</si>
  <si>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</si>
  <si>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</si>
  <si>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</si>
  <si>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</si>
  <si>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</si>
  <si>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</si>
  <si>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</si>
  <si>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</si>
  <si>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</si>
  <si>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</si>
  <si>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</si>
  <si>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</si>
  <si>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</si>
  <si>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</si>
  <si>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</si>
  <si>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</si>
  <si>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</si>
  <si>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</si>
  <si>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</si>
  <si>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</si>
  <si>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</si>
  <si>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</si>
  <si>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</si>
  <si>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</si>
  <si>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</si>
  <si>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</si>
  <si>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</si>
  <si>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</si>
  <si>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</si>
  <si>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</si>
  <si>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</si>
  <si>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</si>
  <si>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</si>
  <si>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</si>
  <si>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</si>
  <si>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</si>
  <si>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</si>
  <si>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</si>
  <si>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</si>
  <si>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</si>
  <si>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</si>
  <si>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</si>
  <si>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</si>
  <si>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</si>
  <si>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</si>
  <si>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</si>
  <si>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</si>
  <si>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</si>
  <si>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</si>
  <si>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</si>
  <si>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</si>
  <si>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</si>
  <si>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</si>
  <si>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</si>
  <si>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</si>
  <si>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</si>
  <si>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</si>
  <si>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</si>
  <si>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</si>
  <si>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</si>
  <si>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</si>
  <si>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</si>
  <si>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</si>
  <si>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</si>
  <si>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</si>
  <si>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</si>
  <si>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</si>
  <si>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</si>
  <si>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</si>
  <si>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</si>
  <si>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</si>
  <si>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</si>
  <si>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</si>
  <si>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</si>
  <si>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</si>
  <si>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</si>
  <si>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</si>
  <si>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</si>
  <si>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</si>
  <si>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</si>
  <si>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</si>
  <si>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</si>
  <si>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</si>
  <si>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</si>
  <si>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</si>
  <si>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</si>
  <si>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</si>
  <si>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</si>
  <si>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</si>
  <si>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</si>
  <si>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</si>
  <si>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</si>
  <si>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</si>
  <si>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</si>
  <si>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</si>
  <si>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</si>
  <si>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</si>
  <si>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</si>
  <si>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</si>
  <si>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</si>
  <si>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</si>
  <si>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</si>
  <si>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</si>
  <si>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</si>
  <si>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</si>
  <si>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</si>
  <si>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</si>
  <si>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</si>
  <si>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</si>
  <si>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</si>
  <si>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</si>
  <si>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</si>
  <si>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</si>
  <si>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</si>
  <si>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</si>
  <si>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</si>
  <si>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</si>
  <si>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</si>
  <si>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</si>
  <si>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</si>
  <si>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</si>
  <si>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</si>
  <si>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</si>
  <si>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</si>
  <si>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</si>
  <si>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</si>
  <si>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</si>
  <si>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</si>
  <si>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</si>
  <si>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</si>
  <si>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</si>
  <si>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</si>
  <si>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</si>
  <si>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</si>
  <si>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</si>
  <si>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</si>
  <si>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</si>
  <si>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</si>
  <si>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</si>
  <si>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</si>
  <si>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</si>
  <si>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</si>
  <si>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</si>
  <si>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</si>
  <si>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</si>
  <si>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</si>
  <si>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</si>
  <si>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</si>
  <si>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</si>
  <si>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</si>
  <si>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</si>
  <si>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</si>
  <si>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</si>
  <si>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</si>
  <si>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</si>
  <si>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</si>
  <si>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</si>
  <si>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</si>
  <si>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</si>
  <si>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</si>
  <si>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</si>
  <si>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</si>
  <si>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</si>
  <si>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</si>
  <si>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</si>
  <si>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</si>
  <si>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</si>
  <si>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</si>
  <si>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</si>
  <si>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</si>
  <si>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</si>
  <si>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</si>
  <si>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</si>
  <si>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</si>
  <si>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</si>
  <si>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</si>
  <si>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</si>
  <si>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</si>
  <si>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</si>
  <si>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</si>
  <si>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</si>
  <si>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</si>
  <si>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</si>
  <si>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</si>
  <si>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</si>
  <si>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</si>
  <si>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</si>
  <si>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</si>
  <si>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</si>
  <si>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</si>
  <si>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</si>
  <si>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</si>
  <si>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</si>
  <si>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</si>
  <si>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</si>
  <si>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</si>
  <si>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</si>
  <si>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</si>
  <si>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</si>
  <si>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</si>
  <si>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</si>
  <si>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</si>
  <si>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</si>
  <si>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</si>
  <si>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</si>
  <si>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</si>
  <si>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</si>
  <si>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</si>
  <si>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</si>
  <si>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</si>
  <si>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</si>
  <si>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</si>
  <si>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</si>
  <si>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</si>
  <si>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</si>
  <si>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</si>
  <si>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</si>
  <si>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</si>
  <si>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</si>
  <si>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</si>
  <si>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</si>
  <si>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</si>
  <si>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</si>
  <si>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</si>
  <si>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</si>
  <si>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</si>
  <si>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</si>
  <si>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</si>
  <si>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</si>
  <si>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</si>
  <si>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</si>
  <si>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</si>
  <si>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</si>
  <si>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</si>
  <si>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</si>
  <si>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</si>
  <si>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</si>
  <si>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</si>
  <si>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</si>
  <si>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</si>
  <si>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</si>
  <si>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</si>
  <si>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</si>
  <si>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</si>
  <si>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</si>
  <si>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</si>
  <si>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</si>
  <si>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</si>
  <si>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</si>
  <si>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</si>
  <si>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</si>
  <si>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</si>
  <si>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</si>
  <si>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</si>
  <si>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</si>
  <si>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</si>
  <si>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</si>
  <si>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</si>
  <si>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</si>
  <si>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</si>
  <si>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</si>
  <si>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</si>
  <si>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</si>
  <si>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</si>
  <si>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</si>
  <si>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</si>
  <si>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</si>
  <si>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</si>
  <si>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</si>
  <si>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</si>
  <si>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</si>
  <si>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</si>
  <si>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</si>
  <si>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</si>
  <si>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</si>
  <si>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</si>
  <si>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</si>
  <si>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</si>
  <si>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</si>
  <si>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</si>
  <si>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</si>
  <si>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</si>
  <si>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</si>
  <si>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</si>
  <si>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</si>
  <si>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</si>
  <si>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</si>
  <si>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</si>
  <si>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</si>
  <si>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</si>
  <si>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</si>
  <si>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</si>
  <si>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</si>
  <si>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</si>
  <si>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</si>
  <si>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</si>
  <si>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</si>
  <si>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</si>
  <si>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</si>
  <si>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</si>
  <si>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</si>
  <si>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</si>
  <si>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</si>
  <si>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</si>
  <si>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</si>
  <si>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</si>
  <si>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</si>
  <si>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</si>
  <si>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</si>
  <si>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</si>
  <si>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</si>
  <si>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</si>
  <si>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</si>
  <si>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</si>
  <si>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</si>
  <si>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</si>
  <si>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</si>
  <si>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</si>
  <si>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</si>
  <si>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</si>
  <si>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</si>
  <si>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</si>
  <si>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</si>
  <si>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</si>
  <si>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</si>
  <si>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</si>
  <si>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</si>
  <si>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</si>
  <si>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</si>
  <si>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</si>
  <si>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</si>
  <si>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</si>
  <si>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</si>
  <si>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</si>
  <si>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</si>
  <si>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</si>
  <si>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</si>
  <si>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</si>
  <si>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</si>
  <si>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</si>
  <si>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</si>
  <si>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</si>
  <si>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</si>
  <si>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</si>
  <si>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</si>
  <si>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</si>
  <si>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</si>
  <si>
    <t>4E + 1T + 2M + 1T + 2M + 2E</t>
  </si>
  <si>
    <t>Half (wkout)</t>
  </si>
  <si>
    <t>10 mi (wkout)</t>
  </si>
  <si>
    <t>15k (wkout)</t>
  </si>
  <si>
    <t>10mi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</si>
</sst>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5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horizontal="center"/>
    </xf>
    <xf numFmtId="46" fontId="0" fillId="0" borderId="0" xfId="0" applyNumberFormat="1"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14" fontId="0" fillId="0" borderId="0" xfId="0" applyNumberFormat="1"/>
    <xf numFmtId="14"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18" fontId="1" fillId="0" borderId="0" xfId="0" applyNumberFormat="1" applyFont="1" applyAlignment="1">
      <alignment horizont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67.069999999999993</c:v>
                </c:pt>
                <c:pt idx="15">
                  <c:v>65.13</c:v>
                </c:pt>
                <c:pt idx="16">
                  <c:v>5.25</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58.94</c:v>
                </c:pt>
                <c:pt idx="115">
                  <c:v>46.569999999999993</c:v>
                </c:pt>
                <c:pt idx="116">
                  <c:v>38.56</c:v>
                </c:pt>
                <c:pt idx="117">
                  <c:v>30.560000000000002</c:v>
                </c:pt>
                <c:pt idx="118">
                  <c:v>12.3</c:v>
                </c:pt>
                <c:pt idx="119">
                  <c:v>5.25</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76.929999999999993</c:v>
                </c:pt>
                <c:pt idx="101" formatCode="0">
                  <c:v>76.210000000000008</c:v>
                </c:pt>
                <c:pt idx="102" formatCode="0">
                  <c:v>74.995714285714286</c:v>
                </c:pt>
                <c:pt idx="103" formatCode="0">
                  <c:v>73.66</c:v>
                </c:pt>
                <c:pt idx="104" formatCode="0">
                  <c:v>71.989999999999995</c:v>
                </c:pt>
                <c:pt idx="105" formatCode="0">
                  <c:v>70.510000000000005</c:v>
                </c:pt>
                <c:pt idx="106" formatCode="0">
                  <c:v>69.508571428571429</c:v>
                </c:pt>
                <c:pt idx="107" formatCode="0">
                  <c:v>68.19714285714285</c:v>
                </c:pt>
                <c:pt idx="108" formatCode="0">
                  <c:v>66.647142857142853</c:v>
                </c:pt>
                <c:pt idx="109" formatCode="0">
                  <c:v>66.094285714285704</c:v>
                </c:pt>
                <c:pt idx="110" formatCode="0">
                  <c:v>65.521428571428572</c:v>
                </c:pt>
                <c:pt idx="111" formatCode="0">
                  <c:v>66.781428571428563</c:v>
                </c:pt>
                <c:pt idx="112" formatCode="0">
                  <c:v>66.504285714285714</c:v>
                </c:pt>
                <c:pt idx="113" formatCode="0">
                  <c:v>65.997142857142862</c:v>
                </c:pt>
                <c:pt idx="114" formatCode="0">
                  <c:v>65.281428571428563</c:v>
                </c:pt>
                <c:pt idx="115" formatCode="0">
                  <c:v>62.89142857142857</c:v>
                </c:pt>
                <c:pt idx="116" formatCode="0">
                  <c:v>59.10285714285714</c:v>
                </c:pt>
                <c:pt idx="117" formatCode="0">
                  <c:v>54.325714285714291</c:v>
                </c:pt>
                <c:pt idx="118" formatCode="0">
                  <c:v>45.199999999999996</c:v>
                </c:pt>
                <c:pt idx="119" formatCode="0">
                  <c:v>36.645714285714284</c:v>
                </c:pt>
                <c:pt idx="120" formatCode="0">
                  <c:v>27.454285714285714</c:v>
                </c:pt>
                <c:pt idx="121" formatCode="0">
                  <c:v>19.034285714285716</c:v>
                </c:pt>
                <c:pt idx="122" formatCode="0">
                  <c:v>12.381428571428572</c:v>
                </c:pt>
                <c:pt idx="123" formatCode="0">
                  <c:v>6.8728571428571428</c:v>
                </c:pt>
                <c:pt idx="124" formatCode="0">
                  <c:v>2.5071428571428571</c:v>
                </c:pt>
                <c:pt idx="125" formatCode="0">
                  <c:v>0.75</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58.94</c:v>
                      </c:pt>
                      <c:pt idx="115">
                        <c:v>46.569999999999993</c:v>
                      </c:pt>
                      <c:pt idx="116">
                        <c:v>38.56</c:v>
                      </c:pt>
                      <c:pt idx="117">
                        <c:v>30.560000000000002</c:v>
                      </c:pt>
                      <c:pt idx="118">
                        <c:v>12.3</c:v>
                      </c:pt>
                      <c:pt idx="119">
                        <c:v>5.25</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#N/A</c:v>
                </c:pt>
                <c:pt idx="1">
                  <c:v>#N/A</c:v>
                </c:pt>
                <c:pt idx="2">
                  <c:v>#N/A</c:v>
                </c:pt>
                <c:pt idx="3">
                  <c:v>#N/A</c:v>
                </c:pt>
                <c:pt idx="4">
                  <c:v>#N/A</c:v>
                </c:pt>
                <c:pt idx="5">
                  <c:v>69.846400000000003</c:v>
                </c:pt>
                <c:pt idx="6">
                  <c:v>72.770775000000015</c:v>
                </c:pt>
                <c:pt idx="7">
                  <c:v>67.217741666666669</c:v>
                </c:pt>
                <c:pt idx="8">
                  <c:v>46.908991666666672</c:v>
                </c:pt>
                <c:pt idx="9">
                  <c:v>49.029325</c:v>
                </c:pt>
                <c:pt idx="10">
                  <c:v>49.861658333333338</c:v>
                </c:pt>
                <c:pt idx="11">
                  <c:v>49.194708333333338</c:v>
                </c:pt>
                <c:pt idx="12">
                  <c:v>50.57266666666667</c:v>
                </c:pt>
                <c:pt idx="13">
                  <c:v>73.029933333333332</c:v>
                </c:pt>
                <c:pt idx="14">
                  <c:v>76.854933333333335</c:v>
                </c:pt>
                <c:pt idx="15">
                  <c:v>100.58393333333333</c:v>
                </c:pt>
                <c:pt idx="16">
                  <c:v>98.551933333333338</c:v>
                </c:pt>
                <c:pt idx="17">
                  <c:v>99.334000000000003</c:v>
                </c:pt>
                <c:pt idx="18">
                  <c:v>108.8014</c:v>
                </c:pt>
                <c:pt idx="19">
                  <c:v>109.04906666666668</c:v>
                </c:pt>
                <c:pt idx="20">
                  <c:v>88.006550000000004</c:v>
                </c:pt>
                <c:pt idx="21">
                  <c:v>126.61898333333335</c:v>
                </c:pt>
                <c:pt idx="22">
                  <c:v>110.47448333333334</c:v>
                </c:pt>
                <c:pt idx="23">
                  <c:v>110.17948333333335</c:v>
                </c:pt>
                <c:pt idx="24">
                  <c:v>110.91666666666669</c:v>
                </c:pt>
                <c:pt idx="25">
                  <c:v>93.339266666666674</c:v>
                </c:pt>
                <c:pt idx="26">
                  <c:v>92.314866666666674</c:v>
                </c:pt>
                <c:pt idx="27">
                  <c:v>90.873783333333336</c:v>
                </c:pt>
                <c:pt idx="28">
                  <c:v>54.71468333333334</c:v>
                </c:pt>
                <c:pt idx="29">
                  <c:v>81.659699999999987</c:v>
                </c:pt>
                <c:pt idx="30">
                  <c:v>84.219241666666662</c:v>
                </c:pt>
                <c:pt idx="31">
                  <c:v>82.499325000000013</c:v>
                </c:pt>
                <c:pt idx="32">
                  <c:v>77.313991666666666</c:v>
                </c:pt>
                <c:pt idx="33">
                  <c:v>78.123283333333333</c:v>
                </c:pt>
                <c:pt idx="34">
                  <c:v>96.065291666666653</c:v>
                </c:pt>
                <c:pt idx="35">
                  <c:v>101.12195833333332</c:v>
                </c:pt>
                <c:pt idx="36">
                  <c:v>92.04035833333333</c:v>
                </c:pt>
                <c:pt idx="37">
                  <c:v>90.757825000000011</c:v>
                </c:pt>
                <c:pt idx="38">
                  <c:v>93.984491666666671</c:v>
                </c:pt>
                <c:pt idx="39">
                  <c:v>123.959075</c:v>
                </c:pt>
                <c:pt idx="40">
                  <c:v>125.80568333333333</c:v>
                </c:pt>
                <c:pt idx="41">
                  <c:v>107.646675</c:v>
                </c:pt>
                <c:pt idx="42">
                  <c:v>102.23500833333333</c:v>
                </c:pt>
                <c:pt idx="43">
                  <c:v>120.98288333333333</c:v>
                </c:pt>
                <c:pt idx="44">
                  <c:v>120.98420833333333</c:v>
                </c:pt>
                <c:pt idx="45">
                  <c:v>117.33754166666667</c:v>
                </c:pt>
                <c:pt idx="46">
                  <c:v>102.119125</c:v>
                </c:pt>
                <c:pt idx="47">
                  <c:v>99.676525000000012</c:v>
                </c:pt>
                <c:pt idx="48">
                  <c:v>99.878858333333341</c:v>
                </c:pt>
                <c:pt idx="49">
                  <c:v>98.155525000000011</c:v>
                </c:pt>
                <c:pt idx="50">
                  <c:v>87.492008333333331</c:v>
                </c:pt>
                <c:pt idx="51">
                  <c:v>85.580341666666669</c:v>
                </c:pt>
                <c:pt idx="52">
                  <c:v>83.49867500000002</c:v>
                </c:pt>
                <c:pt idx="53">
                  <c:v>81.605166666666662</c:v>
                </c:pt>
                <c:pt idx="54">
                  <c:v>79.351933333333321</c:v>
                </c:pt>
                <c:pt idx="55">
                  <c:v>114.28553333333333</c:v>
                </c:pt>
                <c:pt idx="56">
                  <c:v>114.1572</c:v>
                </c:pt>
                <c:pt idx="57">
                  <c:v>100.856925</c:v>
                </c:pt>
                <c:pt idx="58">
                  <c:v>102.79025833333334</c:v>
                </c:pt>
                <c:pt idx="59">
                  <c:v>126.19558333333333</c:v>
                </c:pt>
                <c:pt idx="60">
                  <c:v>113.20659166666667</c:v>
                </c:pt>
                <c:pt idx="61">
                  <c:v>148.61992499999999</c:v>
                </c:pt>
                <c:pt idx="62">
                  <c:v>108.42565833333333</c:v>
                </c:pt>
                <c:pt idx="63">
                  <c:v>110.22732500000001</c:v>
                </c:pt>
                <c:pt idx="64">
                  <c:v>89.995325000000008</c:v>
                </c:pt>
                <c:pt idx="65">
                  <c:v>87.935325000000006</c:v>
                </c:pt>
                <c:pt idx="66">
                  <c:v>69.527833333333334</c:v>
                </c:pt>
                <c:pt idx="67">
                  <c:v>83.245699999999999</c:v>
                </c:pt>
                <c:pt idx="68">
                  <c:v>49.885699999999993</c:v>
                </c:pt>
                <c:pt idx="69">
                  <c:v>50.627366666666667</c:v>
                </c:pt>
                <c:pt idx="70">
                  <c:v>52.694033333333337</c:v>
                </c:pt>
                <c:pt idx="71">
                  <c:v>87.615733333333338</c:v>
                </c:pt>
                <c:pt idx="72">
                  <c:v>90.502399999999994</c:v>
                </c:pt>
                <c:pt idx="73">
                  <c:v>89.132066666666674</c:v>
                </c:pt>
                <c:pt idx="74">
                  <c:v>85.951566666666679</c:v>
                </c:pt>
                <c:pt idx="75">
                  <c:v>87.921991666666656</c:v>
                </c:pt>
                <c:pt idx="76">
                  <c:v>120.22059166666665</c:v>
                </c:pt>
                <c:pt idx="77">
                  <c:v>116.41225833333331</c:v>
                </c:pt>
                <c:pt idx="78">
                  <c:v>104.864025</c:v>
                </c:pt>
                <c:pt idx="79">
                  <c:v>104.88569166666667</c:v>
                </c:pt>
                <c:pt idx="80">
                  <c:v>105.05652500000001</c:v>
                </c:pt>
                <c:pt idx="81">
                  <c:v>113.67774166666668</c:v>
                </c:pt>
                <c:pt idx="82">
                  <c:v>115.88731666666668</c:v>
                </c:pt>
                <c:pt idx="83">
                  <c:v>88.583291666666653</c:v>
                </c:pt>
                <c:pt idx="84">
                  <c:v>88.553291666666667</c:v>
                </c:pt>
                <c:pt idx="85">
                  <c:v>113.00314999999999</c:v>
                </c:pt>
                <c:pt idx="86">
                  <c:v>112.31815</c:v>
                </c:pt>
                <c:pt idx="87">
                  <c:v>113.45481666666666</c:v>
                </c:pt>
                <c:pt idx="88">
                  <c:v>108.53333333333333</c:v>
                </c:pt>
                <c:pt idx="89">
                  <c:v>107.65999999999998</c:v>
                </c:pt>
                <c:pt idx="90">
                  <c:v>108.46917499999998</c:v>
                </c:pt>
                <c:pt idx="91">
                  <c:v>109.68917499999999</c:v>
                </c:pt>
                <c:pt idx="92">
                  <c:v>96.726733333333328</c:v>
                </c:pt>
                <c:pt idx="93">
                  <c:v>94.800066666666652</c:v>
                </c:pt>
                <c:pt idx="94">
                  <c:v>94.496266666666671</c:v>
                </c:pt>
                <c:pt idx="95">
                  <c:v>98.865833333333342</c:v>
                </c:pt>
                <c:pt idx="96">
                  <c:v>94.538833333333329</c:v>
                </c:pt>
                <c:pt idx="97">
                  <c:v>96.810083333333324</c:v>
                </c:pt>
                <c:pt idx="98">
                  <c:v>96.446749999999994</c:v>
                </c:pt>
                <c:pt idx="99">
                  <c:v>79.061866666666674</c:v>
                </c:pt>
                <c:pt idx="100">
                  <c:v>79.69853333333333</c:v>
                </c:pt>
                <c:pt idx="101">
                  <c:v>75.418999999999997</c:v>
                </c:pt>
                <c:pt idx="102">
                  <c:v>78.221166666666676</c:v>
                </c:pt>
                <c:pt idx="103">
                  <c:v>79.711666666666645</c:v>
                </c:pt>
                <c:pt idx="104">
                  <c:v>73.209999999999994</c:v>
                </c:pt>
                <c:pt idx="105">
                  <c:v>109.09083333333334</c:v>
                </c:pt>
                <c:pt idx="106">
                  <c:v>103.36380833333334</c:v>
                </c:pt>
                <c:pt idx="107">
                  <c:v>102.84714166666666</c:v>
                </c:pt>
                <c:pt idx="108">
                  <c:v>98.533808333333326</c:v>
                </c:pt>
                <c:pt idx="109">
                  <c:v>69.846641666666656</c:v>
                </c:pt>
                <c:pt idx="110">
                  <c:v>63.116474999999994</c:v>
                </c:pt>
                <c:pt idx="111">
                  <c:v>56.778141666666663</c:v>
                </c:pt>
                <c:pt idx="112">
                  <c:v>15.938974999999999</c:v>
                </c:pt>
                <c:pt idx="113">
                  <c:v>4.1900000000000004</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58.94</c:v>
                </c:pt>
                <c:pt idx="115">
                  <c:v>46.569999999999993</c:v>
                </c:pt>
                <c:pt idx="116">
                  <c:v>38.56</c:v>
                </c:pt>
                <c:pt idx="117">
                  <c:v>30.560000000000002</c:v>
                </c:pt>
                <c:pt idx="118">
                  <c:v>12.3</c:v>
                </c:pt>
                <c:pt idx="119">
                  <c:v>5.25</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#N/A</c:v>
                </c:pt>
                <c:pt idx="7" formatCode="0.0">
                  <c:v>#N/A</c:v>
                </c:pt>
                <c:pt idx="8" formatCode="0.0">
                  <c:v>#N/A</c:v>
                </c:pt>
                <c:pt idx="9" formatCode="0.0">
                  <c:v>#N/A</c:v>
                </c:pt>
                <c:pt idx="10" formatCode="0.0">
                  <c:v>#N/A</c:v>
                </c:pt>
                <c:pt idx="11" formatCode="0.0">
                  <c:v>69.846400000000003</c:v>
                </c:pt>
                <c:pt idx="12" formatCode="0.0">
                  <c:v>72.770775000000015</c:v>
                </c:pt>
                <c:pt idx="13" formatCode="0.0">
                  <c:v>67.217741666666669</c:v>
                </c:pt>
                <c:pt idx="14" formatCode="0.0">
                  <c:v>46.908991666666672</c:v>
                </c:pt>
                <c:pt idx="15" formatCode="0.0">
                  <c:v>49.029325</c:v>
                </c:pt>
                <c:pt idx="16" formatCode="0.0">
                  <c:v>49.861658333333338</c:v>
                </c:pt>
                <c:pt idx="17" formatCode="0.0">
                  <c:v>49.194708333333338</c:v>
                </c:pt>
                <c:pt idx="18" formatCode="0.0">
                  <c:v>50.57266666666667</c:v>
                </c:pt>
                <c:pt idx="19" formatCode="0.0">
                  <c:v>73.029933333333332</c:v>
                </c:pt>
                <c:pt idx="20" formatCode="0.0">
                  <c:v>76.854933333333335</c:v>
                </c:pt>
                <c:pt idx="21" formatCode="0.0">
                  <c:v>100.58393333333333</c:v>
                </c:pt>
                <c:pt idx="22" formatCode="0.0">
                  <c:v>98.551933333333338</c:v>
                </c:pt>
                <c:pt idx="23" formatCode="0.0">
                  <c:v>99.334000000000003</c:v>
                </c:pt>
                <c:pt idx="24" formatCode="0.0">
                  <c:v>108.8014</c:v>
                </c:pt>
                <c:pt idx="25" formatCode="0.0">
                  <c:v>109.04906666666668</c:v>
                </c:pt>
                <c:pt idx="26" formatCode="0.0">
                  <c:v>88.006550000000004</c:v>
                </c:pt>
                <c:pt idx="27" formatCode="0.0">
                  <c:v>126.61898333333335</c:v>
                </c:pt>
                <c:pt idx="28" formatCode="0.0">
                  <c:v>110.47448333333334</c:v>
                </c:pt>
                <c:pt idx="29" formatCode="0.0">
                  <c:v>110.17948333333335</c:v>
                </c:pt>
                <c:pt idx="30" formatCode="0.0">
                  <c:v>110.91666666666669</c:v>
                </c:pt>
                <c:pt idx="31" formatCode="0.0">
                  <c:v>93.339266666666674</c:v>
                </c:pt>
                <c:pt idx="32" formatCode="0.0">
                  <c:v>92.314866666666674</c:v>
                </c:pt>
                <c:pt idx="33" formatCode="0.0">
                  <c:v>90.873783333333336</c:v>
                </c:pt>
                <c:pt idx="34" formatCode="0.0">
                  <c:v>54.71468333333334</c:v>
                </c:pt>
                <c:pt idx="35" formatCode="0.0">
                  <c:v>81.659699999999987</c:v>
                </c:pt>
                <c:pt idx="36" formatCode="0.0">
                  <c:v>84.219241666666662</c:v>
                </c:pt>
                <c:pt idx="37" formatCode="0.0">
                  <c:v>82.499325000000013</c:v>
                </c:pt>
                <c:pt idx="38" formatCode="0.0">
                  <c:v>77.313991666666666</c:v>
                </c:pt>
                <c:pt idx="39" formatCode="0.0">
                  <c:v>78.123283333333333</c:v>
                </c:pt>
                <c:pt idx="40" formatCode="0.0">
                  <c:v>96.065291666666653</c:v>
                </c:pt>
                <c:pt idx="41" formatCode="0.0">
                  <c:v>101.12195833333332</c:v>
                </c:pt>
                <c:pt idx="42" formatCode="0.0">
                  <c:v>92.04035833333333</c:v>
                </c:pt>
                <c:pt idx="43" formatCode="0.0">
                  <c:v>90.757825000000011</c:v>
                </c:pt>
                <c:pt idx="44" formatCode="0.0">
                  <c:v>93.984491666666671</c:v>
                </c:pt>
                <c:pt idx="45" formatCode="0.0">
                  <c:v>123.959075</c:v>
                </c:pt>
                <c:pt idx="46" formatCode="0.0">
                  <c:v>125.80568333333333</c:v>
                </c:pt>
                <c:pt idx="47" formatCode="0.0">
                  <c:v>107.646675</c:v>
                </c:pt>
                <c:pt idx="48" formatCode="0.0">
                  <c:v>102.23500833333333</c:v>
                </c:pt>
                <c:pt idx="49" formatCode="0.0">
                  <c:v>120.98288333333333</c:v>
                </c:pt>
                <c:pt idx="50" formatCode="0.0">
                  <c:v>120.98420833333333</c:v>
                </c:pt>
                <c:pt idx="51" formatCode="0.0">
                  <c:v>117.33754166666667</c:v>
                </c:pt>
                <c:pt idx="52" formatCode="0.0">
                  <c:v>102.119125</c:v>
                </c:pt>
                <c:pt idx="53" formatCode="0.0">
                  <c:v>99.676525000000012</c:v>
                </c:pt>
                <c:pt idx="54" formatCode="0.0">
                  <c:v>99.878858333333341</c:v>
                </c:pt>
                <c:pt idx="55" formatCode="0.0">
                  <c:v>98.155525000000011</c:v>
                </c:pt>
                <c:pt idx="56" formatCode="0.0">
                  <c:v>87.492008333333331</c:v>
                </c:pt>
                <c:pt idx="57" formatCode="0.0">
                  <c:v>85.580341666666669</c:v>
                </c:pt>
                <c:pt idx="58" formatCode="0.0">
                  <c:v>83.49867500000002</c:v>
                </c:pt>
                <c:pt idx="59" formatCode="0.0">
                  <c:v>81.605166666666662</c:v>
                </c:pt>
                <c:pt idx="60" formatCode="0.0">
                  <c:v>79.351933333333321</c:v>
                </c:pt>
                <c:pt idx="61" formatCode="0.0">
                  <c:v>114.28553333333333</c:v>
                </c:pt>
                <c:pt idx="62" formatCode="0.0">
                  <c:v>114.1572</c:v>
                </c:pt>
                <c:pt idx="63" formatCode="0.0">
                  <c:v>100.856925</c:v>
                </c:pt>
                <c:pt idx="64" formatCode="0.0">
                  <c:v>102.79025833333334</c:v>
                </c:pt>
                <c:pt idx="65" formatCode="0.0">
                  <c:v>126.19558333333333</c:v>
                </c:pt>
                <c:pt idx="66" formatCode="0.0">
                  <c:v>113.20659166666667</c:v>
                </c:pt>
                <c:pt idx="67" formatCode="0.0">
                  <c:v>148.61992499999999</c:v>
                </c:pt>
                <c:pt idx="68" formatCode="0.0">
                  <c:v>108.42565833333333</c:v>
                </c:pt>
                <c:pt idx="69" formatCode="0.0">
                  <c:v>110.22732500000001</c:v>
                </c:pt>
                <c:pt idx="70" formatCode="0.0">
                  <c:v>89.995325000000008</c:v>
                </c:pt>
                <c:pt idx="71" formatCode="0.0">
                  <c:v>87.935325000000006</c:v>
                </c:pt>
                <c:pt idx="72" formatCode="0.0">
                  <c:v>69.527833333333334</c:v>
                </c:pt>
                <c:pt idx="73" formatCode="0.0">
                  <c:v>83.245699999999999</c:v>
                </c:pt>
                <c:pt idx="74" formatCode="0.0">
                  <c:v>49.885699999999993</c:v>
                </c:pt>
                <c:pt idx="75" formatCode="0.0">
                  <c:v>50.627366666666667</c:v>
                </c:pt>
                <c:pt idx="76" formatCode="0.0">
                  <c:v>52.694033333333337</c:v>
                </c:pt>
                <c:pt idx="77" formatCode="0.0">
                  <c:v>87.615733333333338</c:v>
                </c:pt>
                <c:pt idx="78" formatCode="0.0">
                  <c:v>90.502399999999994</c:v>
                </c:pt>
                <c:pt idx="79" formatCode="0.0">
                  <c:v>89.132066666666674</c:v>
                </c:pt>
                <c:pt idx="80" formatCode="0.0">
                  <c:v>85.951566666666679</c:v>
                </c:pt>
                <c:pt idx="81" formatCode="0.0">
                  <c:v>87.921991666666656</c:v>
                </c:pt>
                <c:pt idx="82" formatCode="0.0">
                  <c:v>120.22059166666665</c:v>
                </c:pt>
                <c:pt idx="83" formatCode="0.0">
                  <c:v>116.41225833333331</c:v>
                </c:pt>
                <c:pt idx="84" formatCode="0.0">
                  <c:v>104.864025</c:v>
                </c:pt>
                <c:pt idx="85" formatCode="0.0">
                  <c:v>104.88569166666667</c:v>
                </c:pt>
                <c:pt idx="86" formatCode="0.0">
                  <c:v>105.05652500000001</c:v>
                </c:pt>
                <c:pt idx="87" formatCode="0.0">
                  <c:v>113.67774166666668</c:v>
                </c:pt>
                <c:pt idx="88" formatCode="0.0">
                  <c:v>115.88731666666668</c:v>
                </c:pt>
                <c:pt idx="89" formatCode="0.0">
                  <c:v>88.583291666666653</c:v>
                </c:pt>
                <c:pt idx="90" formatCode="0.0">
                  <c:v>88.553291666666667</c:v>
                </c:pt>
                <c:pt idx="91" formatCode="0.0">
                  <c:v>113.00314999999999</c:v>
                </c:pt>
                <c:pt idx="92" formatCode="0.0">
                  <c:v>112.31815</c:v>
                </c:pt>
                <c:pt idx="93" formatCode="0.0">
                  <c:v>113.45481666666666</c:v>
                </c:pt>
                <c:pt idx="94" formatCode="0.0">
                  <c:v>108.53333333333333</c:v>
                </c:pt>
                <c:pt idx="95" formatCode="0.0">
                  <c:v>107.65999999999998</c:v>
                </c:pt>
                <c:pt idx="96" formatCode="0.0">
                  <c:v>108.46917499999998</c:v>
                </c:pt>
                <c:pt idx="97" formatCode="0.0">
                  <c:v>109.68917499999999</c:v>
                </c:pt>
                <c:pt idx="98" formatCode="0.0">
                  <c:v>96.726733333333328</c:v>
                </c:pt>
                <c:pt idx="99" formatCode="0.0">
                  <c:v>94.800066666666652</c:v>
                </c:pt>
                <c:pt idx="100" formatCode="0.0">
                  <c:v>94.496266666666671</c:v>
                </c:pt>
                <c:pt idx="101" formatCode="0.0">
                  <c:v>98.865833333333342</c:v>
                </c:pt>
                <c:pt idx="102" formatCode="0.0">
                  <c:v>94.538833333333329</c:v>
                </c:pt>
                <c:pt idx="103" formatCode="0.0">
                  <c:v>96.810083333333324</c:v>
                </c:pt>
                <c:pt idx="104" formatCode="0.0">
                  <c:v>96.446749999999994</c:v>
                </c:pt>
                <c:pt idx="105" formatCode="0.0">
                  <c:v>79.061866666666674</c:v>
                </c:pt>
                <c:pt idx="106" formatCode="0.0">
                  <c:v>79.69853333333333</c:v>
                </c:pt>
                <c:pt idx="107" formatCode="0.0">
                  <c:v>75.418999999999997</c:v>
                </c:pt>
                <c:pt idx="108" formatCode="0.0">
                  <c:v>78.221166666666676</c:v>
                </c:pt>
                <c:pt idx="109" formatCode="0.0">
                  <c:v>79.711666666666645</c:v>
                </c:pt>
                <c:pt idx="110" formatCode="0.0">
                  <c:v>73.209999999999994</c:v>
                </c:pt>
                <c:pt idx="111" formatCode="0.0">
                  <c:v>109.09083333333334</c:v>
                </c:pt>
                <c:pt idx="112" formatCode="0.0">
                  <c:v>103.36380833333334</c:v>
                </c:pt>
                <c:pt idx="113" formatCode="0.0">
                  <c:v>102.84714166666666</c:v>
                </c:pt>
                <c:pt idx="114" formatCode="0.0">
                  <c:v>98.533808333333326</c:v>
                </c:pt>
                <c:pt idx="115" formatCode="0.0">
                  <c:v>69.846641666666656</c:v>
                </c:pt>
                <c:pt idx="116" formatCode="0.0">
                  <c:v>63.116474999999994</c:v>
                </c:pt>
                <c:pt idx="117" formatCode="0.0">
                  <c:v>56.778141666666663</c:v>
                </c:pt>
                <c:pt idx="118" formatCode="0.0">
                  <c:v>15.938974999999999</c:v>
                </c:pt>
                <c:pt idx="119" formatCode="0.0">
                  <c:v>4.1900000000000004</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119" activePane="bottomLeft" state="frozen"/>
      <selection pane="bottomLeft" activeCell="E130" sqref="E130"/>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94" t="s">
        <v>1</v>
      </c>
      <c r="D1" s="883"/>
      <c r="E1" s="884"/>
      <c r="F1" s="3" t="s">
        <v>382</v>
      </c>
      <c r="G1" s="881" t="s">
        <v>460</v>
      </c>
      <c r="H1" s="881"/>
      <c r="I1" s="23" t="s">
        <v>2</v>
      </c>
      <c r="J1" s="881" t="s">
        <v>462</v>
      </c>
      <c r="K1" s="881"/>
      <c r="L1" s="882"/>
      <c r="M1" s="883"/>
      <c r="N1" s="884"/>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9" t="s">
        <v>5</v>
      </c>
      <c r="D2" s="885"/>
      <c r="E2" s="886"/>
      <c r="F2" s="7" t="s">
        <v>33</v>
      </c>
      <c r="G2" s="881" t="s">
        <v>457</v>
      </c>
      <c r="H2" s="881"/>
      <c r="I2" s="6"/>
      <c r="J2" s="4"/>
      <c r="L2" s="885"/>
      <c r="M2" s="885"/>
      <c r="N2" s="886"/>
      <c r="O2" s="16"/>
      <c r="P2" s="8"/>
      <c r="Q2" s="9"/>
      <c r="R2" s="4"/>
      <c r="S2" s="4"/>
      <c r="T2" s="4"/>
      <c r="U2" s="4"/>
      <c r="V2" s="4"/>
      <c r="W2" s="4"/>
      <c r="X2" s="4"/>
      <c r="Y2" s="4"/>
      <c r="Z2" s="4"/>
      <c r="AA2" s="4"/>
      <c r="AB2" s="4"/>
      <c r="AC2" s="4"/>
    </row>
    <row r="3" spans="1:35" ht="15.75" customHeight="1" x14ac:dyDescent="0.2">
      <c r="A3" s="10" t="s">
        <v>6</v>
      </c>
      <c r="B3" s="11">
        <v>45942</v>
      </c>
      <c r="C3" s="890" t="s">
        <v>7</v>
      </c>
      <c r="D3" s="887"/>
      <c r="E3" s="888"/>
      <c r="F3" s="7" t="s">
        <v>34</v>
      </c>
      <c r="G3" s="881" t="s">
        <v>458</v>
      </c>
      <c r="H3" s="881"/>
      <c r="I3" s="6"/>
      <c r="J3" s="4" t="s">
        <v>123</v>
      </c>
      <c r="K3" s="781">
        <f>'Daniel''s Tables'!$I$6</f>
        <v>63.579351807379361</v>
      </c>
      <c r="L3" s="885"/>
      <c r="M3" s="885"/>
      <c r="N3" s="886"/>
      <c r="O3" s="16"/>
      <c r="P3" s="6"/>
      <c r="Q3" s="4"/>
      <c r="R3" s="4"/>
      <c r="S3" s="4"/>
      <c r="T3" s="4"/>
      <c r="U3" s="4"/>
      <c r="V3" s="4"/>
      <c r="W3" s="4"/>
      <c r="X3" s="4"/>
      <c r="Y3" s="4"/>
      <c r="Z3" s="4"/>
      <c r="AA3" s="4"/>
      <c r="AB3" s="4"/>
      <c r="AC3" s="4"/>
    </row>
    <row r="4" spans="1:35" ht="15.75" customHeight="1" x14ac:dyDescent="0.2">
      <c r="A4" s="16"/>
      <c r="B4" s="6"/>
      <c r="C4" s="6"/>
      <c r="D4" s="6"/>
      <c r="E4" s="4"/>
      <c r="F4" s="12" t="s">
        <v>383</v>
      </c>
      <c r="G4" s="891" t="s">
        <v>461</v>
      </c>
      <c r="H4" s="891"/>
      <c r="I4" s="13"/>
      <c r="J4" s="850"/>
      <c r="K4" s="851"/>
      <c r="L4" s="887"/>
      <c r="M4" s="887"/>
      <c r="N4" s="888"/>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95" t="s">
        <v>9</v>
      </c>
      <c r="F6" s="885"/>
      <c r="G6" s="885"/>
      <c r="H6" s="885"/>
      <c r="I6" s="885"/>
      <c r="J6" s="885"/>
      <c r="K6" s="885"/>
      <c r="L6" s="885"/>
      <c r="M6" s="885"/>
      <c r="N6" s="6"/>
      <c r="O6" s="16"/>
      <c r="P6" s="6"/>
      <c r="Q6" s="4"/>
      <c r="R6" s="4"/>
      <c r="S6" s="4"/>
      <c r="T6" s="4"/>
      <c r="U6" s="4"/>
      <c r="V6" s="4"/>
      <c r="W6" s="4"/>
      <c r="X6" s="4"/>
      <c r="Y6" s="4"/>
      <c r="Z6" s="881" t="s">
        <v>490</v>
      </c>
      <c r="AA6" s="881"/>
      <c r="AB6" s="881"/>
      <c r="AC6" s="881"/>
      <c r="AD6" s="881"/>
      <c r="AE6" s="881"/>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0.72705410019801997</v>
      </c>
      <c r="AA8" s="4">
        <f>IF(H8*G8,LOOKUP(Z8,'Daniel''s Tables'!$Z$135:$Z$214,'Daniel''s Tables'!$AB$135:$AB$214),0)</f>
        <v>0.3085</v>
      </c>
      <c r="AB8" s="869">
        <f>H8*1440*AA8</f>
        <v>25.219874999999998</v>
      </c>
      <c r="AC8" s="4"/>
      <c r="AD8" s="870"/>
      <c r="AF8" s="781"/>
      <c r="AG8" s="870"/>
      <c r="AH8" s="870"/>
      <c r="AI8" s="781"/>
    </row>
    <row r="9" spans="1:35" ht="15.75" customHeight="1" x14ac:dyDescent="0.2">
      <c r="A9" s="892"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0.58090943043699272</v>
      </c>
      <c r="AA9" s="4">
        <f>IF(H9*G9,LOOKUP(Z9,'Daniel''s Tables'!$Z$135:$Z$214,'Daniel''s Tables'!$AB$135:$AB$214),0)</f>
        <v>0.1</v>
      </c>
      <c r="AB9" s="869">
        <f>H9*1440*AA9</f>
        <v>2.4600000000000009</v>
      </c>
      <c r="AC9" s="4"/>
    </row>
    <row r="10" spans="1:35" ht="15.75" customHeight="1" x14ac:dyDescent="0.2">
      <c r="A10" s="892"/>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0.60547604539986088</v>
      </c>
      <c r="AA10" s="4">
        <f>IF(H10*G10,LOOKUP(Z10,'Daniel''s Tables'!$Z$135:$Z$214,'Daniel''s Tables'!$AB$135:$AB$214),0)</f>
        <v>0.11599999999999999</v>
      </c>
      <c r="AB10" s="869">
        <f t="shared" ref="AB10:AB15" si="4">H10*1440*AA10</f>
        <v>5.3340666666666658</v>
      </c>
      <c r="AC10" s="4"/>
    </row>
    <row r="11" spans="1:35" ht="15.75" customHeight="1" x14ac:dyDescent="0.2">
      <c r="A11" s="892"/>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0.70530289174109806</v>
      </c>
      <c r="AA11" s="4">
        <f>IF(H11*G11,LOOKUP(Z11,'Daniel''s Tables'!$Z$135:$Z$214,'Daniel''s Tables'!$AB$135:$AB$214),0)</f>
        <v>0.26649999999999996</v>
      </c>
      <c r="AB11" s="869">
        <f t="shared" si="4"/>
        <v>23.065574999999995</v>
      </c>
      <c r="AC11" s="4"/>
    </row>
    <row r="12" spans="1:35" ht="15.75" customHeight="1" x14ac:dyDescent="0.2">
      <c r="A12" s="892"/>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0.49598725022757512</v>
      </c>
      <c r="AA12" s="4" t="e">
        <f>IF(H12*G12,LOOKUP(Z12,'Daniel''s Tables'!$Z$135:$Z$214,'Daniel''s Tables'!$AB$135:$AB$214),0)</f>
        <v>#N/A</v>
      </c>
      <c r="AB12" s="869" t="e">
        <f t="shared" si="4"/>
        <v>#N/A</v>
      </c>
      <c r="AC12" s="4"/>
    </row>
    <row r="13" spans="1:35" ht="15.75" customHeight="1" x14ac:dyDescent="0.2">
      <c r="A13" s="892"/>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0.62590556876311287</v>
      </c>
      <c r="AA13" s="4">
        <f>IF(H13*G13,LOOKUP(Z13,'Daniel''s Tables'!$Z$135:$Z$214,'Daniel''s Tables'!$AB$135:$AB$214),0)</f>
        <v>0.14250000000000002</v>
      </c>
      <c r="AB13" s="869">
        <f t="shared" si="4"/>
        <v>6.4006250000000007</v>
      </c>
      <c r="AC13" s="4"/>
    </row>
    <row r="14" spans="1:35" ht="15.75" customHeight="1" x14ac:dyDescent="0.2">
      <c r="A14" s="892"/>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0.6106606324606122</v>
      </c>
      <c r="AA14" s="4">
        <f>IF(H14*G14,LOOKUP(Z14,'Daniel''s Tables'!$Z$135:$Z$214,'Daniel''s Tables'!$AB$135:$AB$214),0)</f>
        <v>0.122</v>
      </c>
      <c r="AB14" s="869">
        <f t="shared" si="4"/>
        <v>5.5530333333333335</v>
      </c>
      <c r="AC14" s="871" t="e">
        <f>SUM(AB8:AB14)</f>
        <v>#N/A</v>
      </c>
      <c r="AD14" s="838" t="e">
        <f>SUM(AC8:AC14)/7</f>
        <v>#N/A</v>
      </c>
      <c r="AE14" s="871" t="e">
        <f>SUM(AB7:AB13)</f>
        <v>#N/A</v>
      </c>
    </row>
    <row r="15" spans="1:35" ht="15.75" customHeight="1" x14ac:dyDescent="0.2">
      <c r="A15" s="892"/>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0.64622840909790535</v>
      </c>
      <c r="AA15" s="4">
        <f>IF(H15*G15,LOOKUP(Z15,'Daniel''s Tables'!$Z$135:$Z$214,'Daniel''s Tables'!$AB$135:$AB$214),0)</f>
        <v>0.17499999999999999</v>
      </c>
      <c r="AB15" s="869">
        <f t="shared" si="4"/>
        <v>20.30875</v>
      </c>
      <c r="AC15" s="871" t="e">
        <f t="shared" ref="AC15:AC78" si="6">SUM(AB9:AB15)</f>
        <v>#N/A</v>
      </c>
      <c r="AD15" s="838" t="e">
        <f t="shared" ref="AD15:AD78" si="7">SUM(AC9:AC15)/7</f>
        <v>#N/A</v>
      </c>
      <c r="AE15" s="871" t="e">
        <f>SUM(AB9:AB15)</f>
        <v>#N/A</v>
      </c>
    </row>
    <row r="16" spans="1:35" ht="15.75" customHeight="1" x14ac:dyDescent="0.2">
      <c r="A16" s="893"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0.58310519317019027</v>
      </c>
      <c r="AA16" s="4">
        <f>IF(H16*G16,LOOKUP(Z16,'Daniel''s Tables'!$Z$135:$Z$214,'Daniel''s Tables'!$AB$135:$AB$214),0)</f>
        <v>0.1</v>
      </c>
      <c r="AB16" s="869">
        <f t="shared" ref="AB16:AB79" si="12">H16*1440*AA16</f>
        <v>4.74</v>
      </c>
      <c r="AC16" s="871" t="e">
        <f t="shared" si="6"/>
        <v>#N/A</v>
      </c>
      <c r="AD16" s="838" t="e">
        <f t="shared" si="7"/>
        <v>#N/A</v>
      </c>
      <c r="AE16" s="838"/>
    </row>
    <row r="17" spans="1:32" ht="15.75" customHeight="1" x14ac:dyDescent="0.2">
      <c r="A17" s="893"/>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0.56667032033752884</v>
      </c>
      <c r="AA17" s="4">
        <f>IF(H17*G17,LOOKUP(Z17,'Daniel''s Tables'!$Z$135:$Z$214,'Daniel''s Tables'!$AB$135:$AB$214),0)</f>
        <v>0.1</v>
      </c>
      <c r="AB17" s="869">
        <f t="shared" si="12"/>
        <v>5.831666666666667</v>
      </c>
      <c r="AC17" s="871" t="e">
        <f t="shared" si="6"/>
        <v>#N/A</v>
      </c>
      <c r="AD17" s="838" t="e">
        <f t="shared" si="7"/>
        <v>#N/A</v>
      </c>
      <c r="AE17" s="838"/>
    </row>
    <row r="18" spans="1:32" ht="15.75" customHeight="1" x14ac:dyDescent="0.2">
      <c r="A18" s="893"/>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0.71779037100624032</v>
      </c>
      <c r="AA18" s="4">
        <f>IF(H18*G18,LOOKUP(Z18,'Daniel''s Tables'!$Z$135:$Z$214,'Daniel''s Tables'!$AB$135:$AB$214),0)</f>
        <v>0.29149999999999998</v>
      </c>
      <c r="AB18" s="869">
        <f t="shared" si="12"/>
        <v>21.366949999999999</v>
      </c>
      <c r="AC18" s="871" t="e">
        <f t="shared" si="6"/>
        <v>#N/A</v>
      </c>
      <c r="AD18" s="838" t="e">
        <f t="shared" si="7"/>
        <v>#N/A</v>
      </c>
      <c r="AE18" s="838"/>
    </row>
    <row r="19" spans="1:32" ht="15.75" customHeight="1" x14ac:dyDescent="0.2">
      <c r="A19" s="893"/>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0.62792192292046889</v>
      </c>
      <c r="AA19" s="4">
        <f>IF(H19*G19,LOOKUP(Z19,'Daniel''s Tables'!$Z$135:$Z$214,'Daniel''s Tables'!$AB$135:$AB$214),0)</f>
        <v>0.14250000000000002</v>
      </c>
      <c r="AB19" s="869">
        <f t="shared" si="12"/>
        <v>5.6453750000000005</v>
      </c>
      <c r="AC19" s="871">
        <f t="shared" si="6"/>
        <v>69.846400000000003</v>
      </c>
      <c r="AD19" s="838" t="e">
        <f t="shared" si="7"/>
        <v>#N/A</v>
      </c>
      <c r="AE19" s="838"/>
    </row>
    <row r="20" spans="1:32" ht="15.75" customHeight="1" x14ac:dyDescent="0.2">
      <c r="A20" s="893"/>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0.53984766565212916</v>
      </c>
      <c r="AA20" s="4">
        <f>IF(H20*G20,LOOKUP(Z20,'Daniel''s Tables'!$Z$135:$Z$214,'Daniel''s Tables'!$AB$135:$AB$214),0)</f>
        <v>0.1</v>
      </c>
      <c r="AB20" s="869">
        <f t="shared" si="12"/>
        <v>9.3250000000000011</v>
      </c>
      <c r="AC20" s="871">
        <f t="shared" si="6"/>
        <v>72.770775000000015</v>
      </c>
      <c r="AD20" s="838" t="e">
        <f t="shared" si="7"/>
        <v>#N/A</v>
      </c>
      <c r="AE20" s="838"/>
    </row>
    <row r="21" spans="1:32" ht="15.75" customHeight="1" x14ac:dyDescent="0.2">
      <c r="A21" s="893"/>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67.217741666666669</v>
      </c>
      <c r="AD21" s="838" t="e">
        <f t="shared" si="7"/>
        <v>#N/A</v>
      </c>
      <c r="AE21" s="838"/>
    </row>
    <row r="22" spans="1:32" ht="15.75" customHeight="1" x14ac:dyDescent="0.2">
      <c r="A22" s="893"/>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46.908991666666672</v>
      </c>
      <c r="AD22" s="838" t="e">
        <f t="shared" si="7"/>
        <v>#N/A</v>
      </c>
      <c r="AE22" s="871">
        <f>AC22</f>
        <v>46.908991666666672</v>
      </c>
      <c r="AF22" s="838"/>
    </row>
    <row r="23" spans="1:32" ht="15.75" customHeight="1" x14ac:dyDescent="0.2">
      <c r="A23" s="892"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0.60286833956937647</v>
      </c>
      <c r="AA23" s="4">
        <f>IF(H23*G23,LOOKUP(Z23,'Daniel''s Tables'!$Z$135:$Z$214,'Daniel''s Tables'!$AB$135:$AB$214),0)</f>
        <v>0.11</v>
      </c>
      <c r="AB23" s="869">
        <f t="shared" si="12"/>
        <v>6.8603333333333332</v>
      </c>
      <c r="AC23" s="871">
        <f t="shared" si="6"/>
        <v>49.029325</v>
      </c>
      <c r="AD23" s="838" t="e">
        <f t="shared" si="7"/>
        <v>#N/A</v>
      </c>
      <c r="AE23" s="838"/>
      <c r="AF23" s="838"/>
    </row>
    <row r="24" spans="1:32" ht="15.75" customHeight="1" x14ac:dyDescent="0.2">
      <c r="A24" s="892"/>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0.59712673320166132</v>
      </c>
      <c r="AA24" s="4">
        <f>IF(H24*G24,LOOKUP(Z24,'Daniel''s Tables'!$Z$135:$Z$214,'Daniel''s Tables'!$AB$135:$AB$214),0)</f>
        <v>0.10500000000000001</v>
      </c>
      <c r="AB24" s="869">
        <f t="shared" si="12"/>
        <v>6.6639999999999997</v>
      </c>
      <c r="AC24" s="871">
        <f t="shared" si="6"/>
        <v>49.861658333333338</v>
      </c>
      <c r="AD24" s="838" t="e">
        <f t="shared" si="7"/>
        <v>#N/A</v>
      </c>
      <c r="AE24" s="838"/>
      <c r="AF24" s="838"/>
    </row>
    <row r="25" spans="1:32" ht="15.75" customHeight="1" x14ac:dyDescent="0.2">
      <c r="A25" s="892"/>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0.69371517645911152</v>
      </c>
      <c r="AA25" s="4">
        <f>IF(H25*G25,LOOKUP(Z25,'Daniel''s Tables'!$Z$135:$Z$214,'Daniel''s Tables'!$AB$135:$AB$214),0)</f>
        <v>0.25</v>
      </c>
      <c r="AB25" s="869">
        <f t="shared" si="12"/>
        <v>20.7</v>
      </c>
      <c r="AC25" s="871">
        <f t="shared" si="6"/>
        <v>49.194708333333338</v>
      </c>
      <c r="AD25" s="838">
        <f t="shared" si="7"/>
        <v>57.832800000000006</v>
      </c>
      <c r="AE25" s="838"/>
      <c r="AF25" s="838"/>
    </row>
    <row r="26" spans="1:32" ht="15.75" customHeight="1" x14ac:dyDescent="0.2">
      <c r="A26" s="892"/>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0.55688020075109956</v>
      </c>
      <c r="AA26" s="4">
        <f>IF(H26*G26,LOOKUP(Z26,'Daniel''s Tables'!$Z$135:$Z$214,'Daniel''s Tables'!$AB$135:$AB$214),0)</f>
        <v>0.1</v>
      </c>
      <c r="AB26" s="869">
        <f t="shared" si="12"/>
        <v>7.0233333333333334</v>
      </c>
      <c r="AC26" s="871">
        <f t="shared" si="6"/>
        <v>50.57266666666667</v>
      </c>
      <c r="AD26" s="838">
        <f t="shared" si="7"/>
        <v>55.079409523809531</v>
      </c>
      <c r="AE26" s="838"/>
      <c r="AF26" s="838"/>
    </row>
    <row r="27" spans="1:32" ht="15.75" customHeight="1" x14ac:dyDescent="0.2">
      <c r="A27" s="892"/>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0.7473528351051627</v>
      </c>
      <c r="AA27" s="4">
        <f>IF(H27*G27,LOOKUP(Z27,'Daniel''s Tables'!$Z$135:$Z$214,'Daniel''s Tables'!$AB$135:$AB$214),0)</f>
        <v>0.34150000000000003</v>
      </c>
      <c r="AB27" s="869">
        <f t="shared" si="12"/>
        <v>31.782266666666672</v>
      </c>
      <c r="AC27" s="871">
        <f t="shared" si="6"/>
        <v>73.029933333333332</v>
      </c>
      <c r="AD27" s="838">
        <f t="shared" si="7"/>
        <v>55.116432142857143</v>
      </c>
      <c r="AE27" s="838"/>
      <c r="AF27" s="838"/>
    </row>
    <row r="28" spans="1:32" ht="15.75" customHeight="1" x14ac:dyDescent="0.2">
      <c r="A28" s="892"/>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0.57775525389342886</v>
      </c>
      <c r="AA28" s="4">
        <f>IF(H28*G28,LOOKUP(Z28,'Daniel''s Tables'!$Z$135:$Z$214,'Daniel''s Tables'!$AB$135:$AB$214),0)</f>
        <v>0.1</v>
      </c>
      <c r="AB28" s="869">
        <f t="shared" si="12"/>
        <v>3.8250000000000002</v>
      </c>
      <c r="AC28" s="871">
        <f t="shared" si="6"/>
        <v>76.854933333333335</v>
      </c>
      <c r="AD28" s="838">
        <f t="shared" si="7"/>
        <v>56.49317380952381</v>
      </c>
      <c r="AE28" s="871">
        <f>AC28</f>
        <v>76.854933333333335</v>
      </c>
      <c r="AF28" s="838"/>
    </row>
    <row r="29" spans="1:32" ht="15.75" customHeight="1" x14ac:dyDescent="0.2">
      <c r="A29" s="892"/>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0.65104728003369916</v>
      </c>
      <c r="AA29" s="4">
        <f>IF(H29*G29,LOOKUP(Z29,'Daniel''s Tables'!$Z$135:$Z$214,'Daniel''s Tables'!$AB$135:$AB$214),0)</f>
        <v>0.183</v>
      </c>
      <c r="AB29" s="869">
        <f t="shared" si="12"/>
        <v>23.728999999999999</v>
      </c>
      <c r="AC29" s="871">
        <f t="shared" si="6"/>
        <v>100.58393333333333</v>
      </c>
      <c r="AD29" s="838">
        <f t="shared" si="7"/>
        <v>64.161022619047614</v>
      </c>
      <c r="AE29" s="838"/>
      <c r="AF29" s="838"/>
    </row>
    <row r="30" spans="1:32" ht="15.75" customHeight="1" x14ac:dyDescent="0.2">
      <c r="A30" s="893"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0.56870790057846932</v>
      </c>
      <c r="AA30" s="4">
        <f>IF(H30*G30,LOOKUP(Z30,'Daniel''s Tables'!$Z$135:$Z$214,'Daniel''s Tables'!$AB$135:$AB$214),0)</f>
        <v>0.1</v>
      </c>
      <c r="AB30" s="869">
        <f t="shared" si="12"/>
        <v>4.8283333333333331</v>
      </c>
      <c r="AC30" s="871">
        <f t="shared" si="6"/>
        <v>98.551933333333338</v>
      </c>
      <c r="AD30" s="838">
        <f t="shared" si="7"/>
        <v>71.23568095238096</v>
      </c>
      <c r="AE30" s="838"/>
      <c r="AF30" s="838"/>
    </row>
    <row r="31" spans="1:32" ht="15.75" customHeight="1" x14ac:dyDescent="0.2">
      <c r="A31" s="893"/>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0.61265094063794134</v>
      </c>
      <c r="AA31" s="4">
        <f>IF(H31*G31,LOOKUP(Z31,'Daniel''s Tables'!$Z$135:$Z$214,'Daniel''s Tables'!$AB$135:$AB$214),0)</f>
        <v>0.122</v>
      </c>
      <c r="AB31" s="869">
        <f t="shared" si="12"/>
        <v>7.4460666666666659</v>
      </c>
      <c r="AC31" s="871">
        <f t="shared" si="6"/>
        <v>99.334000000000003</v>
      </c>
      <c r="AD31" s="838">
        <f t="shared" si="7"/>
        <v>78.303158333333343</v>
      </c>
      <c r="AE31" s="838"/>
      <c r="AF31" s="838"/>
    </row>
    <row r="32" spans="1:32" ht="15.75" customHeight="1" x14ac:dyDescent="0.2">
      <c r="A32" s="893"/>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0.76467242031868732</v>
      </c>
      <c r="AA32" s="4">
        <f>IF(H32*G32,LOOKUP(Z32,'Daniel''s Tables'!$Z$135:$Z$214,'Daniel''s Tables'!$AB$135:$AB$214),0)</f>
        <v>0.36699999999999999</v>
      </c>
      <c r="AB32" s="869">
        <f t="shared" si="12"/>
        <v>30.167400000000001</v>
      </c>
      <c r="AC32" s="871">
        <f t="shared" si="6"/>
        <v>108.8014</v>
      </c>
      <c r="AD32" s="838">
        <f t="shared" si="7"/>
        <v>86.818400000000011</v>
      </c>
      <c r="AE32" s="838"/>
      <c r="AF32" s="838"/>
    </row>
    <row r="33" spans="1:32" ht="15.75" customHeight="1" x14ac:dyDescent="0.2">
      <c r="A33" s="893"/>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0.60045729631542544</v>
      </c>
      <c r="AA33" s="4">
        <f>IF(H33*G33,LOOKUP(Z33,'Daniel''s Tables'!$Z$135:$Z$214,'Daniel''s Tables'!$AB$135:$AB$214),0)</f>
        <v>0.11</v>
      </c>
      <c r="AB33" s="869">
        <f t="shared" si="12"/>
        <v>7.270999999999999</v>
      </c>
      <c r="AC33" s="871">
        <f t="shared" si="6"/>
        <v>109.04906666666668</v>
      </c>
      <c r="AD33" s="838">
        <f t="shared" si="7"/>
        <v>95.172171428571446</v>
      </c>
      <c r="AE33" s="838"/>
      <c r="AF33" s="838"/>
    </row>
    <row r="34" spans="1:32" ht="15.75" customHeight="1" x14ac:dyDescent="0.2">
      <c r="A34" s="893"/>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0.62885182113978322</v>
      </c>
      <c r="AA34" s="4">
        <f>IF(H34*G34,LOOKUP(Z34,'Daniel''s Tables'!$Z$135:$Z$214,'Daniel''s Tables'!$AB$135:$AB$214),0)</f>
        <v>0.14250000000000002</v>
      </c>
      <c r="AB34" s="869">
        <f t="shared" si="12"/>
        <v>10.739750000000003</v>
      </c>
      <c r="AC34" s="871">
        <f t="shared" si="6"/>
        <v>88.006550000000004</v>
      </c>
      <c r="AD34" s="838">
        <f t="shared" si="7"/>
        <v>97.311688095238097</v>
      </c>
      <c r="AE34" s="838"/>
      <c r="AF34" s="838"/>
    </row>
    <row r="35" spans="1:32" ht="15.75" customHeight="1" x14ac:dyDescent="0.2">
      <c r="A35" s="893"/>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0.76489673440007133</v>
      </c>
      <c r="AA35" s="4">
        <f>IF(H35*G35,LOOKUP(Z35,'Daniel''s Tables'!$Z$135:$Z$214,'Daniel''s Tables'!$AB$135:$AB$214),0)</f>
        <v>0.36699999999999999</v>
      </c>
      <c r="AB35" s="869">
        <f t="shared" si="12"/>
        <v>42.437433333333338</v>
      </c>
      <c r="AC35" s="871">
        <f t="shared" si="6"/>
        <v>126.61898333333335</v>
      </c>
      <c r="AD35" s="838">
        <f t="shared" si="7"/>
        <v>104.4208380952381</v>
      </c>
      <c r="AE35" s="838"/>
      <c r="AF35" s="838"/>
    </row>
    <row r="36" spans="1:32" ht="15.75" customHeight="1" x14ac:dyDescent="0.2">
      <c r="A36" s="893"/>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0.60284328518008035</v>
      </c>
      <c r="AA36" s="4">
        <f>IF(H36*G36,LOOKUP(Z36,'Daniel''s Tables'!$Z$135:$Z$214,'Daniel''s Tables'!$AB$135:$AB$214),0)</f>
        <v>0.11</v>
      </c>
      <c r="AB36" s="869">
        <f t="shared" si="12"/>
        <v>7.5845000000000002</v>
      </c>
      <c r="AC36" s="871">
        <f t="shared" si="6"/>
        <v>110.47448333333334</v>
      </c>
      <c r="AD36" s="838">
        <f t="shared" si="7"/>
        <v>105.83377380952381</v>
      </c>
      <c r="AE36" s="871">
        <f>AC36</f>
        <v>110.47448333333334</v>
      </c>
      <c r="AF36" s="838"/>
    </row>
    <row r="37" spans="1:32" ht="15.75" customHeight="1" x14ac:dyDescent="0.2">
      <c r="A37" s="892"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0.56093755731451844</v>
      </c>
      <c r="AA37" s="4">
        <f>IF(H37*G37,LOOKUP(Z37,'Daniel''s Tables'!$Z$135:$Z$214,'Daniel''s Tables'!$AB$135:$AB$214),0)</f>
        <v>0.1</v>
      </c>
      <c r="AB37" s="869">
        <f t="shared" si="12"/>
        <v>4.5333333333333332</v>
      </c>
      <c r="AC37" s="871">
        <f t="shared" si="6"/>
        <v>110.17948333333335</v>
      </c>
      <c r="AD37" s="838">
        <f t="shared" si="7"/>
        <v>107.49485238095238</v>
      </c>
      <c r="AE37" s="838"/>
    </row>
    <row r="38" spans="1:32" ht="15.75" customHeight="1" x14ac:dyDescent="0.2">
      <c r="A38" s="892"/>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0.62071663640116581</v>
      </c>
      <c r="AA38" s="4">
        <f>IF(H38*G38,LOOKUP(Z38,'Daniel''s Tables'!$Z$135:$Z$214,'Daniel''s Tables'!$AB$135:$AB$214),0)</f>
        <v>0.13500000000000001</v>
      </c>
      <c r="AB38" s="869">
        <f t="shared" si="12"/>
        <v>8.183250000000001</v>
      </c>
      <c r="AC38" s="871">
        <f t="shared" si="6"/>
        <v>110.91666666666669</v>
      </c>
      <c r="AD38" s="838">
        <f t="shared" si="7"/>
        <v>109.14951904761905</v>
      </c>
      <c r="AE38" s="838"/>
    </row>
    <row r="39" spans="1:32" ht="15.75" customHeight="1" x14ac:dyDescent="0.2">
      <c r="A39" s="892"/>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0.588244261434129</v>
      </c>
      <c r="AA39" s="4">
        <f>IF(H39*G39,LOOKUP(Z39,'Daniel''s Tables'!$Z$135:$Z$214,'Daniel''s Tables'!$AB$135:$AB$214),0)</f>
        <v>0.1</v>
      </c>
      <c r="AB39" s="869">
        <f t="shared" si="12"/>
        <v>12.59</v>
      </c>
      <c r="AC39" s="871">
        <f t="shared" si="6"/>
        <v>93.339266666666674</v>
      </c>
      <c r="AD39" s="838">
        <f t="shared" si="7"/>
        <v>106.94064285714288</v>
      </c>
      <c r="AE39" s="838"/>
    </row>
    <row r="40" spans="1:32" ht="15.75" customHeight="1" x14ac:dyDescent="0.2">
      <c r="A40" s="892"/>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0.60956123840745435</v>
      </c>
      <c r="AA40" s="4">
        <f>IF(H40*G40,LOOKUP(Z40,'Daniel''s Tables'!$Z$135:$Z$214,'Daniel''s Tables'!$AB$135:$AB$214),0)</f>
        <v>0.11599999999999999</v>
      </c>
      <c r="AB40" s="869">
        <f t="shared" si="12"/>
        <v>6.2465999999999999</v>
      </c>
      <c r="AC40" s="871">
        <f t="shared" si="6"/>
        <v>92.314866666666674</v>
      </c>
      <c r="AD40" s="838">
        <f t="shared" si="7"/>
        <v>104.55004285714288</v>
      </c>
      <c r="AE40" s="838"/>
    </row>
    <row r="41" spans="1:32" ht="15.75" customHeight="1" x14ac:dyDescent="0.2">
      <c r="A41" s="892"/>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0.63650972397460681</v>
      </c>
      <c r="AA41" s="4">
        <f>IF(H41*G41,LOOKUP(Z41,'Daniel''s Tables'!$Z$135:$Z$214,'Daniel''s Tables'!$AB$135:$AB$214),0)</f>
        <v>0.1585</v>
      </c>
      <c r="AB41" s="869">
        <f t="shared" si="12"/>
        <v>9.2986666666666657</v>
      </c>
      <c r="AC41" s="871">
        <f t="shared" si="6"/>
        <v>90.873783333333336</v>
      </c>
      <c r="AD41" s="838">
        <f t="shared" si="7"/>
        <v>104.95964761904763</v>
      </c>
      <c r="AE41" s="838"/>
    </row>
    <row r="42" spans="1:32" ht="15.75" customHeight="1" x14ac:dyDescent="0.2">
      <c r="A42" s="892"/>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0.58609838055916608</v>
      </c>
      <c r="AA42" s="4">
        <f>IF(H42*G42,LOOKUP(Z42,'Daniel''s Tables'!$Z$135:$Z$214,'Daniel''s Tables'!$AB$135:$AB$214),0)</f>
        <v>0.1</v>
      </c>
      <c r="AB42" s="869">
        <f t="shared" si="12"/>
        <v>6.2783333333333333</v>
      </c>
      <c r="AC42" s="871">
        <f t="shared" si="6"/>
        <v>54.71468333333334</v>
      </c>
      <c r="AD42" s="838">
        <f t="shared" si="7"/>
        <v>94.68760476190478</v>
      </c>
      <c r="AE42" s="838"/>
    </row>
    <row r="43" spans="1:32" ht="15.75" customHeight="1" x14ac:dyDescent="0.2">
      <c r="A43" s="892"/>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0.70250946697766092</v>
      </c>
      <c r="AA43" s="4">
        <f>IF(H43*G43,LOOKUP(Z43,'Daniel''s Tables'!$Z$135:$Z$214,'Daniel''s Tables'!$AB$135:$AB$214),0)</f>
        <v>0.26649999999999996</v>
      </c>
      <c r="AB43" s="869">
        <f t="shared" si="12"/>
        <v>34.529516666666659</v>
      </c>
      <c r="AC43" s="871">
        <f t="shared" si="6"/>
        <v>81.659699999999987</v>
      </c>
      <c r="AD43" s="838">
        <f t="shared" si="7"/>
        <v>90.571207142857148</v>
      </c>
      <c r="AE43" s="838">
        <f>AC43</f>
        <v>81.659699999999987</v>
      </c>
    </row>
    <row r="44" spans="1:32" ht="15.75" customHeight="1" x14ac:dyDescent="0.2">
      <c r="A44" s="893"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0.6391022850984307</v>
      </c>
      <c r="AA44" s="4">
        <f>IF(H44*G44,LOOKUP(Z44,'Daniel''s Tables'!$Z$135:$Z$214,'Daniel''s Tables'!$AB$135:$AB$214),0)</f>
        <v>0.1585</v>
      </c>
      <c r="AB44" s="869">
        <f t="shared" si="12"/>
        <v>7.0928750000000003</v>
      </c>
      <c r="AC44" s="871">
        <f t="shared" si="6"/>
        <v>84.219241666666662</v>
      </c>
      <c r="AD44" s="838">
        <f t="shared" si="7"/>
        <v>86.862601190476198</v>
      </c>
      <c r="AE44" s="838"/>
    </row>
    <row r="45" spans="1:32" ht="15.75" customHeight="1" x14ac:dyDescent="0.2">
      <c r="A45" s="893"/>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0.57234755405808313</v>
      </c>
      <c r="AA45" s="4">
        <f>IF(H45*G45,LOOKUP(Z45,'Daniel''s Tables'!$Z$135:$Z$214,'Daniel''s Tables'!$AB$135:$AB$214),0)</f>
        <v>0.1</v>
      </c>
      <c r="AB45" s="869">
        <f t="shared" si="12"/>
        <v>6.4633333333333347</v>
      </c>
      <c r="AC45" s="871">
        <f t="shared" si="6"/>
        <v>82.499325000000013</v>
      </c>
      <c r="AD45" s="838">
        <f t="shared" si="7"/>
        <v>82.802980952380963</v>
      </c>
      <c r="AE45" s="838"/>
    </row>
    <row r="46" spans="1:32" ht="15.75" customHeight="1" x14ac:dyDescent="0.2">
      <c r="A46" s="893"/>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0.60989522944953845</v>
      </c>
      <c r="AA46" s="4">
        <f>IF(H46*G46,LOOKUP(Z46,'Daniel''s Tables'!$Z$135:$Z$214,'Daniel''s Tables'!$AB$135:$AB$214),0)</f>
        <v>0.11599999999999999</v>
      </c>
      <c r="AB46" s="869">
        <f t="shared" si="12"/>
        <v>7.4046666666666665</v>
      </c>
      <c r="AC46" s="871">
        <f t="shared" si="6"/>
        <v>77.313991666666666</v>
      </c>
      <c r="AD46" s="838">
        <f t="shared" si="7"/>
        <v>80.513655952380958</v>
      </c>
      <c r="AE46" s="838"/>
    </row>
    <row r="47" spans="1:32" ht="15.75" customHeight="1" x14ac:dyDescent="0.2">
      <c r="A47" s="893"/>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0.6393568738119324</v>
      </c>
      <c r="AA47" s="4">
        <f>IF(H47*G47,LOOKUP(Z47,'Daniel''s Tables'!$Z$135:$Z$214,'Daniel''s Tables'!$AB$135:$AB$214),0)</f>
        <v>0.1585</v>
      </c>
      <c r="AB47" s="869">
        <f t="shared" si="12"/>
        <v>7.0558916666666667</v>
      </c>
      <c r="AC47" s="871">
        <f t="shared" si="6"/>
        <v>78.123283333333333</v>
      </c>
      <c r="AD47" s="838">
        <f t="shared" si="7"/>
        <v>78.486286904761897</v>
      </c>
      <c r="AE47" s="838"/>
    </row>
    <row r="48" spans="1:32" ht="15.75" customHeight="1" x14ac:dyDescent="0.2">
      <c r="A48" s="893"/>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0.71639671037375352</v>
      </c>
      <c r="AA48" s="4">
        <f>IF(H48*G48,LOOKUP(Z48,'Daniel''s Tables'!$Z$135:$Z$214,'Daniel''s Tables'!$AB$135:$AB$214),0)</f>
        <v>0.29149999999999998</v>
      </c>
      <c r="AB48" s="869">
        <f t="shared" si="12"/>
        <v>27.240675</v>
      </c>
      <c r="AC48" s="871">
        <f t="shared" si="6"/>
        <v>96.065291666666653</v>
      </c>
      <c r="AD48" s="838">
        <f t="shared" si="7"/>
        <v>79.227930952380945</v>
      </c>
      <c r="AE48" s="838"/>
    </row>
    <row r="49" spans="1:31" ht="15.75" customHeight="1" x14ac:dyDescent="0.2">
      <c r="A49" s="893"/>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0.72160397182671432</v>
      </c>
      <c r="AA49" s="4">
        <f>IF(H49*G49,LOOKUP(Z49,'Daniel''s Tables'!$Z$135:$Z$214,'Daniel''s Tables'!$AB$135:$AB$214),0)</f>
        <v>0.3</v>
      </c>
      <c r="AB49" s="869">
        <f t="shared" si="12"/>
        <v>11.334999999999999</v>
      </c>
      <c r="AC49" s="871">
        <f t="shared" si="6"/>
        <v>101.12195833333332</v>
      </c>
      <c r="AD49" s="838">
        <f t="shared" si="7"/>
        <v>85.857541666666663</v>
      </c>
      <c r="AE49" s="838"/>
    </row>
    <row r="50" spans="1:31" ht="15.75" customHeight="1" x14ac:dyDescent="0.2">
      <c r="A50" s="893"/>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0.6458723406490634</v>
      </c>
      <c r="AA50" s="4">
        <f>IF(H50*G50,LOOKUP(Z50,'Daniel''s Tables'!$Z$135:$Z$214,'Daniel''s Tables'!$AB$135:$AB$214),0)</f>
        <v>0.17499999999999999</v>
      </c>
      <c r="AB50" s="869">
        <f t="shared" si="12"/>
        <v>25.447916666666664</v>
      </c>
      <c r="AC50" s="871">
        <f t="shared" si="6"/>
        <v>92.04035833333333</v>
      </c>
      <c r="AD50" s="838">
        <f t="shared" si="7"/>
        <v>87.340492857142848</v>
      </c>
      <c r="AE50" s="838"/>
    </row>
    <row r="51" spans="1:31" ht="15.75" customHeight="1" x14ac:dyDescent="0.2">
      <c r="A51" s="892"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0.61695509015286509</v>
      </c>
      <c r="AA51" s="4">
        <f>IF(H51*G51,LOOKUP(Z51,'Daniel''s Tables'!$Z$135:$Z$214,'Daniel''s Tables'!$AB$135:$AB$214),0)</f>
        <v>0.1285</v>
      </c>
      <c r="AB51" s="869">
        <f t="shared" si="12"/>
        <v>5.810341666666667</v>
      </c>
      <c r="AC51" s="871">
        <f t="shared" si="6"/>
        <v>90.757825000000011</v>
      </c>
      <c r="AD51" s="838">
        <f t="shared" si="7"/>
        <v>88.274576190476196</v>
      </c>
      <c r="AE51" s="838"/>
    </row>
    <row r="52" spans="1:31" ht="15.75" customHeight="1" x14ac:dyDescent="0.2">
      <c r="A52" s="892"/>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0.56160182602697439</v>
      </c>
      <c r="AA52" s="4">
        <f>IF(H52*G52,LOOKUP(Z52,'Daniel''s Tables'!$Z$135:$Z$214,'Daniel''s Tables'!$AB$135:$AB$214),0)</f>
        <v>0.1</v>
      </c>
      <c r="AB52" s="869">
        <f t="shared" si="12"/>
        <v>9.6900000000000013</v>
      </c>
      <c r="AC52" s="871">
        <f t="shared" si="6"/>
        <v>93.984491666666671</v>
      </c>
      <c r="AD52" s="838">
        <f t="shared" si="7"/>
        <v>89.915314285714302</v>
      </c>
      <c r="AE52" s="838"/>
    </row>
    <row r="53" spans="1:31" ht="15.75" customHeight="1" x14ac:dyDescent="0.2">
      <c r="A53" s="892"/>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0.74193420681726252</v>
      </c>
      <c r="AA53" s="4">
        <f>IF(H53*G53,LOOKUP(Z53,'Daniel''s Tables'!$Z$135:$Z$214,'Daniel''s Tables'!$AB$135:$AB$214),0)</f>
        <v>0.33300000000000002</v>
      </c>
      <c r="AB53" s="869">
        <f t="shared" si="12"/>
        <v>37.379249999999999</v>
      </c>
      <c r="AC53" s="871">
        <f t="shared" si="6"/>
        <v>123.959075</v>
      </c>
      <c r="AD53" s="838">
        <f t="shared" si="7"/>
        <v>96.578897619047623</v>
      </c>
      <c r="AE53" s="838"/>
    </row>
    <row r="54" spans="1:31" ht="15.75" customHeight="1" x14ac:dyDescent="0.2">
      <c r="A54" s="892"/>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0.63036041729566039</v>
      </c>
      <c r="AA54" s="4">
        <f>IF(H54*G54,LOOKUP(Z54,'Daniel''s Tables'!$Z$135:$Z$214,'Daniel''s Tables'!$AB$135:$AB$214),0)</f>
        <v>0.15</v>
      </c>
      <c r="AB54" s="869">
        <f t="shared" si="12"/>
        <v>8.9025000000000016</v>
      </c>
      <c r="AC54" s="871">
        <f t="shared" si="6"/>
        <v>125.80568333333333</v>
      </c>
      <c r="AD54" s="838">
        <f t="shared" si="7"/>
        <v>103.39066904761906</v>
      </c>
      <c r="AE54" s="838"/>
    </row>
    <row r="55" spans="1:31" ht="15.75" customHeight="1" x14ac:dyDescent="0.2">
      <c r="A55" s="892"/>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0.5697640169031698</v>
      </c>
      <c r="AA55" s="4">
        <f>IF(H55*G55,LOOKUP(Z55,'Daniel''s Tables'!$Z$135:$Z$214,'Daniel''s Tables'!$AB$135:$AB$214),0)</f>
        <v>0.1</v>
      </c>
      <c r="AB55" s="869">
        <f t="shared" si="12"/>
        <v>9.081666666666667</v>
      </c>
      <c r="AC55" s="871">
        <f t="shared" si="6"/>
        <v>107.646675</v>
      </c>
      <c r="AD55" s="838">
        <f t="shared" si="7"/>
        <v>105.04515238095237</v>
      </c>
      <c r="AE55" s="838"/>
    </row>
    <row r="56" spans="1:31" ht="15.75" customHeight="1" x14ac:dyDescent="0.2">
      <c r="A56" s="892"/>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0.57970732493414345</v>
      </c>
      <c r="AA56" s="4">
        <f>IF(H56*G56,LOOKUP(Z56,'Daniel''s Tables'!$Z$135:$Z$214,'Daniel''s Tables'!$AB$135:$AB$214),0)</f>
        <v>0.1</v>
      </c>
      <c r="AB56" s="869">
        <f t="shared" si="12"/>
        <v>5.9233333333333338</v>
      </c>
      <c r="AC56" s="871">
        <f t="shared" si="6"/>
        <v>102.23500833333333</v>
      </c>
      <c r="AD56" s="838">
        <f t="shared" si="7"/>
        <v>105.20415952380951</v>
      </c>
      <c r="AE56" s="838"/>
    </row>
    <row r="57" spans="1:31" ht="15.75" customHeight="1" x14ac:dyDescent="0.2">
      <c r="A57" s="892"/>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0.7463586938203387</v>
      </c>
      <c r="AA57" s="4">
        <f>IF(H57*G57,LOOKUP(Z57,'Daniel''s Tables'!$Z$135:$Z$214,'Daniel''s Tables'!$AB$135:$AB$214),0)</f>
        <v>0.34150000000000003</v>
      </c>
      <c r="AB57" s="869">
        <f t="shared" si="12"/>
        <v>44.195791666666665</v>
      </c>
      <c r="AC57" s="871">
        <f t="shared" si="6"/>
        <v>120.98288333333333</v>
      </c>
      <c r="AD57" s="838">
        <f t="shared" si="7"/>
        <v>109.33880595238095</v>
      </c>
      <c r="AE57" s="838">
        <f>AC57</f>
        <v>120.98288333333333</v>
      </c>
    </row>
    <row r="58" spans="1:31" ht="15.75" customHeight="1" x14ac:dyDescent="0.2">
      <c r="A58" s="893"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0.54672095771562268</v>
      </c>
      <c r="AA58" s="4">
        <f>IF(H58*G58,LOOKUP(Z58,'Daniel''s Tables'!$Z$135:$Z$214,'Daniel''s Tables'!$AB$135:$AB$214),0)</f>
        <v>0.1</v>
      </c>
      <c r="AB58" s="869">
        <f t="shared" si="12"/>
        <v>5.8116666666666674</v>
      </c>
      <c r="AC58" s="871">
        <f t="shared" si="6"/>
        <v>120.98420833333333</v>
      </c>
      <c r="AD58" s="838">
        <f t="shared" si="7"/>
        <v>113.65686071428571</v>
      </c>
      <c r="AE58" s="838"/>
    </row>
    <row r="59" spans="1:31" ht="15.75" customHeight="1" x14ac:dyDescent="0.2">
      <c r="A59" s="893"/>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0.57482322786373818</v>
      </c>
      <c r="AA59" s="4">
        <f>IF(H59*G59,LOOKUP(Z59,'Daniel''s Tables'!$Z$135:$Z$214,'Daniel''s Tables'!$AB$135:$AB$214),0)</f>
        <v>0.1</v>
      </c>
      <c r="AB59" s="869">
        <f t="shared" si="12"/>
        <v>6.043333333333333</v>
      </c>
      <c r="AC59" s="871">
        <f t="shared" si="6"/>
        <v>117.33754166666667</v>
      </c>
      <c r="AD59" s="838">
        <f t="shared" si="7"/>
        <v>116.9930107142857</v>
      </c>
      <c r="AE59" s="838"/>
    </row>
    <row r="60" spans="1:31" ht="15.75" customHeight="1" x14ac:dyDescent="0.2">
      <c r="A60" s="893"/>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0.64792854235263231</v>
      </c>
      <c r="AA60" s="4">
        <f>IF(H60*G60,LOOKUP(Z60,'Daniel''s Tables'!$Z$135:$Z$214,'Daniel''s Tables'!$AB$135:$AB$214),0)</f>
        <v>0.17499999999999999</v>
      </c>
      <c r="AB60" s="869">
        <f t="shared" si="12"/>
        <v>22.160833333333333</v>
      </c>
      <c r="AC60" s="871">
        <f t="shared" si="6"/>
        <v>102.119125</v>
      </c>
      <c r="AD60" s="838">
        <f t="shared" si="7"/>
        <v>113.87301785714284</v>
      </c>
      <c r="AE60" s="838"/>
    </row>
    <row r="61" spans="1:31" ht="15.75" customHeight="1" x14ac:dyDescent="0.2">
      <c r="A61" s="893"/>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0.61266454619584332</v>
      </c>
      <c r="AA61" s="4">
        <f>IF(H61*G61,LOOKUP(Z61,'Daniel''s Tables'!$Z$135:$Z$214,'Daniel''s Tables'!$AB$135:$AB$214),0)</f>
        <v>0.122</v>
      </c>
      <c r="AB61" s="869">
        <f t="shared" si="12"/>
        <v>6.4599000000000002</v>
      </c>
      <c r="AC61" s="871">
        <f t="shared" si="6"/>
        <v>99.676525000000012</v>
      </c>
      <c r="AD61" s="838">
        <f t="shared" si="7"/>
        <v>110.14028095238095</v>
      </c>
      <c r="AE61" s="838"/>
    </row>
    <row r="62" spans="1:31" ht="15.75" customHeight="1" x14ac:dyDescent="0.2">
      <c r="A62" s="893"/>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0.60223877108743451</v>
      </c>
      <c r="AA62" s="4">
        <f>IF(H62*G62,LOOKUP(Z62,'Daniel''s Tables'!$Z$135:$Z$214,'Daniel''s Tables'!$AB$135:$AB$214),0)</f>
        <v>0.11</v>
      </c>
      <c r="AB62" s="869">
        <f t="shared" si="12"/>
        <v>9.2840000000000007</v>
      </c>
      <c r="AC62" s="871">
        <f t="shared" si="6"/>
        <v>99.878858333333341</v>
      </c>
      <c r="AD62" s="838">
        <f t="shared" si="7"/>
        <v>109.03059285714286</v>
      </c>
      <c r="AE62" s="838"/>
    </row>
    <row r="63" spans="1:31" ht="15.75" customHeight="1" x14ac:dyDescent="0.2">
      <c r="A63" s="893"/>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0.59083174089472845</v>
      </c>
      <c r="AA63" s="4">
        <f>IF(H63*G63,LOOKUP(Z63,'Daniel''s Tables'!$Z$135:$Z$214,'Daniel''s Tables'!$AB$135:$AB$214),0)</f>
        <v>0.1</v>
      </c>
      <c r="AB63" s="869">
        <f t="shared" si="12"/>
        <v>4.2</v>
      </c>
      <c r="AC63" s="871">
        <f t="shared" si="6"/>
        <v>98.155525000000011</v>
      </c>
      <c r="AD63" s="838">
        <f t="shared" si="7"/>
        <v>108.44780952380952</v>
      </c>
      <c r="AE63" s="838"/>
    </row>
    <row r="64" spans="1:31" ht="15.75" customHeight="1" x14ac:dyDescent="0.2">
      <c r="A64" s="893"/>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0.68763127211701125</v>
      </c>
      <c r="AA64" s="4">
        <f>IF(H64*G64,LOOKUP(Z64,'Daniel''s Tables'!$Z$135:$Z$214,'Daniel''s Tables'!$AB$135:$AB$214),0)</f>
        <v>0.24149999999999999</v>
      </c>
      <c r="AB64" s="869">
        <f t="shared" si="12"/>
        <v>33.532274999999998</v>
      </c>
      <c r="AC64" s="871">
        <f t="shared" si="6"/>
        <v>87.492008333333331</v>
      </c>
      <c r="AD64" s="838">
        <f t="shared" si="7"/>
        <v>103.6633988095238</v>
      </c>
      <c r="AE64" s="838">
        <f>AC64</f>
        <v>87.492008333333331</v>
      </c>
    </row>
    <row r="65" spans="1:31" ht="15.75" customHeight="1" x14ac:dyDescent="0.2">
      <c r="A65" s="892"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0.59166740503262205</v>
      </c>
      <c r="AA65" s="4">
        <f>IF(H65*G65,LOOKUP(Z65,'Daniel''s Tables'!$Z$135:$Z$214,'Daniel''s Tables'!$AB$135:$AB$214),0)</f>
        <v>0.1</v>
      </c>
      <c r="AB65" s="869">
        <f t="shared" si="12"/>
        <v>3.9000000000000004</v>
      </c>
      <c r="AC65" s="871">
        <f t="shared" si="6"/>
        <v>85.580341666666669</v>
      </c>
      <c r="AD65" s="838">
        <f t="shared" si="7"/>
        <v>98.605703571428563</v>
      </c>
      <c r="AE65" s="838"/>
    </row>
    <row r="66" spans="1:31" ht="15.75" customHeight="1" x14ac:dyDescent="0.2">
      <c r="A66" s="892"/>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0.57882055436716584</v>
      </c>
      <c r="AA66" s="4">
        <f>IF(H66*G66,LOOKUP(Z66,'Daniel''s Tables'!$Z$135:$Z$214,'Daniel''s Tables'!$AB$135:$AB$214),0)</f>
        <v>0.1</v>
      </c>
      <c r="AB66" s="869">
        <f t="shared" si="12"/>
        <v>3.9616666666666669</v>
      </c>
      <c r="AC66" s="871">
        <f t="shared" si="6"/>
        <v>83.49867500000002</v>
      </c>
      <c r="AD66" s="838">
        <f t="shared" si="7"/>
        <v>93.771579761904789</v>
      </c>
      <c r="AE66" s="838"/>
    </row>
    <row r="67" spans="1:31" ht="15.75" customHeight="1" x14ac:dyDescent="0.2">
      <c r="A67" s="892"/>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0.70744260517745194</v>
      </c>
      <c r="AA67" s="4">
        <f>IF(H67*G67,LOOKUP(Z67,'Daniel''s Tables'!$Z$135:$Z$214,'Daniel''s Tables'!$AB$135:$AB$214),0)</f>
        <v>0.26649999999999996</v>
      </c>
      <c r="AB67" s="869">
        <f t="shared" si="12"/>
        <v>20.267325</v>
      </c>
      <c r="AC67" s="871">
        <f t="shared" si="6"/>
        <v>81.605166666666662</v>
      </c>
      <c r="AD67" s="838">
        <f t="shared" si="7"/>
        <v>90.841014285714309</v>
      </c>
      <c r="AE67" s="838"/>
    </row>
    <row r="68" spans="1:31" ht="15.75" customHeight="1" x14ac:dyDescent="0.2">
      <c r="A68" s="892"/>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0.54520758455221374</v>
      </c>
      <c r="AA68" s="4">
        <f>IF(H68*G68,LOOKUP(Z68,'Daniel''s Tables'!$Z$135:$Z$214,'Daniel''s Tables'!$AB$135:$AB$214),0)</f>
        <v>0.1</v>
      </c>
      <c r="AB68" s="869">
        <f t="shared" si="12"/>
        <v>4.2066666666666661</v>
      </c>
      <c r="AC68" s="871">
        <f t="shared" si="6"/>
        <v>79.351933333333321</v>
      </c>
      <c r="AD68" s="838">
        <f t="shared" si="7"/>
        <v>87.937501190476198</v>
      </c>
      <c r="AE68" s="838"/>
    </row>
    <row r="69" spans="1:31" ht="15.75" customHeight="1" x14ac:dyDescent="0.2">
      <c r="A69" s="892"/>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0.7732944832054508</v>
      </c>
      <c r="AA69" s="4">
        <f>IF(H69*G69,LOOKUP(Z69,'Daniel''s Tables'!$Z$135:$Z$214,'Daniel''s Tables'!$AB$135:$AB$214),0)</f>
        <v>0.39200000000000002</v>
      </c>
      <c r="AB69" s="869">
        <f t="shared" si="12"/>
        <v>44.217600000000004</v>
      </c>
      <c r="AC69" s="871">
        <f t="shared" si="6"/>
        <v>114.28553333333333</v>
      </c>
      <c r="AD69" s="838">
        <f t="shared" si="7"/>
        <v>89.995597619047629</v>
      </c>
      <c r="AE69" s="838"/>
    </row>
    <row r="70" spans="1:31" ht="15.75" customHeight="1" x14ac:dyDescent="0.2">
      <c r="A70" s="892"/>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0.55944755257261436</v>
      </c>
      <c r="AA70" s="4">
        <f>IF(H70*G70,LOOKUP(Z70,'Daniel''s Tables'!$Z$135:$Z$214,'Daniel''s Tables'!$AB$135:$AB$214),0)</f>
        <v>0.1</v>
      </c>
      <c r="AB70" s="869">
        <f t="shared" si="12"/>
        <v>4.0716666666666672</v>
      </c>
      <c r="AC70" s="871">
        <f t="shared" si="6"/>
        <v>114.1572</v>
      </c>
      <c r="AD70" s="838">
        <f t="shared" si="7"/>
        <v>92.281551190476193</v>
      </c>
      <c r="AE70" s="838"/>
    </row>
    <row r="71" spans="1:31" ht="15.75" customHeight="1" x14ac:dyDescent="0.2">
      <c r="A71" s="892"/>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0.62259999023522994</v>
      </c>
      <c r="AA71" s="4">
        <f>IF(H71*G71,LOOKUP(Z71,'Daniel''s Tables'!$Z$135:$Z$214,'Daniel''s Tables'!$AB$135:$AB$214),0)</f>
        <v>0.13500000000000001</v>
      </c>
      <c r="AB71" s="869">
        <f t="shared" si="12"/>
        <v>20.231999999999999</v>
      </c>
      <c r="AC71" s="871">
        <f t="shared" si="6"/>
        <v>100.856925</v>
      </c>
      <c r="AD71" s="838">
        <f t="shared" si="7"/>
        <v>94.190825000000004</v>
      </c>
      <c r="AE71" s="838">
        <f>AC71</f>
        <v>100.856925</v>
      </c>
    </row>
    <row r="72" spans="1:31" ht="15.75" customHeight="1" x14ac:dyDescent="0.2">
      <c r="A72" s="893"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0.59474421546259426</v>
      </c>
      <c r="AA72" s="4">
        <f>IF(H72*G72,LOOKUP(Z72,'Daniel''s Tables'!$Z$135:$Z$214,'Daniel''s Tables'!$AB$135:$AB$214),0)</f>
        <v>0.1</v>
      </c>
      <c r="AB72" s="869">
        <f t="shared" si="12"/>
        <v>5.8333333333333339</v>
      </c>
      <c r="AC72" s="871">
        <f t="shared" si="6"/>
        <v>102.79025833333334</v>
      </c>
      <c r="AD72" s="838">
        <f t="shared" si="7"/>
        <v>96.64938452380953</v>
      </c>
      <c r="AE72" s="838"/>
    </row>
    <row r="73" spans="1:31" ht="15.75" customHeight="1" x14ac:dyDescent="0.2">
      <c r="A73" s="893"/>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0.71921259425306705</v>
      </c>
      <c r="AA73" s="4">
        <f>IF(H73*G73,LOOKUP(Z73,'Daniel''s Tables'!$Z$135:$Z$214,'Daniel''s Tables'!$AB$135:$AB$214),0)</f>
        <v>0.29149999999999998</v>
      </c>
      <c r="AB73" s="869">
        <f t="shared" si="12"/>
        <v>27.366991666666667</v>
      </c>
      <c r="AC73" s="871">
        <f t="shared" si="6"/>
        <v>126.19558333333333</v>
      </c>
      <c r="AD73" s="838">
        <f t="shared" si="7"/>
        <v>102.74894285714286</v>
      </c>
      <c r="AE73" s="838"/>
    </row>
    <row r="74" spans="1:31" ht="15.75" customHeight="1" x14ac:dyDescent="0.2">
      <c r="A74" s="893"/>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0.58473625392200979</v>
      </c>
      <c r="AA74" s="4">
        <f>IF(H74*G74,LOOKUP(Z74,'Daniel''s Tables'!$Z$135:$Z$214,'Daniel''s Tables'!$AB$135:$AB$214),0)</f>
        <v>0.1</v>
      </c>
      <c r="AB74" s="869">
        <f t="shared" si="12"/>
        <v>7.2783333333333333</v>
      </c>
      <c r="AC74" s="871">
        <f t="shared" si="6"/>
        <v>113.20659166666667</v>
      </c>
      <c r="AD74" s="838">
        <f t="shared" si="7"/>
        <v>107.26343214285714</v>
      </c>
      <c r="AE74" s="838"/>
    </row>
    <row r="75" spans="1:31" ht="15.75" customHeight="1" x14ac:dyDescent="0.2">
      <c r="A75" s="893"/>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0.72434714542116752</v>
      </c>
      <c r="AA75" s="4">
        <f>IF(H75*G75,LOOKUP(Z75,'Daniel''s Tables'!$Z$135:$Z$214,'Daniel''s Tables'!$AB$135:$AB$214),0)</f>
        <v>0.3</v>
      </c>
      <c r="AB75" s="869">
        <f t="shared" si="12"/>
        <v>39.619999999999997</v>
      </c>
      <c r="AC75" s="871">
        <f t="shared" si="6"/>
        <v>148.61992499999999</v>
      </c>
      <c r="AD75" s="838">
        <f t="shared" si="7"/>
        <v>117.15885952380951</v>
      </c>
      <c r="AE75" s="838"/>
    </row>
    <row r="76" spans="1:31" ht="15.75" customHeight="1" x14ac:dyDescent="0.2">
      <c r="A76" s="893"/>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0.58051865514777801</v>
      </c>
      <c r="AA76" s="4">
        <f>IF(H76*G76,LOOKUP(Z76,'Daniel''s Tables'!$Z$135:$Z$214,'Daniel''s Tables'!$AB$135:$AB$214),0)</f>
        <v>0.1</v>
      </c>
      <c r="AB76" s="869">
        <f t="shared" si="12"/>
        <v>4.0233333333333334</v>
      </c>
      <c r="AC76" s="871">
        <f t="shared" si="6"/>
        <v>108.42565833333333</v>
      </c>
      <c r="AD76" s="838">
        <f t="shared" si="7"/>
        <v>116.32173452380951</v>
      </c>
      <c r="AE76" s="838"/>
    </row>
    <row r="77" spans="1:31" ht="15.75" customHeight="1" x14ac:dyDescent="0.2">
      <c r="A77" s="893"/>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0.54629024215985345</v>
      </c>
      <c r="AA77" s="4">
        <f>IF(H77*G77,LOOKUP(Z77,'Daniel''s Tables'!$Z$135:$Z$214,'Daniel''s Tables'!$AB$135:$AB$214),0)</f>
        <v>0.1</v>
      </c>
      <c r="AB77" s="869">
        <f t="shared" si="12"/>
        <v>5.873333333333334</v>
      </c>
      <c r="AC77" s="871">
        <f t="shared" si="6"/>
        <v>110.22732500000001</v>
      </c>
      <c r="AD77" s="838">
        <f t="shared" si="7"/>
        <v>115.7603238095238</v>
      </c>
      <c r="AE77" s="838"/>
    </row>
    <row r="78" spans="1:31" ht="15.75" customHeight="1" x14ac:dyDescent="0.2">
      <c r="A78" s="893"/>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89.995325000000008</v>
      </c>
      <c r="AD78" s="838">
        <f t="shared" si="7"/>
        <v>114.20866666666667</v>
      </c>
      <c r="AE78" s="838">
        <f>AC78</f>
        <v>89.995325000000008</v>
      </c>
    </row>
    <row r="79" spans="1:31" ht="15.75" customHeight="1" x14ac:dyDescent="0.2">
      <c r="A79" s="892"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0.56801397640258766</v>
      </c>
      <c r="AA79" s="4">
        <f>IF(H79*G79,LOOKUP(Z79,'Daniel''s Tables'!$Z$135:$Z$214,'Daniel''s Tables'!$AB$135:$AB$214),0)</f>
        <v>0.1</v>
      </c>
      <c r="AB79" s="869">
        <f t="shared" si="12"/>
        <v>3.7733333333333334</v>
      </c>
      <c r="AC79" s="871">
        <f t="shared" ref="AC79:AC135" si="16">SUM(AB73:AB79)</f>
        <v>87.935325000000006</v>
      </c>
      <c r="AD79" s="838">
        <f t="shared" ref="AD79:AD135" si="17">SUM(AC73:AC79)/7</f>
        <v>112.08653333333334</v>
      </c>
      <c r="AE79" s="838"/>
    </row>
    <row r="80" spans="1:31" ht="15.75" customHeight="1" x14ac:dyDescent="0.2">
      <c r="A80" s="892"/>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0.60400724583212329</v>
      </c>
      <c r="AA80" s="4">
        <f>IF(H80*G80,LOOKUP(Z80,'Daniel''s Tables'!$Z$135:$Z$214,'Daniel''s Tables'!$AB$135:$AB$214),0)</f>
        <v>0.11</v>
      </c>
      <c r="AB80" s="869">
        <f t="shared" ref="AB80:AB135" si="22">H80*1440*AA80</f>
        <v>8.9595000000000002</v>
      </c>
      <c r="AC80" s="871">
        <f t="shared" si="16"/>
        <v>69.527833333333334</v>
      </c>
      <c r="AD80" s="838">
        <f t="shared" si="17"/>
        <v>103.99114047619048</v>
      </c>
      <c r="AE80" s="838"/>
    </row>
    <row r="81" spans="1:31" ht="15.75" customHeight="1" x14ac:dyDescent="0.2">
      <c r="A81" s="892"/>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0.6549088834363288</v>
      </c>
      <c r="AA81" s="4">
        <f>IF(H81*G81,LOOKUP(Z81,'Daniel''s Tables'!$Z$135:$Z$214,'Daniel''s Tables'!$AB$135:$AB$214),0)</f>
        <v>0.183</v>
      </c>
      <c r="AB81" s="869">
        <f t="shared" si="22"/>
        <v>20.996199999999998</v>
      </c>
      <c r="AC81" s="871">
        <f t="shared" si="16"/>
        <v>83.245699999999999</v>
      </c>
      <c r="AD81" s="838">
        <f t="shared" si="17"/>
        <v>99.711013095238087</v>
      </c>
      <c r="AE81" s="838"/>
    </row>
    <row r="82" spans="1:31" ht="15.75" customHeight="1" x14ac:dyDescent="0.2">
      <c r="A82" s="892"/>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0.58914027827902449</v>
      </c>
      <c r="AA82" s="4">
        <f>IF(H82*G82,LOOKUP(Z82,'Daniel''s Tables'!$Z$135:$Z$214,'Daniel''s Tables'!$AB$135:$AB$214),0)</f>
        <v>0.1</v>
      </c>
      <c r="AB82" s="869">
        <f t="shared" si="22"/>
        <v>6.2600000000000007</v>
      </c>
      <c r="AC82" s="871">
        <f t="shared" si="16"/>
        <v>49.885699999999993</v>
      </c>
      <c r="AD82" s="838">
        <f t="shared" si="17"/>
        <v>85.606123809523822</v>
      </c>
      <c r="AE82" s="838"/>
    </row>
    <row r="83" spans="1:31" ht="15.75" customHeight="1" x14ac:dyDescent="0.2">
      <c r="A83" s="892"/>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0.59006244185590329</v>
      </c>
      <c r="AA83" s="4">
        <f>IF(H83*G83,LOOKUP(Z83,'Daniel''s Tables'!$Z$135:$Z$214,'Daniel''s Tables'!$AB$135:$AB$214),0)</f>
        <v>0.1</v>
      </c>
      <c r="AB83" s="869">
        <f t="shared" si="22"/>
        <v>4.7650000000000006</v>
      </c>
      <c r="AC83" s="871">
        <f t="shared" si="16"/>
        <v>50.627366666666667</v>
      </c>
      <c r="AD83" s="838">
        <f t="shared" si="17"/>
        <v>77.349225000000004</v>
      </c>
      <c r="AE83" s="838"/>
    </row>
    <row r="84" spans="1:31" ht="15.75" customHeight="1" x14ac:dyDescent="0.2">
      <c r="A84" s="892"/>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0.59165266882506606</v>
      </c>
      <c r="AA84" s="4">
        <f>IF(H84*G84,LOOKUP(Z84,'Daniel''s Tables'!$Z$135:$Z$214,'Daniel''s Tables'!$AB$135:$AB$214),0)</f>
        <v>0.1</v>
      </c>
      <c r="AB84" s="869">
        <f t="shared" si="22"/>
        <v>7.9400000000000013</v>
      </c>
      <c r="AC84" s="871">
        <f t="shared" si="16"/>
        <v>52.694033333333337</v>
      </c>
      <c r="AD84" s="838">
        <f t="shared" si="17"/>
        <v>69.130183333333335</v>
      </c>
      <c r="AE84" s="838"/>
    </row>
    <row r="85" spans="1:31" ht="15.75" customHeight="1" x14ac:dyDescent="0.2">
      <c r="A85" s="892"/>
      <c r="B85" s="854">
        <v>50</v>
      </c>
      <c r="C85" s="855">
        <f t="shared" si="0"/>
        <v>45892</v>
      </c>
      <c r="D85" s="854" t="s">
        <v>30</v>
      </c>
      <c r="E85" s="856" t="s">
        <v>484</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0.71792783776584135</v>
      </c>
      <c r="AA85" s="4">
        <f>IF(H85*G85,LOOKUP(Z85,'Daniel''s Tables'!$Z$135:$Z$214,'Daniel''s Tables'!$AB$135:$AB$214),0)</f>
        <v>0.29149999999999998</v>
      </c>
      <c r="AB85" s="869">
        <f t="shared" si="22"/>
        <v>34.921699999999994</v>
      </c>
      <c r="AC85" s="871">
        <f t="shared" si="16"/>
        <v>87.615733333333338</v>
      </c>
      <c r="AD85" s="838">
        <f t="shared" si="17"/>
        <v>68.790241666666674</v>
      </c>
      <c r="AE85" s="838">
        <f>AC85</f>
        <v>87.615733333333338</v>
      </c>
    </row>
    <row r="86" spans="1:31" ht="15.75" customHeight="1" x14ac:dyDescent="0.2">
      <c r="A86" s="893"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0.55988697408858001</v>
      </c>
      <c r="AA86" s="4">
        <f>IF(H86*G86,LOOKUP(Z86,'Daniel''s Tables'!$Z$135:$Z$214,'Daniel''s Tables'!$AB$135:$AB$214),0)</f>
        <v>0.1</v>
      </c>
      <c r="AB86" s="869">
        <f t="shared" si="22"/>
        <v>6.66</v>
      </c>
      <c r="AC86" s="871">
        <f t="shared" si="16"/>
        <v>90.502399999999994</v>
      </c>
      <c r="AD86" s="838">
        <f t="shared" si="17"/>
        <v>69.156966666666662</v>
      </c>
      <c r="AE86" s="838"/>
    </row>
    <row r="87" spans="1:31" ht="15.75" customHeight="1" x14ac:dyDescent="0.2">
      <c r="A87" s="893"/>
      <c r="B87" s="6">
        <v>48</v>
      </c>
      <c r="C87" s="17">
        <f t="shared" si="0"/>
        <v>45894</v>
      </c>
      <c r="D87" s="6" t="s">
        <v>33</v>
      </c>
      <c r="E87" s="4" t="s">
        <v>503</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0.64970069240602024</v>
      </c>
      <c r="AA87" s="4">
        <f>IF(H87*G87,LOOKUP(Z87,'Daniel''s Tables'!$Z$135:$Z$214,'Daniel''s Tables'!$AB$135:$AB$214),0)</f>
        <v>0.17499999999999999</v>
      </c>
      <c r="AB87" s="869">
        <f t="shared" si="22"/>
        <v>7.5891666666666664</v>
      </c>
      <c r="AC87" s="871">
        <f t="shared" si="16"/>
        <v>89.132066666666674</v>
      </c>
      <c r="AD87" s="838">
        <f t="shared" si="17"/>
        <v>71.957571428571427</v>
      </c>
      <c r="AE87" s="838"/>
    </row>
    <row r="88" spans="1:31" ht="15.75" customHeight="1" x14ac:dyDescent="0.2">
      <c r="A88" s="893"/>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0.67397551129051136</v>
      </c>
      <c r="AA88" s="4">
        <f>IF(H88*G88,LOOKUP(Z88,'Daniel''s Tables'!$Z$135:$Z$214,'Daniel''s Tables'!$AB$135:$AB$214),0)</f>
        <v>0.217</v>
      </c>
      <c r="AB88" s="869">
        <f t="shared" si="22"/>
        <v>17.815700000000003</v>
      </c>
      <c r="AC88" s="871">
        <f t="shared" si="16"/>
        <v>85.951566666666679</v>
      </c>
      <c r="AD88" s="838">
        <f t="shared" si="17"/>
        <v>72.344123809523822</v>
      </c>
      <c r="AE88" s="838"/>
    </row>
    <row r="89" spans="1:31" ht="15.75" customHeight="1" x14ac:dyDescent="0.2">
      <c r="A89" s="893"/>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0.61898070458796339</v>
      </c>
      <c r="AA89" s="4">
        <f>IF(H89*G89,LOOKUP(Z89,'Daniel''s Tables'!$Z$135:$Z$214,'Daniel''s Tables'!$AB$135:$AB$214),0)</f>
        <v>0.1285</v>
      </c>
      <c r="AB89" s="869">
        <f t="shared" si="22"/>
        <v>8.2304250000000003</v>
      </c>
      <c r="AC89" s="871">
        <f t="shared" si="16"/>
        <v>87.921991666666656</v>
      </c>
      <c r="AD89" s="838">
        <f t="shared" si="17"/>
        <v>77.777879761904757</v>
      </c>
      <c r="AE89" s="838"/>
    </row>
    <row r="90" spans="1:31" ht="15.75" customHeight="1" x14ac:dyDescent="0.2">
      <c r="A90" s="893"/>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0.77184857527700201</v>
      </c>
      <c r="AA90" s="4">
        <f>IF(H90*G90,LOOKUP(Z90,'Daniel''s Tables'!$Z$135:$Z$214,'Daniel''s Tables'!$AB$135:$AB$214),0)</f>
        <v>0.39200000000000002</v>
      </c>
      <c r="AB90" s="869">
        <f t="shared" si="22"/>
        <v>37.063600000000001</v>
      </c>
      <c r="AC90" s="871">
        <f t="shared" si="16"/>
        <v>120.22059166666665</v>
      </c>
      <c r="AD90" s="838">
        <f t="shared" si="17"/>
        <v>87.719769047619053</v>
      </c>
      <c r="AE90" s="838"/>
    </row>
    <row r="91" spans="1:31" ht="15.75" customHeight="1" x14ac:dyDescent="0.2">
      <c r="A91" s="893"/>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0.55481967550996958</v>
      </c>
      <c r="AA91" s="4">
        <f>IF(H91*G91,LOOKUP(Z91,'Daniel''s Tables'!$Z$135:$Z$214,'Daniel''s Tables'!$AB$135:$AB$214),0)</f>
        <v>0.1</v>
      </c>
      <c r="AB91" s="869">
        <f t="shared" si="22"/>
        <v>4.1316666666666668</v>
      </c>
      <c r="AC91" s="871">
        <f t="shared" si="16"/>
        <v>116.41225833333331</v>
      </c>
      <c r="AD91" s="838">
        <f t="shared" si="17"/>
        <v>96.822372619047613</v>
      </c>
      <c r="AE91" s="838"/>
    </row>
    <row r="92" spans="1:31" ht="15.75" customHeight="1" x14ac:dyDescent="0.2">
      <c r="A92" s="893"/>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0.63830118332345787</v>
      </c>
      <c r="AA92" s="4">
        <f>IF(H92*G92,LOOKUP(Z92,'Daniel''s Tables'!$Z$135:$Z$214,'Daniel''s Tables'!$AB$135:$AB$214),0)</f>
        <v>0.1585</v>
      </c>
      <c r="AB92" s="869">
        <f t="shared" si="22"/>
        <v>23.373466666666666</v>
      </c>
      <c r="AC92" s="871">
        <f t="shared" si="16"/>
        <v>104.864025</v>
      </c>
      <c r="AD92" s="838">
        <f t="shared" si="17"/>
        <v>99.286414285714272</v>
      </c>
      <c r="AE92" s="838">
        <f>AC92</f>
        <v>104.864025</v>
      </c>
    </row>
    <row r="93" spans="1:31" ht="15.75" customHeight="1" x14ac:dyDescent="0.2">
      <c r="A93" s="892"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0.54158792640852371</v>
      </c>
      <c r="AA93" s="4">
        <f>IF(H93*G93,LOOKUP(Z93,'Daniel''s Tables'!$Z$135:$Z$214,'Daniel''s Tables'!$AB$135:$AB$214),0)</f>
        <v>0.1</v>
      </c>
      <c r="AB93" s="869">
        <f t="shared" si="22"/>
        <v>6.6816666666666666</v>
      </c>
      <c r="AC93" s="871">
        <f t="shared" si="16"/>
        <v>104.88569166666667</v>
      </c>
      <c r="AD93" s="838">
        <f t="shared" si="17"/>
        <v>101.34117023809524</v>
      </c>
      <c r="AE93" s="838"/>
    </row>
    <row r="94" spans="1:31" ht="15.75" customHeight="1" x14ac:dyDescent="0.2">
      <c r="A94" s="892"/>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0.59251186899025055</v>
      </c>
      <c r="AA94" s="4">
        <f>IF(H94*G94,LOOKUP(Z94,'Daniel''s Tables'!$Z$135:$Z$214,'Daniel''s Tables'!$AB$135:$AB$214),0)</f>
        <v>0.1</v>
      </c>
      <c r="AB94" s="869">
        <f t="shared" si="22"/>
        <v>7.76</v>
      </c>
      <c r="AC94" s="871">
        <f t="shared" si="16"/>
        <v>105.05652500000001</v>
      </c>
      <c r="AD94" s="838">
        <f t="shared" si="17"/>
        <v>103.61609285714283</v>
      </c>
      <c r="AE94" s="838"/>
    </row>
    <row r="95" spans="1:31" ht="15.75" customHeight="1" x14ac:dyDescent="0.2">
      <c r="A95" s="892"/>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0.7148222129929056</v>
      </c>
      <c r="AA95" s="4">
        <f>IF(H95*G95,LOOKUP(Z95,'Daniel''s Tables'!$Z$135:$Z$214,'Daniel''s Tables'!$AB$135:$AB$214),0)</f>
        <v>0.28299999999999997</v>
      </c>
      <c r="AB95" s="869">
        <f t="shared" si="22"/>
        <v>26.436916666666665</v>
      </c>
      <c r="AC95" s="871">
        <f t="shared" si="16"/>
        <v>113.67774166666668</v>
      </c>
      <c r="AD95" s="838">
        <f t="shared" si="17"/>
        <v>107.57697499999998</v>
      </c>
      <c r="AE95" s="838"/>
    </row>
    <row r="96" spans="1:31" ht="15.75" customHeight="1" x14ac:dyDescent="0.2">
      <c r="A96" s="892"/>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0.57704442423750801</v>
      </c>
      <c r="AA96" s="4">
        <f>IF(H96*G96,LOOKUP(Z96,'Daniel''s Tables'!$Z$135:$Z$214,'Daniel''s Tables'!$AB$135:$AB$214),0)</f>
        <v>0.1</v>
      </c>
      <c r="AB96" s="869">
        <f t="shared" si="22"/>
        <v>10.44</v>
      </c>
      <c r="AC96" s="871">
        <f t="shared" si="16"/>
        <v>115.88731666666668</v>
      </c>
      <c r="AD96" s="838">
        <f t="shared" si="17"/>
        <v>111.57202142857143</v>
      </c>
      <c r="AE96" s="838"/>
    </row>
    <row r="97" spans="1:31" ht="15.75" customHeight="1" x14ac:dyDescent="0.2">
      <c r="A97" s="892"/>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0.61682385230994796</v>
      </c>
      <c r="AA97" s="4">
        <f>IF(H97*G97,LOOKUP(Z97,'Daniel''s Tables'!$Z$135:$Z$214,'Daniel''s Tables'!$AB$135:$AB$214),0)</f>
        <v>0.1285</v>
      </c>
      <c r="AB97" s="869">
        <f t="shared" si="22"/>
        <v>9.7595749999999999</v>
      </c>
      <c r="AC97" s="871">
        <f t="shared" si="16"/>
        <v>88.583291666666653</v>
      </c>
      <c r="AD97" s="838">
        <f t="shared" si="17"/>
        <v>107.05240714285716</v>
      </c>
      <c r="AE97" s="838"/>
    </row>
    <row r="98" spans="1:31" ht="15.75" customHeight="1" x14ac:dyDescent="0.2">
      <c r="A98" s="892"/>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0.55849432268213306</v>
      </c>
      <c r="AA98" s="4">
        <f>IF(H98*G98,LOOKUP(Z98,'Daniel''s Tables'!$Z$135:$Z$214,'Daniel''s Tables'!$AB$135:$AB$214),0)</f>
        <v>0.1</v>
      </c>
      <c r="AB98" s="869">
        <f t="shared" si="22"/>
        <v>4.1016666666666666</v>
      </c>
      <c r="AC98" s="871">
        <f t="shared" si="16"/>
        <v>88.553291666666667</v>
      </c>
      <c r="AD98" s="838">
        <f t="shared" si="17"/>
        <v>103.07255476190478</v>
      </c>
      <c r="AE98" s="838"/>
    </row>
    <row r="99" spans="1:31" ht="15.75" customHeight="1" x14ac:dyDescent="0.2">
      <c r="A99" s="892"/>
      <c r="B99" s="854">
        <v>36</v>
      </c>
      <c r="C99" s="855">
        <f t="shared" si="0"/>
        <v>45906</v>
      </c>
      <c r="D99" s="854" t="s">
        <v>30</v>
      </c>
      <c r="E99" s="856" t="s">
        <v>504</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0.76702167884495132</v>
      </c>
      <c r="AA99" s="4">
        <f>IF(H99*G99,LOOKUP(Z99,'Daniel''s Tables'!$Z$135:$Z$214,'Daniel''s Tables'!$AB$135:$AB$214),0)</f>
        <v>0.3795</v>
      </c>
      <c r="AB99" s="869">
        <f t="shared" si="22"/>
        <v>47.823324999999997</v>
      </c>
      <c r="AC99" s="871">
        <f t="shared" si="16"/>
        <v>113.00314999999999</v>
      </c>
      <c r="AD99" s="838">
        <f t="shared" si="17"/>
        <v>104.23528690476191</v>
      </c>
      <c r="AE99" s="838">
        <f>AC99</f>
        <v>113.00314999999999</v>
      </c>
    </row>
    <row r="100" spans="1:31" ht="15.75" customHeight="1" x14ac:dyDescent="0.2">
      <c r="A100" s="893"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0.59463759722697374</v>
      </c>
      <c r="AA100" s="4">
        <f>IF(H100*G100,LOOKUP(Z100,'Daniel''s Tables'!$Z$135:$Z$214,'Daniel''s Tables'!$AB$135:$AB$214),0)</f>
        <v>0.1</v>
      </c>
      <c r="AB100" s="869">
        <f t="shared" si="22"/>
        <v>5.9966666666666661</v>
      </c>
      <c r="AC100" s="871">
        <f t="shared" si="16"/>
        <v>112.31815</v>
      </c>
      <c r="AD100" s="838">
        <f t="shared" si="17"/>
        <v>105.29706666666665</v>
      </c>
      <c r="AE100" s="838"/>
    </row>
    <row r="101" spans="1:31" ht="15.75" customHeight="1" x14ac:dyDescent="0.2">
      <c r="A101" s="893"/>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0.56982801057266497</v>
      </c>
      <c r="AA101" s="4">
        <f>IF(H101*G101,LOOKUP(Z101,'Daniel''s Tables'!$Z$135:$Z$214,'Daniel''s Tables'!$AB$135:$AB$214),0)</f>
        <v>0.1</v>
      </c>
      <c r="AB101" s="869">
        <f t="shared" si="22"/>
        <v>8.8966666666666665</v>
      </c>
      <c r="AC101" s="871">
        <f t="shared" si="16"/>
        <v>113.45481666666666</v>
      </c>
      <c r="AD101" s="838">
        <f t="shared" si="17"/>
        <v>106.49682261904761</v>
      </c>
      <c r="AE101" s="838"/>
    </row>
    <row r="102" spans="1:31" ht="15.75" customHeight="1" x14ac:dyDescent="0.2">
      <c r="A102" s="893"/>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0.70697005711369276</v>
      </c>
      <c r="AA102" s="4">
        <f>IF(H102*G102,LOOKUP(Z102,'Daniel''s Tables'!$Z$135:$Z$214,'Daniel''s Tables'!$AB$135:$AB$214),0)</f>
        <v>0.26649999999999996</v>
      </c>
      <c r="AB102" s="869">
        <f t="shared" si="22"/>
        <v>21.515433333333331</v>
      </c>
      <c r="AC102" s="871">
        <f t="shared" si="16"/>
        <v>108.53333333333333</v>
      </c>
      <c r="AD102" s="838">
        <f t="shared" si="17"/>
        <v>105.76190714285713</v>
      </c>
      <c r="AE102" s="838"/>
    </row>
    <row r="103" spans="1:31" ht="15.75" customHeight="1" x14ac:dyDescent="0.2">
      <c r="A103" s="893"/>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0.53932053308661643</v>
      </c>
      <c r="AA103" s="4">
        <f>IF(H103*G103,LOOKUP(Z103,'Daniel''s Tables'!$Z$135:$Z$214,'Daniel''s Tables'!$AB$135:$AB$214),0)</f>
        <v>0.1</v>
      </c>
      <c r="AB103" s="869">
        <f t="shared" si="22"/>
        <v>9.5666666666666664</v>
      </c>
      <c r="AC103" s="871">
        <f t="shared" si="16"/>
        <v>107.65999999999998</v>
      </c>
      <c r="AD103" s="838">
        <f t="shared" si="17"/>
        <v>104.58657619047618</v>
      </c>
      <c r="AE103" s="838"/>
    </row>
    <row r="104" spans="1:31" ht="15.75" customHeight="1" x14ac:dyDescent="0.2">
      <c r="A104" s="893"/>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0.62824983531960366</v>
      </c>
      <c r="AA104" s="4">
        <f>IF(H104*G104,LOOKUP(Z104,'Daniel''s Tables'!$Z$135:$Z$214,'Daniel''s Tables'!$AB$135:$AB$214),0)</f>
        <v>0.14250000000000002</v>
      </c>
      <c r="AB104" s="869">
        <f t="shared" si="22"/>
        <v>10.568750000000001</v>
      </c>
      <c r="AC104" s="871">
        <f t="shared" si="16"/>
        <v>108.46917499999998</v>
      </c>
      <c r="AD104" s="838">
        <f t="shared" si="17"/>
        <v>107.42741666666666</v>
      </c>
      <c r="AE104" s="838"/>
    </row>
    <row r="105" spans="1:31" ht="15.75" customHeight="1" x14ac:dyDescent="0.2">
      <c r="A105" s="893"/>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0.57883313799051361</v>
      </c>
      <c r="AA105" s="4">
        <f>IF(H105*G105,LOOKUP(Z105,'Daniel''s Tables'!$Z$135:$Z$214,'Daniel''s Tables'!$AB$135:$AB$214),0)</f>
        <v>0.1</v>
      </c>
      <c r="AB105" s="869">
        <f t="shared" si="22"/>
        <v>5.3216666666666672</v>
      </c>
      <c r="AC105" s="871">
        <f t="shared" si="16"/>
        <v>109.68917499999999</v>
      </c>
      <c r="AD105" s="838">
        <f t="shared" si="17"/>
        <v>110.44682857142855</v>
      </c>
      <c r="AE105" s="838"/>
    </row>
    <row r="106" spans="1:31" ht="15.75" customHeight="1" x14ac:dyDescent="0.2">
      <c r="A106" s="893"/>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0.71080202906965195</v>
      </c>
      <c r="AA106" s="4">
        <f>IF(H106*G106,LOOKUP(Z106,'Daniel''s Tables'!$Z$135:$Z$214,'Daniel''s Tables'!$AB$135:$AB$214),0)</f>
        <v>0.28299999999999997</v>
      </c>
      <c r="AB106" s="869">
        <f t="shared" si="22"/>
        <v>34.860883333333334</v>
      </c>
      <c r="AC106" s="871">
        <f t="shared" si="16"/>
        <v>96.726733333333328</v>
      </c>
      <c r="AD106" s="838">
        <f t="shared" si="17"/>
        <v>108.12162619047616</v>
      </c>
      <c r="AE106" s="838">
        <f>AC106</f>
        <v>96.726733333333328</v>
      </c>
    </row>
    <row r="107" spans="1:31" ht="15.75" customHeight="1" x14ac:dyDescent="0.2">
      <c r="A107" s="892" t="s">
        <v>45</v>
      </c>
      <c r="B107" s="854">
        <v>28</v>
      </c>
      <c r="C107" s="855">
        <f t="shared" si="0"/>
        <v>45914</v>
      </c>
      <c r="D107" s="854" t="s">
        <v>31</v>
      </c>
      <c r="E107" s="856" t="s">
        <v>381</v>
      </c>
      <c r="F107" s="854">
        <v>6</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72</v>
      </c>
      <c r="X107" s="868">
        <f t="shared" si="20"/>
        <v>76.714285714285708</v>
      </c>
      <c r="Y107" s="4"/>
      <c r="Z107" s="869">
        <f t="shared" si="21"/>
        <v>0.58903065146142763</v>
      </c>
      <c r="AA107" s="4">
        <f>IF(H107*G107,LOOKUP(Z107,'Daniel''s Tables'!$Z$135:$Z$214,'Daniel''s Tables'!$AB$135:$AB$214),0)</f>
        <v>0.1</v>
      </c>
      <c r="AB107" s="869">
        <f t="shared" si="22"/>
        <v>4.07</v>
      </c>
      <c r="AC107" s="871">
        <f t="shared" si="16"/>
        <v>94.800066666666652</v>
      </c>
      <c r="AD107" s="838">
        <f t="shared" si="17"/>
        <v>105.61904285714284</v>
      </c>
      <c r="AE107" s="838"/>
    </row>
    <row r="108" spans="1:31" ht="15.75" customHeight="1" x14ac:dyDescent="0.2">
      <c r="A108" s="892"/>
      <c r="B108" s="854">
        <v>27</v>
      </c>
      <c r="C108" s="855">
        <f t="shared" si="0"/>
        <v>45915</v>
      </c>
      <c r="D108" s="854" t="s">
        <v>33</v>
      </c>
      <c r="E108" s="856" t="s">
        <v>437</v>
      </c>
      <c r="F108" s="854">
        <v>10</v>
      </c>
      <c r="G108" s="854">
        <v>9.34</v>
      </c>
      <c r="H108" s="857">
        <f>TIME(1,5,32) + TIME(0,4,54)</f>
        <v>4.8912037037037032E-2</v>
      </c>
      <c r="I108" s="854" t="str">
        <f t="shared" si="14"/>
        <v>7:32</v>
      </c>
      <c r="J108" s="854"/>
      <c r="K108" s="854"/>
      <c r="L108" s="854" t="str">
        <f t="shared" si="2"/>
        <v>0:00</v>
      </c>
      <c r="M108" s="854"/>
      <c r="N108" s="854"/>
      <c r="O108" s="858"/>
      <c r="P108" s="863"/>
      <c r="Q108" s="864"/>
      <c r="R108" s="4"/>
      <c r="S108" s="4"/>
      <c r="T108" s="16">
        <f t="shared" si="15"/>
        <v>73.13000000000001</v>
      </c>
      <c r="U108" s="868">
        <f t="shared" si="18"/>
        <v>76.929999999999993</v>
      </c>
      <c r="V108" s="4">
        <v>70</v>
      </c>
      <c r="W108" s="4">
        <f t="shared" si="19"/>
        <v>72</v>
      </c>
      <c r="X108" s="868">
        <f t="shared" si="20"/>
        <v>75.571428571428569</v>
      </c>
      <c r="Y108" s="4"/>
      <c r="Z108" s="869">
        <f t="shared" si="21"/>
        <v>0.613918566912528</v>
      </c>
      <c r="AA108" s="4">
        <f>IF(H108*G108,LOOKUP(Z108,'Daniel''s Tables'!$Z$135:$Z$214,'Daniel''s Tables'!$AB$135:$AB$214),0)</f>
        <v>0.122</v>
      </c>
      <c r="AB108" s="869">
        <f t="shared" si="22"/>
        <v>8.5928666666666658</v>
      </c>
      <c r="AC108" s="871">
        <f t="shared" si="16"/>
        <v>94.496266666666671</v>
      </c>
      <c r="AD108" s="838">
        <f t="shared" si="17"/>
        <v>102.91067857142856</v>
      </c>
      <c r="AE108" s="838"/>
    </row>
    <row r="109" spans="1:31" ht="15.75" customHeight="1" x14ac:dyDescent="0.2">
      <c r="A109" s="892"/>
      <c r="B109" s="854">
        <v>26</v>
      </c>
      <c r="C109" s="855">
        <f t="shared" si="0"/>
        <v>45916</v>
      </c>
      <c r="D109" s="854" t="s">
        <v>34</v>
      </c>
      <c r="E109" s="856" t="s">
        <v>417</v>
      </c>
      <c r="F109" s="854">
        <v>12</v>
      </c>
      <c r="G109" s="854">
        <v>13.02</v>
      </c>
      <c r="H109" s="857">
        <v>5.9918981481481483E-2</v>
      </c>
      <c r="I109" s="854" t="str">
        <f t="shared" si="14"/>
        <v>6:38</v>
      </c>
      <c r="J109" s="857">
        <f>TIME(0,15,69) + TIME(0,9,35)+ TIME(0,0,70+69+67+66)</f>
        <v>2.101851851851852E-2</v>
      </c>
      <c r="K109" s="854">
        <v>5.84</v>
      </c>
      <c r="L109" s="854" t="str">
        <f t="shared" si="2"/>
        <v>5:11</v>
      </c>
      <c r="M109" s="854"/>
      <c r="N109" s="854"/>
      <c r="O109" s="858"/>
      <c r="P109" s="863"/>
      <c r="Q109" s="864"/>
      <c r="R109" s="4"/>
      <c r="S109" s="4"/>
      <c r="T109" s="16">
        <f t="shared" si="15"/>
        <v>74.149999999999991</v>
      </c>
      <c r="U109" s="868">
        <f t="shared" si="18"/>
        <v>76.210000000000008</v>
      </c>
      <c r="V109" s="4">
        <v>70</v>
      </c>
      <c r="W109" s="4">
        <f t="shared" si="19"/>
        <v>70</v>
      </c>
      <c r="X109" s="868">
        <f t="shared" si="20"/>
        <v>74.142857142857139</v>
      </c>
      <c r="Y109" s="4"/>
      <c r="Z109" s="869">
        <f t="shared" si="21"/>
        <v>0.72026845232988712</v>
      </c>
      <c r="AA109" s="4">
        <f>IF(H109*G109,LOOKUP(Z109,'Daniel''s Tables'!$Z$135:$Z$214,'Daniel''s Tables'!$AB$135:$AB$214),0)</f>
        <v>0.3</v>
      </c>
      <c r="AB109" s="869">
        <f t="shared" si="22"/>
        <v>25.884999999999998</v>
      </c>
      <c r="AC109" s="871">
        <f t="shared" si="16"/>
        <v>98.865833333333342</v>
      </c>
      <c r="AD109" s="838">
        <f t="shared" si="17"/>
        <v>101.52960714285713</v>
      </c>
      <c r="AE109" s="838"/>
    </row>
    <row r="110" spans="1:31" ht="15.75" customHeight="1" x14ac:dyDescent="0.2">
      <c r="A110" s="892"/>
      <c r="B110" s="854">
        <v>25</v>
      </c>
      <c r="C110" s="855">
        <f t="shared" si="0"/>
        <v>45917</v>
      </c>
      <c r="D110" s="854" t="s">
        <v>26</v>
      </c>
      <c r="E110" s="856" t="s">
        <v>384</v>
      </c>
      <c r="F110" s="854">
        <v>7</v>
      </c>
      <c r="G110" s="854">
        <v>6.23</v>
      </c>
      <c r="H110" s="857">
        <v>3.30787037037037E-2</v>
      </c>
      <c r="I110" s="854" t="str">
        <f t="shared" si="14"/>
        <v>7:39</v>
      </c>
      <c r="J110" s="854"/>
      <c r="K110" s="854"/>
      <c r="L110" s="854" t="str">
        <f t="shared" si="2"/>
        <v>0:00</v>
      </c>
      <c r="M110" s="854"/>
      <c r="N110" s="854"/>
      <c r="O110" s="858"/>
      <c r="P110" s="861"/>
      <c r="Q110" s="865"/>
      <c r="R110" s="4"/>
      <c r="S110" s="4"/>
      <c r="T110" s="16">
        <f t="shared" si="15"/>
        <v>68.95</v>
      </c>
      <c r="U110" s="868">
        <f t="shared" si="18"/>
        <v>74.995714285714286</v>
      </c>
      <c r="V110" s="4">
        <v>70</v>
      </c>
      <c r="W110" s="4">
        <f t="shared" si="19"/>
        <v>70</v>
      </c>
      <c r="X110" s="868">
        <f t="shared" si="20"/>
        <v>73.142857142857139</v>
      </c>
      <c r="Y110" s="4"/>
      <c r="Z110" s="869">
        <f t="shared" si="21"/>
        <v>0.6035089981314784</v>
      </c>
      <c r="AA110" s="4">
        <f>IF(H110*G110,LOOKUP(Z110,'Daniel''s Tables'!$Z$135:$Z$214,'Daniel''s Tables'!$AB$135:$AB$214),0)</f>
        <v>0.11</v>
      </c>
      <c r="AB110" s="869">
        <f t="shared" si="22"/>
        <v>5.2396666666666656</v>
      </c>
      <c r="AC110" s="871">
        <f t="shared" si="16"/>
        <v>94.538833333333329</v>
      </c>
      <c r="AD110" s="838">
        <f t="shared" si="17"/>
        <v>99.655154761904768</v>
      </c>
      <c r="AE110" s="838"/>
    </row>
    <row r="111" spans="1:31" ht="15.75" customHeight="1" x14ac:dyDescent="0.2">
      <c r="A111" s="892"/>
      <c r="B111" s="854">
        <v>24</v>
      </c>
      <c r="C111" s="855">
        <f t="shared" si="0"/>
        <v>45918</v>
      </c>
      <c r="D111" s="854" t="s">
        <v>27</v>
      </c>
      <c r="E111" s="856" t="s">
        <v>505</v>
      </c>
      <c r="F111" s="854">
        <v>10</v>
      </c>
      <c r="G111" s="854">
        <v>9.08</v>
      </c>
      <c r="H111" s="857">
        <v>4.4583333333333336E-2</v>
      </c>
      <c r="I111" s="854" t="str">
        <f t="shared" si="14"/>
        <v>7:04</v>
      </c>
      <c r="J111" s="857">
        <f>TIME(0,2,0)*8</f>
        <v>1.1111111111111112E-2</v>
      </c>
      <c r="K111" s="854">
        <f>0.35+0.36+0.35+0.35+0.35+0.34+0.35+0.36</f>
        <v>2.81</v>
      </c>
      <c r="L111" s="854" t="str">
        <f t="shared" si="2"/>
        <v>5:42</v>
      </c>
      <c r="M111" s="854"/>
      <c r="N111" s="859"/>
      <c r="O111" s="858"/>
      <c r="P111" s="861">
        <f>N112+P104</f>
        <v>5.3993865740740743</v>
      </c>
      <c r="Q111" s="865"/>
      <c r="R111" s="4"/>
      <c r="S111" s="4"/>
      <c r="T111" s="16">
        <f t="shared" si="15"/>
        <v>68.010000000000005</v>
      </c>
      <c r="U111" s="868">
        <f t="shared" si="18"/>
        <v>73.66</v>
      </c>
      <c r="V111" s="4">
        <v>70</v>
      </c>
      <c r="W111" s="4">
        <f t="shared" si="19"/>
        <v>68</v>
      </c>
      <c r="X111" s="868">
        <f t="shared" si="20"/>
        <v>71.857142857142861</v>
      </c>
      <c r="Y111" s="4"/>
      <c r="Z111" s="869">
        <f t="shared" si="21"/>
        <v>0.6648794844442123</v>
      </c>
      <c r="AA111" s="4">
        <f>IF(H111*G111,LOOKUP(Z111,'Daniel''s Tables'!$Z$135:$Z$214,'Daniel''s Tables'!$AB$135:$AB$214),0)</f>
        <v>0.2</v>
      </c>
      <c r="AB111" s="869">
        <f t="shared" si="22"/>
        <v>12.840000000000002</v>
      </c>
      <c r="AC111" s="871">
        <f t="shared" si="16"/>
        <v>96.810083333333324</v>
      </c>
      <c r="AD111" s="838">
        <f t="shared" si="17"/>
        <v>97.989570238095226</v>
      </c>
      <c r="AE111" s="838"/>
    </row>
    <row r="112" spans="1:31" ht="15.75" customHeight="1" x14ac:dyDescent="0.2">
      <c r="A112" s="892"/>
      <c r="B112" s="854">
        <v>23</v>
      </c>
      <c r="C112" s="855">
        <f t="shared" si="0"/>
        <v>45919</v>
      </c>
      <c r="D112" s="854" t="s">
        <v>28</v>
      </c>
      <c r="E112" s="856" t="s">
        <v>442</v>
      </c>
      <c r="F112" s="854">
        <v>5</v>
      </c>
      <c r="G112" s="854">
        <v>6.08</v>
      </c>
      <c r="H112" s="857">
        <v>3.4432870370370371E-2</v>
      </c>
      <c r="I112" s="854" t="str">
        <f t="shared" si="14"/>
        <v>8:09</v>
      </c>
      <c r="J112" s="857"/>
      <c r="K112" s="854"/>
      <c r="L112" s="854" t="str">
        <f t="shared" si="2"/>
        <v>0:00</v>
      </c>
      <c r="M112" s="854"/>
      <c r="N112" s="859">
        <f>SUM(H107:H113)</f>
        <v>0.34363425925925928</v>
      </c>
      <c r="O112" s="858"/>
      <c r="P112" s="863">
        <f>N113+P105</f>
        <v>1052.28</v>
      </c>
      <c r="Q112" s="866"/>
      <c r="R112" s="4"/>
      <c r="S112" s="4"/>
      <c r="T112" s="16">
        <f t="shared" si="15"/>
        <v>67.36</v>
      </c>
      <c r="U112" s="868">
        <f t="shared" si="18"/>
        <v>71.989999999999995</v>
      </c>
      <c r="V112" s="4">
        <v>70</v>
      </c>
      <c r="W112" s="4">
        <f t="shared" si="19"/>
        <v>66</v>
      </c>
      <c r="X112" s="868">
        <f t="shared" si="20"/>
        <v>70.285714285714292</v>
      </c>
      <c r="Y112" s="4"/>
      <c r="Z112" s="869">
        <f t="shared" si="21"/>
        <v>0.55705251859325033</v>
      </c>
      <c r="AA112" s="4">
        <f>IF(H112*G112,LOOKUP(Z112,'Daniel''s Tables'!$Z$135:$Z$214,'Daniel''s Tables'!$AB$135:$AB$214),0)</f>
        <v>0.1</v>
      </c>
      <c r="AB112" s="869">
        <f t="shared" si="22"/>
        <v>4.9583333333333339</v>
      </c>
      <c r="AC112" s="871">
        <f t="shared" si="16"/>
        <v>96.446749999999994</v>
      </c>
      <c r="AD112" s="838">
        <f t="shared" si="17"/>
        <v>96.09779523809523</v>
      </c>
      <c r="AE112" s="838"/>
    </row>
    <row r="113" spans="1:31" ht="15.75" customHeight="1" x14ac:dyDescent="0.2">
      <c r="A113" s="892"/>
      <c r="B113" s="854">
        <v>22</v>
      </c>
      <c r="C113" s="855">
        <f t="shared" si="0"/>
        <v>45920</v>
      </c>
      <c r="D113" s="854" t="s">
        <v>30</v>
      </c>
      <c r="E113" s="856" t="s">
        <v>393</v>
      </c>
      <c r="F113" s="854">
        <v>18</v>
      </c>
      <c r="G113" s="854">
        <v>18.100000000000001</v>
      </c>
      <c r="H113" s="857">
        <v>9.4444444444444442E-2</v>
      </c>
      <c r="I113" s="854" t="str">
        <f t="shared" si="14"/>
        <v>7:31</v>
      </c>
      <c r="J113" s="854"/>
      <c r="K113" s="854"/>
      <c r="L113" s="854" t="str">
        <f t="shared" si="2"/>
        <v>0:00</v>
      </c>
      <c r="M113" s="856">
        <f>SUM(F107:F113)</f>
        <v>68</v>
      </c>
      <c r="N113" s="854">
        <f>SUM(G107:G113)</f>
        <v>67.069999999999993</v>
      </c>
      <c r="O113" s="858"/>
      <c r="P113" s="863">
        <f>M113+P106</f>
        <v>1089</v>
      </c>
      <c r="Q113" s="862">
        <f>P112/P113</f>
        <v>0.96628099173553716</v>
      </c>
      <c r="R113" s="4"/>
      <c r="S113" s="4"/>
      <c r="T113" s="16">
        <f t="shared" si="15"/>
        <v>67.069999999999993</v>
      </c>
      <c r="U113" s="868">
        <f t="shared" si="18"/>
        <v>70.510000000000005</v>
      </c>
      <c r="V113" s="4">
        <v>70</v>
      </c>
      <c r="W113" s="4">
        <f t="shared" si="19"/>
        <v>68</v>
      </c>
      <c r="X113" s="868">
        <f t="shared" si="20"/>
        <v>69.428571428571431</v>
      </c>
      <c r="Y113" s="4"/>
      <c r="Z113" s="869">
        <f t="shared" si="21"/>
        <v>0.61667656023223927</v>
      </c>
      <c r="AA113" s="4">
        <f>IF(H113*G113,LOOKUP(Z113,'Daniel''s Tables'!$Z$135:$Z$214,'Daniel''s Tables'!$AB$135:$AB$214),0)</f>
        <v>0.1285</v>
      </c>
      <c r="AB113" s="869">
        <f t="shared" si="22"/>
        <v>17.475999999999999</v>
      </c>
      <c r="AC113" s="871">
        <f t="shared" si="16"/>
        <v>79.061866666666674</v>
      </c>
      <c r="AD113" s="838">
        <f t="shared" si="17"/>
        <v>93.574242857142849</v>
      </c>
      <c r="AE113" s="838">
        <f>AC113</f>
        <v>79.061866666666674</v>
      </c>
    </row>
    <row r="114" spans="1:31" ht="15.75" customHeight="1" x14ac:dyDescent="0.2">
      <c r="A114" s="893" t="s">
        <v>46</v>
      </c>
      <c r="B114" s="6">
        <v>21</v>
      </c>
      <c r="C114" s="17">
        <f t="shared" si="0"/>
        <v>45921</v>
      </c>
      <c r="D114" s="6" t="s">
        <v>31</v>
      </c>
      <c r="E114" s="4" t="s">
        <v>381</v>
      </c>
      <c r="F114" s="6">
        <v>6</v>
      </c>
      <c r="G114" s="6">
        <v>6.04</v>
      </c>
      <c r="H114" s="29">
        <v>3.2685185185185185E-2</v>
      </c>
      <c r="I114" s="6" t="str">
        <f t="shared" si="14"/>
        <v>7:48</v>
      </c>
      <c r="J114" s="6"/>
      <c r="K114" s="6"/>
      <c r="L114" s="6" t="str">
        <f t="shared" si="2"/>
        <v>0:00</v>
      </c>
      <c r="M114" s="4"/>
      <c r="N114" s="4"/>
      <c r="O114" s="16"/>
      <c r="P114" s="863"/>
      <c r="Q114" s="862"/>
      <c r="R114" s="4"/>
      <c r="S114" s="4"/>
      <c r="T114" s="16">
        <f t="shared" si="15"/>
        <v>67.89</v>
      </c>
      <c r="U114" s="868">
        <f t="shared" si="18"/>
        <v>69.508571428571429</v>
      </c>
      <c r="V114" s="4">
        <v>70</v>
      </c>
      <c r="W114" s="4">
        <f t="shared" si="19"/>
        <v>68</v>
      </c>
      <c r="X114" s="868">
        <f t="shared" si="20"/>
        <v>68.857142857142861</v>
      </c>
      <c r="Y114" s="4"/>
      <c r="Z114" s="869">
        <f t="shared" si="21"/>
        <v>0.5894472589151124</v>
      </c>
      <c r="AA114" s="4">
        <f>IF(H114*G114,LOOKUP(Z114,'Daniel''s Tables'!$Z$135:$Z$214,'Daniel''s Tables'!$AB$135:$AB$214),0)</f>
        <v>0.1</v>
      </c>
      <c r="AB114" s="869">
        <f t="shared" si="22"/>
        <v>4.706666666666667</v>
      </c>
      <c r="AC114" s="871">
        <f t="shared" si="16"/>
        <v>79.69853333333333</v>
      </c>
      <c r="AD114" s="838">
        <f t="shared" si="17"/>
        <v>91.416880952380964</v>
      </c>
      <c r="AE114" s="838"/>
    </row>
    <row r="115" spans="1:31" ht="15.75" customHeight="1" x14ac:dyDescent="0.2">
      <c r="A115" s="893"/>
      <c r="B115" s="6">
        <v>20</v>
      </c>
      <c r="C115" s="17">
        <f t="shared" si="0"/>
        <v>45922</v>
      </c>
      <c r="D115" s="6" t="s">
        <v>33</v>
      </c>
      <c r="E115" s="4" t="s">
        <v>385</v>
      </c>
      <c r="F115" s="6">
        <v>8</v>
      </c>
      <c r="G115" s="6">
        <v>5.4</v>
      </c>
      <c r="H115" s="29">
        <v>2.9953703703703705E-2</v>
      </c>
      <c r="I115" s="6" t="str">
        <f t="shared" si="14"/>
        <v>7:59</v>
      </c>
      <c r="J115" s="6"/>
      <c r="K115" s="6"/>
      <c r="L115" s="6" t="str">
        <f t="shared" si="2"/>
        <v>0:00</v>
      </c>
      <c r="M115" s="6"/>
      <c r="N115" s="6"/>
      <c r="O115" s="16"/>
      <c r="P115" s="863"/>
      <c r="Q115" s="864"/>
      <c r="R115" s="4"/>
      <c r="S115" s="4"/>
      <c r="T115" s="16">
        <f t="shared" si="15"/>
        <v>63.949999999999996</v>
      </c>
      <c r="U115" s="868">
        <f t="shared" si="18"/>
        <v>68.19714285714285</v>
      </c>
      <c r="V115" s="4">
        <v>70</v>
      </c>
      <c r="W115" s="4">
        <f t="shared" si="19"/>
        <v>66</v>
      </c>
      <c r="X115" s="868">
        <f t="shared" si="20"/>
        <v>68</v>
      </c>
      <c r="Y115" s="4"/>
      <c r="Z115" s="869">
        <f t="shared" si="21"/>
        <v>0.57161476903655906</v>
      </c>
      <c r="AA115" s="4">
        <f>IF(H115*G115,LOOKUP(Z115,'Daniel''s Tables'!$Z$135:$Z$214,'Daniel''s Tables'!$AB$135:$AB$214),0)</f>
        <v>0.1</v>
      </c>
      <c r="AB115" s="869">
        <f t="shared" si="22"/>
        <v>4.3133333333333335</v>
      </c>
      <c r="AC115" s="871">
        <f t="shared" si="16"/>
        <v>75.418999999999997</v>
      </c>
      <c r="AD115" s="838">
        <f t="shared" si="17"/>
        <v>88.69155714285715</v>
      </c>
      <c r="AE115" s="838"/>
    </row>
    <row r="116" spans="1:31" ht="15.75" customHeight="1" x14ac:dyDescent="0.2">
      <c r="A116" s="893"/>
      <c r="B116" s="6">
        <v>19</v>
      </c>
      <c r="C116" s="17">
        <f t="shared" si="0"/>
        <v>45923</v>
      </c>
      <c r="D116" s="6" t="s">
        <v>34</v>
      </c>
      <c r="E116" s="4" t="s">
        <v>420</v>
      </c>
      <c r="F116" s="6">
        <v>12</v>
      </c>
      <c r="G116" s="6">
        <v>12.37</v>
      </c>
      <c r="H116" s="29">
        <v>5.4282407407407404E-2</v>
      </c>
      <c r="I116" s="6" t="str">
        <f t="shared" si="14"/>
        <v>6:19</v>
      </c>
      <c r="J116" s="29">
        <f>TIME(0,11+11+11+10,9+12+4+53)</f>
        <v>3.0763888888888889E-2</v>
      </c>
      <c r="K116" s="6">
        <f>4*2</f>
        <v>8</v>
      </c>
      <c r="L116" s="6" t="str">
        <f t="shared" si="2"/>
        <v>5:32</v>
      </c>
      <c r="M116" s="6"/>
      <c r="N116" s="6"/>
      <c r="O116" s="16"/>
      <c r="P116" s="863"/>
      <c r="Q116" s="864"/>
      <c r="R116" s="4"/>
      <c r="S116" s="4"/>
      <c r="T116" s="16">
        <f t="shared" si="15"/>
        <v>63.3</v>
      </c>
      <c r="U116" s="868">
        <f t="shared" si="18"/>
        <v>66.647142857142853</v>
      </c>
      <c r="V116" s="4">
        <v>70</v>
      </c>
      <c r="W116" s="4">
        <f t="shared" si="19"/>
        <v>66</v>
      </c>
      <c r="X116" s="868">
        <f t="shared" si="20"/>
        <v>67.428571428571431</v>
      </c>
      <c r="Y116" s="4"/>
      <c r="Z116" s="869">
        <f t="shared" si="21"/>
        <v>0.76382348470085371</v>
      </c>
      <c r="AA116" s="4">
        <f>IF(H116*G116,LOOKUP(Z116,'Daniel''s Tables'!$Z$135:$Z$214,'Daniel''s Tables'!$AB$135:$AB$214),0)</f>
        <v>0.36699999999999999</v>
      </c>
      <c r="AB116" s="869">
        <f t="shared" si="22"/>
        <v>28.687166666666663</v>
      </c>
      <c r="AC116" s="871">
        <f t="shared" si="16"/>
        <v>78.221166666666676</v>
      </c>
      <c r="AD116" s="838">
        <f t="shared" si="17"/>
        <v>85.742319047619048</v>
      </c>
      <c r="AE116" s="838"/>
    </row>
    <row r="117" spans="1:31" ht="15.75" customHeight="1" x14ac:dyDescent="0.2">
      <c r="A117" s="893"/>
      <c r="B117" s="6">
        <v>18</v>
      </c>
      <c r="C117" s="17">
        <f t="shared" si="0"/>
        <v>45924</v>
      </c>
      <c r="D117" s="6" t="s">
        <v>26</v>
      </c>
      <c r="E117" s="4" t="s">
        <v>385</v>
      </c>
      <c r="F117" s="6">
        <v>8</v>
      </c>
      <c r="G117" s="6">
        <v>8.01</v>
      </c>
      <c r="H117" s="29">
        <v>4.2488425925925923E-2</v>
      </c>
      <c r="I117" s="6" t="str">
        <f t="shared" si="14"/>
        <v>7:38</v>
      </c>
      <c r="J117" s="29"/>
      <c r="K117" s="6"/>
      <c r="L117" s="6" t="str">
        <f t="shared" si="2"/>
        <v>0:00</v>
      </c>
      <c r="M117" s="6"/>
      <c r="N117" s="6"/>
      <c r="O117" s="16"/>
      <c r="P117" s="861"/>
      <c r="Q117" s="865"/>
      <c r="R117" s="4"/>
      <c r="S117" s="4"/>
      <c r="T117" s="16">
        <f t="shared" si="15"/>
        <v>65.08</v>
      </c>
      <c r="U117" s="868">
        <f t="shared" si="18"/>
        <v>66.094285714285704</v>
      </c>
      <c r="V117" s="4">
        <v>70</v>
      </c>
      <c r="W117" s="4">
        <f t="shared" si="19"/>
        <v>67</v>
      </c>
      <c r="X117" s="868">
        <f t="shared" si="20"/>
        <v>67</v>
      </c>
      <c r="Y117" s="4"/>
      <c r="Z117" s="869">
        <f t="shared" si="21"/>
        <v>0.60423710049349255</v>
      </c>
      <c r="AA117" s="4">
        <f>IF(H117*G117,LOOKUP(Z117,'Daniel''s Tables'!$Z$135:$Z$214,'Daniel''s Tables'!$AB$135:$AB$214),0)</f>
        <v>0.11</v>
      </c>
      <c r="AB117" s="869">
        <f t="shared" si="22"/>
        <v>6.7301666666666664</v>
      </c>
      <c r="AC117" s="871">
        <f t="shared" si="16"/>
        <v>79.711666666666645</v>
      </c>
      <c r="AD117" s="838">
        <f t="shared" si="17"/>
        <v>83.624152380952381</v>
      </c>
      <c r="AE117" s="838"/>
    </row>
    <row r="118" spans="1:31" ht="15.75" customHeight="1" x14ac:dyDescent="0.2">
      <c r="A118" s="893"/>
      <c r="B118" s="6">
        <v>17</v>
      </c>
      <c r="C118" s="17">
        <f t="shared" si="0"/>
        <v>45925</v>
      </c>
      <c r="D118" s="6" t="s">
        <v>27</v>
      </c>
      <c r="E118" s="4" t="s">
        <v>385</v>
      </c>
      <c r="F118" s="6">
        <v>8</v>
      </c>
      <c r="G118" s="6">
        <v>8</v>
      </c>
      <c r="H118" s="29">
        <v>4.4016203703703703E-2</v>
      </c>
      <c r="I118" s="6" t="str">
        <f t="shared" si="14"/>
        <v>7:55</v>
      </c>
      <c r="J118" s="29"/>
      <c r="K118" s="6"/>
      <c r="L118" s="6" t="str">
        <f t="shared" si="2"/>
        <v>0:00</v>
      </c>
      <c r="M118" s="6"/>
      <c r="N118" s="28"/>
      <c r="O118" s="16"/>
      <c r="P118" s="861">
        <f>N119+P111</f>
        <v>5.7176273148148153</v>
      </c>
      <c r="Q118" s="865"/>
      <c r="R118" s="4"/>
      <c r="S118" s="4"/>
      <c r="T118" s="16">
        <f t="shared" si="15"/>
        <v>63.999999999999993</v>
      </c>
      <c r="U118" s="868">
        <f t="shared" si="18"/>
        <v>65.521428571428572</v>
      </c>
      <c r="V118" s="4">
        <v>70</v>
      </c>
      <c r="W118" s="4">
        <f t="shared" si="19"/>
        <v>65</v>
      </c>
      <c r="X118" s="868">
        <f t="shared" si="20"/>
        <v>66.571428571428569</v>
      </c>
      <c r="Y118" s="4"/>
      <c r="Z118" s="869">
        <f t="shared" si="21"/>
        <v>0.57742356302861209</v>
      </c>
      <c r="AA118" s="4">
        <f>IF(H118*G118,LOOKUP(Z118,'Daniel''s Tables'!$Z$135:$Z$214,'Daniel''s Tables'!$AB$135:$AB$214),0)</f>
        <v>0.1</v>
      </c>
      <c r="AB118" s="869">
        <f t="shared" si="22"/>
        <v>6.3383333333333338</v>
      </c>
      <c r="AC118" s="871">
        <f t="shared" si="16"/>
        <v>73.209999999999994</v>
      </c>
      <c r="AD118" s="838">
        <f t="shared" si="17"/>
        <v>80.252711904761895</v>
      </c>
      <c r="AE118" s="838"/>
    </row>
    <row r="119" spans="1:31" ht="15.75" customHeight="1" x14ac:dyDescent="0.2">
      <c r="A119" s="893"/>
      <c r="B119" s="6">
        <v>16</v>
      </c>
      <c r="C119" s="17">
        <f t="shared" si="0"/>
        <v>45926</v>
      </c>
      <c r="D119" s="6" t="s">
        <v>28</v>
      </c>
      <c r="E119" s="4" t="s">
        <v>418</v>
      </c>
      <c r="F119" s="6">
        <v>18</v>
      </c>
      <c r="G119" s="6">
        <v>18.260000000000002</v>
      </c>
      <c r="H119" s="29">
        <v>8.1030092592592598E-2</v>
      </c>
      <c r="I119" s="6" t="str">
        <f t="shared" si="14"/>
        <v>6:23</v>
      </c>
      <c r="J119" s="1253">
        <f>TIME(0,35+35,36+6) + TIME(0,5,35)</f>
        <v>5.2974537037037035E-2</v>
      </c>
      <c r="K119" s="6">
        <f>6+1+6</f>
        <v>13</v>
      </c>
      <c r="L119" s="6" t="str">
        <f t="shared" si="2"/>
        <v>5:52</v>
      </c>
      <c r="M119" s="6"/>
      <c r="N119" s="28">
        <f>SUM(H114:H120)</f>
        <v>0.31824074074074077</v>
      </c>
      <c r="O119" s="16"/>
      <c r="P119" s="863">
        <f>N120+P112</f>
        <v>1117.4099999999999</v>
      </c>
      <c r="Q119" s="866"/>
      <c r="R119" s="4"/>
      <c r="S119" s="4"/>
      <c r="T119" s="16">
        <f t="shared" si="15"/>
        <v>76.179999999999993</v>
      </c>
      <c r="U119" s="868">
        <f t="shared" si="18"/>
        <v>66.781428571428563</v>
      </c>
      <c r="V119" s="4">
        <v>70</v>
      </c>
      <c r="W119" s="4">
        <f t="shared" si="19"/>
        <v>78</v>
      </c>
      <c r="X119" s="868">
        <f t="shared" si="20"/>
        <v>68.285714285714292</v>
      </c>
      <c r="Y119" s="4"/>
      <c r="Z119" s="869">
        <f t="shared" si="21"/>
        <v>0.75335905331827735</v>
      </c>
      <c r="AA119" s="4">
        <f>IF(H119*G119,LOOKUP(Z119,'Daniel''s Tables'!$Z$135:$Z$214,'Daniel''s Tables'!$AB$135:$AB$214),0)</f>
        <v>0.35</v>
      </c>
      <c r="AB119" s="869">
        <f t="shared" si="22"/>
        <v>40.839166666666664</v>
      </c>
      <c r="AC119" s="871">
        <f t="shared" si="16"/>
        <v>109.09083333333334</v>
      </c>
      <c r="AD119" s="838">
        <f t="shared" si="17"/>
        <v>82.059009523809522</v>
      </c>
      <c r="AE119" s="838"/>
    </row>
    <row r="120" spans="1:31" ht="15.75" customHeight="1" x14ac:dyDescent="0.2">
      <c r="A120" s="893"/>
      <c r="B120" s="6">
        <v>15</v>
      </c>
      <c r="C120" s="17">
        <f t="shared" si="0"/>
        <v>45927</v>
      </c>
      <c r="D120" s="6" t="s">
        <v>30</v>
      </c>
      <c r="E120" s="4" t="s">
        <v>381</v>
      </c>
      <c r="F120" s="6">
        <v>8</v>
      </c>
      <c r="G120" s="6">
        <v>7.05</v>
      </c>
      <c r="H120" s="29">
        <v>3.3784722222222223E-2</v>
      </c>
      <c r="I120" s="6" t="str">
        <f t="shared" si="14"/>
        <v>6:54</v>
      </c>
      <c r="J120" s="29"/>
      <c r="K120" s="6"/>
      <c r="L120" s="6" t="str">
        <f t="shared" si="2"/>
        <v>0:00</v>
      </c>
      <c r="M120" s="4">
        <f>SUM(F114:F120)</f>
        <v>68</v>
      </c>
      <c r="N120" s="6">
        <f>SUM(G114:G120)</f>
        <v>65.13</v>
      </c>
      <c r="O120" s="16"/>
      <c r="P120" s="863">
        <f>M120+P113</f>
        <v>1157</v>
      </c>
      <c r="Q120" s="862">
        <f>P119/P120</f>
        <v>0.965782195332757</v>
      </c>
      <c r="R120" s="4"/>
      <c r="S120" s="4"/>
      <c r="T120" s="16">
        <f t="shared" si="15"/>
        <v>65.13</v>
      </c>
      <c r="U120" s="868">
        <f t="shared" si="18"/>
        <v>66.504285714285714</v>
      </c>
      <c r="V120" s="4">
        <v>70</v>
      </c>
      <c r="W120" s="4">
        <f t="shared" si="19"/>
        <v>68</v>
      </c>
      <c r="X120" s="868">
        <f t="shared" si="20"/>
        <v>68.285714285714292</v>
      </c>
      <c r="Y120" s="4"/>
      <c r="Z120" s="869">
        <f t="shared" si="21"/>
        <v>0.68515351154785287</v>
      </c>
      <c r="AA120" s="4">
        <f>IF(H120*G120,LOOKUP(Z120,'Daniel''s Tables'!$Z$135:$Z$214,'Daniel''s Tables'!$AB$135:$AB$214),0)</f>
        <v>0.24149999999999999</v>
      </c>
      <c r="AB120" s="869">
        <f t="shared" si="22"/>
        <v>11.748975</v>
      </c>
      <c r="AC120" s="871">
        <f t="shared" si="16"/>
        <v>103.36380833333334</v>
      </c>
      <c r="AD120" s="838">
        <f t="shared" si="17"/>
        <v>85.53071547619048</v>
      </c>
      <c r="AE120" s="838">
        <f>AC120</f>
        <v>103.36380833333334</v>
      </c>
    </row>
    <row r="121" spans="1:31" ht="15.75" customHeight="1" x14ac:dyDescent="0.2">
      <c r="A121" s="892" t="s">
        <v>47</v>
      </c>
      <c r="B121" s="854">
        <v>14</v>
      </c>
      <c r="C121" s="855">
        <f t="shared" si="0"/>
        <v>45928</v>
      </c>
      <c r="D121" s="854" t="s">
        <v>31</v>
      </c>
      <c r="E121" s="856" t="s">
        <v>380</v>
      </c>
      <c r="F121" s="854">
        <v>5</v>
      </c>
      <c r="G121" s="854">
        <v>5.25</v>
      </c>
      <c r="H121" s="857">
        <v>2.9097222222222222E-2</v>
      </c>
      <c r="I121" s="854" t="str">
        <f t="shared" si="14"/>
        <v>7:59</v>
      </c>
      <c r="J121" s="854"/>
      <c r="K121" s="854"/>
      <c r="L121" s="854" t="str">
        <f t="shared" si="2"/>
        <v>0:00</v>
      </c>
      <c r="M121" s="860"/>
      <c r="N121" s="860"/>
      <c r="O121" s="858"/>
      <c r="P121" s="863"/>
      <c r="Q121" s="862"/>
      <c r="R121" s="4"/>
      <c r="S121" s="4"/>
      <c r="T121" s="16">
        <f t="shared" si="15"/>
        <v>64.34</v>
      </c>
      <c r="U121" s="868">
        <f t="shared" si="18"/>
        <v>65.997142857142862</v>
      </c>
      <c r="V121" s="4">
        <v>70</v>
      </c>
      <c r="W121" s="4">
        <f t="shared" si="19"/>
        <v>67</v>
      </c>
      <c r="X121" s="868">
        <f t="shared" si="20"/>
        <v>68.142857142857139</v>
      </c>
      <c r="Y121" s="4"/>
      <c r="Z121" s="869">
        <f t="shared" si="21"/>
        <v>0.57221134044172761</v>
      </c>
      <c r="AA121" s="4">
        <f>IF(H121*G121,LOOKUP(Z121,'Daniel''s Tables'!$Z$135:$Z$214,'Daniel''s Tables'!$AB$135:$AB$214),0)</f>
        <v>0.1</v>
      </c>
      <c r="AB121" s="869">
        <f t="shared" si="22"/>
        <v>4.1900000000000004</v>
      </c>
      <c r="AC121" s="871">
        <f t="shared" si="16"/>
        <v>102.84714166666666</v>
      </c>
      <c r="AD121" s="838">
        <f t="shared" si="17"/>
        <v>88.837659523809506</v>
      </c>
      <c r="AE121" s="838"/>
    </row>
    <row r="122" spans="1:31" ht="15.75" customHeight="1" x14ac:dyDescent="0.2">
      <c r="A122" s="892"/>
      <c r="B122" s="854">
        <v>13</v>
      </c>
      <c r="C122" s="855">
        <f t="shared" si="0"/>
        <v>45929</v>
      </c>
      <c r="D122" s="854" t="s">
        <v>33</v>
      </c>
      <c r="E122" s="856" t="s">
        <v>381</v>
      </c>
      <c r="F122" s="854">
        <v>6</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58.94</v>
      </c>
      <c r="U122" s="868">
        <f t="shared" si="18"/>
        <v>65.281428571428563</v>
      </c>
      <c r="V122" s="4">
        <v>70</v>
      </c>
      <c r="W122" s="4">
        <f t="shared" si="19"/>
        <v>65</v>
      </c>
      <c r="X122" s="868">
        <f t="shared" si="20"/>
        <v>68</v>
      </c>
      <c r="Y122" s="4"/>
      <c r="Z122" s="869" t="e">
        <f t="shared" si="21"/>
        <v>#DIV/0!</v>
      </c>
      <c r="AA122" s="4">
        <f>IF(H122*G122,LOOKUP(Z122,'Daniel''s Tables'!$Z$135:$Z$214,'Daniel''s Tables'!$AB$135:$AB$214),0)</f>
        <v>0</v>
      </c>
      <c r="AB122" s="869">
        <f t="shared" si="22"/>
        <v>0</v>
      </c>
      <c r="AC122" s="871">
        <f t="shared" si="16"/>
        <v>98.533808333333326</v>
      </c>
      <c r="AD122" s="838">
        <f t="shared" si="17"/>
        <v>92.139775</v>
      </c>
      <c r="AE122" s="838"/>
    </row>
    <row r="123" spans="1:31" ht="15.75" customHeight="1" x14ac:dyDescent="0.2">
      <c r="A123" s="892"/>
      <c r="B123" s="854">
        <v>12</v>
      </c>
      <c r="C123" s="855">
        <f t="shared" si="0"/>
        <v>45930</v>
      </c>
      <c r="D123" s="854" t="s">
        <v>34</v>
      </c>
      <c r="E123" s="856" t="s">
        <v>419</v>
      </c>
      <c r="F123" s="854">
        <v>16</v>
      </c>
      <c r="G123" s="854"/>
      <c r="H123" s="857"/>
      <c r="I123" s="854" t="str">
        <f t="shared" si="14"/>
        <v>0:00</v>
      </c>
      <c r="J123" s="857"/>
      <c r="K123" s="854"/>
      <c r="L123" s="854" t="str">
        <f t="shared" si="2"/>
        <v>0:00</v>
      </c>
      <c r="M123" s="854"/>
      <c r="N123" s="854"/>
      <c r="O123" s="858"/>
      <c r="P123" s="863"/>
      <c r="Q123" s="864"/>
      <c r="R123" s="4"/>
      <c r="S123" s="4"/>
      <c r="T123" s="16">
        <f t="shared" si="15"/>
        <v>46.569999999999993</v>
      </c>
      <c r="U123" s="868">
        <f t="shared" si="18"/>
        <v>62.89142857142857</v>
      </c>
      <c r="V123" s="4">
        <v>70</v>
      </c>
      <c r="W123" s="4">
        <f t="shared" si="19"/>
        <v>69</v>
      </c>
      <c r="X123" s="868">
        <f t="shared" si="20"/>
        <v>68.428571428571431</v>
      </c>
      <c r="Y123" s="4"/>
      <c r="Z123" s="869" t="e">
        <f t="shared" si="21"/>
        <v>#DIV/0!</v>
      </c>
      <c r="AA123" s="4">
        <f>IF(H123*G123,LOOKUP(Z123,'Daniel''s Tables'!$Z$135:$Z$214,'Daniel''s Tables'!$AB$135:$AB$214),0)</f>
        <v>0</v>
      </c>
      <c r="AB123" s="869">
        <f t="shared" si="22"/>
        <v>0</v>
      </c>
      <c r="AC123" s="871">
        <f t="shared" si="16"/>
        <v>69.846641666666656</v>
      </c>
      <c r="AD123" s="838">
        <f t="shared" si="17"/>
        <v>90.943414285714283</v>
      </c>
      <c r="AE123" s="838"/>
    </row>
    <row r="124" spans="1:31" ht="15.75" customHeight="1" x14ac:dyDescent="0.2">
      <c r="A124" s="892"/>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38.56</v>
      </c>
      <c r="U124" s="868">
        <f t="shared" si="18"/>
        <v>59.10285714285714</v>
      </c>
      <c r="V124" s="4">
        <v>70</v>
      </c>
      <c r="W124" s="4">
        <f t="shared" si="19"/>
        <v>67</v>
      </c>
      <c r="X124" s="868">
        <f t="shared" si="20"/>
        <v>68.428571428571431</v>
      </c>
      <c r="Y124" s="4"/>
      <c r="Z124" s="869" t="e">
        <f t="shared" si="21"/>
        <v>#DIV/0!</v>
      </c>
      <c r="AA124" s="4">
        <f>IF(H124*G124,LOOKUP(Z124,'Daniel''s Tables'!$Z$135:$Z$214,'Daniel''s Tables'!$AB$135:$AB$214),0)</f>
        <v>0</v>
      </c>
      <c r="AB124" s="869">
        <f t="shared" si="22"/>
        <v>0</v>
      </c>
      <c r="AC124" s="871">
        <f t="shared" si="16"/>
        <v>63.116474999999994</v>
      </c>
      <c r="AD124" s="838">
        <f t="shared" si="17"/>
        <v>88.572672619047623</v>
      </c>
      <c r="AE124" s="838"/>
    </row>
    <row r="125" spans="1:31" ht="15.75" customHeight="1" x14ac:dyDescent="0.2">
      <c r="A125" s="892"/>
      <c r="B125" s="854">
        <v>10</v>
      </c>
      <c r="C125" s="855">
        <f t="shared" si="0"/>
        <v>45932</v>
      </c>
      <c r="D125" s="854" t="s">
        <v>27</v>
      </c>
      <c r="E125" s="856" t="s">
        <v>506</v>
      </c>
      <c r="F125" s="854">
        <v>12</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5.7467245370370375</v>
      </c>
      <c r="Q125" s="865"/>
      <c r="R125" s="4"/>
      <c r="S125" s="4"/>
      <c r="T125" s="16">
        <f t="shared" si="15"/>
        <v>30.560000000000002</v>
      </c>
      <c r="U125" s="868">
        <f t="shared" si="18"/>
        <v>54.325714285714291</v>
      </c>
      <c r="V125" s="4">
        <v>70</v>
      </c>
      <c r="W125" s="4">
        <f t="shared" si="19"/>
        <v>71</v>
      </c>
      <c r="X125" s="868">
        <f t="shared" si="20"/>
        <v>69.285714285714292</v>
      </c>
      <c r="Y125" s="4"/>
      <c r="Z125" s="869" t="e">
        <f t="shared" si="21"/>
        <v>#DIV/0!</v>
      </c>
      <c r="AA125" s="4">
        <f>IF(H125*G125,LOOKUP(Z125,'Daniel''s Tables'!$Z$135:$Z$214,'Daniel''s Tables'!$AB$135:$AB$214),0)</f>
        <v>0</v>
      </c>
      <c r="AB125" s="869">
        <f t="shared" si="22"/>
        <v>0</v>
      </c>
      <c r="AC125" s="871">
        <f t="shared" si="16"/>
        <v>56.778141666666663</v>
      </c>
      <c r="AD125" s="838">
        <f t="shared" si="17"/>
        <v>86.225264285714289</v>
      </c>
      <c r="AE125" s="838"/>
    </row>
    <row r="126" spans="1:31" ht="15.75" customHeight="1" x14ac:dyDescent="0.2">
      <c r="A126" s="892"/>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2.9097222222222222E-2</v>
      </c>
      <c r="O126" s="858"/>
      <c r="P126" s="863">
        <f>N127+P119</f>
        <v>1122.6599999999999</v>
      </c>
      <c r="Q126" s="866"/>
      <c r="R126" s="4"/>
      <c r="S126" s="4"/>
      <c r="T126" s="16">
        <f t="shared" si="15"/>
        <v>12.3</v>
      </c>
      <c r="U126" s="868">
        <f t="shared" si="18"/>
        <v>45.199999999999996</v>
      </c>
      <c r="V126" s="4">
        <v>70</v>
      </c>
      <c r="W126" s="4">
        <f t="shared" si="19"/>
        <v>58</v>
      </c>
      <c r="X126" s="868">
        <f t="shared" si="20"/>
        <v>66.428571428571431</v>
      </c>
      <c r="Y126" s="4"/>
      <c r="Z126" s="869" t="e">
        <f t="shared" si="21"/>
        <v>#DIV/0!</v>
      </c>
      <c r="AA126" s="4">
        <f>IF(H126*G126,LOOKUP(Z126,'Daniel''s Tables'!$Z$135:$Z$214,'Daniel''s Tables'!$AB$135:$AB$214),0)</f>
        <v>0</v>
      </c>
      <c r="AB126" s="869">
        <f t="shared" si="22"/>
        <v>0</v>
      </c>
      <c r="AC126" s="871">
        <f t="shared" si="16"/>
        <v>15.938974999999999</v>
      </c>
      <c r="AD126" s="838">
        <f t="shared" si="17"/>
        <v>72.917855952380947</v>
      </c>
      <c r="AE126" s="838"/>
    </row>
    <row r="127" spans="1:31" ht="15.75" customHeight="1" x14ac:dyDescent="0.2">
      <c r="A127" s="892"/>
      <c r="B127" s="854">
        <v>8</v>
      </c>
      <c r="C127" s="855">
        <f t="shared" si="0"/>
        <v>45934</v>
      </c>
      <c r="D127" s="854" t="s">
        <v>30</v>
      </c>
      <c r="E127" s="856" t="s">
        <v>385</v>
      </c>
      <c r="F127" s="854">
        <v>8</v>
      </c>
      <c r="G127" s="854"/>
      <c r="H127" s="857"/>
      <c r="I127" s="854" t="str">
        <f t="shared" si="23"/>
        <v>0:00</v>
      </c>
      <c r="J127" s="854"/>
      <c r="K127" s="854"/>
      <c r="L127" s="854" t="str">
        <f t="shared" si="2"/>
        <v>0:00</v>
      </c>
      <c r="M127" s="856">
        <f>SUM(F121:F127)</f>
        <v>58</v>
      </c>
      <c r="N127" s="854">
        <f>SUM(G121:G127)</f>
        <v>5.25</v>
      </c>
      <c r="O127" s="858"/>
      <c r="P127" s="863">
        <f>M127+P120</f>
        <v>1215</v>
      </c>
      <c r="Q127" s="862">
        <f>P126/P127</f>
        <v>0.92399999999999993</v>
      </c>
      <c r="R127" s="4"/>
      <c r="S127" s="4"/>
      <c r="T127" s="16">
        <f t="shared" si="15"/>
        <v>5.25</v>
      </c>
      <c r="U127" s="868">
        <f t="shared" si="18"/>
        <v>36.645714285714284</v>
      </c>
      <c r="V127" s="4">
        <v>70</v>
      </c>
      <c r="W127" s="4">
        <f t="shared" si="19"/>
        <v>58</v>
      </c>
      <c r="X127" s="868">
        <f t="shared" si="20"/>
        <v>65</v>
      </c>
      <c r="Y127" s="4"/>
      <c r="Z127" s="869" t="e">
        <f t="shared" si="21"/>
        <v>#DIV/0!</v>
      </c>
      <c r="AA127" s="4">
        <f>IF(H127*G127,LOOKUP(Z127,'Daniel''s Tables'!$Z$135:$Z$214,'Daniel''s Tables'!$AB$135:$AB$214),0)</f>
        <v>0</v>
      </c>
      <c r="AB127" s="869">
        <f t="shared" si="22"/>
        <v>0</v>
      </c>
      <c r="AC127" s="871">
        <f t="shared" si="16"/>
        <v>4.1900000000000004</v>
      </c>
      <c r="AD127" s="838">
        <f t="shared" si="17"/>
        <v>58.750169047619032</v>
      </c>
      <c r="AE127" s="838">
        <f>AC127</f>
        <v>4.1900000000000004</v>
      </c>
    </row>
    <row r="128" spans="1:31" ht="15.75" customHeight="1" x14ac:dyDescent="0.2">
      <c r="A128" s="893"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27.454285714285714</v>
      </c>
      <c r="V128" s="4">
        <v>70</v>
      </c>
      <c r="W128" s="4">
        <f t="shared" si="19"/>
        <v>63</v>
      </c>
      <c r="X128" s="868">
        <f t="shared" si="20"/>
        <v>64.428571428571431</v>
      </c>
      <c r="Y128" s="4"/>
      <c r="Z128" s="869" t="e">
        <f t="shared" si="21"/>
        <v>#DIV/0!</v>
      </c>
      <c r="AA128" s="4">
        <f>IF(H128*G128,LOOKUP(Z128,'Daniel''s Tables'!$Z$135:$Z$214,'Daniel''s Tables'!$AB$135:$AB$214),0)</f>
        <v>0</v>
      </c>
      <c r="AB128" s="869">
        <f t="shared" si="22"/>
        <v>0</v>
      </c>
      <c r="AC128" s="871">
        <f t="shared" si="16"/>
        <v>0</v>
      </c>
      <c r="AD128" s="838">
        <f t="shared" si="17"/>
        <v>44.057720238095229</v>
      </c>
      <c r="AE128" s="838"/>
    </row>
    <row r="129" spans="1:31" ht="15.75" customHeight="1" x14ac:dyDescent="0.2">
      <c r="A129" s="893"/>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19.034285714285716</v>
      </c>
      <c r="V129" s="4">
        <v>70</v>
      </c>
      <c r="W129" s="4">
        <f t="shared" si="19"/>
        <v>65</v>
      </c>
      <c r="X129" s="868">
        <f t="shared" si="20"/>
        <v>64.428571428571431</v>
      </c>
      <c r="Y129" s="4"/>
      <c r="Z129" s="869" t="e">
        <f t="shared" si="21"/>
        <v>#DIV/0!</v>
      </c>
      <c r="AA129" s="4">
        <f>IF(H129*G129,LOOKUP(Z129,'Daniel''s Tables'!$Z$135:$Z$214,'Daniel''s Tables'!$AB$135:$AB$214),0)</f>
        <v>0</v>
      </c>
      <c r="AB129" s="869">
        <f t="shared" si="22"/>
        <v>0</v>
      </c>
      <c r="AC129" s="871">
        <f t="shared" si="16"/>
        <v>0</v>
      </c>
      <c r="AD129" s="838">
        <f t="shared" si="17"/>
        <v>29.981461904761904</v>
      </c>
      <c r="AE129" s="838"/>
    </row>
    <row r="130" spans="1:31" ht="15.75" customHeight="1" x14ac:dyDescent="0.2">
      <c r="A130" s="893"/>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12.381428571428572</v>
      </c>
      <c r="V130" s="4">
        <v>70</v>
      </c>
      <c r="W130" s="4">
        <f t="shared" si="19"/>
        <v>58</v>
      </c>
      <c r="X130" s="868">
        <f t="shared" si="20"/>
        <v>62.857142857142854</v>
      </c>
      <c r="Y130" s="4"/>
      <c r="Z130" s="869" t="e">
        <f t="shared" si="21"/>
        <v>#DIV/0!</v>
      </c>
      <c r="AA130" s="4">
        <f>IF(H130*G130,LOOKUP(Z130,'Daniel''s Tables'!$Z$135:$Z$214,'Daniel''s Tables'!$AB$135:$AB$214),0)</f>
        <v>0</v>
      </c>
      <c r="AB130" s="869">
        <f t="shared" si="22"/>
        <v>0</v>
      </c>
      <c r="AC130" s="871">
        <f t="shared" si="16"/>
        <v>0</v>
      </c>
      <c r="AD130" s="838">
        <f t="shared" si="17"/>
        <v>20.003370238095236</v>
      </c>
      <c r="AE130" s="838"/>
    </row>
    <row r="131" spans="1:31" ht="15.75" customHeight="1" x14ac:dyDescent="0.2">
      <c r="A131" s="893"/>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6.8728571428571428</v>
      </c>
      <c r="V131" s="4">
        <v>70</v>
      </c>
      <c r="W131" s="4">
        <f t="shared" si="19"/>
        <v>59</v>
      </c>
      <c r="X131" s="868">
        <f t="shared" si="20"/>
        <v>61.714285714285715</v>
      </c>
      <c r="Y131" s="4"/>
      <c r="Z131" s="869" t="e">
        <f t="shared" si="21"/>
        <v>#DIV/0!</v>
      </c>
      <c r="AA131" s="4">
        <f>IF(H131*G131,LOOKUP(Z131,'Daniel''s Tables'!$Z$135:$Z$214,'Daniel''s Tables'!$AB$135:$AB$214),0)</f>
        <v>0</v>
      </c>
      <c r="AB131" s="869">
        <f t="shared" si="22"/>
        <v>0</v>
      </c>
      <c r="AC131" s="871">
        <f t="shared" si="16"/>
        <v>0</v>
      </c>
      <c r="AD131" s="838">
        <f t="shared" si="17"/>
        <v>10.986730952380952</v>
      </c>
      <c r="AE131" s="838"/>
    </row>
    <row r="132" spans="1:31" ht="15.75" customHeight="1" x14ac:dyDescent="0.2">
      <c r="A132" s="893"/>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5.7467245370370375</v>
      </c>
      <c r="Q132" s="865"/>
      <c r="R132" s="4"/>
      <c r="S132" s="4"/>
      <c r="T132" s="16">
        <f t="shared" si="15"/>
        <v>0</v>
      </c>
      <c r="U132" s="868">
        <f t="shared" si="18"/>
        <v>2.5071428571428571</v>
      </c>
      <c r="V132" s="4">
        <v>70</v>
      </c>
      <c r="W132" s="4">
        <f t="shared" si="19"/>
        <v>52</v>
      </c>
      <c r="X132" s="868">
        <f t="shared" si="20"/>
        <v>59</v>
      </c>
      <c r="Y132" s="4"/>
      <c r="Z132" s="869" t="e">
        <f t="shared" si="21"/>
        <v>#DIV/0!</v>
      </c>
      <c r="AA132" s="4">
        <f>IF(H132*G132,LOOKUP(Z132,'Daniel''s Tables'!$Z$135:$Z$214,'Daniel''s Tables'!$AB$135:$AB$214),0)</f>
        <v>0</v>
      </c>
      <c r="AB132" s="869">
        <f t="shared" si="22"/>
        <v>0</v>
      </c>
      <c r="AC132" s="871">
        <f t="shared" si="16"/>
        <v>0</v>
      </c>
      <c r="AD132" s="838">
        <f t="shared" si="17"/>
        <v>2.8755678571428573</v>
      </c>
      <c r="AE132" s="838"/>
    </row>
    <row r="133" spans="1:31" ht="15.75" customHeight="1" x14ac:dyDescent="0.2">
      <c r="A133" s="893"/>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1122.6599999999999</v>
      </c>
      <c r="Q133" s="866"/>
      <c r="R133" s="4"/>
      <c r="S133" s="4"/>
      <c r="T133" s="16">
        <f t="shared" si="15"/>
        <v>0</v>
      </c>
      <c r="U133" s="868">
        <f t="shared" si="18"/>
        <v>0.75</v>
      </c>
      <c r="V133" s="4">
        <v>70</v>
      </c>
      <c r="W133" s="4">
        <f t="shared" si="19"/>
        <v>50</v>
      </c>
      <c r="X133" s="868">
        <f t="shared" si="20"/>
        <v>57.857142857142854</v>
      </c>
      <c r="Y133" s="4"/>
      <c r="Z133" s="869" t="e">
        <f t="shared" si="21"/>
        <v>#DIV/0!</v>
      </c>
      <c r="AA133" s="4">
        <f>IF(H133*G133,LOOKUP(Z133,'Daniel''s Tables'!$Z$135:$Z$214,'Daniel''s Tables'!$AB$135:$AB$214),0)</f>
        <v>0</v>
      </c>
      <c r="AB133" s="869">
        <f t="shared" si="22"/>
        <v>0</v>
      </c>
      <c r="AC133" s="871">
        <f t="shared" si="16"/>
        <v>0</v>
      </c>
      <c r="AD133" s="838">
        <f t="shared" si="17"/>
        <v>0.59857142857142864</v>
      </c>
      <c r="AE133" s="838"/>
    </row>
    <row r="134" spans="1:31" ht="15.75" customHeight="1" x14ac:dyDescent="0.2">
      <c r="A134" s="893"/>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1260</v>
      </c>
      <c r="Q134" s="862">
        <f>P133/P134</f>
        <v>0.8909999999999999</v>
      </c>
      <c r="R134" s="4"/>
      <c r="S134" s="4"/>
      <c r="T134" s="16">
        <f t="shared" si="15"/>
        <v>0</v>
      </c>
      <c r="U134" s="868">
        <f t="shared" si="18"/>
        <v>0</v>
      </c>
      <c r="V134" s="4">
        <v>70</v>
      </c>
      <c r="W134" s="4">
        <f t="shared" si="19"/>
        <v>45</v>
      </c>
      <c r="X134" s="868">
        <f t="shared" si="20"/>
        <v>56</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52</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C21" sqref="C21"/>
    </sheetView>
  </sheetViews>
  <sheetFormatPr defaultRowHeight="12.75" x14ac:dyDescent="0.2"/>
  <cols>
    <col min="12" max="12" width="17.85546875" customWidth="1"/>
  </cols>
  <sheetData>
    <row r="1" spans="1:12" x14ac:dyDescent="0.2">
      <c r="C1" s="896" t="s">
        <v>333</v>
      </c>
      <c r="D1" s="897"/>
      <c r="G1" s="896" t="s">
        <v>477</v>
      </c>
      <c r="H1" s="897"/>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12" x14ac:dyDescent="0.2">
      <c r="A17">
        <v>15</v>
      </c>
      <c r="B17">
        <v>4</v>
      </c>
      <c r="C17" s="825">
        <v>0.9</v>
      </c>
      <c r="D17" s="825">
        <v>0.9</v>
      </c>
      <c r="E17" s="825">
        <v>0.8</v>
      </c>
      <c r="F17" s="825"/>
      <c r="G17">
        <f t="shared" si="1"/>
        <v>49.5</v>
      </c>
      <c r="H17">
        <f t="shared" si="0"/>
        <v>63</v>
      </c>
      <c r="I17">
        <f t="shared" si="2"/>
        <v>64</v>
      </c>
      <c r="J17">
        <f t="shared" si="3"/>
        <v>68</v>
      </c>
      <c r="K17">
        <f>'2Q - 80'!N113</f>
        <v>67.069999999999993</v>
      </c>
      <c r="L17" s="838">
        <f>(K17-K16)/((K17+K16)/2)*100</f>
        <v>-14.33910034602078</v>
      </c>
    </row>
    <row r="18" spans="1:12" x14ac:dyDescent="0.2">
      <c r="A18">
        <v>16</v>
      </c>
      <c r="B18">
        <v>3</v>
      </c>
      <c r="C18" s="825">
        <v>0.8</v>
      </c>
      <c r="D18" s="825">
        <v>0.8</v>
      </c>
      <c r="E18">
        <v>0.8</v>
      </c>
      <c r="G18">
        <f t="shared" si="1"/>
        <v>44</v>
      </c>
      <c r="H18">
        <f t="shared" si="0"/>
        <v>56</v>
      </c>
      <c r="I18">
        <f t="shared" si="2"/>
        <v>64</v>
      </c>
      <c r="J18">
        <f t="shared" si="3"/>
        <v>68</v>
      </c>
      <c r="K18">
        <f>'2Q - 80'!N120</f>
        <v>65.13</v>
      </c>
      <c r="L18" s="838">
        <f t="shared" ref="L18:L20" si="5">(K18-K17)/((K18+K17)/2)*100</f>
        <v>-2.9349470499243537</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5.25</v>
      </c>
      <c r="L19" s="838">
        <f t="shared" si="5"/>
        <v>-170.16197783461212</v>
      </c>
    </row>
    <row r="20" spans="1:12" x14ac:dyDescent="0.2">
      <c r="A20">
        <v>18</v>
      </c>
      <c r="B20">
        <v>1</v>
      </c>
      <c r="G20">
        <v>25</v>
      </c>
      <c r="H20">
        <f>13+8+8+7+5+3+3</f>
        <v>47</v>
      </c>
      <c r="I20">
        <f>13+8+9+7+5+3+3</f>
        <v>48</v>
      </c>
      <c r="J20">
        <f t="shared" si="3"/>
        <v>0</v>
      </c>
      <c r="K20">
        <f>'2Q - 80'!N134</f>
        <v>0</v>
      </c>
      <c r="L20" s="838">
        <f t="shared" si="5"/>
        <v>-200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30" sqref="K30"/>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900" t="s">
        <v>378</v>
      </c>
      <c r="B1" s="900"/>
      <c r="C1" s="900"/>
      <c r="D1" s="900"/>
      <c r="E1" s="900"/>
      <c r="F1" s="900"/>
      <c r="I1" s="900" t="s">
        <v>389</v>
      </c>
      <c r="J1" s="900"/>
      <c r="K1" s="900"/>
      <c r="L1" s="900"/>
      <c r="M1" s="900"/>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8">
        <v>18</v>
      </c>
      <c r="B3" s="825" t="s">
        <v>314</v>
      </c>
      <c r="C3" s="825" t="s">
        <v>336</v>
      </c>
      <c r="D3" s="838">
        <f>1+6+1+6+2</f>
        <v>16</v>
      </c>
      <c r="E3">
        <v>16</v>
      </c>
      <c r="F3" s="899">
        <f>'Daniel''s Metrics'!G3 - ('Q Sessions'!D3+'Q Sessions'!D4)</f>
        <v>12</v>
      </c>
      <c r="I3" s="898">
        <v>18</v>
      </c>
      <c r="J3" s="825" t="s">
        <v>314</v>
      </c>
      <c r="K3" s="825" t="s">
        <v>390</v>
      </c>
      <c r="L3">
        <v>18</v>
      </c>
      <c r="M3" s="899">
        <f>'Daniel''s Metrics'!I3 - (L3+L4)</f>
        <v>29</v>
      </c>
    </row>
    <row r="4" spans="1:13" x14ac:dyDescent="0.2">
      <c r="A4" s="898"/>
      <c r="B4" s="825" t="s">
        <v>335</v>
      </c>
      <c r="C4" s="825" t="s">
        <v>337</v>
      </c>
      <c r="D4" s="838">
        <f>8+3+2+3</f>
        <v>16</v>
      </c>
      <c r="E4">
        <v>15</v>
      </c>
      <c r="F4" s="898"/>
      <c r="I4" s="898"/>
      <c r="J4" s="825" t="s">
        <v>335</v>
      </c>
      <c r="K4" s="825" t="s">
        <v>391</v>
      </c>
      <c r="L4">
        <v>17</v>
      </c>
      <c r="M4" s="898"/>
    </row>
    <row r="5" spans="1:13" x14ac:dyDescent="0.2">
      <c r="A5" s="898">
        <v>17</v>
      </c>
      <c r="B5" s="825" t="s">
        <v>314</v>
      </c>
      <c r="C5" s="825" t="s">
        <v>338</v>
      </c>
      <c r="D5" s="838">
        <f>2+3+(60/7.5)+1+1</f>
        <v>15</v>
      </c>
      <c r="E5">
        <v>15</v>
      </c>
      <c r="F5" s="899">
        <f>'Daniel''s Metrics'!G5 - ('Q Sessions'!D5+'Q Sessions'!D6)</f>
        <v>24.375</v>
      </c>
      <c r="I5" s="898">
        <v>17</v>
      </c>
      <c r="J5" s="825" t="s">
        <v>314</v>
      </c>
      <c r="K5" s="825" t="s">
        <v>392</v>
      </c>
      <c r="L5">
        <v>18</v>
      </c>
      <c r="M5" s="899">
        <f>'Daniel''s Metrics'!I4 -(L5+L6)</f>
        <v>31</v>
      </c>
    </row>
    <row r="6" spans="1:13" x14ac:dyDescent="0.2">
      <c r="A6" s="898"/>
      <c r="B6" s="825" t="s">
        <v>335</v>
      </c>
      <c r="C6" s="825" t="s">
        <v>354</v>
      </c>
      <c r="D6" s="838">
        <f>4+ (5*(1000/1600)) + (4*(400/1600)) +2</f>
        <v>10.125</v>
      </c>
      <c r="E6">
        <v>13</v>
      </c>
      <c r="F6" s="898"/>
      <c r="I6" s="898"/>
      <c r="J6" s="825" t="s">
        <v>335</v>
      </c>
      <c r="K6" s="825" t="s">
        <v>396</v>
      </c>
      <c r="L6">
        <v>15</v>
      </c>
      <c r="M6" s="899"/>
    </row>
    <row r="7" spans="1:13" x14ac:dyDescent="0.2">
      <c r="A7" s="898">
        <v>16</v>
      </c>
      <c r="B7" s="825" t="s">
        <v>314</v>
      </c>
      <c r="C7" s="825" t="s">
        <v>339</v>
      </c>
      <c r="D7" s="838">
        <v>16</v>
      </c>
      <c r="E7">
        <v>16</v>
      </c>
      <c r="F7" s="899">
        <f>'Daniel''s Metrics'!G7 - ('Q Sessions'!D7+'Q Sessions'!D8)</f>
        <v>20.5</v>
      </c>
      <c r="I7" s="898">
        <v>16</v>
      </c>
      <c r="J7" s="825" t="s">
        <v>314</v>
      </c>
      <c r="K7" s="825" t="s">
        <v>393</v>
      </c>
      <c r="L7">
        <v>18</v>
      </c>
      <c r="M7" s="899">
        <f>'Daniel''s Metrics'!I5 -(L7+L8)</f>
        <v>37</v>
      </c>
    </row>
    <row r="8" spans="1:13" x14ac:dyDescent="0.2">
      <c r="A8" s="898"/>
      <c r="B8" s="825" t="s">
        <v>335</v>
      </c>
      <c r="C8" s="825" t="s">
        <v>341</v>
      </c>
      <c r="D8" s="838">
        <f>6+3+2+1+1</f>
        <v>13</v>
      </c>
      <c r="E8">
        <v>14</v>
      </c>
      <c r="F8" s="898"/>
      <c r="I8" s="898"/>
      <c r="J8" s="825" t="s">
        <v>335</v>
      </c>
      <c r="K8" s="825" t="s">
        <v>394</v>
      </c>
      <c r="L8">
        <v>17</v>
      </c>
      <c r="M8" s="898"/>
    </row>
    <row r="9" spans="1:13" x14ac:dyDescent="0.2">
      <c r="A9" s="898">
        <v>15</v>
      </c>
      <c r="B9" s="825" t="s">
        <v>314</v>
      </c>
      <c r="C9" s="825" t="s">
        <v>340</v>
      </c>
      <c r="D9" s="838">
        <f>2+8+1+3+2</f>
        <v>16</v>
      </c>
      <c r="E9">
        <v>16</v>
      </c>
      <c r="F9" s="899">
        <f>'Daniel''s Metrics'!G9 - ('Q Sessions'!D9+'Q Sessions'!D10)</f>
        <v>24.666666666666668</v>
      </c>
      <c r="I9" s="898">
        <v>15</v>
      </c>
      <c r="J9" s="825" t="s">
        <v>314</v>
      </c>
      <c r="K9" s="825" t="s">
        <v>395</v>
      </c>
      <c r="L9">
        <v>18</v>
      </c>
      <c r="M9" s="899">
        <f>'Daniel''s Metrics'!I6 -(L9+L10)</f>
        <v>38</v>
      </c>
    </row>
    <row r="10" spans="1:13" x14ac:dyDescent="0.2">
      <c r="A10" s="898"/>
      <c r="B10" s="825" t="s">
        <v>335</v>
      </c>
      <c r="C10" s="825" t="s">
        <v>342</v>
      </c>
      <c r="D10" s="839">
        <f>(40/7.5) + (3*2) + (2*1) + 1</f>
        <v>14.333333333333332</v>
      </c>
      <c r="E10">
        <v>15</v>
      </c>
      <c r="F10" s="898"/>
      <c r="I10" s="898"/>
      <c r="J10" s="825" t="s">
        <v>335</v>
      </c>
      <c r="K10" s="825" t="s">
        <v>399</v>
      </c>
      <c r="L10">
        <v>16</v>
      </c>
      <c r="M10" s="898"/>
    </row>
    <row r="11" spans="1:13" x14ac:dyDescent="0.2">
      <c r="A11" s="898">
        <v>14</v>
      </c>
      <c r="B11" s="825" t="s">
        <v>314</v>
      </c>
      <c r="C11" s="825" t="s">
        <v>347</v>
      </c>
      <c r="D11" s="838">
        <f>1+(2*2)+(60/7.5)+2+1</f>
        <v>16</v>
      </c>
      <c r="E11">
        <v>16</v>
      </c>
      <c r="F11" s="899">
        <f>'Daniel''s Metrics'!G11 - ('Q Sessions'!D11+'Q Sessions'!D12)</f>
        <v>19.75</v>
      </c>
      <c r="I11" s="898">
        <v>14</v>
      </c>
      <c r="J11" s="825" t="s">
        <v>314</v>
      </c>
      <c r="K11" s="825" t="s">
        <v>400</v>
      </c>
      <c r="L11">
        <v>18</v>
      </c>
      <c r="M11" s="899">
        <f>'Daniel''s Metrics'!I7 -(L11+L12)</f>
        <v>37</v>
      </c>
    </row>
    <row r="12" spans="1:13" x14ac:dyDescent="0.2">
      <c r="A12" s="898"/>
      <c r="B12" s="825" t="s">
        <v>335</v>
      </c>
      <c r="C12" s="825" t="s">
        <v>348</v>
      </c>
      <c r="D12" s="838">
        <f xml:space="preserve"> 8+(6*(1/1.6))+2</f>
        <v>13.75</v>
      </c>
      <c r="E12">
        <v>14</v>
      </c>
      <c r="F12" s="898"/>
      <c r="I12" s="898"/>
      <c r="J12" s="825" t="s">
        <v>335</v>
      </c>
      <c r="K12" s="825" t="s">
        <v>401</v>
      </c>
      <c r="L12">
        <v>17</v>
      </c>
      <c r="M12" s="898"/>
    </row>
    <row r="13" spans="1:13" x14ac:dyDescent="0.2">
      <c r="A13" s="898">
        <v>13</v>
      </c>
      <c r="B13" s="825" t="s">
        <v>314</v>
      </c>
      <c r="C13" s="825" t="s">
        <v>349</v>
      </c>
      <c r="D13" s="838">
        <v>17</v>
      </c>
      <c r="E13">
        <v>17</v>
      </c>
      <c r="F13" s="899">
        <f>'Daniel''s Metrics'!G13 - ('Q Sessions'!D13+'Q Sessions'!D14)</f>
        <v>23.666666666666668</v>
      </c>
      <c r="I13" s="898">
        <v>13</v>
      </c>
      <c r="J13" s="825" t="s">
        <v>314</v>
      </c>
      <c r="K13" s="825" t="s">
        <v>397</v>
      </c>
      <c r="L13">
        <v>19</v>
      </c>
      <c r="M13" s="899">
        <f>'Daniel''s Metrics'!I8 -(L13+L14)</f>
        <v>28</v>
      </c>
    </row>
    <row r="14" spans="1:13" x14ac:dyDescent="0.2">
      <c r="A14" s="898"/>
      <c r="B14" s="825" t="s">
        <v>335</v>
      </c>
      <c r="C14" s="825" t="s">
        <v>351</v>
      </c>
      <c r="D14" s="838">
        <f>(40/7.5)+3+(2*2)+2</f>
        <v>14.333333333333332</v>
      </c>
      <c r="E14">
        <v>15</v>
      </c>
      <c r="F14" s="898"/>
      <c r="I14" s="898"/>
      <c r="J14" s="825" t="s">
        <v>335</v>
      </c>
      <c r="K14" s="825" t="s">
        <v>398</v>
      </c>
      <c r="L14">
        <v>17</v>
      </c>
      <c r="M14" s="898"/>
    </row>
    <row r="15" spans="1:13" x14ac:dyDescent="0.2">
      <c r="A15" s="898">
        <v>12</v>
      </c>
      <c r="B15" s="825" t="s">
        <v>314</v>
      </c>
      <c r="C15" s="825" t="s">
        <v>350</v>
      </c>
      <c r="D15" s="838">
        <f>1+8+1+6+1</f>
        <v>17</v>
      </c>
      <c r="E15">
        <v>17</v>
      </c>
      <c r="F15" s="899">
        <f>'Daniel''s Metrics'!G15 - ('Q Sessions'!D15+'Q Sessions'!D16)</f>
        <v>24</v>
      </c>
      <c r="I15" s="898">
        <v>12</v>
      </c>
      <c r="J15" s="825" t="s">
        <v>314</v>
      </c>
      <c r="K15" s="825" t="s">
        <v>402</v>
      </c>
      <c r="L15">
        <v>19</v>
      </c>
      <c r="M15" s="899">
        <f>'Daniel''s Metrics'!I9 -(L15+L16)</f>
        <v>46</v>
      </c>
    </row>
    <row r="16" spans="1:13" x14ac:dyDescent="0.2">
      <c r="A16" s="898"/>
      <c r="B16" s="825" t="s">
        <v>335</v>
      </c>
      <c r="C16" s="825" t="s">
        <v>352</v>
      </c>
      <c r="D16" s="838">
        <f>4+3+2+2+1+2</f>
        <v>14</v>
      </c>
      <c r="E16">
        <v>14</v>
      </c>
      <c r="F16" s="898"/>
      <c r="I16" s="898"/>
      <c r="J16" s="825" t="s">
        <v>335</v>
      </c>
      <c r="K16" s="825" t="s">
        <v>403</v>
      </c>
      <c r="L16">
        <v>15</v>
      </c>
      <c r="M16" s="898"/>
    </row>
    <row r="17" spans="1:13" x14ac:dyDescent="0.2">
      <c r="A17" s="898">
        <v>11</v>
      </c>
      <c r="B17" s="825" t="s">
        <v>314</v>
      </c>
      <c r="C17" s="825" t="s">
        <v>353</v>
      </c>
      <c r="D17" s="838">
        <f>12+3+1</f>
        <v>16</v>
      </c>
      <c r="E17">
        <v>16</v>
      </c>
      <c r="F17" s="899">
        <f>'Daniel''s Metrics'!G17 - ('Q Sessions'!D17+'Q Sessions'!D18)</f>
        <v>20.375</v>
      </c>
      <c r="I17" s="898">
        <v>11</v>
      </c>
      <c r="J17" s="825" t="s">
        <v>314</v>
      </c>
      <c r="K17" s="825" t="s">
        <v>404</v>
      </c>
      <c r="L17">
        <v>19</v>
      </c>
      <c r="M17" s="899">
        <f>'Daniel''s Metrics'!I10 -(L17+L18)</f>
        <v>36</v>
      </c>
    </row>
    <row r="18" spans="1:13" x14ac:dyDescent="0.2">
      <c r="A18" s="898"/>
      <c r="B18" s="825" t="s">
        <v>335</v>
      </c>
      <c r="C18" s="825" t="s">
        <v>355</v>
      </c>
      <c r="D18" s="838">
        <f>8+(5*(1/1.6))+(4*0.25)+1</f>
        <v>13.125</v>
      </c>
      <c r="E18">
        <v>15</v>
      </c>
      <c r="F18" s="898"/>
      <c r="I18" s="898"/>
      <c r="J18" s="825" t="s">
        <v>335</v>
      </c>
      <c r="K18" s="825" t="s">
        <v>405</v>
      </c>
      <c r="L18">
        <v>17</v>
      </c>
      <c r="M18" s="898"/>
    </row>
    <row r="19" spans="1:13" x14ac:dyDescent="0.2">
      <c r="A19" s="898">
        <v>10</v>
      </c>
      <c r="B19" s="825" t="s">
        <v>314</v>
      </c>
      <c r="C19" s="825" t="s">
        <v>356</v>
      </c>
      <c r="D19" s="838">
        <v>18</v>
      </c>
      <c r="E19">
        <v>18</v>
      </c>
      <c r="F19" s="899">
        <f>'Daniel''s Metrics'!G19 - ('Q Sessions'!D19+'Q Sessions'!D20)</f>
        <v>10</v>
      </c>
      <c r="I19" s="898">
        <v>10</v>
      </c>
      <c r="J19" s="825" t="s">
        <v>314</v>
      </c>
      <c r="K19" s="825" t="s">
        <v>411</v>
      </c>
      <c r="L19">
        <v>20</v>
      </c>
      <c r="M19" s="899">
        <f>'Daniel''s Metrics'!I11 -(L19+L20)</f>
        <v>26</v>
      </c>
    </row>
    <row r="20" spans="1:13" x14ac:dyDescent="0.2">
      <c r="A20" s="898"/>
      <c r="B20" s="825" t="s">
        <v>335</v>
      </c>
      <c r="C20" s="825" t="s">
        <v>358</v>
      </c>
      <c r="D20" s="838">
        <f>2+12+2</f>
        <v>16</v>
      </c>
      <c r="E20">
        <v>16</v>
      </c>
      <c r="F20" s="898"/>
      <c r="I20" s="898"/>
      <c r="J20" s="825" t="s">
        <v>335</v>
      </c>
      <c r="K20" s="825" t="s">
        <v>406</v>
      </c>
      <c r="L20">
        <v>18</v>
      </c>
      <c r="M20" s="898"/>
    </row>
    <row r="21" spans="1:13" x14ac:dyDescent="0.2">
      <c r="A21" s="898">
        <v>9</v>
      </c>
      <c r="B21" s="825" t="s">
        <v>314</v>
      </c>
      <c r="C21" s="825" t="s">
        <v>359</v>
      </c>
      <c r="D21" s="838">
        <f>3+6+1+4+1+1</f>
        <v>16</v>
      </c>
      <c r="E21">
        <v>16</v>
      </c>
      <c r="F21" s="899">
        <f>'Daniel''s Metrics'!G21 - ('Q Sessions'!D21+'Q Sessions'!D22)</f>
        <v>-31</v>
      </c>
      <c r="I21" s="898">
        <v>9</v>
      </c>
      <c r="J21" s="825" t="s">
        <v>314</v>
      </c>
      <c r="K21" s="825" t="s">
        <v>407</v>
      </c>
      <c r="L21">
        <v>18</v>
      </c>
      <c r="M21" s="899">
        <f>'Daniel''s Metrics'!I12 -(L21+L22)</f>
        <v>46</v>
      </c>
    </row>
    <row r="22" spans="1:13" x14ac:dyDescent="0.2">
      <c r="A22" s="898"/>
      <c r="B22" s="825" t="s">
        <v>335</v>
      </c>
      <c r="C22" s="825" t="s">
        <v>360</v>
      </c>
      <c r="D22" s="838">
        <f>5+(4*2)+2</f>
        <v>15</v>
      </c>
      <c r="E22">
        <v>15</v>
      </c>
      <c r="F22" s="898"/>
      <c r="I22" s="898"/>
      <c r="J22" s="825" t="s">
        <v>335</v>
      </c>
      <c r="K22" s="825" t="s">
        <v>408</v>
      </c>
      <c r="L22">
        <v>16</v>
      </c>
      <c r="M22" s="898"/>
    </row>
    <row r="23" spans="1:13" x14ac:dyDescent="0.2">
      <c r="A23" s="898">
        <v>8</v>
      </c>
      <c r="B23" s="825" t="s">
        <v>314</v>
      </c>
      <c r="C23" s="825" t="s">
        <v>361</v>
      </c>
      <c r="D23" s="838">
        <f>2+2+(60/7)+2+2</f>
        <v>16.571428571428569</v>
      </c>
      <c r="E23">
        <v>17</v>
      </c>
      <c r="F23" s="899">
        <f>'Daniel''s Metrics'!G23 - ('Q Sessions'!D23+'Q Sessions'!D24)</f>
        <v>-30.321428571428569</v>
      </c>
      <c r="I23" s="898">
        <v>8</v>
      </c>
      <c r="J23" s="825" t="s">
        <v>314</v>
      </c>
      <c r="K23" s="825" t="s">
        <v>409</v>
      </c>
      <c r="L23">
        <v>18</v>
      </c>
      <c r="M23" s="899">
        <f>'Daniel''s Metrics'!I13 -(L23+L24)</f>
        <v>37</v>
      </c>
    </row>
    <row r="24" spans="1:13" x14ac:dyDescent="0.2">
      <c r="A24" s="898"/>
      <c r="B24" s="825" t="s">
        <v>335</v>
      </c>
      <c r="C24" s="825" t="s">
        <v>348</v>
      </c>
      <c r="D24" s="838">
        <f xml:space="preserve"> 8+(6*(1/1.6))+2</f>
        <v>13.75</v>
      </c>
      <c r="E24">
        <v>16</v>
      </c>
      <c r="F24" s="898"/>
      <c r="I24" s="898"/>
      <c r="J24" s="825" t="s">
        <v>335</v>
      </c>
      <c r="K24" s="825" t="s">
        <v>410</v>
      </c>
      <c r="L24">
        <v>17</v>
      </c>
      <c r="M24" s="898"/>
    </row>
    <row r="25" spans="1:13" x14ac:dyDescent="0.2">
      <c r="A25" s="898">
        <v>7</v>
      </c>
      <c r="B25" s="825" t="s">
        <v>314</v>
      </c>
      <c r="C25" s="825" t="s">
        <v>364</v>
      </c>
      <c r="D25" s="838">
        <v>20</v>
      </c>
      <c r="E25">
        <v>20</v>
      </c>
      <c r="F25" s="899">
        <f>'Daniel''s Metrics'!G25 - ('Q Sessions'!D25+'Q Sessions'!D26)</f>
        <v>-36</v>
      </c>
      <c r="I25" s="898">
        <v>7</v>
      </c>
      <c r="J25" s="825" t="s">
        <v>314</v>
      </c>
      <c r="K25" s="825" t="s">
        <v>411</v>
      </c>
      <c r="L25">
        <v>20</v>
      </c>
      <c r="M25" s="899">
        <f>'Daniel''s Metrics'!I14 -(L25+L26)</f>
        <v>37</v>
      </c>
    </row>
    <row r="26" spans="1:13" x14ac:dyDescent="0.2">
      <c r="A26" s="898"/>
      <c r="B26" s="825" t="s">
        <v>335</v>
      </c>
      <c r="C26" s="825" t="s">
        <v>365</v>
      </c>
      <c r="D26" s="838">
        <f>2+8+(2*2)+2</f>
        <v>16</v>
      </c>
      <c r="E26">
        <v>16</v>
      </c>
      <c r="F26" s="898"/>
      <c r="I26" s="898"/>
      <c r="J26" s="825" t="s">
        <v>335</v>
      </c>
      <c r="K26" s="825" t="s">
        <v>412</v>
      </c>
      <c r="L26">
        <v>15</v>
      </c>
      <c r="M26" s="898"/>
    </row>
    <row r="27" spans="1:13" x14ac:dyDescent="0.2">
      <c r="A27" s="898">
        <v>6</v>
      </c>
      <c r="B27" s="825" t="s">
        <v>314</v>
      </c>
      <c r="C27" s="825" t="s">
        <v>366</v>
      </c>
      <c r="D27" s="838">
        <f>3+12+2</f>
        <v>17</v>
      </c>
      <c r="E27">
        <v>17</v>
      </c>
      <c r="F27" s="899">
        <f>'Daniel''s Metrics'!G27 - ('Q Sessions'!D27+'Q Sessions'!D28)</f>
        <v>-33.333333333333329</v>
      </c>
      <c r="I27" s="898">
        <v>6</v>
      </c>
      <c r="J27" s="825" t="s">
        <v>314</v>
      </c>
      <c r="K27" s="825" t="s">
        <v>413</v>
      </c>
      <c r="L27">
        <v>18</v>
      </c>
      <c r="M27" s="899">
        <f>'Daniel''s Metrics'!I15 -(L27+L28)</f>
        <v>48</v>
      </c>
    </row>
    <row r="28" spans="1:13" x14ac:dyDescent="0.2">
      <c r="A28" s="898"/>
      <c r="B28" s="825" t="s">
        <v>335</v>
      </c>
      <c r="C28" s="825" t="s">
        <v>367</v>
      </c>
      <c r="D28" s="839">
        <f>(40/7.5) + (4*2) + (2*1) + 1</f>
        <v>16.333333333333332</v>
      </c>
      <c r="E28">
        <v>17</v>
      </c>
      <c r="F28" s="898"/>
      <c r="I28" s="898"/>
      <c r="J28" s="825" t="s">
        <v>335</v>
      </c>
      <c r="K28" s="825" t="s">
        <v>414</v>
      </c>
      <c r="L28">
        <v>14</v>
      </c>
      <c r="M28" s="898"/>
    </row>
    <row r="29" spans="1:13" x14ac:dyDescent="0.2">
      <c r="A29" s="898">
        <v>5</v>
      </c>
      <c r="B29" s="825" t="s">
        <v>314</v>
      </c>
      <c r="C29" s="825" t="s">
        <v>368</v>
      </c>
      <c r="D29" s="838">
        <f>6+2+6+2+1</f>
        <v>17</v>
      </c>
      <c r="E29">
        <v>17</v>
      </c>
      <c r="F29" s="899">
        <f>'Daniel''s Metrics'!G29 - ('Q Sessions'!D29+'Q Sessions'!D30)</f>
        <v>-29.875</v>
      </c>
      <c r="I29" s="898">
        <v>5</v>
      </c>
      <c r="J29" s="825" t="s">
        <v>314</v>
      </c>
      <c r="K29" s="825" t="s">
        <v>415</v>
      </c>
      <c r="L29">
        <v>16</v>
      </c>
      <c r="M29" s="899">
        <f>'Daniel''s Metrics'!I16 -(L29+L30)</f>
        <v>42</v>
      </c>
    </row>
    <row r="30" spans="1:13" x14ac:dyDescent="0.2">
      <c r="A30" s="898"/>
      <c r="B30" s="825" t="s">
        <v>335</v>
      </c>
      <c r="C30" s="825" t="s">
        <v>369</v>
      </c>
      <c r="D30" s="838">
        <f>8+(5*(1/1.6))+(6*0.125)+1</f>
        <v>12.875</v>
      </c>
      <c r="E30">
        <v>16</v>
      </c>
      <c r="F30" s="898"/>
      <c r="I30" s="898"/>
      <c r="J30" s="825" t="s">
        <v>335</v>
      </c>
      <c r="K30" s="825" t="s">
        <v>416</v>
      </c>
      <c r="L30">
        <v>14</v>
      </c>
      <c r="M30" s="898"/>
    </row>
    <row r="31" spans="1:13" x14ac:dyDescent="0.2">
      <c r="A31" s="898">
        <v>4</v>
      </c>
      <c r="B31" s="825" t="s">
        <v>314</v>
      </c>
      <c r="C31" s="825" t="s">
        <v>370</v>
      </c>
      <c r="D31" s="838">
        <v>20</v>
      </c>
      <c r="E31">
        <v>20</v>
      </c>
      <c r="F31" s="899">
        <f>'Daniel''s Metrics'!G31 - ('Q Sessions'!D31+'Q Sessions'!D32)</f>
        <v>-33.125</v>
      </c>
      <c r="I31" s="898">
        <v>4</v>
      </c>
      <c r="J31" s="825" t="s">
        <v>314</v>
      </c>
      <c r="K31" s="825" t="s">
        <v>393</v>
      </c>
      <c r="L31">
        <v>18</v>
      </c>
      <c r="M31" s="899">
        <f>'Daniel''s Metrics'!I17 -(L31+L32)</f>
        <v>34</v>
      </c>
    </row>
    <row r="32" spans="1:13" x14ac:dyDescent="0.2">
      <c r="A32" s="898"/>
      <c r="B32" s="825" t="s">
        <v>335</v>
      </c>
      <c r="C32" s="825" t="s">
        <v>371</v>
      </c>
      <c r="D32" s="838">
        <f>6+(5*(1/1.6))+4</f>
        <v>13.125</v>
      </c>
      <c r="E32">
        <v>15</v>
      </c>
      <c r="F32" s="898"/>
      <c r="I32" s="898"/>
      <c r="J32" s="825" t="s">
        <v>335</v>
      </c>
      <c r="K32" s="825" t="s">
        <v>417</v>
      </c>
      <c r="L32">
        <v>12</v>
      </c>
      <c r="M32" s="898"/>
    </row>
    <row r="33" spans="1:13" x14ac:dyDescent="0.2">
      <c r="A33" s="898">
        <v>3</v>
      </c>
      <c r="B33" s="825" t="s">
        <v>314</v>
      </c>
      <c r="C33" s="825" t="s">
        <v>372</v>
      </c>
      <c r="D33" s="838">
        <f>2+6+1+6+2</f>
        <v>17</v>
      </c>
      <c r="E33">
        <v>17</v>
      </c>
      <c r="F33" s="899">
        <f>'Daniel''s Metrics'!G33 - ('Q Sessions'!D33+'Q Sessions'!D34)</f>
        <v>-29</v>
      </c>
      <c r="I33" s="898">
        <v>3</v>
      </c>
      <c r="J33" s="825" t="s">
        <v>314</v>
      </c>
      <c r="K33" s="825" t="s">
        <v>418</v>
      </c>
      <c r="L33">
        <v>18</v>
      </c>
      <c r="M33" s="899">
        <f>'Daniel''s Metrics'!I18 -(L33+L34)</f>
        <v>34</v>
      </c>
    </row>
    <row r="34" spans="1:13" x14ac:dyDescent="0.2">
      <c r="A34" s="898"/>
      <c r="B34" s="825" t="s">
        <v>335</v>
      </c>
      <c r="C34" s="825" t="s">
        <v>373</v>
      </c>
      <c r="D34" s="838">
        <f>2+(4*2)+2</f>
        <v>12</v>
      </c>
      <c r="E34">
        <v>12</v>
      </c>
      <c r="F34" s="898"/>
      <c r="I34" s="898"/>
      <c r="J34" s="825" t="s">
        <v>335</v>
      </c>
      <c r="K34" s="825" t="s">
        <v>420</v>
      </c>
      <c r="L34">
        <v>12</v>
      </c>
      <c r="M34" s="898"/>
    </row>
    <row r="35" spans="1:13" x14ac:dyDescent="0.2">
      <c r="A35" s="898">
        <v>2</v>
      </c>
      <c r="B35" s="825" t="s">
        <v>314</v>
      </c>
      <c r="C35" s="825" t="s">
        <v>374</v>
      </c>
      <c r="D35" s="838">
        <f>2+(3*2)+7</f>
        <v>15</v>
      </c>
      <c r="E35">
        <v>15</v>
      </c>
      <c r="F35" s="899">
        <f>'Daniel''s Metrics'!G35 - ('Q Sessions'!D35+'Q Sessions'!D36)</f>
        <v>-26</v>
      </c>
      <c r="I35" s="898">
        <v>2</v>
      </c>
      <c r="J35" s="825" t="s">
        <v>314</v>
      </c>
      <c r="K35" s="825" t="s">
        <v>419</v>
      </c>
      <c r="L35">
        <v>16</v>
      </c>
      <c r="M35" s="899">
        <f>'Daniel''s Metrics'!I19 -(L35+L36)</f>
        <v>28</v>
      </c>
    </row>
    <row r="36" spans="1:13" x14ac:dyDescent="0.2">
      <c r="A36" s="898"/>
      <c r="B36" s="825" t="s">
        <v>335</v>
      </c>
      <c r="C36" s="825" t="s">
        <v>375</v>
      </c>
      <c r="D36" s="838">
        <f>3+1+2+1+2+2</f>
        <v>11</v>
      </c>
      <c r="E36">
        <v>11</v>
      </c>
      <c r="F36" s="898"/>
      <c r="I36" s="898"/>
      <c r="J36" s="825" t="s">
        <v>335</v>
      </c>
      <c r="K36" s="825" t="s">
        <v>421</v>
      </c>
      <c r="L36">
        <v>12</v>
      </c>
      <c r="M36" s="898"/>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topLeftCell="A6" workbookViewId="0">
      <selection activeCell="S17" sqref="S17"/>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14" t="s">
        <v>51</v>
      </c>
      <c r="H2" s="914"/>
      <c r="I2" s="914"/>
      <c r="J2" s="914"/>
      <c r="K2" s="914"/>
      <c r="L2" s="914"/>
      <c r="M2" s="914"/>
      <c r="N2" s="38"/>
      <c r="O2" s="38"/>
      <c r="P2" s="39"/>
      <c r="Q2" s="40" t="s">
        <v>52</v>
      </c>
      <c r="R2" s="41">
        <v>44166</v>
      </c>
    </row>
    <row r="3" spans="1:34" ht="13.5" thickBot="1" x14ac:dyDescent="0.25">
      <c r="B3" s="42" t="str">
        <f>"Weight"&amp;IF($B$4," (kg):"," (lb):")</f>
        <v>Weight (lb):</v>
      </c>
      <c r="C3" s="43">
        <v>155</v>
      </c>
      <c r="D3" s="44" t="s">
        <v>53</v>
      </c>
      <c r="E3" s="45">
        <v>201</v>
      </c>
      <c r="G3" s="915"/>
      <c r="H3" s="915"/>
      <c r="I3" s="915"/>
      <c r="J3" s="915"/>
      <c r="K3" s="915"/>
      <c r="L3" s="915"/>
      <c r="M3" s="915"/>
      <c r="P3" s="916" t="str">
        <f>P73</f>
        <v>Male Peak Potential - 5k</v>
      </c>
      <c r="Q3" s="917"/>
      <c r="R3" s="918"/>
      <c r="S3" s="6" t="s">
        <v>54</v>
      </c>
      <c r="T3" s="6"/>
      <c r="U3" s="6"/>
      <c r="V3" s="6"/>
    </row>
    <row r="4" spans="1:34" ht="13.5" thickBot="1" x14ac:dyDescent="0.25">
      <c r="B4" s="46" t="b">
        <v>0</v>
      </c>
      <c r="C4" s="47" t="b">
        <v>1</v>
      </c>
      <c r="D4" s="48" t="s">
        <v>55</v>
      </c>
      <c r="E4" s="49">
        <v>54</v>
      </c>
      <c r="F4" s="50"/>
      <c r="G4" s="919" t="s">
        <v>56</v>
      </c>
      <c r="H4" s="919"/>
      <c r="I4" s="919"/>
      <c r="J4" s="919"/>
      <c r="K4" s="919"/>
      <c r="L4" s="919"/>
      <c r="M4" s="919"/>
      <c r="N4" s="51"/>
      <c r="O4" s="52" t="b">
        <v>0</v>
      </c>
      <c r="P4" s="920" t="str">
        <f>"Open Class Standard:"</f>
        <v>Open Class Standard:</v>
      </c>
      <c r="Q4" s="921"/>
      <c r="R4" s="53">
        <f>R74</f>
        <v>9.0162037037037034E-3</v>
      </c>
      <c r="S4" s="6" t="s">
        <v>57</v>
      </c>
      <c r="T4" s="6"/>
      <c r="U4" s="6"/>
      <c r="V4" s="6"/>
      <c r="W4" s="922" t="s">
        <v>58</v>
      </c>
      <c r="X4" s="923"/>
      <c r="Y4" s="923"/>
      <c r="Z4" s="923"/>
      <c r="AA4" s="923"/>
      <c r="AB4" s="923"/>
      <c r="AC4" s="923"/>
      <c r="AD4" s="923"/>
      <c r="AE4" s="923"/>
      <c r="AF4" s="923"/>
      <c r="AG4" s="924"/>
    </row>
    <row r="5" spans="1:34" ht="14.25" thickTop="1" thickBot="1" x14ac:dyDescent="0.25">
      <c r="B5" s="925" t="s">
        <v>59</v>
      </c>
      <c r="C5" s="926"/>
      <c r="D5" s="926"/>
      <c r="E5" s="54">
        <f ca="1">IF(AND(DATEDIF($E$2,NOW(),"y")&gt;=0,DATEDIF($E$2,NOW(),"y")&lt;110),DATEDIF($E$2,NOW(),"y"),"Birthdate?")</f>
        <v>31</v>
      </c>
      <c r="G5" s="24" t="s">
        <v>60</v>
      </c>
      <c r="H5" s="55"/>
      <c r="I5" s="927" t="str">
        <f ca="1">IF(R5="No Std","Custom Entry - No Std",IF(R5="Birthdate?",R5,"AGP  " &amp; IF($C$4,"M-","F-")&amp;$E$5&amp;":   "&amp;TEXT($R$5/$G$6,"0.00%")))</f>
        <v>AGP  M-31:   80.14%</v>
      </c>
      <c r="J5" s="928"/>
      <c r="K5" s="929" t="s">
        <v>61</v>
      </c>
      <c r="L5" s="930"/>
      <c r="M5" s="930"/>
      <c r="N5" s="56" t="s">
        <v>62</v>
      </c>
      <c r="O5" s="57" t="s">
        <v>63</v>
      </c>
      <c r="P5" s="931" t="str">
        <f ca="1">"Age "&amp;TEXT(E5,"#")&amp; " Standard:"</f>
        <v>Age 31 Standard:</v>
      </c>
      <c r="Q5" s="932"/>
      <c r="R5" s="58">
        <f ca="1">R75</f>
        <v>9.0252891614595737E-3</v>
      </c>
      <c r="S5" s="59">
        <v>15</v>
      </c>
      <c r="T5" s="6"/>
      <c r="U5" s="6"/>
      <c r="V5" s="6"/>
    </row>
    <row r="6" spans="1:34" ht="14.25" thickTop="1" thickBot="1" x14ac:dyDescent="0.25">
      <c r="B6" s="60" t="str">
        <f>"Powered by "&amp;IF($G$16=1,"Daniels","Riegel")</f>
        <v>Powered by Riegel</v>
      </c>
      <c r="C6" s="61">
        <v>1.06</v>
      </c>
      <c r="D6" s="62" t="s">
        <v>64</v>
      </c>
      <c r="E6" s="63" t="s">
        <v>78</v>
      </c>
      <c r="F6" s="62" t="s">
        <v>66</v>
      </c>
      <c r="G6" s="64">
        <v>1.1261574074074075E-2</v>
      </c>
      <c r="H6" s="65"/>
      <c r="I6" s="933">
        <f>IF(AND($E$6&gt;0,$G$6&gt;0),(-4.6 + 0.182258 * (F8/G6/1440) + 0.000104 *(F8/G6/1440)^2)/D9,1)</f>
        <v>63.579351807379361</v>
      </c>
      <c r="J6" s="934"/>
      <c r="K6" s="66" t="s">
        <v>67</v>
      </c>
      <c r="L6" s="67">
        <f>IF(AND($E$6&gt;0,$G$6&gt;0),(1609.344/(29.54 + 5.000663 * ($I$6*0.88) - 0.007546 * ($I$6*0.88)^2)/1440),"-")</f>
        <v>3.9117357661323827E-3</v>
      </c>
      <c r="M6" s="68">
        <f>+L6*0.621371192</f>
        <v>2.430639915790712E-3</v>
      </c>
      <c r="N6" s="69" t="str">
        <f>IF($E$3&gt;0,TEXT(88*IF(O4,(1+C9),1),"00")&amp;" - "&amp;TEXT(0.92*IF(O4,(1+C9),1),"0%"),"")</f>
        <v>88 - 92%</v>
      </c>
      <c r="O6" s="70" t="str">
        <f>IF($E$3&gt;0,TEXT(0.88*E3*IF(O4,(1+C9),1),"0")&amp;" - "&amp;TEXT(0.92*E3*IF(O4,(1+C9),1),"0"),"")</f>
        <v>177 - 185</v>
      </c>
      <c r="P6" s="903" t="str">
        <f>"Peak Potential at "&amp;ROUND(C3,1)&amp;IF(B4," kg"," lb")</f>
        <v>Peak Potential at 155 lb</v>
      </c>
      <c r="Q6" s="904"/>
      <c r="R6" s="71">
        <f ca="1">R78</f>
        <v>1.027079005252729E-2</v>
      </c>
      <c r="S6" s="72">
        <v>1</v>
      </c>
      <c r="T6" s="6"/>
      <c r="U6" s="6"/>
      <c r="V6" s="6" t="s">
        <v>382</v>
      </c>
      <c r="W6" s="825" t="s">
        <v>456</v>
      </c>
      <c r="Y6" t="s">
        <v>2</v>
      </c>
      <c r="Z6" s="867">
        <v>0.20416666666666669</v>
      </c>
    </row>
    <row r="7" spans="1:34" ht="14.25" thickTop="1" thickBot="1" x14ac:dyDescent="0.25">
      <c r="B7" s="73"/>
      <c r="C7" s="74" t="s">
        <v>68</v>
      </c>
      <c r="D7" s="75" t="s">
        <v>69</v>
      </c>
      <c r="E7" s="905" t="s">
        <v>70</v>
      </c>
      <c r="F7" s="906"/>
      <c r="G7" s="907"/>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908">
        <f>IF(E6="Custom",S8,HLOOKUP(E6,J7:P8,2,0))</f>
        <v>3.1068559611866697</v>
      </c>
      <c r="E8" s="909"/>
      <c r="F8" s="910">
        <f>IF(E6="Custom",S9,HLOOKUP(E6,J7:P9,3,0))</f>
        <v>5000</v>
      </c>
      <c r="G8" s="911"/>
      <c r="H8" s="912" t="s">
        <v>82</v>
      </c>
      <c r="I8" s="913"/>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6"/>
      <c r="U8" s="6"/>
      <c r="V8" s="6" t="s">
        <v>34</v>
      </c>
      <c r="W8" s="825" t="s">
        <v>458</v>
      </c>
    </row>
    <row r="9" spans="1:34" ht="13.5" thickBot="1" x14ac:dyDescent="0.25">
      <c r="A9" s="91"/>
      <c r="B9" s="92" t="s">
        <v>83</v>
      </c>
      <c r="C9" s="93">
        <v>0</v>
      </c>
      <c r="D9" s="950">
        <f>IF($G$6&gt;0,0.8+0.1894393 * EXP(-0.012778*G6*1440)+0.2989558* EXP(-0.1932605*G6*1440),0)</f>
        <v>0.96700150145062314</v>
      </c>
      <c r="E9" s="951"/>
      <c r="F9" s="94" t="str">
        <f>"▼2nd ed 67%"</f>
        <v>▼2nd ed 67%</v>
      </c>
      <c r="G9" s="95" t="str">
        <f>"1st ed 70%▼"</f>
        <v>1st ed 70%▼</v>
      </c>
      <c r="H9" s="952" t="s">
        <v>84</v>
      </c>
      <c r="I9" s="953"/>
      <c r="J9" s="96">
        <v>42195</v>
      </c>
      <c r="K9" s="97">
        <f>J9/2</f>
        <v>21097.5</v>
      </c>
      <c r="L9" s="97">
        <v>15000</v>
      </c>
      <c r="M9" s="97">
        <v>12000</v>
      </c>
      <c r="N9" s="97">
        <v>10000</v>
      </c>
      <c r="O9" s="97">
        <v>8000</v>
      </c>
      <c r="P9" s="97">
        <v>5000</v>
      </c>
      <c r="Q9" s="98">
        <v>3000</v>
      </c>
      <c r="R9" s="99">
        <f>+R8*1609.344</f>
        <v>1609.3440000000001</v>
      </c>
      <c r="S9" s="100">
        <f>IF($S$6=2,S5*1000,S5*1609.344)</f>
        <v>24140.16</v>
      </c>
      <c r="T9" s="6"/>
      <c r="U9" s="6"/>
      <c r="V9" s="6" t="s">
        <v>383</v>
      </c>
      <c r="W9" s="825" t="s">
        <v>459</v>
      </c>
    </row>
    <row r="10" spans="1:34" ht="13.5" thickBot="1" x14ac:dyDescent="0.25">
      <c r="A10" s="33"/>
      <c r="B10" s="101"/>
      <c r="C10" s="102"/>
      <c r="D10" s="103">
        <v>0.59</v>
      </c>
      <c r="E10" s="103">
        <v>0.63</v>
      </c>
      <c r="F10" s="103">
        <v>0.67</v>
      </c>
      <c r="G10" s="103">
        <v>0.7</v>
      </c>
      <c r="H10" s="103">
        <f>$G$10+(($J$10-$G$10)*0.3333)</f>
        <v>0.74198313278348915</v>
      </c>
      <c r="I10" s="104">
        <f>$G$10+(($J$10-$G$10)*0.6667)</f>
        <v>0.78397886176643328</v>
      </c>
      <c r="J10" s="105">
        <f t="shared" ref="J10:S10" si="1">IF($G$6&gt;0,0.8+0.1894393 * EXP(-0.012778*J16*1440)+0.2989558* EXP(-0.1932605*J16*1440),0)</f>
        <v>0.82596199454992247</v>
      </c>
      <c r="K10" s="106">
        <f t="shared" si="1"/>
        <v>0.87302730319901356</v>
      </c>
      <c r="L10" s="106">
        <f t="shared" si="1"/>
        <v>0.89753335961951231</v>
      </c>
      <c r="M10" s="106">
        <f t="shared" si="1"/>
        <v>0.91226794806763423</v>
      </c>
      <c r="N10" s="106">
        <f t="shared" si="1"/>
        <v>0.9234161147608092</v>
      </c>
      <c r="O10" s="106">
        <f t="shared" si="1"/>
        <v>0.93641870344771949</v>
      </c>
      <c r="P10" s="106">
        <f t="shared" si="1"/>
        <v>0.96700150145062314</v>
      </c>
      <c r="Q10" s="106">
        <f t="shared" si="1"/>
        <v>1.0161819989720546</v>
      </c>
      <c r="R10" s="107">
        <f t="shared" si="1"/>
        <v>1.0944936456265038</v>
      </c>
      <c r="S10" s="108">
        <f t="shared" si="1"/>
        <v>0.86308633322246453</v>
      </c>
      <c r="T10" s="6"/>
      <c r="V10" s="6" t="s">
        <v>78</v>
      </c>
      <c r="W10" s="263">
        <v>0.67569444444444449</v>
      </c>
      <c r="X10" s="877">
        <v>45913</v>
      </c>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0.79219557852988332</v>
      </c>
      <c r="I11" s="112">
        <f t="shared" si="2"/>
        <v>0.82810192681030048</v>
      </c>
      <c r="J11" s="113">
        <f t="shared" si="2"/>
        <v>0.8639975053401836</v>
      </c>
      <c r="K11" s="114">
        <f t="shared" si="2"/>
        <v>0.90423834423515648</v>
      </c>
      <c r="L11" s="114">
        <f t="shared" si="2"/>
        <v>0.9251910224746831</v>
      </c>
      <c r="M11" s="114">
        <f t="shared" si="2"/>
        <v>0.93778909559782719</v>
      </c>
      <c r="N11" s="114">
        <f t="shared" si="2"/>
        <v>0.94732077812049176</v>
      </c>
      <c r="O11" s="114">
        <f t="shared" si="2"/>
        <v>0.95843799144780006</v>
      </c>
      <c r="P11" s="114">
        <f t="shared" si="2"/>
        <v>0.98458628374028279</v>
      </c>
      <c r="Q11" s="114">
        <f t="shared" si="2"/>
        <v>1</v>
      </c>
      <c r="R11" s="115">
        <f t="shared" si="2"/>
        <v>1</v>
      </c>
      <c r="S11" s="116">
        <f t="shared" si="2"/>
        <v>0.89573881490520724</v>
      </c>
      <c r="T11" s="6"/>
      <c r="V11" s="6" t="s">
        <v>76</v>
      </c>
      <c r="W11" s="500">
        <v>2.3958333333333335E-2</v>
      </c>
      <c r="X11" s="877">
        <v>45802</v>
      </c>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0.71585926043882009</v>
      </c>
      <c r="I12" s="122">
        <f t="shared" si="3"/>
        <v>0.76495569584265588</v>
      </c>
      <c r="J12" s="123">
        <f t="shared" si="3"/>
        <v>0.81403740526106738</v>
      </c>
      <c r="K12" s="121">
        <f t="shared" si="3"/>
        <v>0.86906059313786699</v>
      </c>
      <c r="L12" s="121">
        <f t="shared" si="3"/>
        <v>0.89771017358783201</v>
      </c>
      <c r="M12" s="121">
        <f t="shared" si="3"/>
        <v>0.9149361103072331</v>
      </c>
      <c r="N12" s="121">
        <f t="shared" si="3"/>
        <v>0.92796922722597863</v>
      </c>
      <c r="O12" s="121">
        <f t="shared" si="3"/>
        <v>0.94317031483678782</v>
      </c>
      <c r="P12" s="121">
        <f t="shared" si="3"/>
        <v>0.97892410225712134</v>
      </c>
      <c r="Q12" s="121">
        <f t="shared" si="3"/>
        <v>1</v>
      </c>
      <c r="R12" s="124">
        <f t="shared" si="3"/>
        <v>1</v>
      </c>
      <c r="S12" s="125">
        <f t="shared" si="3"/>
        <v>0.85743878772752835</v>
      </c>
      <c r="T12" s="6"/>
      <c r="V12" s="874" t="s">
        <v>509</v>
      </c>
      <c r="W12" s="500">
        <v>3.7164351851851851E-2</v>
      </c>
      <c r="X12" s="878">
        <v>45897</v>
      </c>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159.23131128450655</v>
      </c>
      <c r="I13" s="129">
        <f t="shared" si="4"/>
        <v>166.44848728887041</v>
      </c>
      <c r="J13" s="130">
        <f t="shared" si="4"/>
        <v>173.6634985733769</v>
      </c>
      <c r="K13" s="128">
        <f t="shared" si="4"/>
        <v>181.75190719126644</v>
      </c>
      <c r="L13" s="128">
        <f t="shared" si="4"/>
        <v>185.9633955174113</v>
      </c>
      <c r="M13" s="128">
        <f t="shared" si="4"/>
        <v>188.49560821516326</v>
      </c>
      <c r="N13" s="128">
        <f t="shared" si="4"/>
        <v>190.41147640221885</v>
      </c>
      <c r="O13" s="128">
        <f t="shared" si="4"/>
        <v>192.64603628100781</v>
      </c>
      <c r="P13" s="128">
        <f t="shared" si="4"/>
        <v>197.90184303179683</v>
      </c>
      <c r="Q13" s="128">
        <f t="shared" si="4"/>
        <v>201</v>
      </c>
      <c r="R13" s="131">
        <f t="shared" si="4"/>
        <v>201</v>
      </c>
      <c r="S13" s="132">
        <f t="shared" si="4"/>
        <v>180.04350179594667</v>
      </c>
      <c r="T13" s="6"/>
      <c r="U13" s="6"/>
      <c r="V13" s="875" t="s">
        <v>510</v>
      </c>
      <c r="W13" s="876">
        <v>4.0625000000000001E-2</v>
      </c>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5.4129019276266555E-3</v>
      </c>
      <c r="E14" s="135">
        <f t="shared" si="5"/>
        <v>5.1337483869389753E-3</v>
      </c>
      <c r="F14" s="135">
        <f t="shared" si="5"/>
        <v>4.8840578661331546E-3</v>
      </c>
      <c r="G14" s="135">
        <f t="shared" si="5"/>
        <v>4.7134411074690862E-3</v>
      </c>
      <c r="H14" s="135">
        <f t="shared" si="5"/>
        <v>4.4954203754617918E-3</v>
      </c>
      <c r="I14" s="136">
        <f t="shared" si="5"/>
        <v>4.2983975576346822E-3</v>
      </c>
      <c r="J14" s="137">
        <f t="shared" ref="J14:S14" si="6">IF(AND($E$6&gt;0,$G$6&gt;0),IF($A$14,60/(J16/J8)/1440,J16/J8),"-")</f>
        <v>4.1196036842071375E-3</v>
      </c>
      <c r="K14" s="135">
        <f t="shared" si="6"/>
        <v>3.9517880001000713E-3</v>
      </c>
      <c r="L14" s="135">
        <f t="shared" si="6"/>
        <v>3.8717316967182172E-3</v>
      </c>
      <c r="M14" s="135">
        <f t="shared" si="6"/>
        <v>3.820240049134345E-3</v>
      </c>
      <c r="N14" s="135">
        <f t="shared" si="6"/>
        <v>3.7786770716316813E-3</v>
      </c>
      <c r="O14" s="135">
        <f t="shared" si="6"/>
        <v>3.7284229932639484E-3</v>
      </c>
      <c r="P14" s="135">
        <f t="shared" si="6"/>
        <v>3.6247493333333336E-3</v>
      </c>
      <c r="Q14" s="135">
        <f t="shared" si="6"/>
        <v>3.51533771563599E-3</v>
      </c>
      <c r="R14" s="138">
        <f t="shared" si="6"/>
        <v>3.3864035559680841E-3</v>
      </c>
      <c r="S14" s="139">
        <f t="shared" si="6"/>
        <v>3.9838610908637159E-3</v>
      </c>
      <c r="T14" s="6"/>
      <c r="U14" s="6"/>
      <c r="V14" s="875" t="s">
        <v>508</v>
      </c>
      <c r="W14" s="500">
        <v>3.9942129629629633E-2</v>
      </c>
      <c r="X14" s="879">
        <v>45897</v>
      </c>
      <c r="Y14" s="33"/>
      <c r="Z14" s="33"/>
      <c r="AA14" s="33"/>
      <c r="AB14" s="33"/>
      <c r="AF14" s="33"/>
      <c r="AG14" s="33"/>
      <c r="AH14" s="118"/>
    </row>
    <row r="15" spans="1:34" ht="13.5" thickBot="1" x14ac:dyDescent="0.25">
      <c r="B15" s="140"/>
      <c r="C15" s="127" t="str">
        <f>IF($A$14,"KMH ","Pace / km ")</f>
        <v xml:space="preserve">Pace / km </v>
      </c>
      <c r="D15" s="141">
        <f>IF(D14&lt;&gt;"-",IF($A$14,D14/0.621371192,D14*0.621371192),"-")</f>
        <v>3.3634213229484728E-3</v>
      </c>
      <c r="E15" s="141">
        <f t="shared" ref="E15:S15" si="7">IF(E14&lt;&gt;"-",IF($A$14,E14/0.621371192,E14*0.621371192),"-")</f>
        <v>3.1899633546203484E-3</v>
      </c>
      <c r="F15" s="142">
        <f t="shared" si="7"/>
        <v>3.0348128580761349E-3</v>
      </c>
      <c r="G15" s="142">
        <f t="shared" si="7"/>
        <v>2.9287965193698661E-3</v>
      </c>
      <c r="H15" s="142">
        <f t="shared" si="7"/>
        <v>2.7933247172417814E-3</v>
      </c>
      <c r="I15" s="143">
        <f t="shared" si="7"/>
        <v>2.6709004140773513E-3</v>
      </c>
      <c r="J15" s="144">
        <f t="shared" si="7"/>
        <v>2.5598030518233805E-3</v>
      </c>
      <c r="K15" s="142">
        <f t="shared" si="7"/>
        <v>2.4555272201534774E-3</v>
      </c>
      <c r="L15" s="142">
        <f t="shared" si="7"/>
        <v>2.4057825394939811E-3</v>
      </c>
      <c r="M15" s="142">
        <f t="shared" si="7"/>
        <v>2.3737871130567467E-3</v>
      </c>
      <c r="N15" s="142">
        <f t="shared" si="7"/>
        <v>2.3479610761828473E-3</v>
      </c>
      <c r="O15" s="142">
        <f t="shared" si="7"/>
        <v>2.3167346396046275E-3</v>
      </c>
      <c r="P15" s="142">
        <f t="shared" si="7"/>
        <v>2.2523148139545388E-3</v>
      </c>
      <c r="Q15" s="142">
        <f t="shared" si="7"/>
        <v>2.1843295866472924E-3</v>
      </c>
      <c r="R15" s="145">
        <f t="shared" si="7"/>
        <v>2.1042136141649274E-3</v>
      </c>
      <c r="S15" s="146">
        <f t="shared" si="7"/>
        <v>2.4754565147924075E-3</v>
      </c>
      <c r="T15" s="6"/>
      <c r="U15" s="6"/>
      <c r="V15" s="6" t="s">
        <v>507</v>
      </c>
      <c r="W15" s="876">
        <v>5.2881944444444447E-2</v>
      </c>
      <c r="X15" s="880">
        <v>45906</v>
      </c>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0.1080108898129425</v>
      </c>
      <c r="K16" s="156">
        <f t="shared" si="8"/>
        <v>5.18054855469752E-2</v>
      </c>
      <c r="L16" s="156">
        <f t="shared" si="8"/>
        <v>3.6086738106193117E-2</v>
      </c>
      <c r="M16" s="156">
        <f t="shared" si="8"/>
        <v>2.8485445367561028E-2</v>
      </c>
      <c r="N16" s="156">
        <f t="shared" si="8"/>
        <v>2.3479610770796557E-2</v>
      </c>
      <c r="O16" s="156">
        <f t="shared" si="8"/>
        <v>1.8533877123916073E-2</v>
      </c>
      <c r="P16" s="156">
        <f t="shared" si="8"/>
        <v>1.1261574074074075E-2</v>
      </c>
      <c r="Q16" s="156">
        <f t="shared" si="8"/>
        <v>6.5529887624448035E-3</v>
      </c>
      <c r="R16" s="157">
        <f t="shared" si="8"/>
        <v>3.3864035559680841E-3</v>
      </c>
      <c r="S16" s="158">
        <f t="shared" si="8"/>
        <v>5.9757916362955743E-2</v>
      </c>
      <c r="T16" s="6"/>
      <c r="U16" s="6"/>
      <c r="V16" s="6">
        <v>15</v>
      </c>
      <c r="W16" s="870">
        <v>6.0624999999999998E-2</v>
      </c>
      <c r="X16" s="879">
        <v>45906</v>
      </c>
      <c r="AC16" s="4"/>
      <c r="AH16" s="159"/>
    </row>
    <row r="17" spans="2:28" ht="14.25" thickTop="1" thickBot="1" x14ac:dyDescent="0.25">
      <c r="B17" s="160"/>
      <c r="C17" s="160"/>
      <c r="D17" s="160"/>
      <c r="E17" s="160"/>
      <c r="F17" s="160"/>
      <c r="G17" s="160"/>
      <c r="H17" s="954" t="s">
        <v>88</v>
      </c>
      <c r="I17" s="954"/>
      <c r="J17" s="954"/>
      <c r="K17" s="954"/>
      <c r="L17" s="954"/>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0.85740366533606216</v>
      </c>
      <c r="E19" s="175">
        <f t="shared" ref="E19:R34" si="12">IF(AND(E$18&lt;&gt;"-",AND(E$14&lt;&gt;"-",E$14&lt;&gt;0)),$B19*E$18*IF($A$14,IF($D$16,60/E$15,60/E$14),IF($D$16,E$15,E$14)*1440),"-")</f>
        <v>1.1717267318349516</v>
      </c>
      <c r="F19" s="176">
        <f t="shared" si="12"/>
        <v>1.5261704020092881</v>
      </c>
      <c r="G19" s="177">
        <f t="shared" si="12"/>
        <v>1.6968387986888711</v>
      </c>
      <c r="H19" s="178">
        <f t="shared" si="12"/>
        <v>2.1038567357161186</v>
      </c>
      <c r="I19" s="179">
        <f t="shared" si="12"/>
        <v>2.5037306093710496</v>
      </c>
      <c r="J19" s="180">
        <f t="shared" si="12"/>
        <v>3.1648443343552919</v>
      </c>
      <c r="K19" s="181">
        <f t="shared" si="12"/>
        <v>3.6988735680936666</v>
      </c>
      <c r="L19" s="182">
        <f t="shared" si="12"/>
        <v>3.9194314312217857</v>
      </c>
      <c r="M19" s="182">
        <f t="shared" si="12"/>
        <v>4.1973741467848873</v>
      </c>
      <c r="N19" s="183">
        <f t="shared" si="12"/>
        <v>4.3530359865196973</v>
      </c>
      <c r="O19" s="184">
        <f t="shared" si="12"/>
        <v>4.6253324285235236</v>
      </c>
      <c r="P19" s="185">
        <f t="shared" si="12"/>
        <v>4.7864089996800008</v>
      </c>
      <c r="Q19" s="186">
        <f t="shared" si="12"/>
        <v>5.0620863105158254</v>
      </c>
      <c r="R19" s="187">
        <f t="shared" si="12"/>
        <v>6.7050790408168064</v>
      </c>
      <c r="U19" s="6"/>
      <c r="V19" s="6"/>
    </row>
    <row r="20" spans="2:28" x14ac:dyDescent="0.2">
      <c r="B20" s="172">
        <f t="shared" ref="B20:B44" si="13">IF(AND($D$16,$E$16),B19+2,B19+1)</f>
        <v>2</v>
      </c>
      <c r="C20" s="173" t="str">
        <f t="shared" ref="C20:C44" si="14">IF($D$16,"KM ","Miles ")</f>
        <v xml:space="preserve">Miles </v>
      </c>
      <c r="D20" s="174">
        <f t="shared" si="11"/>
        <v>1.7148073306721243</v>
      </c>
      <c r="E20" s="188">
        <f t="shared" si="12"/>
        <v>2.3434534636699031</v>
      </c>
      <c r="F20" s="189">
        <f t="shared" si="12"/>
        <v>3.0523408040185762</v>
      </c>
      <c r="G20" s="190">
        <f t="shared" si="12"/>
        <v>3.3936775973777422</v>
      </c>
      <c r="H20" s="191">
        <f t="shared" si="12"/>
        <v>4.2077134714322373</v>
      </c>
      <c r="I20" s="192">
        <f t="shared" si="12"/>
        <v>5.0074612187420993</v>
      </c>
      <c r="J20" s="193">
        <f t="shared" si="12"/>
        <v>6.3296886687105838</v>
      </c>
      <c r="K20" s="194">
        <f t="shared" si="12"/>
        <v>7.3977471361873333</v>
      </c>
      <c r="L20" s="195">
        <f t="shared" si="12"/>
        <v>7.8388628624435714</v>
      </c>
      <c r="M20" s="195">
        <f t="shared" si="12"/>
        <v>8.3947482935697746</v>
      </c>
      <c r="N20" s="196">
        <f t="shared" si="12"/>
        <v>8.7060719730393945</v>
      </c>
      <c r="O20" s="197">
        <f t="shared" si="12"/>
        <v>9.2506648570470471</v>
      </c>
      <c r="P20" s="198">
        <f t="shared" si="12"/>
        <v>9.5728179993600016</v>
      </c>
      <c r="Q20" s="199">
        <f t="shared" si="12"/>
        <v>10.124172621031651</v>
      </c>
      <c r="R20" s="200">
        <f t="shared" si="12"/>
        <v>13.410158081633613</v>
      </c>
      <c r="U20" s="6"/>
      <c r="V20" s="6"/>
      <c r="W20" s="33"/>
      <c r="X20" s="33"/>
      <c r="Y20" s="33"/>
      <c r="Z20" s="33"/>
    </row>
    <row r="21" spans="2:28" x14ac:dyDescent="0.2">
      <c r="B21" s="172">
        <f t="shared" si="13"/>
        <v>3</v>
      </c>
      <c r="C21" s="173" t="str">
        <f t="shared" si="14"/>
        <v xml:space="preserve">Miles </v>
      </c>
      <c r="D21" s="174">
        <f t="shared" si="11"/>
        <v>2.5722109960081867</v>
      </c>
      <c r="E21" s="188">
        <f t="shared" si="12"/>
        <v>3.5151801955048554</v>
      </c>
      <c r="F21" s="189">
        <f t="shared" si="12"/>
        <v>4.5785112060278648</v>
      </c>
      <c r="G21" s="190">
        <f t="shared" si="12"/>
        <v>5.0905163960666133</v>
      </c>
      <c r="H21" s="191">
        <f t="shared" si="12"/>
        <v>6.3115702071483559</v>
      </c>
      <c r="I21" s="192">
        <f t="shared" si="12"/>
        <v>7.511191828113148</v>
      </c>
      <c r="J21" s="193">
        <f t="shared" si="12"/>
        <v>9.4945330030658752</v>
      </c>
      <c r="K21" s="194">
        <f t="shared" si="12"/>
        <v>11.096620704281001</v>
      </c>
      <c r="L21" s="195">
        <f t="shared" si="12"/>
        <v>11.758294293665356</v>
      </c>
      <c r="M21" s="195">
        <f t="shared" si="12"/>
        <v>12.592122440354663</v>
      </c>
      <c r="N21" s="196">
        <f t="shared" si="12"/>
        <v>13.059107959559093</v>
      </c>
      <c r="O21" s="197">
        <f t="shared" si="12"/>
        <v>13.875997285570572</v>
      </c>
      <c r="P21" s="198">
        <f t="shared" si="12"/>
        <v>14.359226999040004</v>
      </c>
      <c r="Q21" s="199">
        <f t="shared" si="12"/>
        <v>15.186258931547476</v>
      </c>
      <c r="R21" s="200">
        <f t="shared" si="12"/>
        <v>20.11523712245042</v>
      </c>
      <c r="U21" s="6"/>
      <c r="V21" s="6"/>
    </row>
    <row r="22" spans="2:28" x14ac:dyDescent="0.2">
      <c r="B22" s="172">
        <f t="shared" si="13"/>
        <v>4</v>
      </c>
      <c r="C22" s="173" t="str">
        <f t="shared" si="14"/>
        <v xml:space="preserve">Miles </v>
      </c>
      <c r="D22" s="174">
        <f t="shared" si="11"/>
        <v>3.4296146613442486</v>
      </c>
      <c r="E22" s="188">
        <f t="shared" si="12"/>
        <v>4.6869069273398063</v>
      </c>
      <c r="F22" s="189">
        <f t="shared" si="12"/>
        <v>6.1046816080371524</v>
      </c>
      <c r="G22" s="190">
        <f t="shared" si="12"/>
        <v>6.7873551947554844</v>
      </c>
      <c r="H22" s="191">
        <f t="shared" si="12"/>
        <v>8.4154269428644746</v>
      </c>
      <c r="I22" s="192">
        <f t="shared" si="12"/>
        <v>10.014922437484199</v>
      </c>
      <c r="J22" s="193">
        <f t="shared" si="12"/>
        <v>12.659377337421168</v>
      </c>
      <c r="K22" s="194">
        <f t="shared" si="12"/>
        <v>14.795494272374667</v>
      </c>
      <c r="L22" s="195">
        <f t="shared" si="12"/>
        <v>15.677725724887143</v>
      </c>
      <c r="M22" s="195">
        <f t="shared" si="12"/>
        <v>16.789496587139549</v>
      </c>
      <c r="N22" s="196">
        <f t="shared" si="12"/>
        <v>17.412143946078789</v>
      </c>
      <c r="O22" s="197">
        <f t="shared" si="12"/>
        <v>18.501329714094094</v>
      </c>
      <c r="P22" s="198">
        <f t="shared" si="12"/>
        <v>19.145635998720003</v>
      </c>
      <c r="Q22" s="199">
        <f t="shared" si="12"/>
        <v>20.248345242063301</v>
      </c>
      <c r="R22" s="200">
        <f t="shared" si="12"/>
        <v>26.820316163267226</v>
      </c>
      <c r="U22" s="6"/>
      <c r="V22" s="6"/>
      <c r="W22" s="33"/>
      <c r="X22" s="33"/>
      <c r="Y22" s="33"/>
      <c r="Z22" s="33"/>
      <c r="AA22" s="33"/>
    </row>
    <row r="23" spans="2:28" ht="13.5" thickBot="1" x14ac:dyDescent="0.25">
      <c r="B23" s="201">
        <f t="shared" si="13"/>
        <v>5</v>
      </c>
      <c r="C23" s="202" t="str">
        <f t="shared" si="14"/>
        <v xml:space="preserve">Miles </v>
      </c>
      <c r="D23" s="203">
        <f t="shared" si="11"/>
        <v>4.287018326680311</v>
      </c>
      <c r="E23" s="204">
        <f t="shared" si="12"/>
        <v>5.8586336591747585</v>
      </c>
      <c r="F23" s="205">
        <f t="shared" si="12"/>
        <v>7.6308520100464401</v>
      </c>
      <c r="G23" s="206">
        <f t="shared" si="12"/>
        <v>8.4841939934443555</v>
      </c>
      <c r="H23" s="207">
        <f t="shared" si="12"/>
        <v>10.519283678580592</v>
      </c>
      <c r="I23" s="208">
        <f t="shared" si="12"/>
        <v>12.518653046855249</v>
      </c>
      <c r="J23" s="209">
        <f t="shared" si="12"/>
        <v>15.824221671776458</v>
      </c>
      <c r="K23" s="210">
        <f t="shared" si="12"/>
        <v>18.494367840468332</v>
      </c>
      <c r="L23" s="211">
        <f t="shared" si="12"/>
        <v>19.597157156108931</v>
      </c>
      <c r="M23" s="211">
        <f t="shared" si="12"/>
        <v>20.986870733924437</v>
      </c>
      <c r="N23" s="212">
        <f t="shared" si="12"/>
        <v>21.765179932598485</v>
      </c>
      <c r="O23" s="213">
        <f t="shared" si="12"/>
        <v>23.126662142617615</v>
      </c>
      <c r="P23" s="214">
        <f t="shared" si="12"/>
        <v>23.932044998400002</v>
      </c>
      <c r="Q23" s="199">
        <f t="shared" si="12"/>
        <v>25.310431552579125</v>
      </c>
      <c r="R23" s="215" t="s">
        <v>91</v>
      </c>
      <c r="U23" s="6"/>
      <c r="V23" s="6"/>
      <c r="W23" s="33"/>
      <c r="X23" s="33"/>
      <c r="Y23" s="33"/>
      <c r="Z23" s="33"/>
      <c r="AA23" s="33"/>
    </row>
    <row r="24" spans="2:28" x14ac:dyDescent="0.2">
      <c r="B24" s="216">
        <f t="shared" si="13"/>
        <v>6</v>
      </c>
      <c r="C24" s="217" t="str">
        <f t="shared" si="14"/>
        <v xml:space="preserve">Miles </v>
      </c>
      <c r="D24" s="218">
        <f t="shared" si="11"/>
        <v>5.1444219920163734</v>
      </c>
      <c r="E24" s="219">
        <f t="shared" si="12"/>
        <v>7.0303603910097108</v>
      </c>
      <c r="F24" s="220">
        <f t="shared" si="12"/>
        <v>9.1570224120557295</v>
      </c>
      <c r="G24" s="221">
        <f t="shared" si="12"/>
        <v>10.181032792133227</v>
      </c>
      <c r="H24" s="222">
        <f t="shared" si="12"/>
        <v>12.623140414296712</v>
      </c>
      <c r="I24" s="223">
        <f t="shared" si="12"/>
        <v>15.022383656226296</v>
      </c>
      <c r="J24" s="224">
        <f t="shared" si="12"/>
        <v>18.98906600613175</v>
      </c>
      <c r="K24" s="225">
        <f t="shared" si="12"/>
        <v>22.193241408562002</v>
      </c>
      <c r="L24" s="226">
        <f t="shared" si="12"/>
        <v>23.516588587330713</v>
      </c>
      <c r="M24" s="226">
        <f t="shared" si="12"/>
        <v>25.184244880709326</v>
      </c>
      <c r="N24" s="227">
        <f t="shared" si="12"/>
        <v>26.118215919118185</v>
      </c>
      <c r="O24" s="228">
        <f t="shared" si="12"/>
        <v>27.751994571141143</v>
      </c>
      <c r="P24" s="229" t="s">
        <v>91</v>
      </c>
      <c r="Q24" s="230" t="s">
        <v>91</v>
      </c>
      <c r="R24" s="231" t="s">
        <v>91</v>
      </c>
      <c r="U24" s="6"/>
      <c r="V24" s="6"/>
    </row>
    <row r="25" spans="2:28" x14ac:dyDescent="0.2">
      <c r="B25" s="172">
        <f t="shared" si="13"/>
        <v>7</v>
      </c>
      <c r="C25" s="173" t="str">
        <f t="shared" si="14"/>
        <v xml:space="preserve">Miles </v>
      </c>
      <c r="D25" s="232">
        <f t="shared" si="11"/>
        <v>6.0018256573524358</v>
      </c>
      <c r="E25" s="188">
        <f t="shared" si="12"/>
        <v>8.2020871228446612</v>
      </c>
      <c r="F25" s="189">
        <f t="shared" si="12"/>
        <v>10.683192814065016</v>
      </c>
      <c r="G25" s="190">
        <f t="shared" si="12"/>
        <v>11.877871590822098</v>
      </c>
      <c r="H25" s="191">
        <f t="shared" si="12"/>
        <v>14.72699715001283</v>
      </c>
      <c r="I25" s="192">
        <f t="shared" si="12"/>
        <v>17.526114265597347</v>
      </c>
      <c r="J25" s="193">
        <f t="shared" si="12"/>
        <v>22.153910340487041</v>
      </c>
      <c r="K25" s="194">
        <f t="shared" si="12"/>
        <v>25.892114976655666</v>
      </c>
      <c r="L25" s="195">
        <f t="shared" si="12"/>
        <v>27.436020018552497</v>
      </c>
      <c r="M25" s="195">
        <f t="shared" si="12"/>
        <v>29.381619027494214</v>
      </c>
      <c r="N25" s="196">
        <f t="shared" si="12"/>
        <v>30.471251905637882</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6.8592293226884973</v>
      </c>
      <c r="E26" s="188">
        <f t="shared" si="12"/>
        <v>9.3738138546796126</v>
      </c>
      <c r="F26" s="189">
        <f t="shared" si="12"/>
        <v>12.209363216074305</v>
      </c>
      <c r="G26" s="190">
        <f t="shared" si="12"/>
        <v>13.574710389510969</v>
      </c>
      <c r="H26" s="191">
        <f t="shared" si="12"/>
        <v>16.830853885728949</v>
      </c>
      <c r="I26" s="192">
        <f t="shared" si="12"/>
        <v>20.029844874968397</v>
      </c>
      <c r="J26" s="193">
        <f t="shared" si="12"/>
        <v>25.318754674842335</v>
      </c>
      <c r="K26" s="194">
        <f t="shared" si="12"/>
        <v>29.590988544749333</v>
      </c>
      <c r="L26" s="195">
        <f t="shared" si="12"/>
        <v>31.355451449774286</v>
      </c>
      <c r="M26" s="234">
        <f t="shared" si="12"/>
        <v>33.578993174279098</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7.7166329880245597</v>
      </c>
      <c r="E27" s="188">
        <f t="shared" si="12"/>
        <v>10.545540586514566</v>
      </c>
      <c r="F27" s="189">
        <f t="shared" si="12"/>
        <v>13.735533618083593</v>
      </c>
      <c r="G27" s="190">
        <f t="shared" si="12"/>
        <v>15.27154918819984</v>
      </c>
      <c r="H27" s="191">
        <f t="shared" si="12"/>
        <v>18.93471062144507</v>
      </c>
      <c r="I27" s="192">
        <f t="shared" si="12"/>
        <v>22.533575484339448</v>
      </c>
      <c r="J27" s="193">
        <f t="shared" si="12"/>
        <v>28.483599009197626</v>
      </c>
      <c r="K27" s="194">
        <f t="shared" si="12"/>
        <v>33.289862112843004</v>
      </c>
      <c r="L27" s="196">
        <f t="shared" si="12"/>
        <v>35.274882880996074</v>
      </c>
      <c r="M27" s="955" t="s">
        <v>92</v>
      </c>
      <c r="N27" s="956"/>
      <c r="O27" s="956"/>
      <c r="P27" s="956"/>
      <c r="Q27" s="956"/>
      <c r="R27" s="240"/>
      <c r="U27" s="6"/>
      <c r="V27" s="6"/>
      <c r="Y27" s="33"/>
    </row>
    <row r="28" spans="2:28" ht="14.25" thickTop="1" thickBot="1" x14ac:dyDescent="0.25">
      <c r="B28" s="201">
        <f t="shared" si="13"/>
        <v>10</v>
      </c>
      <c r="C28" s="202" t="str">
        <f t="shared" si="14"/>
        <v xml:space="preserve">Miles </v>
      </c>
      <c r="D28" s="241">
        <f t="shared" si="11"/>
        <v>8.574036653360622</v>
      </c>
      <c r="E28" s="204">
        <f t="shared" si="12"/>
        <v>11.717267318349517</v>
      </c>
      <c r="F28" s="205">
        <f t="shared" si="12"/>
        <v>15.26170402009288</v>
      </c>
      <c r="G28" s="206">
        <f t="shared" si="12"/>
        <v>16.968387986888711</v>
      </c>
      <c r="H28" s="207">
        <f t="shared" si="12"/>
        <v>21.038567357161185</v>
      </c>
      <c r="I28" s="208">
        <f t="shared" si="12"/>
        <v>25.037306093710498</v>
      </c>
      <c r="J28" s="209">
        <f t="shared" si="12"/>
        <v>31.648443343552916</v>
      </c>
      <c r="K28" s="210">
        <f t="shared" si="12"/>
        <v>36.988735680936664</v>
      </c>
      <c r="L28" s="242">
        <f t="shared" si="12"/>
        <v>39.194314312217863</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9.4314403186966835</v>
      </c>
      <c r="E29" s="219">
        <f t="shared" si="12"/>
        <v>12.888994050184468</v>
      </c>
      <c r="F29" s="220">
        <f t="shared" si="12"/>
        <v>16.787874422102171</v>
      </c>
      <c r="G29" s="221">
        <f t="shared" si="12"/>
        <v>18.66522678557758</v>
      </c>
      <c r="H29" s="222">
        <f t="shared" si="12"/>
        <v>23.142424092877306</v>
      </c>
      <c r="I29" s="223">
        <f t="shared" si="12"/>
        <v>27.541036703081545</v>
      </c>
      <c r="J29" s="224">
        <f t="shared" si="12"/>
        <v>34.813287677908207</v>
      </c>
      <c r="K29" s="225">
        <f t="shared" si="12"/>
        <v>40.687609249030331</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10.288843984032747</v>
      </c>
      <c r="E30" s="188">
        <f t="shared" si="12"/>
        <v>14.060720782019422</v>
      </c>
      <c r="F30" s="189">
        <f t="shared" si="12"/>
        <v>18.314044824111459</v>
      </c>
      <c r="G30" s="190">
        <f t="shared" si="12"/>
        <v>20.362065584266453</v>
      </c>
      <c r="H30" s="191">
        <f t="shared" si="12"/>
        <v>25.246280828593424</v>
      </c>
      <c r="I30" s="192">
        <f t="shared" si="12"/>
        <v>30.044767312452592</v>
      </c>
      <c r="J30" s="193">
        <f t="shared" si="12"/>
        <v>37.978132012263501</v>
      </c>
      <c r="K30" s="194">
        <f t="shared" si="12"/>
        <v>44.386482817124005</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11.146247649368808</v>
      </c>
      <c r="E31" s="188">
        <f t="shared" si="12"/>
        <v>15.232447513854373</v>
      </c>
      <c r="F31" s="189">
        <f t="shared" si="12"/>
        <v>19.840215226120748</v>
      </c>
      <c r="G31" s="190">
        <f t="shared" si="12"/>
        <v>22.058904382955326</v>
      </c>
      <c r="H31" s="191">
        <f t="shared" si="12"/>
        <v>27.350137564309545</v>
      </c>
      <c r="I31" s="192">
        <f t="shared" si="12"/>
        <v>32.548497921823646</v>
      </c>
      <c r="J31" s="193">
        <f t="shared" si="12"/>
        <v>41.142976346618795</v>
      </c>
      <c r="K31" s="194">
        <f t="shared" si="12"/>
        <v>48.085356385217672</v>
      </c>
      <c r="L31" s="255" t="s">
        <v>91</v>
      </c>
      <c r="M31" s="264">
        <v>4.1666666666666664E-2</v>
      </c>
      <c r="N31" s="265">
        <v>8</v>
      </c>
      <c r="O31" s="266">
        <v>0.3125</v>
      </c>
      <c r="P31" s="267">
        <v>125</v>
      </c>
      <c r="Q31" s="268">
        <f t="shared" ref="Q31:Q40" si="15">IF($R$29=1,IF(ISNA(W31),"too slow",W31),IF($R$29=2,IF(ISNA(X31),"too slow",X31),IF($R$29=3,IF(ISNA(Y31),"too slow",Y31),Z31)))</f>
        <v>0.1285</v>
      </c>
      <c r="R31" s="269">
        <f t="shared" ref="R31:R40" si="16">IF(Q31="Too Slow","",IF($R$29=3,O31*N31*24*Q31,M31*1440*Q31))</f>
        <v>7.71</v>
      </c>
      <c r="T31" s="458"/>
      <c r="U31" s="6"/>
      <c r="V31" s="6"/>
      <c r="W31" s="270">
        <f>IF(M31*N31,LOOKUP(((0.182258*(1/((M31/N31)*1440)*IF($D$16,1000,1609.344))+(0.000104*(1/((M31/N31)*1440)*IF($D$16,1000,1609.344))^2)-4.6)/$I$6),$Z$135:$Z$214,$AB$135:$AB$214),0)</f>
        <v>0.1285</v>
      </c>
      <c r="X31" s="270">
        <f t="shared" ref="X31:X40" si="17">IF(M31*O31,LOOKUP(((0.182258*(1/(O31*24)*IF($D$16,1000,1609.344))+(0.000104*(1/(O31*24)*IF($D$16,1000,1609.344))^2)-4.6)/$I$6),$Z$135:$Z$214,$AB$135:$AB$214),0)</f>
        <v>0.1285</v>
      </c>
      <c r="Y31" s="270">
        <f t="shared" ref="Y31:Y40" si="18">IF(N31*O31,LOOKUP(((0.182258*(1/(O31*24)*IF($D$16,1000,1609.344))+(0.000104*(1/(O31*24)*IF($D$16,1000,1609.344))^2)-4.6)/$I$6),$Z$135:$Z$214,$AB$135:$AB$214),0)</f>
        <v>0.1285</v>
      </c>
      <c r="Z31" s="270">
        <f>IF(M31*P31,LOOKUP(MAX(P31/$E$3,0.56),$AA$135:$AA$214,$AB$135:$AB$214),0)</f>
        <v>0.1</v>
      </c>
      <c r="AA31" s="271"/>
      <c r="AB31" s="781"/>
    </row>
    <row r="32" spans="2:28" x14ac:dyDescent="0.2">
      <c r="B32" s="172">
        <f t="shared" si="13"/>
        <v>14</v>
      </c>
      <c r="C32" s="173" t="str">
        <f t="shared" si="14"/>
        <v xml:space="preserve">Miles </v>
      </c>
      <c r="D32" s="232">
        <f t="shared" si="11"/>
        <v>12.003651314704872</v>
      </c>
      <c r="E32" s="188">
        <f t="shared" si="12"/>
        <v>16.404174245689322</v>
      </c>
      <c r="F32" s="189">
        <f t="shared" si="12"/>
        <v>21.366385628130033</v>
      </c>
      <c r="G32" s="190">
        <f t="shared" si="12"/>
        <v>23.755743181644196</v>
      </c>
      <c r="H32" s="191">
        <f t="shared" si="12"/>
        <v>29.453994300025659</v>
      </c>
      <c r="I32" s="192">
        <f t="shared" si="12"/>
        <v>35.052228531194693</v>
      </c>
      <c r="J32" s="193">
        <f t="shared" si="12"/>
        <v>44.307820680974082</v>
      </c>
      <c r="K32" s="194" t="s">
        <v>91</v>
      </c>
      <c r="L32" s="255" t="s">
        <v>91</v>
      </c>
      <c r="M32" s="272">
        <v>5.2083333333333336E-2</v>
      </c>
      <c r="N32" s="273">
        <v>10</v>
      </c>
      <c r="O32" s="274">
        <v>0.28125</v>
      </c>
      <c r="P32" s="275">
        <v>126</v>
      </c>
      <c r="Q32" s="276">
        <f t="shared" si="15"/>
        <v>0.1285</v>
      </c>
      <c r="R32" s="277">
        <f t="shared" si="16"/>
        <v>9.6375000000000011</v>
      </c>
      <c r="U32" s="6"/>
      <c r="V32" s="6"/>
      <c r="W32" s="278">
        <f t="shared" ref="W32:W40" si="19">IF(M32*N32,LOOKUP(((0.182258*(1/((M32/N32)*1440)*IF($D$16,1000,1609.344))+(0.000104*(1/((M32/N32)*1440)*IF($D$16,1000,1609.344))^2)-4.6)/$I$6),$Z$135:$Z$214,$AB$135:$AB$214),0)</f>
        <v>0.1285</v>
      </c>
      <c r="X32" s="278">
        <f t="shared" si="17"/>
        <v>0.26649999999999996</v>
      </c>
      <c r="Y32" s="278">
        <f t="shared" si="18"/>
        <v>0.26649999999999996</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12.861054980040933</v>
      </c>
      <c r="E33" s="204">
        <f t="shared" si="12"/>
        <v>17.575900977524274</v>
      </c>
      <c r="F33" s="205">
        <f t="shared" si="12"/>
        <v>22.892556030139321</v>
      </c>
      <c r="G33" s="206">
        <f t="shared" si="12"/>
        <v>25.452581980333065</v>
      </c>
      <c r="H33" s="207">
        <f t="shared" si="12"/>
        <v>31.557851035741781</v>
      </c>
      <c r="I33" s="208">
        <f t="shared" si="12"/>
        <v>37.555959140565747</v>
      </c>
      <c r="J33" s="209">
        <f t="shared" si="12"/>
        <v>47.472665015329376</v>
      </c>
      <c r="K33" s="210" t="s">
        <v>91</v>
      </c>
      <c r="L33" s="242" t="s">
        <v>91</v>
      </c>
      <c r="M33" s="272">
        <v>4.1666666666666664E-2</v>
      </c>
      <c r="N33" s="273">
        <v>8</v>
      </c>
      <c r="O33" s="274">
        <v>0.3125</v>
      </c>
      <c r="P33" s="275">
        <v>127</v>
      </c>
      <c r="Q33" s="276">
        <f t="shared" si="15"/>
        <v>0.1285</v>
      </c>
      <c r="R33" s="277">
        <f t="shared" si="16"/>
        <v>7.71</v>
      </c>
      <c r="U33" s="6"/>
      <c r="V33" s="6"/>
      <c r="W33" s="278">
        <f t="shared" si="19"/>
        <v>0.1285</v>
      </c>
      <c r="X33" s="278">
        <f t="shared" si="17"/>
        <v>0.1285</v>
      </c>
      <c r="Y33" s="278">
        <f t="shared" si="18"/>
        <v>0.1285</v>
      </c>
      <c r="Z33" s="278">
        <f t="shared" si="20"/>
        <v>0.1</v>
      </c>
      <c r="AB33" s="781"/>
    </row>
    <row r="34" spans="2:28" x14ac:dyDescent="0.2">
      <c r="B34" s="216">
        <f t="shared" si="13"/>
        <v>16</v>
      </c>
      <c r="C34" s="217" t="str">
        <f t="shared" si="14"/>
        <v xml:space="preserve">Miles </v>
      </c>
      <c r="D34" s="218">
        <f t="shared" si="11"/>
        <v>13.718458645376995</v>
      </c>
      <c r="E34" s="219">
        <f t="shared" si="12"/>
        <v>18.747627709359225</v>
      </c>
      <c r="F34" s="220">
        <f t="shared" si="12"/>
        <v>24.41872643214861</v>
      </c>
      <c r="G34" s="221">
        <f t="shared" si="12"/>
        <v>27.149420779021938</v>
      </c>
      <c r="H34" s="222">
        <f t="shared" si="12"/>
        <v>33.661707771457898</v>
      </c>
      <c r="I34" s="223">
        <f t="shared" si="12"/>
        <v>40.059689749936794</v>
      </c>
      <c r="J34" s="224">
        <f t="shared" si="12"/>
        <v>50.63750934968467</v>
      </c>
      <c r="K34" s="225" t="s">
        <v>91</v>
      </c>
      <c r="L34" s="279" t="s">
        <v>91</v>
      </c>
      <c r="M34" s="272">
        <v>3.9583333333333331E-2</v>
      </c>
      <c r="N34" s="273">
        <v>10</v>
      </c>
      <c r="O34" s="274">
        <v>0.27083333333333331</v>
      </c>
      <c r="P34" s="275">
        <v>128</v>
      </c>
      <c r="Q34" s="276">
        <f t="shared" si="15"/>
        <v>0.63349999999999995</v>
      </c>
      <c r="R34" s="277">
        <f t="shared" si="16"/>
        <v>36.109499999999997</v>
      </c>
      <c r="V34" s="280"/>
      <c r="W34" s="278">
        <f t="shared" si="19"/>
        <v>0.63349999999999995</v>
      </c>
      <c r="X34" s="278">
        <f t="shared" si="17"/>
        <v>0.32500000000000001</v>
      </c>
      <c r="Y34" s="278">
        <f t="shared" si="18"/>
        <v>0.32500000000000001</v>
      </c>
      <c r="Z34" s="278">
        <f t="shared" si="20"/>
        <v>0.1</v>
      </c>
      <c r="AB34" s="781"/>
    </row>
    <row r="35" spans="2:28" x14ac:dyDescent="0.2">
      <c r="B35" s="172">
        <f t="shared" si="13"/>
        <v>17</v>
      </c>
      <c r="C35" s="173" t="str">
        <f t="shared" si="14"/>
        <v xml:space="preserve">Miles </v>
      </c>
      <c r="D35" s="232">
        <f t="shared" si="11"/>
        <v>14.575862310713058</v>
      </c>
      <c r="E35" s="188">
        <f t="shared" ref="E35:J44" si="21">IF(AND(E$18&lt;&gt;"-",AND(E$14&lt;&gt;"-",E$14&lt;&gt;0)),$B35*E$18*IF($A$14,IF($D$16,60/E$15,60/E$14),IF($D$16,E$15,E$14)*1440),"-")</f>
        <v>19.91935444119418</v>
      </c>
      <c r="F35" s="189">
        <f t="shared" si="21"/>
        <v>25.944896834157898</v>
      </c>
      <c r="G35" s="190">
        <f t="shared" si="21"/>
        <v>28.846259577710811</v>
      </c>
      <c r="H35" s="191">
        <f t="shared" si="21"/>
        <v>35.76556450717402</v>
      </c>
      <c r="I35" s="192">
        <f t="shared" si="21"/>
        <v>42.563420359307841</v>
      </c>
      <c r="J35" s="193">
        <f t="shared" si="21"/>
        <v>53.802353684039957</v>
      </c>
      <c r="K35" s="194" t="s">
        <v>91</v>
      </c>
      <c r="L35" s="255" t="s">
        <v>91</v>
      </c>
      <c r="M35" s="272">
        <v>5.2083333333333336E-2</v>
      </c>
      <c r="N35" s="273">
        <v>10</v>
      </c>
      <c r="O35" s="274">
        <v>0.3125</v>
      </c>
      <c r="P35" s="275">
        <v>129</v>
      </c>
      <c r="Q35" s="276">
        <f t="shared" si="15"/>
        <v>0.1285</v>
      </c>
      <c r="R35" s="277">
        <f t="shared" si="16"/>
        <v>9.6375000000000011</v>
      </c>
      <c r="V35" s="280"/>
      <c r="W35" s="278">
        <f t="shared" si="19"/>
        <v>0.1285</v>
      </c>
      <c r="X35" s="278">
        <f t="shared" si="17"/>
        <v>0.1285</v>
      </c>
      <c r="Y35" s="278">
        <f t="shared" si="18"/>
        <v>0.1285</v>
      </c>
      <c r="Z35" s="278">
        <f t="shared" si="20"/>
        <v>0.1</v>
      </c>
      <c r="AB35" s="781"/>
    </row>
    <row r="36" spans="2:28" x14ac:dyDescent="0.2">
      <c r="B36" s="172">
        <f t="shared" si="13"/>
        <v>18</v>
      </c>
      <c r="C36" s="173" t="str">
        <f t="shared" si="14"/>
        <v xml:space="preserve">Miles </v>
      </c>
      <c r="D36" s="232">
        <f t="shared" si="11"/>
        <v>15.433265976049119</v>
      </c>
      <c r="E36" s="188">
        <f t="shared" si="21"/>
        <v>21.091081173029131</v>
      </c>
      <c r="F36" s="189">
        <f t="shared" si="21"/>
        <v>27.471067236167187</v>
      </c>
      <c r="G36" s="190">
        <f t="shared" si="21"/>
        <v>30.54309837639968</v>
      </c>
      <c r="H36" s="191">
        <f t="shared" si="21"/>
        <v>37.869421242890141</v>
      </c>
      <c r="I36" s="192">
        <f t="shared" si="21"/>
        <v>45.067150968678895</v>
      </c>
      <c r="J36" s="193">
        <f t="shared" si="21"/>
        <v>56.967198018395251</v>
      </c>
      <c r="K36" s="194" t="s">
        <v>91</v>
      </c>
      <c r="L36" s="255" t="s">
        <v>91</v>
      </c>
      <c r="M36" s="272">
        <v>4.1666666666666664E-2</v>
      </c>
      <c r="N36" s="273">
        <v>8</v>
      </c>
      <c r="O36" s="274">
        <v>0.30208333333333331</v>
      </c>
      <c r="P36" s="275">
        <v>130</v>
      </c>
      <c r="Q36" s="276">
        <f t="shared" si="15"/>
        <v>0.1285</v>
      </c>
      <c r="R36" s="277">
        <f t="shared" si="16"/>
        <v>7.71</v>
      </c>
      <c r="V36" s="280"/>
      <c r="W36" s="278">
        <f t="shared" si="19"/>
        <v>0.1285</v>
      </c>
      <c r="X36" s="278">
        <f t="shared" si="17"/>
        <v>0.16700000000000001</v>
      </c>
      <c r="Y36" s="278">
        <f t="shared" si="18"/>
        <v>0.16700000000000001</v>
      </c>
      <c r="Z36" s="278">
        <f t="shared" si="20"/>
        <v>0.1</v>
      </c>
      <c r="AB36" s="781"/>
    </row>
    <row r="37" spans="2:28" x14ac:dyDescent="0.2">
      <c r="B37" s="172">
        <f t="shared" si="13"/>
        <v>19</v>
      </c>
      <c r="C37" s="173" t="str">
        <f t="shared" si="14"/>
        <v xml:space="preserve">Miles </v>
      </c>
      <c r="D37" s="232">
        <f t="shared" si="11"/>
        <v>16.290669641385179</v>
      </c>
      <c r="E37" s="188">
        <f t="shared" si="21"/>
        <v>22.262807904864079</v>
      </c>
      <c r="F37" s="189">
        <f t="shared" si="21"/>
        <v>28.997237638176475</v>
      </c>
      <c r="G37" s="190">
        <f t="shared" si="21"/>
        <v>32.239937175088549</v>
      </c>
      <c r="H37" s="191">
        <f t="shared" si="21"/>
        <v>39.973277978606255</v>
      </c>
      <c r="I37" s="192">
        <f t="shared" si="21"/>
        <v>47.570881578049942</v>
      </c>
      <c r="J37" s="193">
        <f t="shared" si="21"/>
        <v>60.132042352750545</v>
      </c>
      <c r="K37" s="194" t="s">
        <v>91</v>
      </c>
      <c r="L37" s="255" t="s">
        <v>91</v>
      </c>
      <c r="M37" s="272">
        <v>5.7013888888888892E-2</v>
      </c>
      <c r="N37" s="273">
        <v>14</v>
      </c>
      <c r="O37" s="274">
        <v>0.33333333333333331</v>
      </c>
      <c r="P37" s="275"/>
      <c r="Q37" s="276">
        <f t="shared" si="15"/>
        <v>0.5665</v>
      </c>
      <c r="R37" s="277">
        <f t="shared" si="16"/>
        <v>46.509650000000008</v>
      </c>
      <c r="V37" s="280"/>
      <c r="W37" s="278">
        <f t="shared" si="19"/>
        <v>0.5665</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17.148073306721244</v>
      </c>
      <c r="E38" s="204">
        <f t="shared" si="21"/>
        <v>23.434534636699034</v>
      </c>
      <c r="F38" s="205">
        <f t="shared" si="21"/>
        <v>30.52340804018576</v>
      </c>
      <c r="G38" s="206">
        <f t="shared" si="21"/>
        <v>33.936775973777422</v>
      </c>
      <c r="H38" s="207">
        <f t="shared" si="21"/>
        <v>42.077134714322369</v>
      </c>
      <c r="I38" s="208">
        <f t="shared" si="21"/>
        <v>50.074612187420996</v>
      </c>
      <c r="J38" s="209">
        <f t="shared" si="21"/>
        <v>63.296886687105832</v>
      </c>
      <c r="K38" s="210" t="s">
        <v>91</v>
      </c>
      <c r="L38" s="242" t="s">
        <v>91</v>
      </c>
      <c r="M38" s="272">
        <v>3.125E-2</v>
      </c>
      <c r="N38" s="273">
        <v>6</v>
      </c>
      <c r="O38" s="274"/>
      <c r="P38" s="275"/>
      <c r="Q38" s="276">
        <f t="shared" si="15"/>
        <v>0.1285</v>
      </c>
      <c r="R38" s="277">
        <f t="shared" si="16"/>
        <v>5.7824999999999998</v>
      </c>
      <c r="V38" s="280"/>
      <c r="W38" s="278">
        <f t="shared" si="19"/>
        <v>0.1285</v>
      </c>
      <c r="X38" s="278">
        <f t="shared" si="17"/>
        <v>0</v>
      </c>
      <c r="Y38" s="278">
        <f t="shared" si="18"/>
        <v>0</v>
      </c>
      <c r="Z38" s="278">
        <f t="shared" si="20"/>
        <v>0</v>
      </c>
    </row>
    <row r="39" spans="2:28" x14ac:dyDescent="0.2">
      <c r="B39" s="216">
        <f t="shared" si="13"/>
        <v>21</v>
      </c>
      <c r="C39" s="217" t="str">
        <f t="shared" si="14"/>
        <v xml:space="preserve">Miles </v>
      </c>
      <c r="D39" s="218">
        <f t="shared" si="11"/>
        <v>18.005476972057306</v>
      </c>
      <c r="E39" s="219">
        <f t="shared" si="21"/>
        <v>24.606261368533985</v>
      </c>
      <c r="F39" s="220">
        <f t="shared" si="21"/>
        <v>32.049578442195049</v>
      </c>
      <c r="G39" s="221">
        <f t="shared" si="21"/>
        <v>35.633614772466295</v>
      </c>
      <c r="H39" s="222">
        <f t="shared" si="21"/>
        <v>44.180991450038491</v>
      </c>
      <c r="I39" s="223">
        <f t="shared" si="21"/>
        <v>52.578342796792036</v>
      </c>
      <c r="J39" s="224">
        <f t="shared" si="21"/>
        <v>66.461731021461119</v>
      </c>
      <c r="K39" s="225" t="s">
        <v>91</v>
      </c>
      <c r="L39" s="279" t="s">
        <v>91</v>
      </c>
      <c r="M39" s="281">
        <v>3.6111111111111115E-2</v>
      </c>
      <c r="N39" s="282">
        <v>7</v>
      </c>
      <c r="O39" s="283"/>
      <c r="P39" s="284"/>
      <c r="Q39" s="285">
        <f t="shared" si="15"/>
        <v>0.14250000000000002</v>
      </c>
      <c r="R39" s="286">
        <f t="shared" si="16"/>
        <v>7.4100000000000019</v>
      </c>
      <c r="V39" s="280"/>
      <c r="W39" s="278">
        <f t="shared" si="19"/>
        <v>0.14250000000000002</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18.862880637393367</v>
      </c>
      <c r="E40" s="188">
        <f t="shared" si="21"/>
        <v>25.777988100368937</v>
      </c>
      <c r="F40" s="189">
        <f t="shared" si="21"/>
        <v>33.575748844204341</v>
      </c>
      <c r="G40" s="190">
        <f t="shared" si="21"/>
        <v>37.330453571155161</v>
      </c>
      <c r="H40" s="191">
        <f t="shared" si="21"/>
        <v>46.284848185754612</v>
      </c>
      <c r="I40" s="192">
        <f t="shared" si="21"/>
        <v>55.08207340616309</v>
      </c>
      <c r="J40" s="193">
        <f t="shared" si="21"/>
        <v>69.626575355816414</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19.720284302729429</v>
      </c>
      <c r="E41" s="188">
        <f t="shared" si="21"/>
        <v>26.949714832203888</v>
      </c>
      <c r="F41" s="189">
        <f t="shared" si="21"/>
        <v>35.101919246213626</v>
      </c>
      <c r="G41" s="190">
        <f t="shared" si="21"/>
        <v>39.027292369844034</v>
      </c>
      <c r="H41" s="191">
        <f t="shared" si="21"/>
        <v>48.388704921470733</v>
      </c>
      <c r="I41" s="192">
        <f t="shared" si="21"/>
        <v>57.585804015534144</v>
      </c>
      <c r="J41" s="193">
        <f t="shared" si="21"/>
        <v>72.791419690171708</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138.21665000000002</v>
      </c>
      <c r="W41" s="4"/>
    </row>
    <row r="42" spans="2:28" ht="14.25" thickTop="1" thickBot="1" x14ac:dyDescent="0.25">
      <c r="B42" s="172">
        <f t="shared" si="13"/>
        <v>24</v>
      </c>
      <c r="C42" s="173" t="str">
        <f t="shared" si="14"/>
        <v xml:space="preserve">Miles </v>
      </c>
      <c r="D42" s="232">
        <f t="shared" si="11"/>
        <v>20.577687968065494</v>
      </c>
      <c r="E42" s="188">
        <f t="shared" si="21"/>
        <v>28.121441564038843</v>
      </c>
      <c r="F42" s="189">
        <f t="shared" si="21"/>
        <v>36.628089648222918</v>
      </c>
      <c r="G42" s="190">
        <f t="shared" si="21"/>
        <v>40.724131168532907</v>
      </c>
      <c r="H42" s="191">
        <f t="shared" si="21"/>
        <v>50.492561657186847</v>
      </c>
      <c r="I42" s="192">
        <f t="shared" si="21"/>
        <v>60.089534624905184</v>
      </c>
      <c r="J42" s="193">
        <f t="shared" si="21"/>
        <v>75.956264024527002</v>
      </c>
      <c r="K42" s="194" t="s">
        <v>91</v>
      </c>
      <c r="L42" s="255" t="s">
        <v>91</v>
      </c>
      <c r="M42" s="957" t="s">
        <v>106</v>
      </c>
      <c r="N42" s="958"/>
      <c r="O42" s="958"/>
      <c r="P42" s="958"/>
      <c r="Q42" s="958"/>
      <c r="R42" s="959"/>
      <c r="V42" s="298"/>
      <c r="W42" s="4"/>
    </row>
    <row r="43" spans="2:28" ht="13.5" thickBot="1" x14ac:dyDescent="0.25">
      <c r="B43" s="172">
        <f t="shared" si="13"/>
        <v>25</v>
      </c>
      <c r="C43" s="173" t="str">
        <f t="shared" si="14"/>
        <v xml:space="preserve">Miles </v>
      </c>
      <c r="D43" s="241">
        <f t="shared" si="11"/>
        <v>21.435091633401555</v>
      </c>
      <c r="E43" s="204">
        <f t="shared" si="21"/>
        <v>29.293168295873791</v>
      </c>
      <c r="F43" s="205">
        <f t="shared" si="21"/>
        <v>38.154260050232203</v>
      </c>
      <c r="G43" s="206">
        <f t="shared" si="21"/>
        <v>42.420969967221779</v>
      </c>
      <c r="H43" s="207">
        <f t="shared" si="21"/>
        <v>52.596418392902962</v>
      </c>
      <c r="I43" s="208">
        <f t="shared" si="21"/>
        <v>62.593265234276238</v>
      </c>
      <c r="J43" s="209">
        <f t="shared" si="21"/>
        <v>79.121108358882296</v>
      </c>
      <c r="K43" s="210" t="s">
        <v>91</v>
      </c>
      <c r="L43" s="242" t="s">
        <v>91</v>
      </c>
      <c r="M43" s="960" t="s">
        <v>107</v>
      </c>
      <c r="N43" s="901"/>
      <c r="O43" s="901"/>
      <c r="P43" s="901" t="s">
        <v>108</v>
      </c>
      <c r="Q43" s="901"/>
      <c r="R43" s="902"/>
    </row>
    <row r="44" spans="2:28" ht="13.5" thickBot="1" x14ac:dyDescent="0.25">
      <c r="B44" s="201">
        <f t="shared" si="13"/>
        <v>26</v>
      </c>
      <c r="C44" s="202" t="str">
        <f t="shared" si="14"/>
        <v xml:space="preserve">Miles </v>
      </c>
      <c r="D44" s="203">
        <f t="shared" si="11"/>
        <v>22.292495298737617</v>
      </c>
      <c r="E44" s="299">
        <f t="shared" si="21"/>
        <v>30.464895027708746</v>
      </c>
      <c r="F44" s="300">
        <f t="shared" si="21"/>
        <v>39.680430452241495</v>
      </c>
      <c r="G44" s="301">
        <f t="shared" si="21"/>
        <v>44.117808765910652</v>
      </c>
      <c r="H44" s="302">
        <f t="shared" si="21"/>
        <v>54.70027512861909</v>
      </c>
      <c r="I44" s="303">
        <f t="shared" si="21"/>
        <v>65.096995843647292</v>
      </c>
      <c r="J44" s="304">
        <f t="shared" si="21"/>
        <v>82.28595269323759</v>
      </c>
      <c r="K44" s="305" t="s">
        <v>91</v>
      </c>
      <c r="L44" s="306" t="s">
        <v>91</v>
      </c>
      <c r="M44" s="940" t="s">
        <v>109</v>
      </c>
      <c r="N44" s="941"/>
      <c r="O44" s="941"/>
      <c r="P44" s="941" t="s">
        <v>110</v>
      </c>
      <c r="Q44" s="941"/>
      <c r="R44" s="942"/>
    </row>
    <row r="45" spans="2:28" ht="13.5" thickBot="1" x14ac:dyDescent="0.25">
      <c r="B45" s="943" t="s">
        <v>111</v>
      </c>
      <c r="C45" s="944"/>
      <c r="D45" s="944"/>
      <c r="E45" s="944"/>
      <c r="F45" s="944"/>
      <c r="G45" s="944"/>
      <c r="H45" s="944"/>
      <c r="I45" s="944"/>
      <c r="J45" s="944"/>
      <c r="K45" s="944"/>
      <c r="L45" s="944"/>
      <c r="M45" s="944"/>
      <c r="N45" s="944"/>
      <c r="O45" s="944"/>
      <c r="P45" s="944"/>
      <c r="Q45" s="944"/>
      <c r="R45" s="945"/>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81" t="s">
        <v>112</v>
      </c>
      <c r="X46" s="881"/>
    </row>
    <row r="47" spans="2:28" ht="14.25" thickTop="1" thickBot="1" x14ac:dyDescent="0.25">
      <c r="B47" s="311">
        <f>E3</f>
        <v>201</v>
      </c>
      <c r="C47" s="312"/>
      <c r="D47" s="946" t="str">
        <f>"Custom Heart Rate Zones - "&amp;IF(L47,"% HR Reserve","% HRmax")</f>
        <v>Custom Heart Rate Zones - % HRmax</v>
      </c>
      <c r="E47" s="946"/>
      <c r="F47" s="946"/>
      <c r="G47" s="946"/>
      <c r="H47" s="946"/>
      <c r="I47" s="946"/>
      <c r="J47" s="946"/>
      <c r="K47" s="313"/>
      <c r="L47" s="314" t="b">
        <v>0</v>
      </c>
      <c r="M47" s="315" t="s">
        <v>113</v>
      </c>
      <c r="N47" s="947" t="s">
        <v>114</v>
      </c>
      <c r="O47" s="948"/>
      <c r="P47" s="948"/>
      <c r="Q47" s="316" t="b">
        <v>1</v>
      </c>
      <c r="R47" s="317">
        <v>25</v>
      </c>
      <c r="W47" s="949" t="s">
        <v>115</v>
      </c>
      <c r="X47" s="949"/>
      <c r="Y47" s="949" t="s">
        <v>116</v>
      </c>
      <c r="Z47" s="949"/>
      <c r="AA47" s="949"/>
      <c r="AB47" s="949"/>
    </row>
    <row r="48" spans="2:28" ht="13.5" thickBot="1" x14ac:dyDescent="0.25">
      <c r="B48" s="318">
        <f>E4</f>
        <v>54</v>
      </c>
      <c r="C48" s="962" t="s">
        <v>117</v>
      </c>
      <c r="D48" s="963"/>
      <c r="E48" s="964" t="s">
        <v>65</v>
      </c>
      <c r="F48" s="963"/>
      <c r="G48" s="964" t="s">
        <v>118</v>
      </c>
      <c r="H48" s="963"/>
      <c r="I48" s="964" t="s">
        <v>76</v>
      </c>
      <c r="J48" s="963"/>
      <c r="K48" s="964" t="s">
        <v>78</v>
      </c>
      <c r="L48" s="965"/>
      <c r="M48" s="319" t="s">
        <v>119</v>
      </c>
      <c r="N48" s="320" t="str">
        <f ca="1">"Age: "&amp;$E$5</f>
        <v>Age: 31</v>
      </c>
      <c r="O48" s="321"/>
      <c r="P48" s="322" t="str">
        <f>"Wght: "&amp;$C$3</f>
        <v>Wght: 155</v>
      </c>
      <c r="Q48" s="323" t="b">
        <v>1</v>
      </c>
      <c r="R48" s="324">
        <v>155</v>
      </c>
      <c r="S48" s="325"/>
      <c r="T48" s="966" t="s">
        <v>120</v>
      </c>
      <c r="U48" s="967"/>
      <c r="W48" s="326"/>
      <c r="X48" s="327" t="s">
        <v>121</v>
      </c>
      <c r="Y48" s="968" t="s">
        <v>122</v>
      </c>
      <c r="Z48" s="969"/>
      <c r="AA48" s="969" t="s">
        <v>123</v>
      </c>
      <c r="AB48" s="970"/>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35" t="str">
        <f>IF($L$47,TEXT((($B$47-$B$48)*C49)+$B$48,0)&amp;"  -  "&amp;TEXT((($B$47-$B$48)*D49)+$B$48,0),TEXT($B$47*C49,0)&amp;"  -  "&amp;TEXT($B$47*D49,0))</f>
        <v>131  -  161</v>
      </c>
      <c r="D50" s="936"/>
      <c r="E50" s="937" t="str">
        <f>IF($L$47,TEXT((($B$47-$B$48)*E49)+$B$48,0)&amp;"  -  "&amp;TEXT((($B$47-$B$48)*F49)+$B$48,0),TEXT($B$47*E49,0)&amp;"  -  "&amp;TEXT($B$47*F49,0))</f>
        <v>161  -  179</v>
      </c>
      <c r="F50" s="938"/>
      <c r="G50" s="937" t="str">
        <f>IF($L$47,TEXT((($B$47-$B$48)*G49)+$B$48,0)&amp;"  -  "&amp;TEXT((($B$47-$B$48)*H49)+$B$48,0),TEXT($B$47*G49,0)&amp;"  -  "&amp;TEXT($B$47*H49,0))</f>
        <v>177  -  185</v>
      </c>
      <c r="H50" s="938"/>
      <c r="I50" s="937" t="str">
        <f>IF($L$47,TEXT((($B$47-$B$48)*I49)+$B$48,0)&amp;"  -  "&amp;TEXT((($B$47-$B$48)*J49)+$B$48,0),TEXT($B$47*I49,0)&amp;"  -  "&amp;TEXT($B$47*J49,0))</f>
        <v>185  -  193</v>
      </c>
      <c r="J50" s="938"/>
      <c r="K50" s="937" t="str">
        <f>IF($L$47,TEXT((($B$47-$B$48)*K49)+$B$48,0)&amp;"  -  "&amp;TEXT((($B$47-$B$48)*L49)+$B$48,0),TEXT($B$47*K49,0)&amp;"  -  "&amp;TEXT($B$47*L49,0))</f>
        <v>185  -  201</v>
      </c>
      <c r="L50" s="939"/>
      <c r="M50" s="348">
        <v>0.50763888888888886</v>
      </c>
      <c r="N50" s="349" t="s">
        <v>129</v>
      </c>
      <c r="O50" s="350">
        <f>IF(AND($E$6&gt;0,$G$6&gt;0),IF($G$16=1,(W50/(29.54+5.000663*($I$6*(X50))-0.007546*($I$6*(X50))^2)/1440),($G$6*(S50/$D$8)^1.06)),"-")</f>
        <v>3.1430234970774838E-3</v>
      </c>
      <c r="P50" s="351">
        <f t="shared" ref="P50:P69" si="22">IF(O50&lt;&gt;"-",O50/S50*IF($P$70,0.621371192,1),"-")</f>
        <v>3.3721373379204441E-3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3.1398595200904256E-3</v>
      </c>
      <c r="R50" s="353">
        <f t="shared" ref="R50:R69" ca="1" si="24">IF($O$85="yes",Q50/S50*IF($P$70,0.621371192,1),"-")</f>
        <v>3.3687427196669372E-3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1.1034565008342117</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3.3864035559680841E-3</v>
      </c>
      <c r="P51" s="369">
        <f t="shared" si="22"/>
        <v>3.3864035559680841E-3</v>
      </c>
      <c r="Q51" s="370">
        <f t="shared" ca="1" si="23"/>
        <v>3.3829945763884095E-3</v>
      </c>
      <c r="R51" s="371">
        <f t="shared" ca="1" si="24"/>
        <v>3.3829945763884095E-3</v>
      </c>
      <c r="S51" s="354">
        <v>1</v>
      </c>
      <c r="T51" s="372">
        <v>2.5694444444444445E-3</v>
      </c>
      <c r="U51" s="373">
        <v>2.9120370370370368E-3</v>
      </c>
      <c r="V51" s="374" t="s">
        <v>131</v>
      </c>
      <c r="W51" s="375">
        <f t="shared" ref="W51:W69" si="27">S51*1609.344</f>
        <v>1609.3440000000001</v>
      </c>
      <c r="X51" s="376">
        <f t="shared" si="25"/>
        <v>1.0944936456265038</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61" t="s">
        <v>132</v>
      </c>
      <c r="D52" s="961"/>
      <c r="E52" s="961"/>
      <c r="F52" s="961"/>
      <c r="G52" s="961"/>
      <c r="H52" s="961"/>
      <c r="I52" s="961"/>
      <c r="J52" s="961"/>
      <c r="K52" s="381"/>
      <c r="L52" s="382" t="b">
        <v>0</v>
      </c>
      <c r="M52" s="348">
        <v>0.37708333333333338</v>
      </c>
      <c r="N52" s="367" t="s">
        <v>133</v>
      </c>
      <c r="O52" s="368">
        <f t="shared" si="26"/>
        <v>4.2636612119066122E-3</v>
      </c>
      <c r="P52" s="369">
        <f t="shared" si="22"/>
        <v>3.4308487947073175E-3</v>
      </c>
      <c r="Q52" s="370">
        <f t="shared" ca="1" si="23"/>
        <v>4.259369126286626E-3</v>
      </c>
      <c r="R52" s="371">
        <f t="shared" ca="1" si="24"/>
        <v>3.4273950735873122E-3</v>
      </c>
      <c r="S52" s="354">
        <f>2/1.609344</f>
        <v>1.2427423844746679</v>
      </c>
      <c r="T52" s="372">
        <v>3.2754629629629631E-3</v>
      </c>
      <c r="U52" s="373">
        <v>3.7268518518518514E-3</v>
      </c>
      <c r="V52" s="374" t="s">
        <v>134</v>
      </c>
      <c r="W52" s="375">
        <f t="shared" si="27"/>
        <v>2000</v>
      </c>
      <c r="X52" s="376">
        <f t="shared" si="25"/>
        <v>1.066407770710853</v>
      </c>
      <c r="Y52" s="377">
        <f t="shared" si="28"/>
        <v>1.0985102591715143</v>
      </c>
      <c r="Z52" s="376">
        <f t="shared" si="28"/>
        <v>1.0828512181419061</v>
      </c>
      <c r="AA52" s="383">
        <f t="shared" si="29"/>
        <v>83.186971218374168</v>
      </c>
      <c r="AB52" s="384">
        <f t="shared" si="29"/>
        <v>71.816074006912757</v>
      </c>
    </row>
    <row r="53" spans="2:28" ht="13.5" thickBot="1" x14ac:dyDescent="0.25">
      <c r="B53" s="984" t="s">
        <v>135</v>
      </c>
      <c r="C53" s="985"/>
      <c r="D53" s="385">
        <v>20</v>
      </c>
      <c r="E53" s="386">
        <v>25</v>
      </c>
      <c r="F53" s="386">
        <v>30</v>
      </c>
      <c r="G53" s="386">
        <v>35</v>
      </c>
      <c r="H53" s="386">
        <v>40</v>
      </c>
      <c r="I53" s="386">
        <v>45</v>
      </c>
      <c r="J53" s="386">
        <v>50</v>
      </c>
      <c r="K53" s="386">
        <v>55</v>
      </c>
      <c r="L53" s="387">
        <v>60</v>
      </c>
      <c r="M53" s="348">
        <v>0.33958333333333335</v>
      </c>
      <c r="N53" s="367" t="s">
        <v>79</v>
      </c>
      <c r="O53" s="368">
        <f t="shared" si="26"/>
        <v>6.5529887624448035E-3</v>
      </c>
      <c r="P53" s="369">
        <f t="shared" si="22"/>
        <v>3.51533771563599E-3</v>
      </c>
      <c r="Q53" s="370">
        <f t="shared" ca="1" si="23"/>
        <v>6.5463920870906089E-3</v>
      </c>
      <c r="R53" s="371">
        <f t="shared" ca="1" si="24"/>
        <v>3.5117989423355833E-3</v>
      </c>
      <c r="S53" s="354">
        <f>3/1.609344</f>
        <v>1.8641135767120018</v>
      </c>
      <c r="T53" s="372">
        <v>5.092592592592593E-3</v>
      </c>
      <c r="U53" s="373">
        <v>5.7986111111111112E-3</v>
      </c>
      <c r="V53" s="374" t="s">
        <v>136</v>
      </c>
      <c r="W53" s="375">
        <f t="shared" si="27"/>
        <v>3000</v>
      </c>
      <c r="X53" s="376">
        <f t="shared" si="25"/>
        <v>1.0161819989720546</v>
      </c>
      <c r="Y53" s="377">
        <f t="shared" si="28"/>
        <v>1.044955409742395</v>
      </c>
      <c r="Z53" s="376">
        <f t="shared" si="28"/>
        <v>1.0298031453085916</v>
      </c>
      <c r="AA53" s="383">
        <f t="shared" si="29"/>
        <v>83.606485762214774</v>
      </c>
      <c r="AB53" s="384">
        <f t="shared" si="29"/>
        <v>72.156085574942367</v>
      </c>
    </row>
    <row r="54" spans="2:28" x14ac:dyDescent="0.2">
      <c r="B54" s="986" t="str">
        <f>IF($L$52,"Pace / km","Pace / mile")</f>
        <v>Pace / mile</v>
      </c>
      <c r="C54" s="987"/>
      <c r="D54" s="388">
        <f>IF($L$6&lt;&gt;"-",IF($L$52,$L$6*0.621371192,$L$6)*(IF(B56,1+B52,1)),"-")</f>
        <v>3.9117357661323827E-3</v>
      </c>
      <c r="E54" s="389">
        <f>IF($D$54&lt;&gt;"-",D$54*1.012,"-")</f>
        <v>3.9586765953259712E-3</v>
      </c>
      <c r="F54" s="389">
        <f>IF($D$54&lt;&gt;"-",$D$54*1.022,"-")</f>
        <v>3.9977939529872953E-3</v>
      </c>
      <c r="G54" s="389">
        <f>IF($D$54&lt;&gt;"-",$D$54*1.027,"-")</f>
        <v>4.0173526318179565E-3</v>
      </c>
      <c r="H54" s="389">
        <f>IF($D$54&lt;&gt;"-",$D$54*1.033,"-")</f>
        <v>4.0408230464147512E-3</v>
      </c>
      <c r="I54" s="389">
        <f>IF($D$54&lt;&gt;"-",$D$54*1.038,"-")</f>
        <v>4.0603817252454133E-3</v>
      </c>
      <c r="J54" s="389">
        <f>IF($D$54&lt;&gt;"-",$D$54*1.043,"-")</f>
        <v>4.0799404040760753E-3</v>
      </c>
      <c r="K54" s="389">
        <f>IF($D$54&lt;&gt;"-",$D$54*1.04866,"-")</f>
        <v>4.1020808285123838E-3</v>
      </c>
      <c r="L54" s="390">
        <f>IF($D$54&lt;&gt;"-",$D$54*1.055,"-")</f>
        <v>4.1268812332696638E-3</v>
      </c>
      <c r="M54" s="348"/>
      <c r="N54" s="367" t="s">
        <v>137</v>
      </c>
      <c r="O54" s="368">
        <f t="shared" si="26"/>
        <v>7.0604195189746958E-3</v>
      </c>
      <c r="P54" s="369">
        <f t="shared" si="22"/>
        <v>3.5302097594873479E-3</v>
      </c>
      <c r="Q54" s="370">
        <f t="shared" ca="1" si="23"/>
        <v>7.0533120299922612E-3</v>
      </c>
      <c r="R54" s="371">
        <f t="shared" ca="1" si="24"/>
        <v>3.5266560149961306E-3</v>
      </c>
      <c r="S54" s="354">
        <v>2</v>
      </c>
      <c r="T54" s="391">
        <v>5.4861111111111117E-3</v>
      </c>
      <c r="U54" s="392">
        <v>6.2731481481481484E-3</v>
      </c>
      <c r="V54" s="374" t="s">
        <v>138</v>
      </c>
      <c r="W54" s="375">
        <f t="shared" si="27"/>
        <v>3218.6880000000001</v>
      </c>
      <c r="X54" s="376">
        <f t="shared" si="25"/>
        <v>1.0082655248005339</v>
      </c>
      <c r="Y54" s="377">
        <f t="shared" si="28"/>
        <v>1.0361944609976594</v>
      </c>
      <c r="Z54" s="376">
        <f t="shared" si="28"/>
        <v>1.0209576166884211</v>
      </c>
      <c r="AA54" s="383">
        <f t="shared" si="29"/>
        <v>83.8848240753114</v>
      </c>
      <c r="AB54" s="384">
        <f t="shared" si="29"/>
        <v>72.034775629497389</v>
      </c>
    </row>
    <row r="55" spans="2:28" ht="13.5" thickBot="1" x14ac:dyDescent="0.25">
      <c r="B55" s="988" t="s">
        <v>139</v>
      </c>
      <c r="C55" s="989"/>
      <c r="D55" s="393" t="str">
        <f t="shared" ref="D55:L55" si="30">IF(D54&lt;&gt;"-",IF($L$52,ROUND(D53/D54/1440,1)&amp;" km",ROUND(D53/D54/1440,1)&amp;" mi"),"-")</f>
        <v>3.6 mi</v>
      </c>
      <c r="E55" s="394" t="str">
        <f t="shared" si="30"/>
        <v>4.4 mi</v>
      </c>
      <c r="F55" s="394" t="str">
        <f t="shared" si="30"/>
        <v>5.2 mi</v>
      </c>
      <c r="G55" s="394" t="str">
        <f t="shared" si="30"/>
        <v>6.1 mi</v>
      </c>
      <c r="H55" s="394" t="str">
        <f t="shared" si="30"/>
        <v>6.9 mi</v>
      </c>
      <c r="I55" s="394" t="str">
        <f t="shared" si="30"/>
        <v>7.7 mi</v>
      </c>
      <c r="J55" s="394" t="str">
        <f t="shared" si="30"/>
        <v>8.5 mi</v>
      </c>
      <c r="K55" s="394" t="str">
        <f t="shared" si="30"/>
        <v>9.3 mi</v>
      </c>
      <c r="L55" s="395" t="str">
        <f t="shared" si="30"/>
        <v>10.1 mi</v>
      </c>
      <c r="M55" s="348"/>
      <c r="N55" s="367" t="s">
        <v>140</v>
      </c>
      <c r="O55" s="368">
        <f t="shared" si="26"/>
        <v>1.0851436703456478E-2</v>
      </c>
      <c r="P55" s="369">
        <f t="shared" si="22"/>
        <v>3.6171455678188258E-3</v>
      </c>
      <c r="Q55" s="370">
        <f t="shared" ca="1" si="23"/>
        <v>1.0840512923841665E-2</v>
      </c>
      <c r="R55" s="371">
        <f t="shared" ca="1" si="24"/>
        <v>3.6135043079472216E-3</v>
      </c>
      <c r="S55" s="354">
        <v>3</v>
      </c>
      <c r="T55" s="396">
        <v>8.4490740740740741E-3</v>
      </c>
      <c r="U55" s="397">
        <v>9.6412037037037039E-3</v>
      </c>
      <c r="V55" s="398" t="s">
        <v>141</v>
      </c>
      <c r="W55" s="375">
        <f t="shared" si="27"/>
        <v>4828.0320000000002</v>
      </c>
      <c r="X55" s="376">
        <f t="shared" si="25"/>
        <v>0.96974182529539976</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90" t="str">
        <f>"◄ "&amp;J80&amp;" - "&amp;LEFT(B81,LEN(B81)-3)&amp;IF(L52,"°C","°F")</f>
        <v>◄ J.Daniels - Temperature °F</v>
      </c>
      <c r="E56" s="991"/>
      <c r="F56" s="992"/>
      <c r="G56" s="993" t="s">
        <v>142</v>
      </c>
      <c r="H56" s="994"/>
      <c r="I56" s="994"/>
      <c r="J56" s="994"/>
      <c r="K56" s="994"/>
      <c r="L56" s="995"/>
      <c r="M56" s="348"/>
      <c r="N56" s="367" t="s">
        <v>78</v>
      </c>
      <c r="O56" s="368">
        <f t="shared" si="26"/>
        <v>1.1261574074074075E-2</v>
      </c>
      <c r="P56" s="369">
        <f t="shared" si="22"/>
        <v>3.6247493333333336E-3</v>
      </c>
      <c r="Q56" s="370">
        <f t="shared" ca="1" si="23"/>
        <v>1.1250237422839506E-2</v>
      </c>
      <c r="R56" s="371">
        <f t="shared" ca="1" si="24"/>
        <v>3.6211004190044448E-3</v>
      </c>
      <c r="S56" s="354">
        <f>5/1.609344</f>
        <v>3.1068559611866697</v>
      </c>
      <c r="T56" s="401">
        <v>9.0162037037037034E-3</v>
      </c>
      <c r="U56" s="402">
        <v>1.0254629629629629E-2</v>
      </c>
      <c r="V56" s="357"/>
      <c r="W56" s="375">
        <f t="shared" si="27"/>
        <v>5000</v>
      </c>
      <c r="X56" s="376">
        <f t="shared" si="25"/>
        <v>0.96700150145062314</v>
      </c>
      <c r="Y56" s="377">
        <f t="shared" si="28"/>
        <v>0.98479562185948155</v>
      </c>
      <c r="Z56" s="376">
        <f t="shared" si="28"/>
        <v>0.97409123354038751</v>
      </c>
      <c r="AA56" s="383">
        <f t="shared" si="29"/>
        <v>82.264131007315953</v>
      </c>
      <c r="AB56" s="384">
        <f t="shared" si="29"/>
        <v>70.87248744547729</v>
      </c>
    </row>
    <row r="57" spans="2:28" ht="13.5" thickBot="1" x14ac:dyDescent="0.25">
      <c r="B57" s="996" t="s">
        <v>143</v>
      </c>
      <c r="C57" s="997"/>
      <c r="D57" s="997"/>
      <c r="E57" s="997"/>
      <c r="F57" s="997"/>
      <c r="G57" s="997" t="s">
        <v>144</v>
      </c>
      <c r="H57" s="997"/>
      <c r="I57" s="997"/>
      <c r="J57" s="997"/>
      <c r="K57" s="997"/>
      <c r="L57" s="998"/>
      <c r="M57" s="348"/>
      <c r="N57" s="367" t="s">
        <v>145</v>
      </c>
      <c r="O57" s="368">
        <f t="shared" si="26"/>
        <v>1.4720491211410922E-2</v>
      </c>
      <c r="P57" s="369">
        <f t="shared" si="22"/>
        <v>3.6801228028527306E-3</v>
      </c>
      <c r="Q57" s="370">
        <f t="shared" ca="1" si="23"/>
        <v>1.4705672583591435E-2</v>
      </c>
      <c r="R57" s="371">
        <f t="shared" ca="1" si="24"/>
        <v>3.6764181458978588E-3</v>
      </c>
      <c r="S57" s="354">
        <v>4</v>
      </c>
      <c r="T57" s="372">
        <v>1.1736111111111109E-2</v>
      </c>
      <c r="U57" s="373">
        <v>1.3414351851851851E-2</v>
      </c>
      <c r="V57" s="374"/>
      <c r="W57" s="375">
        <f t="shared" si="27"/>
        <v>6437.3760000000002</v>
      </c>
      <c r="X57" s="376">
        <f t="shared" si="25"/>
        <v>0.94946067793502265</v>
      </c>
      <c r="Y57" s="377">
        <f t="shared" si="28"/>
        <v>0.96405245155236163</v>
      </c>
      <c r="Z57" s="376">
        <f t="shared" si="28"/>
        <v>0.95515439471114272</v>
      </c>
      <c r="AA57" s="383">
        <f t="shared" si="29"/>
        <v>82.893270750842035</v>
      </c>
      <c r="AB57" s="384">
        <f t="shared" si="29"/>
        <v>70.86657246549413</v>
      </c>
    </row>
    <row r="58" spans="2:28" ht="13.5" thickBot="1" x14ac:dyDescent="0.25">
      <c r="B58" s="971" t="str">
        <f>"Interval Split Times In "&amp;IF(L58,"Metric","US/Imperial")&amp;" Distances (Daniels)"</f>
        <v>Interval Split Times In Metric Distances (Daniels)</v>
      </c>
      <c r="C58" s="972"/>
      <c r="D58" s="972"/>
      <c r="E58" s="972"/>
      <c r="F58" s="972"/>
      <c r="G58" s="972"/>
      <c r="H58" s="972"/>
      <c r="I58" s="972"/>
      <c r="J58" s="972"/>
      <c r="K58" s="973"/>
      <c r="L58" s="403" t="b">
        <v>1</v>
      </c>
      <c r="M58" s="348"/>
      <c r="N58" s="367" t="s">
        <v>77</v>
      </c>
      <c r="O58" s="368">
        <f t="shared" si="26"/>
        <v>1.8533877123916073E-2</v>
      </c>
      <c r="P58" s="369">
        <f t="shared" si="22"/>
        <v>3.7284229932639484E-3</v>
      </c>
      <c r="Q58" s="370">
        <f t="shared" ca="1" si="23"/>
        <v>1.8515219687611328E-2</v>
      </c>
      <c r="R58" s="371">
        <f t="shared" ca="1" si="24"/>
        <v>3.7246697141173958E-3</v>
      </c>
      <c r="S58" s="354">
        <f>8/1.609344</f>
        <v>4.9709695378986716</v>
      </c>
      <c r="T58" s="372">
        <v>1.4722222222222222E-2</v>
      </c>
      <c r="U58" s="373">
        <v>1.6689814814814817E-2</v>
      </c>
      <c r="V58" s="404" t="s">
        <v>146</v>
      </c>
      <c r="W58" s="375">
        <f t="shared" si="27"/>
        <v>8000</v>
      </c>
      <c r="X58" s="376">
        <f t="shared" si="25"/>
        <v>0.93641870344771949</v>
      </c>
      <c r="Y58" s="377">
        <f t="shared" si="28"/>
        <v>0.94945368165745703</v>
      </c>
      <c r="Z58" s="376">
        <f t="shared" si="28"/>
        <v>0.94222119124623838</v>
      </c>
      <c r="AA58" s="383">
        <f t="shared" si="29"/>
        <v>83.191150933804494</v>
      </c>
      <c r="AB58" s="384">
        <f t="shared" si="29"/>
        <v>71.736795096480776</v>
      </c>
    </row>
    <row r="59" spans="2:28" ht="13.5" thickBot="1" x14ac:dyDescent="0.25">
      <c r="B59" s="974" t="str">
        <f>"Pace per "&amp;IF($L$58,"/ km","/ mile")</f>
        <v>Pace per / km</v>
      </c>
      <c r="C59" s="975"/>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1.8648629301251704E-2</v>
      </c>
      <c r="P59" s="369">
        <f t="shared" si="22"/>
        <v>3.7297258602503407E-3</v>
      </c>
      <c r="Q59" s="370">
        <f t="shared" ca="1" si="23"/>
        <v>1.862985634775511E-2</v>
      </c>
      <c r="R59" s="371">
        <f t="shared" ca="1" si="24"/>
        <v>3.7259712695510219E-3</v>
      </c>
      <c r="S59" s="354">
        <v>5</v>
      </c>
      <c r="T59" s="372">
        <v>1.480324074074074E-2</v>
      </c>
      <c r="U59" s="373">
        <v>1.6805555555555556E-2</v>
      </c>
      <c r="V59" s="374" t="s">
        <v>131</v>
      </c>
      <c r="W59" s="375">
        <f t="shared" si="27"/>
        <v>8046.72</v>
      </c>
      <c r="X59" s="376">
        <f t="shared" si="25"/>
        <v>0.93608052573858336</v>
      </c>
      <c r="Y59" s="377">
        <f t="shared" si="28"/>
        <v>0.94912767115464203</v>
      </c>
      <c r="Z59" s="376">
        <f t="shared" si="28"/>
        <v>0.94183365592937773</v>
      </c>
      <c r="AA59" s="383">
        <f t="shared" si="29"/>
        <v>83.254458075129591</v>
      </c>
      <c r="AB59" s="384">
        <f t="shared" si="29"/>
        <v>71.669684133520008</v>
      </c>
    </row>
    <row r="60" spans="2:28" x14ac:dyDescent="0.2">
      <c r="B60" s="976">
        <f>B61-(IF(L58,1000,1609.344)/400) * TIME(0,0,6)</f>
        <v>2.0534242267332254E-3</v>
      </c>
      <c r="C60" s="977"/>
      <c r="D60" s="407">
        <f>IF($R$14&lt;&gt;"-",IF($L$58,B60*0.1,B60*0.0625),"-")</f>
        <v>2.0534242267332254E-4</v>
      </c>
      <c r="E60" s="407">
        <f>IF($R$14&lt;&gt;"-",IF($L$58,B60*0.2,B60*0.125),"-")</f>
        <v>4.1068484534664509E-4</v>
      </c>
      <c r="F60" s="407">
        <f>IF($R$14&lt;&gt;"-",IF($L$58,B60*0.3,B60*0.1875),"-")</f>
        <v>6.1602726801996755E-4</v>
      </c>
      <c r="G60" s="407">
        <f>IF($R$14&lt;&gt;"-",IF($L$58,B60*0.4,B60*0.25),"-")</f>
        <v>8.2136969069329018E-4</v>
      </c>
      <c r="H60" s="407">
        <f>IF($R$14&lt;&gt;"-",IF($L$58,B60*0.6,B60*0.375),"-")</f>
        <v>1.2320545360399351E-3</v>
      </c>
      <c r="I60" s="407">
        <f>IF($R$14&lt;&gt;"-",IF($L$58,B60*0.8,B60*0.5),"-")</f>
        <v>1.6427393813865804E-3</v>
      </c>
      <c r="J60" s="407">
        <f>IF($R$14&lt;&gt;"-",IF($L$58,B60*1,B60*0.625),"-")</f>
        <v>2.0534242267332254E-3</v>
      </c>
      <c r="K60" s="407">
        <f>IF($R$14&lt;&gt;"-",IF($L$58,B60*1.2,B60*0.75),"-")</f>
        <v>2.4641090720798702E-3</v>
      </c>
      <c r="L60" s="408">
        <f>IF($R$14&lt;&gt;"-",IF($L$58,B60*1.6,B60*1),"-")</f>
        <v>3.2854787627731607E-3</v>
      </c>
      <c r="M60" s="348"/>
      <c r="N60" s="367" t="s">
        <v>76</v>
      </c>
      <c r="O60" s="368">
        <f t="shared" si="26"/>
        <v>2.3479610770796557E-2</v>
      </c>
      <c r="P60" s="369">
        <f t="shared" si="22"/>
        <v>3.7786770716316813E-3</v>
      </c>
      <c r="Q60" s="370">
        <f t="shared" ca="1" si="23"/>
        <v>2.3455974629287286E-2</v>
      </c>
      <c r="R60" s="371">
        <f t="shared" ca="1" si="24"/>
        <v>3.7748732033795721E-3</v>
      </c>
      <c r="S60" s="354">
        <f>10/1.609344</f>
        <v>6.2137119223733395</v>
      </c>
      <c r="T60" s="372">
        <v>1.8553240740740742E-2</v>
      </c>
      <c r="U60" s="373">
        <v>2.1064814814814814E-2</v>
      </c>
      <c r="V60" s="374" t="s">
        <v>134</v>
      </c>
      <c r="W60" s="375">
        <f t="shared" si="27"/>
        <v>10000</v>
      </c>
      <c r="X60" s="376">
        <f t="shared" si="25"/>
        <v>0.9234161147608092</v>
      </c>
      <c r="Y60" s="377">
        <f t="shared" si="28"/>
        <v>0.93636147475550613</v>
      </c>
      <c r="Z60" s="376">
        <f t="shared" si="28"/>
        <v>0.92941995531591082</v>
      </c>
      <c r="AA60" s="383">
        <f t="shared" si="29"/>
        <v>83.503168270942339</v>
      </c>
      <c r="AB60" s="384">
        <f t="shared" si="29"/>
        <v>71.859913588693914</v>
      </c>
    </row>
    <row r="61" spans="2:28" ht="13.5" thickBot="1" x14ac:dyDescent="0.25">
      <c r="B61" s="978">
        <f>IF(AND($E$6&gt;0,$G$6&gt;0),(1/(29.54 + 5.000663 * ($I$6*0.98) - 0.007546 * ($I$6*0.98)^2)*IF($L$58,1000,1609.344)/1440),"-")</f>
        <v>2.2270353378443363E-3</v>
      </c>
      <c r="C61" s="979"/>
      <c r="D61" s="409">
        <f>IF($R$14&lt;&gt;"-",IF($L$58,B61*0.1,B61*0.0625),"-")</f>
        <v>2.2270353378443363E-4</v>
      </c>
      <c r="E61" s="409">
        <f>IF($R$14&lt;&gt;"-",IF($L$58,B61*0.2,B61*0.125),"-")</f>
        <v>4.4540706756886726E-4</v>
      </c>
      <c r="F61" s="409">
        <f>IF($R$14&lt;&gt;"-",IF($L$58,B61*0.3,B61*0.1875),"-")</f>
        <v>6.6811060135330089E-4</v>
      </c>
      <c r="G61" s="409">
        <f>IF($R$14&lt;&gt;"-",IF($L$58,B61*0.4,B61*0.25),"-")</f>
        <v>8.9081413513773453E-4</v>
      </c>
      <c r="H61" s="409">
        <f>IF($R$14&lt;&gt;"-",IF($L$58,B61*0.6,B61*0.375),"-")</f>
        <v>1.3362212027066018E-3</v>
      </c>
      <c r="I61" s="409">
        <f>IF($R$14&lt;&gt;"-",IF($L$58,B61*0.8,B61*0.5),"-")</f>
        <v>1.7816282702754691E-3</v>
      </c>
      <c r="J61" s="409">
        <f>IF($R$14&lt;&gt;"-",IF($L$58,B61*1,B61*0.625),"-")</f>
        <v>2.2270353378443363E-3</v>
      </c>
      <c r="K61" s="409">
        <f>IF($R$14&lt;&gt;"-",IF($L$58,B61*1.2,B61*0.75),"-")</f>
        <v>2.6724424054132036E-3</v>
      </c>
      <c r="L61" s="410">
        <f>IF($R$14&lt;&gt;"-",IF($L$58,B61*1.6,B61*1),"-")</f>
        <v>3.5632565405509381E-3</v>
      </c>
      <c r="M61" s="348"/>
      <c r="N61" s="367" t="s">
        <v>75</v>
      </c>
      <c r="O61" s="368">
        <f t="shared" si="26"/>
        <v>2.8485445367561028E-2</v>
      </c>
      <c r="P61" s="369">
        <f t="shared" si="22"/>
        <v>3.820240049134345E-3</v>
      </c>
      <c r="Q61" s="370">
        <f t="shared" ca="1" si="23"/>
        <v>2.8456770019224351E-2</v>
      </c>
      <c r="R61" s="371">
        <f t="shared" ca="1" si="24"/>
        <v>3.8163943408182164E-3</v>
      </c>
      <c r="S61" s="354">
        <f>12/1.609344</f>
        <v>7.4564543068480074</v>
      </c>
      <c r="T61" s="372">
        <v>2.2476851851851855E-2</v>
      </c>
      <c r="U61" s="373">
        <v>2.539351851851852E-2</v>
      </c>
      <c r="V61" s="404" t="s">
        <v>148</v>
      </c>
      <c r="W61" s="375">
        <f t="shared" si="27"/>
        <v>12000</v>
      </c>
      <c r="X61" s="376">
        <f t="shared" si="25"/>
        <v>0.91226794806763423</v>
      </c>
      <c r="Y61" s="377">
        <f t="shared" si="28"/>
        <v>0.92584613035566721</v>
      </c>
      <c r="Z61" s="376">
        <f t="shared" si="28"/>
        <v>0.91898114812139364</v>
      </c>
      <c r="AA61" s="383">
        <f t="shared" si="29"/>
        <v>83.456631645174227</v>
      </c>
      <c r="AB61" s="384">
        <f t="shared" si="29"/>
        <v>72.266309761498462</v>
      </c>
    </row>
    <row r="62" spans="2:28" ht="13.5" thickBot="1" x14ac:dyDescent="0.25">
      <c r="B62" s="980">
        <f>IF(AND($E$6&gt;0,$G$6&gt;0),(1/(29.54 + 5.000663 * ($I$6*0.88) - 0.007546 * ($I$6*0.88)^2)*IF($L$58,1000,1609.344)/1440),"-")</f>
        <v>2.4306399167190996E-3</v>
      </c>
      <c r="C62" s="981"/>
      <c r="D62" s="411">
        <f>IF($R$14&lt;&gt;"-",IF($L$58,B62*0.1,B62*0.0625),"-")</f>
        <v>2.4306399167190997E-4</v>
      </c>
      <c r="E62" s="411">
        <f>IF($R$14&lt;&gt;"-",IF($L$58,B62*0.2,B62*0.125),"-")</f>
        <v>4.8612798334381993E-4</v>
      </c>
      <c r="F62" s="411">
        <f>IF($R$14&lt;&gt;"-",IF($L$58,B62*0.3,B62*0.1875),"-")</f>
        <v>7.2919197501572985E-4</v>
      </c>
      <c r="G62" s="411">
        <f>IF($R$14&lt;&gt;"-",IF($L$58,B62*0.4,B62*0.25),"-")</f>
        <v>9.7225596668763987E-4</v>
      </c>
      <c r="H62" s="411">
        <f>IF($R$14&lt;&gt;"-",IF($L$58,B62*0.6,B62*0.375),"-")</f>
        <v>1.4583839500314597E-3</v>
      </c>
      <c r="I62" s="411">
        <f>IF($R$14&lt;&gt;"-",IF($L$58,B62*0.8,B62*0.5),"-")</f>
        <v>1.9445119333752797E-3</v>
      </c>
      <c r="J62" s="411">
        <f>IF($R$14&lt;&gt;"-",IF($L$58,B62*1,B62*0.625),"-")</f>
        <v>2.4306399167190996E-3</v>
      </c>
      <c r="K62" s="411">
        <f>IF($R$14&lt;&gt;"-",IF($L$58,B62*1.2,B62*0.75),"-")</f>
        <v>2.9167679000629194E-3</v>
      </c>
      <c r="L62" s="412">
        <f>IF($R$14&lt;&gt;"-",IF($L$58,B62*1.6,B62*1),"-")</f>
        <v>3.8890238667505595E-3</v>
      </c>
      <c r="M62" s="413">
        <f>(SUM(M49:M61)/60)*M66</f>
        <v>3.6435185185185189E-2</v>
      </c>
      <c r="N62" s="367" t="s">
        <v>74</v>
      </c>
      <c r="O62" s="368">
        <f t="shared" si="26"/>
        <v>3.6086738106193117E-2</v>
      </c>
      <c r="P62" s="369">
        <f t="shared" si="22"/>
        <v>3.8717316967182172E-3</v>
      </c>
      <c r="Q62" s="370">
        <f t="shared" ca="1" si="23"/>
        <v>3.6050410789832878E-2</v>
      </c>
      <c r="R62" s="371">
        <f t="shared" ca="1" si="24"/>
        <v>3.8678341534768533E-3</v>
      </c>
      <c r="S62" s="354">
        <f>15/1.609344</f>
        <v>9.3205678835600096</v>
      </c>
      <c r="T62" s="372">
        <v>2.8414351851851847E-2</v>
      </c>
      <c r="U62" s="373">
        <v>3.1886574074074074E-2</v>
      </c>
      <c r="V62" s="404" t="s">
        <v>149</v>
      </c>
      <c r="W62" s="375">
        <f t="shared" si="27"/>
        <v>15000</v>
      </c>
      <c r="X62" s="376">
        <f t="shared" si="25"/>
        <v>0.89753335961951231</v>
      </c>
      <c r="Y62" s="377">
        <f t="shared" si="28"/>
        <v>0.91241692052851031</v>
      </c>
      <c r="Z62" s="376">
        <f t="shared" si="28"/>
        <v>0.90539789536192106</v>
      </c>
      <c r="AA62" s="383">
        <f t="shared" si="29"/>
        <v>83.506348278675873</v>
      </c>
      <c r="AB62" s="384">
        <f t="shared" si="29"/>
        <v>72.938756012249129</v>
      </c>
    </row>
    <row r="63" spans="2:28" ht="13.5" thickTop="1" x14ac:dyDescent="0.2">
      <c r="B63" s="982">
        <f>IF($L$58, R15,R14)</f>
        <v>2.1042136141649274E-3</v>
      </c>
      <c r="C63" s="983"/>
      <c r="D63" s="414">
        <f>IF($R$14&lt;&gt;"-",IF($L$58,R15*0.1,R14*0.0625),"-")</f>
        <v>2.1042136141649276E-4</v>
      </c>
      <c r="E63" s="414">
        <f>IF($R$14&lt;&gt;"-",IF($L$58,R15*0.2,R14*0.125),"-")</f>
        <v>4.2084272283298552E-4</v>
      </c>
      <c r="F63" s="414">
        <f>IF($R$14&lt;&gt;"-",IF($L$58,R15*0.3,R14*0.1875),"-")</f>
        <v>6.3126408424947825E-4</v>
      </c>
      <c r="G63" s="414">
        <f>IF($R$14&lt;&gt;"-",IF($L$58,R15*0.4,R14*0.25),"-")</f>
        <v>8.4168544566597104E-4</v>
      </c>
      <c r="H63" s="414">
        <f>IF($R$14&lt;&gt;"-",IF($L$58,R15*0.6,R14*0.375),"-")</f>
        <v>1.2625281684989565E-3</v>
      </c>
      <c r="I63" s="414">
        <f>IF($R$14&lt;&gt;"-",IF($L$58,R15*0.8,R14*0.5),"-")</f>
        <v>1.6833708913319421E-3</v>
      </c>
      <c r="J63" s="414">
        <f>IF($R$14&lt;&gt;"-",IF($L$58,R15,R14*0.625),"-")</f>
        <v>2.1042136141649274E-3</v>
      </c>
      <c r="K63" s="414">
        <f>IF($R$14&lt;&gt;"-",IF($L$58,R15*1.2,R14*0.75),"-")</f>
        <v>2.525056336997913E-3</v>
      </c>
      <c r="L63" s="415">
        <f>IF($R$14&lt;&gt;"-",IF($L$58,R15*1.6,R14),"-")</f>
        <v>3.3667417826638841E-3</v>
      </c>
      <c r="M63" s="416">
        <f>(SUM(M49:M61)/60)*M66</f>
        <v>3.6435185185185189E-2</v>
      </c>
      <c r="N63" s="367" t="s">
        <v>150</v>
      </c>
      <c r="O63" s="368">
        <f t="shared" si="26"/>
        <v>3.8881115066346776E-2</v>
      </c>
      <c r="P63" s="369">
        <f t="shared" si="22"/>
        <v>3.8881115066346774E-3</v>
      </c>
      <c r="Q63" s="370">
        <f t="shared" ca="1" si="23"/>
        <v>3.8841974743846652E-2</v>
      </c>
      <c r="R63" s="371">
        <f t="shared" ca="1" si="24"/>
        <v>3.8841974743846651E-3</v>
      </c>
      <c r="S63" s="354">
        <v>10</v>
      </c>
      <c r="T63" s="372">
        <v>3.0555555555555555E-2</v>
      </c>
      <c r="U63" s="373">
        <v>3.4270833333333334E-2</v>
      </c>
      <c r="V63" s="404" t="s">
        <v>138</v>
      </c>
      <c r="W63" s="375">
        <f t="shared" si="27"/>
        <v>16093.44</v>
      </c>
      <c r="X63" s="376">
        <f t="shared" si="25"/>
        <v>0.89263881293717007</v>
      </c>
      <c r="Y63" s="377">
        <f t="shared" si="28"/>
        <v>0.90802880889367932</v>
      </c>
      <c r="Z63" s="376">
        <f t="shared" si="28"/>
        <v>0.90085543039542837</v>
      </c>
      <c r="AA63" s="383">
        <f t="shared" si="29"/>
        <v>83.671183784319751</v>
      </c>
      <c r="AB63" s="384">
        <f t="shared" si="29"/>
        <v>73.148109904996048</v>
      </c>
    </row>
    <row r="64" spans="2:28" x14ac:dyDescent="0.2">
      <c r="B64" s="1013">
        <f>IF($L$58, P15,P14)</f>
        <v>2.2523148139545388E-3</v>
      </c>
      <c r="C64" s="1014"/>
      <c r="D64" s="409">
        <f>IF($P$14&lt;&gt;"-",IF($L$58,P15*0.1,P14*0.0625),"-")</f>
        <v>2.2523148139545388E-4</v>
      </c>
      <c r="E64" s="409">
        <f>IF($P$14&lt;&gt;"-",IF($L$58,P15*0.2,P14*0.125),"-")</f>
        <v>4.5046296279090776E-4</v>
      </c>
      <c r="F64" s="409">
        <f>IF($P$14&lt;&gt;"-",IF($L$58,P15*0.3,P14*0.1875),"-")</f>
        <v>6.7569444418636164E-4</v>
      </c>
      <c r="G64" s="409">
        <f>IF($P$14&lt;&gt;"-",IF($L$58,P15*0.4,P14*0.25),"-")</f>
        <v>9.0092592558181552E-4</v>
      </c>
      <c r="H64" s="409">
        <f>IF($P$14&lt;&gt;"-",IF($L$58,P15*0.6,P14*0.375),"-")</f>
        <v>1.3513888883727233E-3</v>
      </c>
      <c r="I64" s="409">
        <f>IF($P$14&lt;&gt;"-",IF($L$58,P15*0.8,P14*0.5),"-")</f>
        <v>1.801851851163631E-3</v>
      </c>
      <c r="J64" s="409">
        <f>IF($P$14&lt;&gt;"-",IF($L$58,P15,P14*0.625),"-")</f>
        <v>2.2523148139545388E-3</v>
      </c>
      <c r="K64" s="409">
        <f>IF($P$14&lt;&gt;"-",IF($L$58,P15*1.2,P14*0.75),"-")</f>
        <v>2.7027777767454466E-3</v>
      </c>
      <c r="L64" s="410">
        <f>IF($P$14&lt;&gt;"-",IF($L$58,P15*1.6,P14),"-")</f>
        <v>3.6037037023272621E-3</v>
      </c>
      <c r="M64" s="417">
        <f>IF(COUNT(M49:M61)&gt;0,M62/M65,0)</f>
        <v>7.287037037037038E-3</v>
      </c>
      <c r="N64" s="367" t="s">
        <v>151</v>
      </c>
      <c r="O64" s="368">
        <f t="shared" si="26"/>
        <v>4.8953380612863646E-2</v>
      </c>
      <c r="P64" s="369">
        <f t="shared" si="22"/>
        <v>3.9391414684514219E-3</v>
      </c>
      <c r="Q64" s="370">
        <f t="shared" ca="1" si="23"/>
        <v>4.890410087638003E-2</v>
      </c>
      <c r="R64" s="371">
        <f t="shared" ca="1" si="24"/>
        <v>3.9351760660398475E-3</v>
      </c>
      <c r="S64" s="354">
        <f>20/1.609344</f>
        <v>12.427423844746679</v>
      </c>
      <c r="T64" s="372">
        <v>3.8368055555555551E-2</v>
      </c>
      <c r="U64" s="373">
        <v>4.282407407407407E-2</v>
      </c>
      <c r="V64" s="374" t="s">
        <v>141</v>
      </c>
      <c r="W64" s="375">
        <f t="shared" si="27"/>
        <v>20000</v>
      </c>
      <c r="X64" s="376">
        <f t="shared" si="25"/>
        <v>0.87696228487333483</v>
      </c>
      <c r="Y64" s="377">
        <f t="shared" si="28"/>
        <v>0.89351836737590107</v>
      </c>
      <c r="Z64" s="376">
        <f t="shared" si="28"/>
        <v>0.88615216897563609</v>
      </c>
      <c r="AA64" s="383">
        <f t="shared" si="29"/>
        <v>83.94191316218766</v>
      </c>
      <c r="AB64" s="384">
        <f t="shared" si="29"/>
        <v>73.858730812110522</v>
      </c>
    </row>
    <row r="65" spans="2:28" ht="13.5" thickBot="1" x14ac:dyDescent="0.25">
      <c r="B65" s="1015">
        <f>IF($L$58,N15,N14)</f>
        <v>2.3479610761828473E-3</v>
      </c>
      <c r="C65" s="1016"/>
      <c r="D65" s="418">
        <f>IF($N$14&lt;&gt;"-",IF($L$58,N15*0.1,N14*0.0625),"-")</f>
        <v>2.3479610761828473E-4</v>
      </c>
      <c r="E65" s="418">
        <f>IF($N$14&lt;&gt;"-",IF($L$58,N15*0.2,N14*0.125),"-")</f>
        <v>4.6959221523656947E-4</v>
      </c>
      <c r="F65" s="418">
        <f>IF($N$14&lt;&gt;"-",IF($L$58,N15*0.3,N14*0.1875),"-")</f>
        <v>7.043883228548542E-4</v>
      </c>
      <c r="G65" s="418">
        <f>IF($N$14&lt;&gt;"-",IF($L$58,N15*0.4,N14*0.25),"-")</f>
        <v>9.3918443047313893E-4</v>
      </c>
      <c r="H65" s="418">
        <f>IF($N$14&lt;&gt;"-",IF($L$58,N15*0.6,N14*0.375),"-")</f>
        <v>1.4087766457097084E-3</v>
      </c>
      <c r="I65" s="418">
        <f>IF($N$14&lt;&gt;"-",IF($L$58,N15*0.8,N14*0.5),"-")</f>
        <v>1.8783688609462779E-3</v>
      </c>
      <c r="J65" s="418">
        <f>IF($N$14&lt;&gt;"-",IF($L$58,N15,N14*0.625),"-")</f>
        <v>2.3479610761828473E-3</v>
      </c>
      <c r="K65" s="418">
        <f>IF($N$14&lt;&gt;"-",IF($L$58,N15*1.2,N14*0.75),"-")</f>
        <v>2.8175532914194168E-3</v>
      </c>
      <c r="L65" s="419">
        <f>IF($N$14&lt;&gt;"-",IF($L$58,N15*1.6,N14),"-")</f>
        <v>3.7567377218925557E-3</v>
      </c>
      <c r="M65" s="420">
        <f>COUNT(M49:M61)*M66</f>
        <v>5</v>
      </c>
      <c r="N65" s="367" t="s">
        <v>73</v>
      </c>
      <c r="O65" s="368">
        <f t="shared" si="26"/>
        <v>5.18054855469752E-2</v>
      </c>
      <c r="P65" s="369">
        <f t="shared" si="22"/>
        <v>3.9517880001000713E-3</v>
      </c>
      <c r="Q65" s="370">
        <f t="shared" ca="1" si="23"/>
        <v>5.1753334691524579E-2</v>
      </c>
      <c r="R65" s="371">
        <f t="shared" ca="1" si="24"/>
        <v>3.9478098668466379E-3</v>
      </c>
      <c r="S65" s="354">
        <f>K8</f>
        <v>13.109378728227153</v>
      </c>
      <c r="T65" s="372">
        <v>4.0543981481481479E-2</v>
      </c>
      <c r="U65" s="373">
        <v>4.5277777777777778E-2</v>
      </c>
      <c r="V65" s="374"/>
      <c r="W65" s="375">
        <f t="shared" si="27"/>
        <v>21097.5</v>
      </c>
      <c r="X65" s="376">
        <f t="shared" si="25"/>
        <v>0.87302730319901356</v>
      </c>
      <c r="Y65" s="377">
        <f t="shared" si="28"/>
        <v>0.88984520924202637</v>
      </c>
      <c r="Z65" s="376">
        <f t="shared" si="28"/>
        <v>0.88234809235297695</v>
      </c>
      <c r="AA65" s="383">
        <f t="shared" si="29"/>
        <v>84.106330289276514</v>
      </c>
      <c r="AB65" s="384">
        <f t="shared" si="29"/>
        <v>73.966933723571358</v>
      </c>
    </row>
    <row r="66" spans="2:28" ht="13.5" thickBot="1" x14ac:dyDescent="0.25">
      <c r="B66" s="1017" t="s">
        <v>152</v>
      </c>
      <c r="C66" s="1018"/>
      <c r="D66" s="1018"/>
      <c r="E66" s="1018"/>
      <c r="F66" s="1018"/>
      <c r="G66" s="1018"/>
      <c r="H66" s="1018"/>
      <c r="I66" s="1018"/>
      <c r="J66" s="1018"/>
      <c r="K66" s="1018"/>
      <c r="L66" s="1019"/>
      <c r="M66" s="421">
        <v>1</v>
      </c>
      <c r="N66" s="367" t="s">
        <v>153</v>
      </c>
      <c r="O66" s="368">
        <f t="shared" si="26"/>
        <v>6.2016507124756162E-2</v>
      </c>
      <c r="P66" s="369">
        <f t="shared" si="22"/>
        <v>3.9922357456873437E-3</v>
      </c>
      <c r="Q66" s="370">
        <f t="shared" ca="1" si="23"/>
        <v>6.1954077174250569E-2</v>
      </c>
      <c r="R66" s="371">
        <f t="shared" ca="1" si="24"/>
        <v>3.9882168950366847E-3</v>
      </c>
      <c r="S66" s="354">
        <f>25/1.609344</f>
        <v>15.534279805933348</v>
      </c>
      <c r="T66" s="372">
        <v>4.8668981481481487E-2</v>
      </c>
      <c r="U66" s="373">
        <v>5.3993055555555558E-2</v>
      </c>
      <c r="V66" s="374"/>
      <c r="W66" s="375">
        <f t="shared" si="27"/>
        <v>25000</v>
      </c>
      <c r="X66" s="376">
        <f t="shared" si="25"/>
        <v>0.86051826607552617</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7.5238377792293781E-2</v>
      </c>
      <c r="P67" s="369">
        <f t="shared" si="22"/>
        <v>4.0361477289920416E-3</v>
      </c>
      <c r="Q67" s="370">
        <f t="shared" ca="1" si="23"/>
        <v>7.5162637825316209E-2</v>
      </c>
      <c r="R67" s="371">
        <f t="shared" ca="1" si="24"/>
        <v>4.0320846736115225E-3</v>
      </c>
      <c r="S67" s="354">
        <f>30/1.609344</f>
        <v>18.641135767120019</v>
      </c>
      <c r="T67" s="372">
        <v>5.9143518518518519E-2</v>
      </c>
      <c r="U67" s="373">
        <v>6.5509259259259267E-2</v>
      </c>
      <c r="V67" s="423"/>
      <c r="W67" s="375">
        <f t="shared" si="27"/>
        <v>30000</v>
      </c>
      <c r="X67" s="376">
        <f t="shared" si="25"/>
        <v>0.847449141587586</v>
      </c>
      <c r="Y67" s="377">
        <f t="shared" si="28"/>
        <v>0.86380358136395219</v>
      </c>
      <c r="Z67" s="376">
        <f t="shared" si="28"/>
        <v>0.85675123322378022</v>
      </c>
      <c r="AA67" s="383">
        <f t="shared" si="29"/>
        <v>83.936711512887442</v>
      </c>
      <c r="AB67" s="384">
        <f t="shared" si="29"/>
        <v>74.560974111327553</v>
      </c>
    </row>
    <row r="68" spans="2:28" ht="13.5" thickBot="1" x14ac:dyDescent="0.25">
      <c r="B68" s="1020" t="s">
        <v>156</v>
      </c>
      <c r="C68" s="1021"/>
      <c r="D68" s="1021"/>
      <c r="E68" s="1021"/>
      <c r="F68" s="1022" t="s">
        <v>157</v>
      </c>
      <c r="G68" s="1022"/>
      <c r="H68" s="1022"/>
      <c r="I68" s="1022"/>
      <c r="J68" s="1022"/>
      <c r="K68" s="1023"/>
      <c r="L68" s="424" t="b">
        <v>0</v>
      </c>
      <c r="M68" s="425" t="s">
        <v>119</v>
      </c>
      <c r="N68" s="367" t="s">
        <v>65</v>
      </c>
      <c r="O68" s="368">
        <f t="shared" si="26"/>
        <v>0.1080108898129425</v>
      </c>
      <c r="P68" s="369">
        <f t="shared" si="22"/>
        <v>4.1196036842071375E-3</v>
      </c>
      <c r="Q68" s="370">
        <f t="shared" ca="1" si="23"/>
        <v>0.10790215885053081</v>
      </c>
      <c r="R68" s="371">
        <f t="shared" ca="1" si="24"/>
        <v>4.1154566164983688E-3</v>
      </c>
      <c r="S68" s="354">
        <f>J8</f>
        <v>26.218757456454306</v>
      </c>
      <c r="T68" s="372">
        <v>8.5381944444444455E-2</v>
      </c>
      <c r="U68" s="373">
        <v>9.4039351851851846E-2</v>
      </c>
      <c r="V68" s="374"/>
      <c r="W68" s="375">
        <f t="shared" si="27"/>
        <v>42195</v>
      </c>
      <c r="X68" s="376">
        <f t="shared" si="25"/>
        <v>0.82596199454992247</v>
      </c>
      <c r="Y68" s="377">
        <f t="shared" si="28"/>
        <v>0.83937037212683074</v>
      </c>
      <c r="Z68" s="376">
        <f t="shared" si="28"/>
        <v>0.83357274207491261</v>
      </c>
      <c r="AA68" s="383">
        <f t="shared" si="29"/>
        <v>83.631429237546513</v>
      </c>
      <c r="AB68" s="384">
        <f t="shared" si="29"/>
        <v>74.724020429459273</v>
      </c>
    </row>
    <row r="69" spans="2:28" ht="13.5" thickBot="1" x14ac:dyDescent="0.25">
      <c r="B69" s="974" t="s">
        <v>158</v>
      </c>
      <c r="C69" s="1024"/>
      <c r="D69" s="975"/>
      <c r="E69" s="426" t="s">
        <v>159</v>
      </c>
      <c r="F69" s="427" t="s">
        <v>160</v>
      </c>
      <c r="G69" s="427" t="s">
        <v>161</v>
      </c>
      <c r="H69" s="427" t="s">
        <v>162</v>
      </c>
      <c r="I69" s="427" t="s">
        <v>163</v>
      </c>
      <c r="J69" s="427" t="s">
        <v>164</v>
      </c>
      <c r="K69" s="427" t="s">
        <v>165</v>
      </c>
      <c r="L69" s="428" t="s">
        <v>166</v>
      </c>
      <c r="M69" s="429">
        <v>0.13320601851851852</v>
      </c>
      <c r="N69" s="367" t="s">
        <v>167</v>
      </c>
      <c r="O69" s="430">
        <f t="shared" si="26"/>
        <v>0.12930017056903562</v>
      </c>
      <c r="P69" s="431">
        <f t="shared" si="22"/>
        <v>4.161769074085081E-3</v>
      </c>
      <c r="Q69" s="432">
        <f t="shared" ca="1" si="23"/>
        <v>0.12917000839732945</v>
      </c>
      <c r="R69" s="433">
        <f t="shared" ca="1" si="24"/>
        <v>4.1575795598838353E-3</v>
      </c>
      <c r="S69" s="354">
        <f>50/1.609344</f>
        <v>31.068559611866696</v>
      </c>
      <c r="T69" s="396">
        <v>0.10381944444444445</v>
      </c>
      <c r="U69" s="397">
        <v>0.11365740740740742</v>
      </c>
      <c r="V69" s="434"/>
      <c r="W69" s="435">
        <f t="shared" si="27"/>
        <v>50000</v>
      </c>
      <c r="X69" s="436">
        <f t="shared" si="25"/>
        <v>0.81754737106916797</v>
      </c>
      <c r="Y69" s="437">
        <f t="shared" si="28"/>
        <v>0.82804352188881181</v>
      </c>
      <c r="Z69" s="436">
        <f t="shared" si="28"/>
        <v>0.82339999924084262</v>
      </c>
      <c r="AA69" s="438">
        <f t="shared" si="29"/>
        <v>82.107800547242761</v>
      </c>
      <c r="AB69" s="439">
        <f t="shared" si="29"/>
        <v>73.823068676968091</v>
      </c>
    </row>
    <row r="70" spans="2:28" ht="13.5" thickBot="1" x14ac:dyDescent="0.25">
      <c r="B70" s="999" t="s">
        <v>168</v>
      </c>
      <c r="C70" s="1000"/>
      <c r="D70" s="1001"/>
      <c r="E70" s="440" t="str">
        <f>IF($L$68,"1.6 k","Mile")</f>
        <v>Mile</v>
      </c>
      <c r="F70" s="440" t="s">
        <v>169</v>
      </c>
      <c r="G70" s="440" t="s">
        <v>170</v>
      </c>
      <c r="H70" s="440" t="s">
        <v>171</v>
      </c>
      <c r="I70" s="440" t="s">
        <v>172</v>
      </c>
      <c r="J70" s="440" t="s">
        <v>173</v>
      </c>
      <c r="K70" s="440" t="s">
        <v>174</v>
      </c>
      <c r="L70" s="441" t="s">
        <v>175</v>
      </c>
      <c r="M70" s="442">
        <v>0.13295138888888888</v>
      </c>
      <c r="N70" s="1002" t="s">
        <v>176</v>
      </c>
      <c r="O70" s="1003"/>
      <c r="P70" s="443" t="b">
        <v>0</v>
      </c>
      <c r="Q70" s="1004" t="s">
        <v>177</v>
      </c>
      <c r="R70" s="1005"/>
    </row>
    <row r="71" spans="2:28" ht="13.5" thickBot="1" x14ac:dyDescent="0.25">
      <c r="B71" s="1006" t="str">
        <f>IF($L$68,"Pace / km","Pace / mile")</f>
        <v>Pace / mile</v>
      </c>
      <c r="C71" s="1007"/>
      <c r="D71" s="1008"/>
      <c r="E71" s="444">
        <f>IF($L$68,$R$15,$R$14)</f>
        <v>3.3864035559680841E-3</v>
      </c>
      <c r="F71" s="445" t="str">
        <f>IF($L$68,TEXT($Q$15,"m:ss")&amp;" - "&amp;TEXT($O$15,"m:ss"),TEXT($Q$14,"m:ss")&amp;"-"&amp;TEXT($O$14,"m:ss"))</f>
        <v>5:04-5:22</v>
      </c>
      <c r="G71" s="445" t="str">
        <f>IF($L$68,TEXT($O$15,"m:ss")&amp;" - "&amp;TEXT($M$15,"m:ss"),TEXT($O$14,"m:ss")&amp;"-"&amp;TEXT($M$14,"m:ss"))</f>
        <v>5:22-5:30</v>
      </c>
      <c r="H71" s="445" t="str">
        <f>IF($L$68,TEXT($N$15,"m:ss")&amp;" - "&amp;TEXT($L$15,"m:ss"),TEXT($N$14,"m:ss")&amp;"-"&amp;TEXT($L$14,"m:ss"))</f>
        <v>5:26-5:35</v>
      </c>
      <c r="I71" s="445" t="str">
        <f>IF($L$68,TEXT($M$15,"m:ss")&amp;" - "&amp;TEXT($K$15,"m:ss"),TEXT($M$14,"m:ss")&amp;"-"&amp;TEXT($K$14,"m:ss"))</f>
        <v>5:30-5:41</v>
      </c>
      <c r="J71" s="445" t="str">
        <f>IF($L$68,TEXT($K$15,"m:ss")&amp;" - "&amp;TEXT(($J$15+$K$15)/2,"m:ss"),TEXT($K$14,"m:ss")&amp;"-"&amp;TEXT(($J$14+$K$14)/2,"m:ss"))</f>
        <v>5:41-5:49</v>
      </c>
      <c r="K71" s="445" t="str">
        <f>TEXT(($J$14+"0:00:30")*IF($L$68,0.621371192,1),"m:ss")&amp;" - "&amp;TEXT(($J$14+"0:01:00")*IF($L$68,0.621371192,1),"m:ss")</f>
        <v>6:26 - 6:56</v>
      </c>
      <c r="L71" s="446" t="str">
        <f>TEXT(($J$14+"0:00:30")*IF($L$68,0.621371192,1),"m:ss")&amp;" - "&amp;TEXT(($J$14+"0:01:30")*IF($L$68,0.621371192,1),"m:ss")</f>
        <v>6:26 - 7:26</v>
      </c>
      <c r="M71" s="447">
        <f>M69-M70</f>
        <v>2.5462962962963243E-4</v>
      </c>
      <c r="N71" s="448" t="s">
        <v>178</v>
      </c>
      <c r="O71" s="449" t="s">
        <v>179</v>
      </c>
      <c r="P71" s="450" t="s">
        <v>180</v>
      </c>
      <c r="Q71" s="1009" t="s">
        <v>181</v>
      </c>
      <c r="R71" s="1010"/>
    </row>
    <row r="72" spans="2:28" ht="14.25" thickTop="1" thickBot="1" x14ac:dyDescent="0.25">
      <c r="B72" s="1011"/>
      <c r="C72" s="1012"/>
      <c r="D72" s="1012"/>
      <c r="E72" s="1012"/>
      <c r="F72" s="1012"/>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32" t="s">
        <v>182</v>
      </c>
      <c r="C73" s="1033"/>
      <c r="D73" s="1033"/>
      <c r="E73" s="1033"/>
      <c r="F73" s="1033"/>
      <c r="G73" s="1033"/>
      <c r="H73" s="1033"/>
      <c r="I73" s="1033"/>
      <c r="J73" s="1033"/>
      <c r="K73" s="1033"/>
      <c r="L73" s="1034"/>
      <c r="M73" s="1035" t="str">
        <f>"Entry Time Grading - "&amp;E6</f>
        <v>Entry Time Grading - 5k</v>
      </c>
      <c r="N73" s="1036"/>
      <c r="O73" s="1037"/>
      <c r="P73" s="1035" t="str">
        <f>IF(C4,"Male","Female")&amp;" Peak Potential - "&amp;$E$6</f>
        <v>Male Peak Potential - 5k</v>
      </c>
      <c r="Q73" s="1036"/>
      <c r="R73" s="1037"/>
      <c r="T73" s="458"/>
      <c r="U73" s="458"/>
      <c r="V73" s="33"/>
    </row>
    <row r="74" spans="2:28" ht="13.5" thickBot="1" x14ac:dyDescent="0.25">
      <c r="B74" s="1038" t="s">
        <v>183</v>
      </c>
      <c r="C74" s="1039"/>
      <c r="D74" s="1039"/>
      <c r="E74" s="1039"/>
      <c r="F74" s="1022" t="s">
        <v>184</v>
      </c>
      <c r="G74" s="1022"/>
      <c r="H74" s="1022"/>
      <c r="I74" s="1022"/>
      <c r="J74" s="1022"/>
      <c r="K74" s="1022"/>
      <c r="L74" s="459" t="b">
        <v>0</v>
      </c>
      <c r="M74" s="1040" t="str">
        <f ca="1">IF($C$4," Male ","Female ")&amp;IF(ISNUMBER($E$5),$E$5,"")</f>
        <v xml:space="preserve"> Male 31</v>
      </c>
      <c r="N74" s="1041"/>
      <c r="O74" s="1042">
        <f>$G$6</f>
        <v>1.1261574074074075E-2</v>
      </c>
      <c r="P74" s="460"/>
      <c r="Q74" s="461" t="s">
        <v>185</v>
      </c>
      <c r="R74" s="462">
        <f>IF(R72="No","No Std",LOOKUP($D$8,$S$50:$S$69,IF($C$4,$T$50:$T$69,$U$50:$U$69)))</f>
        <v>9.0162037037037034E-3</v>
      </c>
      <c r="T74" s="458"/>
      <c r="U74" s="458"/>
      <c r="V74" s="33"/>
      <c r="W74" s="33"/>
    </row>
    <row r="75" spans="2:28" ht="13.5" thickBot="1" x14ac:dyDescent="0.25">
      <c r="B75" s="974" t="s">
        <v>186</v>
      </c>
      <c r="C75" s="1024"/>
      <c r="D75" s="1024"/>
      <c r="E75" s="975"/>
      <c r="F75" s="463" t="s">
        <v>187</v>
      </c>
      <c r="G75" s="463" t="s">
        <v>188</v>
      </c>
      <c r="H75" s="463" t="s">
        <v>189</v>
      </c>
      <c r="I75" s="463" t="s">
        <v>190</v>
      </c>
      <c r="J75" s="463" t="s">
        <v>191</v>
      </c>
      <c r="K75" s="463" t="s">
        <v>192</v>
      </c>
      <c r="L75" s="464" t="s">
        <v>193</v>
      </c>
      <c r="M75" s="1025" t="str">
        <f>IF(O74=$G$6, "Current Entry Time","Manual Time")</f>
        <v>Current Entry Time</v>
      </c>
      <c r="N75" s="1026"/>
      <c r="O75" s="1043"/>
      <c r="P75" s="465"/>
      <c r="Q75" s="466" t="str">
        <f ca="1">IF($O$85="yes","Age "&amp;DATEDIF($E$2,NOW(),"y")&amp;" Std:","")</f>
        <v>Age 31 Std:</v>
      </c>
      <c r="R75" s="467">
        <f ca="1">IF(R72="No","No Std",IF($O$85="yes",$R$74/LOOKUP(DATEDIF($E$2,NOW(),"y"),$AD$135:$AD$230,IF($C$4,$AE$135:$AE$230,$AF$135:$AF$230)),"Birthdate?"))</f>
        <v>9.0252891614595737E-3</v>
      </c>
      <c r="T75" s="458"/>
      <c r="U75" s="458"/>
      <c r="V75" s="33"/>
      <c r="W75" s="33"/>
    </row>
    <row r="76" spans="2:28" ht="13.5" thickBot="1" x14ac:dyDescent="0.25">
      <c r="B76" s="999" t="s">
        <v>194</v>
      </c>
      <c r="C76" s="1000"/>
      <c r="D76" s="1000"/>
      <c r="E76" s="1001"/>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25"/>
      <c r="N76" s="1026"/>
      <c r="O76" s="470">
        <f>O74/IF(L80,F8/1000,D8)</f>
        <v>3.6247493333333336E-3</v>
      </c>
      <c r="P76" s="1027" t="s">
        <v>195</v>
      </c>
      <c r="Q76" s="1028"/>
      <c r="R76" s="471">
        <f ca="1">IF($O$85="Yes",$E$5,"Birthdate?")</f>
        <v>31</v>
      </c>
      <c r="T76" s="458"/>
      <c r="U76" s="458"/>
      <c r="V76" s="33"/>
      <c r="W76" s="33"/>
    </row>
    <row r="77" spans="2:28" ht="13.5" thickBot="1" x14ac:dyDescent="0.25">
      <c r="B77" s="1006" t="str">
        <f>IF($L$74,"Zone Pace / km","Zone Pace / mile")</f>
        <v>Zone Pace / mile</v>
      </c>
      <c r="C77" s="1007"/>
      <c r="D77" s="1007"/>
      <c r="E77" s="1008"/>
      <c r="F77" s="444" t="str">
        <f>"&lt; "&amp;TEXT(IF($J$78,$L$78/60,$I$78)*1.29*IF(L74,0.621371192,1),"m:ss")</f>
        <v>&lt; 7:16</v>
      </c>
      <c r="G77" s="444" t="str">
        <f>TEXT(IF($J$78,$L$78/60,$I$78)*1.29*IF(L74,0.621371192,1),"m:ss")&amp;" - "&amp;TEXT(IF($J$78,$L$78/60,$I$78)*1.14*IF(L74,0.621371192,1),"m:ss")</f>
        <v>7:16 - 6:25</v>
      </c>
      <c r="H77" s="444" t="str">
        <f>TEXT(IF($J$78,$L$78/60,$I$78)*1.13*IF(L74,0.621371192,1),"m:ss")&amp;" - "&amp;TEXT(IF($J$78,$L$78/60,$I$78)*1.06*IF(L74,0.621371192,1),"m:ss")</f>
        <v>6:22 - 5:58</v>
      </c>
      <c r="I77" s="444" t="str">
        <f>TEXT(IF($J$78,$L$78/60,$I$78)*1.05*IF(L74,0.621371192,1),"m:ss")&amp;" - "&amp;TEXT(IF($J$78,$L$78/60,$I$78)*0.99*IF(L74,0.621371192,1),"m:ss")</f>
        <v>5:55 - 5:35</v>
      </c>
      <c r="J77" s="444" t="str">
        <f>TEXT(IF($J$78,$L$78/60,$I$78)*1*IF(L74,0.621371192,1),"m:ss")&amp;" - "&amp;TEXT(IF($J$78,$L$78/60,$I$78)*0.97*IF(L74,0.621371192,1),"m:ss")</f>
        <v>5:38 - 5:28</v>
      </c>
      <c r="K77" s="444" t="str">
        <f>TEXT(IF($J$78,$L$78/60,$I$78)*0.96*IF(L74,0.621371192,1),"m:ss")&amp;" - "&amp;TEXT(IF($J$78,$L$78/60,$I$78)*0.9*IF(L74,0.621371192,1),"m:ss")</f>
        <v>5:24 - 5:04</v>
      </c>
      <c r="L77" s="472" t="str">
        <f>"&gt; "&amp;TEXT(IF($J$78,$L$78/60,$I$78)*0.9*IF(L74,0.621371192,1),"m:ss")</f>
        <v>&gt; 5:04</v>
      </c>
      <c r="M77" s="1029" t="s">
        <v>196</v>
      </c>
      <c r="N77" s="1030"/>
      <c r="O77" s="473" t="s">
        <v>101</v>
      </c>
      <c r="P77" s="1027" t="s">
        <v>197</v>
      </c>
      <c r="Q77" s="1031"/>
      <c r="R77" s="474">
        <f>IF(AND($C$2&gt;0,$C$3&gt;0),IF($B$4,$C$3 / ($C$2/100)^2,$C$3 / $C$2^2*703),"Wght / Hght?")</f>
        <v>21.61575084308669</v>
      </c>
      <c r="T77" s="458"/>
      <c r="U77" s="458"/>
      <c r="V77" s="33"/>
      <c r="W77" s="33"/>
    </row>
    <row r="78" spans="2:28" ht="13.5" thickBot="1" x14ac:dyDescent="0.25">
      <c r="B78" s="475" t="s">
        <v>198</v>
      </c>
      <c r="C78" s="476">
        <f>IF($E$3&lt;&gt;"",$E$3*0.9,"")</f>
        <v>180.9</v>
      </c>
      <c r="D78" s="1063" t="b">
        <v>0</v>
      </c>
      <c r="E78" s="1064"/>
      <c r="F78" s="477">
        <v>157</v>
      </c>
      <c r="G78" s="478"/>
      <c r="H78" s="479" t="s">
        <v>199</v>
      </c>
      <c r="I78" s="480">
        <f>+L6</f>
        <v>3.9117357661323827E-3</v>
      </c>
      <c r="J78" s="1063" t="b">
        <v>0</v>
      </c>
      <c r="K78" s="1064"/>
      <c r="L78" s="481">
        <v>0.30208333333333331</v>
      </c>
      <c r="M78" s="1065" t="s">
        <v>200</v>
      </c>
      <c r="N78" s="1066"/>
      <c r="O78" s="1067"/>
      <c r="P78" s="1068" t="str">
        <f>"current age, wght "&amp;ROUND($C$3,1)</f>
        <v>current age, wght 155</v>
      </c>
      <c r="Q78" s="1069"/>
      <c r="R78" s="482">
        <f ca="1">IF(R72="no","-",IF(AND($C$2&gt;0,$C$3&gt;0,$O$85="yes"),MAX($R$75*(C3/MIN(D98,F100))^$I$93,$R$75),"""?"))</f>
        <v>1.027079005252729E-2</v>
      </c>
      <c r="T78" s="458"/>
      <c r="U78" s="458"/>
      <c r="V78" s="33"/>
      <c r="W78" s="33"/>
    </row>
    <row r="79" spans="2:28" ht="13.5" thickBot="1" x14ac:dyDescent="0.25">
      <c r="B79" s="483"/>
      <c r="M79" s="484"/>
      <c r="N79" s="24"/>
      <c r="O79" s="485"/>
      <c r="P79" s="1029" t="s">
        <v>201</v>
      </c>
      <c r="Q79" s="1030"/>
      <c r="R79" s="486">
        <f>IF(AND($C$2&gt;0,$P$80&gt;0),IF($B$4,$P$80 / ($C$2/100)^2,$P$80 / $C$2^2*703),"")</f>
        <v>18.498158078143003</v>
      </c>
      <c r="T79" s="458"/>
      <c r="U79" s="458"/>
      <c r="V79" s="33"/>
      <c r="W79" s="33"/>
    </row>
    <row r="80" spans="2:28" ht="13.5" thickBot="1" x14ac:dyDescent="0.25">
      <c r="B80" s="487"/>
      <c r="C80" s="972" t="str">
        <f>"Projected Impact of Temperature on "&amp;E6&amp;" Time "&amp;IF($D$85=4,IF($C$4,"- Male","- Female"),"")</f>
        <v xml:space="preserve">Projected Impact of Temperature on 5k Time </v>
      </c>
      <c r="D80" s="972"/>
      <c r="E80" s="972"/>
      <c r="F80" s="972"/>
      <c r="G80" s="972"/>
      <c r="H80" s="972"/>
      <c r="I80" s="972"/>
      <c r="J80" s="1070" t="str">
        <f>IF($D$85=1,HYPERLINK($AE$232,"J.Daniels"),IF($D$85=2,HYPERLINK($AE$236,"M.Hadley"),IF($D$85=3,HYPERLINK($AE$240,"Tinman"),IF($D$85=4,HYPERLINK($AE$244,"El Helou, et al")))))</f>
        <v>J.Daniels</v>
      </c>
      <c r="K80" s="1070"/>
      <c r="L80" s="403" t="b">
        <v>0</v>
      </c>
      <c r="M80" s="484"/>
      <c r="N80" s="24"/>
      <c r="O80" s="485"/>
      <c r="P80" s="488">
        <f>D98</f>
        <v>132.64468687328431</v>
      </c>
      <c r="Q80" s="489" t="str">
        <f>IF($B$4," kg"," lbs")</f>
        <v xml:space="preserve"> lbs</v>
      </c>
      <c r="R80" s="490">
        <f ca="1">IF(R72="no","-",IF(AND($C$3&gt;0,$P$80&gt;0,$O$85="yes"),$R$78*(IF(P80&gt;=MIN(D98,F100,C3),P80,MIN(F100,D98,C3))/C3)^$I$93,"?"))</f>
        <v>9.0252891614595737E-3</v>
      </c>
      <c r="T80" s="458"/>
      <c r="U80" s="458"/>
      <c r="V80" s="33"/>
      <c r="W80" s="33"/>
    </row>
    <row r="81" spans="2:23" ht="14.25" thickTop="1" thickBot="1" x14ac:dyDescent="0.25">
      <c r="B81" s="1044" t="str">
        <f>IF($D$85=1,W233,IF($D$85=2,W237,IF($D$85=3,W241,IF($D$85=4,W245))))</f>
        <v>Temperature  °F</v>
      </c>
      <c r="C81" s="1045"/>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46" t="s">
        <v>202</v>
      </c>
      <c r="N81" s="1047"/>
      <c r="O81" s="1048"/>
      <c r="P81" s="162"/>
      <c r="R81" s="492"/>
      <c r="T81" s="458"/>
      <c r="U81" s="458"/>
      <c r="V81" s="33"/>
      <c r="W81" s="33"/>
    </row>
    <row r="82" spans="2:23" ht="14.25" thickTop="1" thickBot="1" x14ac:dyDescent="0.25">
      <c r="B82" s="1049" t="s">
        <v>203</v>
      </c>
      <c r="C82" s="1050"/>
      <c r="D82" s="493">
        <f>IF($D$85=1,Y234,IF($D$85=2,Y238,IF($D$85=3,Y242,IF($D$85=4,Y246))))</f>
        <v>1.1261574074074075E-2</v>
      </c>
      <c r="E82" s="494">
        <f t="shared" si="31"/>
        <v>1.1278834350810186E-2</v>
      </c>
      <c r="F82" s="494">
        <f t="shared" si="31"/>
        <v>1.1365756810300926E-2</v>
      </c>
      <c r="G82" s="494">
        <f t="shared" si="31"/>
        <v>1.1452679269791667E-2</v>
      </c>
      <c r="H82" s="494">
        <f t="shared" si="31"/>
        <v>1.1539601729282409E-2</v>
      </c>
      <c r="I82" s="494">
        <f t="shared" si="31"/>
        <v>1.1626524188773149E-2</v>
      </c>
      <c r="J82" s="494">
        <f t="shared" si="31"/>
        <v>1.1713446648263889E-2</v>
      </c>
      <c r="K82" s="494">
        <f t="shared" si="31"/>
        <v>1.180036910775463E-2</v>
      </c>
      <c r="L82" s="494">
        <f>IF($D$85=1,AG234,IF($D$85=2,AG238,IF($D$85=3,AG242,IF($D$85=4,AG246))))</f>
        <v>1.1887291567245372E-2</v>
      </c>
      <c r="M82" s="1051" t="s">
        <v>204</v>
      </c>
      <c r="N82" s="1052"/>
      <c r="O82" s="495">
        <v>25</v>
      </c>
      <c r="P82" s="1053" t="s">
        <v>205</v>
      </c>
      <c r="Q82" s="1054"/>
      <c r="R82" s="1055"/>
    </row>
    <row r="83" spans="2:23" ht="13.5" thickTop="1" x14ac:dyDescent="0.2">
      <c r="B83" s="1056" t="str">
        <f>IF($L$80,"Adj Pace / km","Adj Pace / mile")</f>
        <v>Adj Pace / mile</v>
      </c>
      <c r="C83" s="1057"/>
      <c r="D83" s="496">
        <f>IF($D$82&lt;&gt;"-",D82/IF($L$80,$F$8/1000,$D$8),"-")</f>
        <v>3.6247493333333336E-3</v>
      </c>
      <c r="E83" s="497">
        <f>IF($E$82&lt;&gt;"-",E82/IF($L$80,$F$8/1000,$D$8),"-")</f>
        <v>3.6303048778940539E-3</v>
      </c>
      <c r="F83" s="497">
        <f>IF($F$82&lt;&gt;"-",F82/IF($L$80,$F$8/1000,$D$8),"-")</f>
        <v>3.658282505623387E-3</v>
      </c>
      <c r="G83" s="497">
        <f>IF($G$82&lt;&gt;"-",G82/IF($L$80,$F$8/1000,$D$8),"-")</f>
        <v>3.6862601333527202E-3</v>
      </c>
      <c r="H83" s="497">
        <f>IF($H$82&lt;&gt;"-",H82/IF($L$80,$F$8/1000,$D$8),"-")</f>
        <v>3.7142377610820537E-3</v>
      </c>
      <c r="I83" s="497">
        <f>IF($I$82&lt;&gt;"-",I82/IF($L$80,$F$8/1000,$D$8),"-")</f>
        <v>3.7422153888113873E-3</v>
      </c>
      <c r="J83" s="497">
        <f>IF($J$82&lt;&gt;"-",J82/IF($L$80,$F$8/1000,$D$8),"-")</f>
        <v>3.7701930165407204E-3</v>
      </c>
      <c r="K83" s="497">
        <f>IF($K$82&lt;&gt;"-",K82/IF($L$80,$F$8/1000,$D$8),"-")</f>
        <v>3.7981706442700536E-3</v>
      </c>
      <c r="L83" s="498">
        <f>IF($L$82&lt;&gt;"-",L82/IF($L$80,$F$8/1000,$D$8),"-")</f>
        <v>3.8261482719993871E-3</v>
      </c>
      <c r="M83" s="1058" t="s">
        <v>206</v>
      </c>
      <c r="N83" s="1059"/>
      <c r="O83" s="499">
        <f ca="1">ABS(IF($O$85="yes",$O$74-$O$84,0))</f>
        <v>1.1336651234568687E-5</v>
      </c>
      <c r="P83" s="1060" t="s">
        <v>207</v>
      </c>
      <c r="Q83" s="1061"/>
      <c r="R83" s="1062"/>
      <c r="T83" s="500"/>
    </row>
    <row r="84" spans="2:23" ht="13.5" thickBot="1" x14ac:dyDescent="0.25">
      <c r="B84" s="1078" t="str">
        <f>IF($L$80,"Drop in Seconds / km","Drop in Seconds / mile")</f>
        <v>Drop in Seconds / mile</v>
      </c>
      <c r="C84" s="1079"/>
      <c r="D84" s="501"/>
      <c r="E84" s="502">
        <f>IF($D$85=4,MROUND(E83,"0:0:1")-MROUND($G83,"0:0:1"),MROUND(E83,"0:0:1")-MROUND($D$83,"0:0:1"))</f>
        <v>1.1574074074074004E-5</v>
      </c>
      <c r="F84" s="502">
        <f>IF($D$85=4,MROUND(F83,"0:0:1")-MROUND($G83,"0:0:1"),MROUND(F83,"0:0:1")-MROUND($D$83,"0:0:1"))</f>
        <v>3.4722222222222446E-5</v>
      </c>
      <c r="G84" s="502">
        <f>IF($D$85=4,"",MROUND(G83,"0:0:1")-MROUND($D$83,"0:0:1"))</f>
        <v>5.7870370370370454E-5</v>
      </c>
      <c r="H84" s="502">
        <f>IF($D$85=4,MROUND(H83,"0:0:1")-MROUND($G83,"0:0:1"),MROUND(H83,"0:0:1")-MROUND($D$83,"0:0:1"))</f>
        <v>9.2592592592592466E-5</v>
      </c>
      <c r="I84" s="502">
        <f>IF($D$85=4,MROUND(I83,"0:0:1")-MROUND($G83,"0:0:1"),MROUND(I83,"0:0:1")-MROUND($D$83,"0:0:1"))</f>
        <v>1.1574074074074091E-4</v>
      </c>
      <c r="J84" s="502">
        <f>IF($D$85=4,MROUND(J83,"0:0:1")-MROUND($G83,"0:0:1"),MROUND(J83,"0:0:1")-MROUND($D$83,"0:0:1"))</f>
        <v>1.5046296296296292E-4</v>
      </c>
      <c r="K84" s="502">
        <f>IF($D$85=4,MROUND(K83,"0:0:1")-MROUND($G83,"0:0:1"),MROUND(K83,"0:0:1")-MROUND($D$83,"0:0:1"))</f>
        <v>1.7361111111111136E-4</v>
      </c>
      <c r="L84" s="502">
        <f>IF($D$85&gt;2,"-",MROUND(L83,"0:0:1")-MROUND($D$83,"0:0:1"))</f>
        <v>2.0833333333333337E-4</v>
      </c>
      <c r="M84" s="1080" t="str">
        <f>IF(M100,"Age Grade Equivalent","No Age Grading")</f>
        <v>Age Grade Equivalent</v>
      </c>
      <c r="N84" s="1081"/>
      <c r="O84" s="503">
        <f ca="1">IF(AND($O$85="yes",$M$100),($O$74*LOOKUP($E$5,$AD$135:$AD$230,IF($C$4,$AE$135:$AE$230,$AF$135:$AF$230))/LOOKUP($O$82,$AD$135:$AD$230,IF($Q$49,$AE$135:$AE$230,$AF$135:$AF$230))),O74)</f>
        <v>1.1250237422839506E-2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82" t="s">
        <v>209</v>
      </c>
      <c r="N85" s="1083"/>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84">
        <f>ROUND((-4.6 + 0.182258 * ((P85*IF(R86,1000,1))/Q85/1440*(IF(R86,1,1609.344))) + 0.000104 *((P85*IF(R86,1000,1))/Q85/1440*(IF(R86,1,1609.344)))^2)/R85,1)</f>
        <v>83.3</v>
      </c>
      <c r="Q86" s="1085"/>
      <c r="R86" s="520" t="b">
        <v>0</v>
      </c>
    </row>
    <row r="87" spans="2:23" ht="14.25" thickTop="1" thickBot="1" x14ac:dyDescent="0.25">
      <c r="B87" s="1086" t="str">
        <f>"Projected Impact of Weight Change on "&amp;$E$6&amp;" Time (Daniels)"</f>
        <v>Projected Impact of Weight Change on 5k Time (Daniels)</v>
      </c>
      <c r="C87" s="1087"/>
      <c r="D87" s="1087"/>
      <c r="E87" s="1087"/>
      <c r="F87" s="1087"/>
      <c r="G87" s="1087"/>
      <c r="H87" s="1087"/>
      <c r="I87" s="1087"/>
      <c r="J87" s="1087"/>
      <c r="K87" s="1087"/>
      <c r="L87" s="1088"/>
      <c r="M87" s="1046" t="s">
        <v>210</v>
      </c>
      <c r="N87" s="1047"/>
      <c r="O87" s="1048"/>
      <c r="P87" s="1089" t="s">
        <v>211</v>
      </c>
      <c r="Q87" s="1090"/>
      <c r="R87" s="1091"/>
    </row>
    <row r="88" spans="2:23" ht="13.5" thickBot="1" x14ac:dyDescent="0.25">
      <c r="B88" s="1105" t="str">
        <f>IF($C$4,"Male","Female")</f>
        <v>Male</v>
      </c>
      <c r="C88" s="1106"/>
      <c r="D88" s="521" t="s">
        <v>212</v>
      </c>
      <c r="E88" s="522">
        <f ca="1">$E$5</f>
        <v>31</v>
      </c>
      <c r="F88" s="1107" t="str">
        <f>IF($B$4,"Height (cm):","Height (in):")</f>
        <v>Height (in):</v>
      </c>
      <c r="G88" s="1108" t="str">
        <f>IF($B$4,"Height (cm):","Height (in):")</f>
        <v>Height (in):</v>
      </c>
      <c r="H88" s="523">
        <f>$C$2</f>
        <v>71</v>
      </c>
      <c r="I88" s="1109" t="str">
        <f>"Weight"&amp;IF($B$4," (kg):"," (lb):")</f>
        <v>Weight (lb):</v>
      </c>
      <c r="J88" s="1110" t="str">
        <f>"Weight"&amp;IF($B$4," (kg):"," (lb):")</f>
        <v>Weight (lb):</v>
      </c>
      <c r="K88" s="523">
        <f>$C$3</f>
        <v>155</v>
      </c>
      <c r="L88" s="524" t="b">
        <v>0</v>
      </c>
      <c r="M88" s="1111">
        <f>IF($C$3&gt;0,$C$3,"Current Weight?")</f>
        <v>155</v>
      </c>
      <c r="N88" s="1112"/>
      <c r="O88" s="1113">
        <f ca="1">IF(AND($N$89&gt;0,$N$90&gt;0,$N$90&lt;&gt;"",$M$101),ABS($O$84-$O$91),0)</f>
        <v>1.3642748671921362E-3</v>
      </c>
      <c r="P88" s="1071" t="s">
        <v>213</v>
      </c>
      <c r="Q88" s="1072"/>
      <c r="R88" s="1073"/>
    </row>
    <row r="89" spans="2:23" ht="14.25" thickTop="1" thickBot="1" x14ac:dyDescent="0.25">
      <c r="B89" s="1074" t="str">
        <f>"Projected Weight "&amp;IF(B4,"(kg)","(lb)")</f>
        <v>Projected Weight (lb)</v>
      </c>
      <c r="C89" s="1075"/>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529" t="s">
        <v>214</v>
      </c>
      <c r="N89" s="530">
        <f>D98</f>
        <v>132.64468687328431</v>
      </c>
      <c r="O89" s="1114"/>
      <c r="P89" s="531" t="s">
        <v>215</v>
      </c>
      <c r="Q89" s="505" t="s">
        <v>99</v>
      </c>
      <c r="R89" s="532" t="s">
        <v>101</v>
      </c>
    </row>
    <row r="90" spans="2:23" ht="13.5" thickBot="1" x14ac:dyDescent="0.25">
      <c r="B90" s="1076" t="s">
        <v>216</v>
      </c>
      <c r="C90" s="1077"/>
      <c r="D90" s="533">
        <f t="shared" ref="D90:L90" si="32">IF(AND(D89&gt;0,$I$6&lt;&gt;"-"),$C$3*$I$6/D89,"-")</f>
        <v>58.32968055722877</v>
      </c>
      <c r="E90" s="534">
        <f t="shared" si="32"/>
        <v>60.841484983138145</v>
      </c>
      <c r="F90" s="535">
        <f t="shared" si="32"/>
        <v>63.579351807379361</v>
      </c>
      <c r="G90" s="536">
        <f t="shared" si="32"/>
        <v>66.575237494638074</v>
      </c>
      <c r="H90" s="533">
        <f t="shared" si="32"/>
        <v>69.86741956854874</v>
      </c>
      <c r="I90" s="533">
        <f t="shared" si="32"/>
        <v>73.502140817779605</v>
      </c>
      <c r="J90" s="533">
        <f t="shared" si="32"/>
        <v>77.535794887047999</v>
      </c>
      <c r="K90" s="533">
        <f t="shared" si="32"/>
        <v>82.037873299844335</v>
      </c>
      <c r="L90" s="537">
        <f t="shared" si="32"/>
        <v>87.095002475862131</v>
      </c>
      <c r="M90" s="538">
        <f>IF(AND($C$2&gt;0,$N$89&gt;0),IF($B$4,$N$89 / ($C$2/100)^2,$N$89 / $C$2^2*703),"")</f>
        <v>18.498158078143003</v>
      </c>
      <c r="N90" s="539">
        <f>IF(AND($C$2&gt;0,$N$89&gt;0),$C$3*$I$6/IF(N89&gt;=MIN(D98,F100),$N$89,MIN(F100,D98)),"")</f>
        <v>74.294717432279114</v>
      </c>
      <c r="O90" s="1115"/>
      <c r="P90" s="512">
        <v>26.218800000000002</v>
      </c>
      <c r="Q90" s="513">
        <v>0.17318287037037036</v>
      </c>
      <c r="R90" s="540">
        <f>Q90/P90</f>
        <v>6.6052935439596915E-3</v>
      </c>
    </row>
    <row r="91" spans="2:23" ht="13.5" thickBot="1" x14ac:dyDescent="0.25">
      <c r="B91" s="1092" t="s">
        <v>217</v>
      </c>
      <c r="C91" s="1093"/>
      <c r="D91" s="541">
        <f t="shared" ref="D91:L91" si="33">IF(D90&lt;&gt;"-",$G$6*($I$6/D90)^$I$93,"-")</f>
        <v>1.2096593623575177E-2</v>
      </c>
      <c r="E91" s="542">
        <f t="shared" si="33"/>
        <v>1.1680612560485436E-2</v>
      </c>
      <c r="F91" s="543">
        <f t="shared" si="33"/>
        <v>1.1261574074074075E-2</v>
      </c>
      <c r="G91" s="544">
        <f t="shared" si="33"/>
        <v>1.0839316466417828E-2</v>
      </c>
      <c r="H91" s="541">
        <f t="shared" si="33"/>
        <v>1.0413661422142685E-2</v>
      </c>
      <c r="I91" s="541">
        <f t="shared" si="33"/>
        <v>9.9844113886842986E-3</v>
      </c>
      <c r="J91" s="541">
        <f t="shared" si="33"/>
        <v>9.5513463845910852E-3</v>
      </c>
      <c r="K91" s="541">
        <f t="shared" si="33"/>
        <v>9.1142200724216738E-3</v>
      </c>
      <c r="L91" s="542">
        <f t="shared" si="33"/>
        <v>8.6727548737532637E-3</v>
      </c>
      <c r="M91" s="1094" t="str">
        <f>IF(M101,"Weight Adjusted Time","No Weight Grading")</f>
        <v>Weight Adjusted Time</v>
      </c>
      <c r="N91" s="1095"/>
      <c r="O91" s="545">
        <f ca="1">IF(AND($N$89&gt;0,$N$90&gt;0,$N$90&lt;&gt;"",$M$101),$O$84*(IF(N89&gt;=MIN(D98,F100,C3),$N$89,MIN(F100,D98,C3))/C3)^$I$93,O84)</f>
        <v>9.88596255564737E-3</v>
      </c>
      <c r="P91" s="546" t="s">
        <v>218</v>
      </c>
      <c r="Q91" s="547" t="s">
        <v>99</v>
      </c>
      <c r="R91" s="548" t="s">
        <v>101</v>
      </c>
    </row>
    <row r="92" spans="2:23" ht="13.5" thickBot="1" x14ac:dyDescent="0.25">
      <c r="B92" s="1096" t="str">
        <f>IF($L$88,"Est Pace / km","Est Pace / mile")</f>
        <v>Est Pace / mile</v>
      </c>
      <c r="C92" s="1097"/>
      <c r="D92" s="549">
        <f t="shared" ref="D92:L92" si="34">IF(D91&lt;&gt;"-",D91/IF($L$88,$F$8/1000,$D$8),"-")</f>
        <v>3.8935160737077939E-3</v>
      </c>
      <c r="E92" s="550">
        <f t="shared" si="34"/>
        <v>3.7596247481083748E-3</v>
      </c>
      <c r="F92" s="551">
        <f t="shared" si="34"/>
        <v>3.6247493333333336E-3</v>
      </c>
      <c r="G92" s="552">
        <f t="shared" si="34"/>
        <v>3.4888377838661467E-3</v>
      </c>
      <c r="H92" s="549">
        <f t="shared" si="34"/>
        <v>3.3518327055513594E-3</v>
      </c>
      <c r="I92" s="549">
        <f t="shared" si="34"/>
        <v>3.2136705123821489E-3</v>
      </c>
      <c r="J92" s="549">
        <f t="shared" si="34"/>
        <v>3.0742803991926711E-3</v>
      </c>
      <c r="K92" s="549">
        <f t="shared" si="34"/>
        <v>2.9335830776462775E-3</v>
      </c>
      <c r="L92" s="550">
        <f t="shared" si="34"/>
        <v>2.7914892039091147E-3</v>
      </c>
      <c r="M92" s="553"/>
      <c r="N92" s="554"/>
      <c r="O92" s="555"/>
      <c r="P92" s="556">
        <v>42.195</v>
      </c>
      <c r="Q92" s="557">
        <v>0.17140046296296296</v>
      </c>
      <c r="R92" s="558">
        <f>Q92/P92</f>
        <v>4.062103636994027E-3</v>
      </c>
    </row>
    <row r="93" spans="2:23" ht="13.5" thickBot="1" x14ac:dyDescent="0.25">
      <c r="B93" s="1098" t="s">
        <v>219</v>
      </c>
      <c r="C93" s="1099"/>
      <c r="D93" s="1099"/>
      <c r="E93" s="1099"/>
      <c r="F93" s="1100"/>
      <c r="G93" s="1101"/>
      <c r="H93" s="559" t="s">
        <v>220</v>
      </c>
      <c r="I93" s="560">
        <v>0.83</v>
      </c>
      <c r="J93" s="1102" t="s">
        <v>221</v>
      </c>
      <c r="K93" s="1102"/>
      <c r="L93" s="561">
        <v>4.4999999999999998E-2</v>
      </c>
      <c r="M93" s="562"/>
      <c r="N93" s="1103" t="s">
        <v>222</v>
      </c>
      <c r="O93" s="1104"/>
      <c r="P93" s="1071" t="s">
        <v>223</v>
      </c>
      <c r="Q93" s="1072"/>
      <c r="R93" s="1073"/>
    </row>
    <row r="94" spans="2:23" ht="14.25" thickTop="1" thickBot="1" x14ac:dyDescent="0.25">
      <c r="B94" s="483"/>
      <c r="C94" s="1126" t="s">
        <v>224</v>
      </c>
      <c r="D94" s="1126"/>
      <c r="E94" s="1126"/>
      <c r="F94" s="1126"/>
      <c r="G94" s="1126"/>
      <c r="H94" s="1126"/>
      <c r="I94" s="1126"/>
      <c r="J94" s="1126"/>
      <c r="K94" s="1126"/>
      <c r="M94" s="1046" t="str">
        <f>IF($D$85=1,W233,IF($D$85=2,W237,IF($D$85=3,W241,IF($D$85=4,W245))))</f>
        <v>Temperature  °F</v>
      </c>
      <c r="N94" s="1047"/>
      <c r="O94" s="563"/>
      <c r="P94" s="531" t="s">
        <v>215</v>
      </c>
      <c r="Q94" s="505" t="s">
        <v>225</v>
      </c>
      <c r="R94" s="532" t="s">
        <v>99</v>
      </c>
    </row>
    <row r="95" spans="2:23" ht="13.5" thickBot="1" x14ac:dyDescent="0.25">
      <c r="B95" s="971" t="s">
        <v>226</v>
      </c>
      <c r="C95" s="972"/>
      <c r="D95" s="972"/>
      <c r="E95" s="972"/>
      <c r="F95" s="972"/>
      <c r="G95" s="564" t="str">
        <f>IF($C$4,"Male","Female")</f>
        <v>Male</v>
      </c>
      <c r="H95" s="565" t="str">
        <f ca="1">IF(ISNUMBER($E$5),"Age  "&amp;$E$5,"Birthdate?")</f>
        <v>Age  31</v>
      </c>
      <c r="I95" s="565" t="str">
        <f>"Hgt  "&amp;$C$2</f>
        <v>Hgt  71</v>
      </c>
      <c r="J95" s="566" t="str">
        <f>"Wgt  "&amp;$C$3</f>
        <v>Wgt  155</v>
      </c>
      <c r="K95" s="1127" t="str">
        <f>IF(AND(C2&gt;0,C3&gt;0),"Current BMI = " &amp;ROUND(IF($B$4,$C$3 / ($C$2/100)^2,$C$3 / $C$2^2*703),2),"Wght / Hght?")</f>
        <v>Current BMI = 21.62</v>
      </c>
      <c r="L95" s="1128"/>
      <c r="M95" s="567" t="str">
        <f>IF($D$85=1,"J.Daniels",IF($D$85=2,"M.Hadley",IF($D$85=3,"Tinman","El Helou")))</f>
        <v>J.Daniels</v>
      </c>
      <c r="N95" s="568">
        <v>80</v>
      </c>
      <c r="O95" s="569">
        <f ca="1">IF($D$85=1,AG253,IF($D$85=2,AG256,IF($D$85=3,AG259,IF($C$4,AG262,AG265))))</f>
        <v>3.2037112617322108E-4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9" t="str">
        <f>IF(M102,"Temp Adjusted Time","No Temp Grading")</f>
        <v>Temp Adjusted Time</v>
      </c>
      <c r="N96" s="1130"/>
      <c r="O96" s="545">
        <f ca="1">IF($M$97,$O$91+$O$95,$O$91-$O$95)</f>
        <v>1.0206333681820591E-2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71" t="s">
        <v>233</v>
      </c>
      <c r="Q98" s="1072"/>
      <c r="R98" s="1073"/>
    </row>
    <row r="99" spans="2:21" ht="14.25" thickTop="1" thickBot="1" x14ac:dyDescent="0.25">
      <c r="B99" s="1116" t="s">
        <v>234</v>
      </c>
      <c r="C99" s="1117"/>
      <c r="D99" s="1117"/>
      <c r="E99" s="1117"/>
      <c r="F99" s="591"/>
      <c r="G99" s="1118" t="s">
        <v>235</v>
      </c>
      <c r="H99" s="1003"/>
      <c r="I99" s="1119" t="s">
        <v>236</v>
      </c>
      <c r="J99" s="1003"/>
      <c r="K99" s="1119" t="s">
        <v>237</v>
      </c>
      <c r="L99" s="1120"/>
      <c r="M99" s="1121" t="s">
        <v>238</v>
      </c>
      <c r="N99" s="1122"/>
      <c r="O99" s="1123"/>
      <c r="P99" s="531" t="s">
        <v>62</v>
      </c>
      <c r="Q99" s="1124" t="s">
        <v>239</v>
      </c>
      <c r="R99" s="1125"/>
      <c r="U99" s="592"/>
    </row>
    <row r="100" spans="2:21" ht="13.5" thickBot="1" x14ac:dyDescent="0.25">
      <c r="B100" s="119"/>
      <c r="C100" s="593"/>
      <c r="D100" s="593"/>
      <c r="E100" s="593"/>
      <c r="F100" s="594">
        <v>144.92499999999998</v>
      </c>
      <c r="G100" s="1131" t="s">
        <v>240</v>
      </c>
      <c r="H100" s="1132"/>
      <c r="I100" s="1133" t="s">
        <v>241</v>
      </c>
      <c r="J100" s="1134"/>
      <c r="K100" s="1133" t="s">
        <v>242</v>
      </c>
      <c r="L100" s="1135"/>
      <c r="M100" s="1136" t="b">
        <v>1</v>
      </c>
      <c r="N100" s="1137" t="b">
        <v>1</v>
      </c>
      <c r="O100" s="569">
        <f ca="1">$O$83</f>
        <v>1.1336651234568687E-5</v>
      </c>
      <c r="P100" s="595">
        <v>0.7</v>
      </c>
      <c r="Q100" s="1138">
        <f>IF($C$8=4,(P100/(1+$C$9)-0.37182)/0.6463,IF($C$8=3,1.303*P100/(1+$C$9)-0.345,IF($C$8=2,1.3*P100/(1+$C$9)-0.293,(P100/(1+$C$9)-0.1578)/0.855)))</f>
        <v>0.6341520467836258</v>
      </c>
      <c r="R100" s="1139"/>
    </row>
    <row r="101" spans="2:21" x14ac:dyDescent="0.2">
      <c r="B101" s="1140" t="str">
        <f>"Based on a height of "&amp;IF($B$4,ROUND($C$2,3)&amp;" cm",INT($C$2/12)&amp;" ft "&amp;ROUND((($C$2/12)-INT($C$2/12))*12,1)&amp;" in")</f>
        <v>Based on a height of 5 ft 11 in</v>
      </c>
      <c r="C101" s="1141"/>
      <c r="D101" s="1142"/>
      <c r="E101" s="1143" t="str">
        <f>"Male       "&amp;IF(B4,"(kg)    ","(lb)    ")</f>
        <v xml:space="preserve">Male       (lb)    </v>
      </c>
      <c r="F101" s="1144"/>
      <c r="G101" s="1145">
        <f>IF($B$4,49.8952+(MAX($C$2,152.4)-152.4)/2.54*2.49476,110+(MAX($C$2,60)-60)*5.5)</f>
        <v>170.5</v>
      </c>
      <c r="H101" s="1146"/>
      <c r="I101" s="1147">
        <f>G101*0.88</f>
        <v>150.04</v>
      </c>
      <c r="J101" s="1148"/>
      <c r="K101" s="1147">
        <f>G101*0.85</f>
        <v>144.92499999999998</v>
      </c>
      <c r="L101" s="1149"/>
      <c r="M101" s="1150" t="b">
        <v>1</v>
      </c>
      <c r="N101" s="1151" t="b">
        <v>1</v>
      </c>
      <c r="O101" s="569">
        <f ca="1">$O$88</f>
        <v>1.3642748671921362E-3</v>
      </c>
      <c r="P101" s="546" t="s">
        <v>243</v>
      </c>
      <c r="Q101" s="1152" t="s">
        <v>239</v>
      </c>
      <c r="R101" s="1153"/>
      <c r="U101" s="592"/>
    </row>
    <row r="102" spans="2:21" ht="13.5" thickBot="1" x14ac:dyDescent="0.25">
      <c r="B102" s="1154" t="str">
        <f>IF($B$4,"(Minimum height is 152.4 cm)","(Minimum height is 5 ft, 0 inches)")</f>
        <v>(Minimum height is 5 ft, 0 inches)</v>
      </c>
      <c r="C102" s="1155"/>
      <c r="D102" s="1156"/>
      <c r="E102" s="1157" t="str">
        <f>"Female     "&amp;IF(B4,"(kg)    ","(lb)    ")</f>
        <v xml:space="preserve">Female     (lb)    </v>
      </c>
      <c r="F102" s="1158"/>
      <c r="G102" s="1159">
        <f>IF($B$4,45.3592+(MAX($C$2,152.4)-152.4)/2.54*2.26796,100+(MAX($C$2,60)-60)*5)</f>
        <v>155</v>
      </c>
      <c r="H102" s="1160"/>
      <c r="I102" s="1160">
        <f>G102*0.88</f>
        <v>136.4</v>
      </c>
      <c r="J102" s="1160"/>
      <c r="K102" s="1160">
        <f>G102*0.85</f>
        <v>131.75</v>
      </c>
      <c r="L102" s="1161"/>
      <c r="M102" s="1162" t="b">
        <v>1</v>
      </c>
      <c r="N102" s="1163" t="b">
        <v>1</v>
      </c>
      <c r="O102" s="569">
        <f ca="1">$O$95</f>
        <v>3.2037112617322108E-4</v>
      </c>
      <c r="P102" s="596">
        <v>0.57499999999999996</v>
      </c>
      <c r="Q102" s="1164">
        <f>IF($C$8=4,((P102/$E$3*($E$3-$E$4)+E$4/$E$3)/(1+$C$9)-0.37182)/0.6463,IF($C$8=3,1.303*(P102/$E$3*($E$3-$E$4)+E$4/$E$3)/(1+$C$9) - 0.345,IF($C$8=2,(1.3*(P102/$E$3*($E$3-$E$4)+E$4/$E$3)/(1+$C$9)-0.293),((P102/$E$3*($E$3-$E$4)+E$4/$E$3)/(1+$C$9)-0.1578)/0.855)))</f>
        <v>0.62149602862878595</v>
      </c>
      <c r="R102" s="1165"/>
    </row>
    <row r="103" spans="2:21" ht="13.5" thickBot="1" x14ac:dyDescent="0.25">
      <c r="B103" s="483"/>
      <c r="I103" s="597"/>
      <c r="J103" s="597"/>
      <c r="M103" s="1182" t="s">
        <v>244</v>
      </c>
      <c r="N103" s="1183"/>
      <c r="O103" s="598">
        <f ca="1">$O$74+IF(O84&lt;O74,-$O$100,$O$100)+IF($N$89&lt;$M$88,-$O$101,$O$101)+IF($M$97,$O$102,-$O$102)</f>
        <v>1.0206333681820591E-2</v>
      </c>
      <c r="P103" s="1184" t="str">
        <f>"HR Profile "&amp;IF(AND(C8&gt;=1,C8&lt;=4),C8,1)</f>
        <v>HR Profile 1</v>
      </c>
      <c r="Q103" s="1185"/>
      <c r="R103" s="1186"/>
    </row>
    <row r="104" spans="2:21" ht="13.5" thickBot="1" x14ac:dyDescent="0.25">
      <c r="B104" s="1086" t="s">
        <v>245</v>
      </c>
      <c r="C104" s="1087"/>
      <c r="D104" s="1087"/>
      <c r="E104" s="1087"/>
      <c r="F104" s="599" t="str">
        <f>E6</f>
        <v>5k</v>
      </c>
      <c r="G104" s="1187">
        <f>$F$8</f>
        <v>5000</v>
      </c>
      <c r="H104" s="1187"/>
      <c r="I104" s="1188">
        <f>$G$6*1440</f>
        <v>16.216666666666669</v>
      </c>
      <c r="J104" s="1188"/>
      <c r="K104" s="1189">
        <f>G104/I104</f>
        <v>308.3247687564234</v>
      </c>
      <c r="L104" s="1190"/>
      <c r="M104" s="1191" t="str">
        <f>E6&amp;IF($L$80," Pace / km"," Pace / mile")</f>
        <v>5k Pace / mile</v>
      </c>
      <c r="N104" s="1192"/>
      <c r="O104" s="600">
        <f ca="1">O103/IF(L80,F8/1000,D8)</f>
        <v>3.2851003745671755E-3</v>
      </c>
      <c r="P104" s="1193" t="s">
        <v>246</v>
      </c>
      <c r="Q104" s="1194"/>
      <c r="R104" s="1195"/>
    </row>
    <row r="105" spans="2:21" ht="14.25" thickTop="1" thickBot="1" x14ac:dyDescent="0.25">
      <c r="B105" s="601" t="b">
        <v>0</v>
      </c>
      <c r="C105" s="602"/>
      <c r="D105" s="603"/>
      <c r="E105" s="604"/>
      <c r="F105" s="463" t="s">
        <v>123</v>
      </c>
      <c r="G105" s="463" t="s">
        <v>99</v>
      </c>
      <c r="H105" s="463" t="s">
        <v>101</v>
      </c>
      <c r="I105" s="463" t="s">
        <v>247</v>
      </c>
      <c r="J105" s="463" t="s">
        <v>122</v>
      </c>
      <c r="K105" s="1166" t="s">
        <v>248</v>
      </c>
      <c r="L105" s="1167"/>
      <c r="M105" s="1168" t="str">
        <f>IF($L$80,"Change in Pace / Km","Change in Pace / Mile")</f>
        <v>Change in Pace / Mile</v>
      </c>
      <c r="N105" s="1169"/>
      <c r="O105" s="605">
        <f ca="1">ABS((O76-O104))</f>
        <v>3.3964895876615817E-4</v>
      </c>
      <c r="P105" s="606">
        <v>3.1</v>
      </c>
      <c r="Q105" s="1170">
        <f>P105*1.609344</f>
        <v>4.9889664000000007</v>
      </c>
      <c r="R105" s="1171"/>
    </row>
    <row r="106" spans="2:21" x14ac:dyDescent="0.2">
      <c r="B106" s="1172" t="str">
        <f>"Entry Weight &amp; VDOT"</f>
        <v>Entry Weight &amp; VDOT</v>
      </c>
      <c r="C106" s="1173"/>
      <c r="D106" s="1174"/>
      <c r="E106" s="607" t="str">
        <f>IF($C$3,TEXT($C$3,0)&amp;IF(B4," kg"," lbs"),"Weight?")</f>
        <v>155 lbs</v>
      </c>
      <c r="F106" s="608">
        <f>$I$6</f>
        <v>63.579351807379361</v>
      </c>
      <c r="G106" s="609">
        <f>$G$6</f>
        <v>1.1261574074074075E-2</v>
      </c>
      <c r="H106" s="610">
        <f>(G106/($G$104/1000))*IF($B$105,1,1.609)</f>
        <v>3.6239745370370375E-3</v>
      </c>
      <c r="I106" s="611">
        <f>-4.6 + 0.182258 * ($G$104/$I$104) + 0.000104 *($G$104/I104)^2</f>
        <v>61.48132865899322</v>
      </c>
      <c r="J106" s="612">
        <f>0.8+0.1894393*EXP(-0.012778*G106*1440)+0.2989558*EXP(-0.1932605*G106*1440)</f>
        <v>0.96700150145062314</v>
      </c>
      <c r="K106" s="613">
        <f>1/(29.54+5.000663*F106-0.007546*F106^2)*IF(B105,0.62,1)</f>
        <v>3.1548183576061563E-3</v>
      </c>
      <c r="L106" s="614" t="str">
        <f>TEXT(11.033/(K106*1440),"0.00")&amp;IF($B$105, "  km","  mi")</f>
        <v>2.43  mi</v>
      </c>
      <c r="M106" s="615"/>
      <c r="N106" s="615"/>
      <c r="P106" s="616">
        <v>0.41666666666666669</v>
      </c>
      <c r="Q106" s="1175">
        <f>P106/1.609344/60</f>
        <v>4.3150777238703747E-3</v>
      </c>
      <c r="R106" s="1176"/>
    </row>
    <row r="107" spans="2:21" ht="13.5" thickBot="1" x14ac:dyDescent="0.25">
      <c r="B107" s="1177" t="s">
        <v>249</v>
      </c>
      <c r="C107" s="1178"/>
      <c r="D107" s="1179"/>
      <c r="E107" s="617">
        <v>150</v>
      </c>
      <c r="F107" s="618">
        <f>IF(E106="Weight?",E106,IF(E107,$C$3*F106/E107,"-"))</f>
        <v>65.69866353429201</v>
      </c>
      <c r="G107" s="619">
        <f>IF(AND(E107,F107&lt;&gt;"Weight?"),G106*(F106/F107)^$I$93,"-")</f>
        <v>1.0959217176125094E-2</v>
      </c>
      <c r="H107" s="620">
        <f>IF(F107="Weight?","-",(G107/($G$104/1000))*IF($B$105,1,1.609))</f>
        <v>3.5266760872770557E-3</v>
      </c>
      <c r="I107" s="621">
        <f>IF(AND(E107,F107&lt;&gt;"Weight?"),-4.6 + 0.182258 * ($G$104/(G107*1440)) + 0.000104 *($G$104/(G107*1440))^2,"-")</f>
        <v>63.584756456425055</v>
      </c>
      <c r="J107" s="622">
        <f>IF(AND(E107,F107&lt;&gt;"Weight?"),0.8+0.1894393*EXP(-0.012778*G107*1440)+0.2989558*EXP(-0.1932605*G107*1440),"-")</f>
        <v>0.96900328497523702</v>
      </c>
      <c r="K107" s="623">
        <f>IF(AND(E107,F107&lt;&gt;"Weight?"),1/(29.54+5.000663*F107-0.007546*F107^2)*IF(B105,0.62,1),"-")</f>
        <v>3.0721402980399613E-3</v>
      </c>
      <c r="L107" s="624" t="str">
        <f>IF(F107="Weight?","-",TEXT(11.033/(K107*1440),"0.00")&amp;IF($B$105, "  km","  mi"))</f>
        <v>2.49  mi</v>
      </c>
      <c r="O107" s="625"/>
      <c r="P107" s="626">
        <v>130</v>
      </c>
      <c r="Q107" s="1180">
        <f>P107*0.45359237</f>
        <v>58.967008100000001</v>
      </c>
      <c r="R107" s="1181"/>
    </row>
    <row r="108" spans="2:21" ht="13.5" thickBot="1" x14ac:dyDescent="0.25">
      <c r="B108" s="627" t="s">
        <v>74</v>
      </c>
      <c r="C108" s="1207" t="s">
        <v>250</v>
      </c>
      <c r="D108" s="1208"/>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9">
        <f>P108*2.54</f>
        <v>187.96</v>
      </c>
      <c r="R108" s="1210"/>
    </row>
    <row r="109" spans="2:21" ht="13.5" thickBot="1" x14ac:dyDescent="0.25">
      <c r="B109" s="636" t="s">
        <v>76</v>
      </c>
      <c r="C109" s="1211" t="s">
        <v>251</v>
      </c>
      <c r="D109" s="1212"/>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93" t="s">
        <v>252</v>
      </c>
      <c r="Q109" s="1194"/>
      <c r="R109" s="1195"/>
    </row>
    <row r="110" spans="2:21" ht="13.5" thickBot="1" x14ac:dyDescent="0.25">
      <c r="B110" s="644" t="b">
        <v>1</v>
      </c>
      <c r="C110" s="1213" t="str">
        <f>"Elite "&amp;E6</f>
        <v>Elite 5k</v>
      </c>
      <c r="D110" s="1214"/>
      <c r="E110" s="645" t="str">
        <f>TEXT(IF($B$110,135,105)/IF($B$4,2.20462,1),0)&amp;IF(B4," kg"," lbs")</f>
        <v>135 lbs</v>
      </c>
      <c r="F110" s="646">
        <f>IF(E6="Custom","-",(-4.6 + 0.182258 * (HLOOKUP(E6,$J$7:$P$9,3,0)/(G110*1440)) + 0.000104 *(HLOOKUP(E6,$J$7:$P$9,3,0)/(G110*1440))^2)/J110)</f>
        <v>82.264131007315939</v>
      </c>
      <c r="G110" s="647">
        <f>IF(E6="Custom","not",IF($B$110,VLOOKUP($E$6,$N$50:$AB69,7,0),VLOOKUP($E$6,$N$50:$AB69,8,0)))</f>
        <v>9.0162037037037034E-3</v>
      </c>
      <c r="H110" s="648">
        <f>IF(E6="Custom","avail",(G110/($G$104/1000))*IF($B$105,1,1.609))</f>
        <v>2.9014143518518516E-3</v>
      </c>
      <c r="I110" s="649">
        <f>IF(E6="Custom","for",-4.6 + 0.182258 * ($G$104/(G110*1440)) + 0.000104 *($G$104/(G110*1440))^2)</f>
        <v>81.013356052079558</v>
      </c>
      <c r="J110" s="650">
        <f>IF(E6="Custom","custom",0.8+0.1894393*EXP(-0.012778*G110*1440)+0.2989558*EXP(-0.1932605*G110*1440))</f>
        <v>0.98479562185948155</v>
      </c>
      <c r="K110" s="651">
        <f>IF(E6="Custom","distance",1/(29.54+5.000663*F110-0.007546*F110^2)*IF(B105,0.62,1))</f>
        <v>2.5650990592836122E-3</v>
      </c>
      <c r="L110" s="652" t="str">
        <f>IF(E6="Custom","-",TEXT(11.033/(K110*1440),"0.00")&amp;IF($B$105, "  km","  mi"))</f>
        <v>2.99  mi</v>
      </c>
      <c r="O110" s="625"/>
      <c r="P110" s="653">
        <v>1.3</v>
      </c>
      <c r="Q110" s="1215">
        <f>P110*0.621371192</f>
        <v>0.80778254960000007</v>
      </c>
      <c r="R110" s="1216"/>
    </row>
    <row r="111" spans="2:21" ht="14.25" thickTop="1" thickBot="1" x14ac:dyDescent="0.25">
      <c r="B111" s="654"/>
      <c r="C111" s="655"/>
      <c r="D111" s="655"/>
      <c r="E111" s="656"/>
      <c r="F111" s="657"/>
      <c r="G111" s="658"/>
      <c r="H111" s="659"/>
      <c r="I111" s="660"/>
      <c r="J111" s="661"/>
      <c r="K111" s="659"/>
      <c r="L111" s="662"/>
      <c r="O111" s="625"/>
      <c r="P111" s="663">
        <v>0.2590277777777778</v>
      </c>
      <c r="Q111" s="1196">
        <f>P111/0.62137117223/60</f>
        <v>6.947746890374965E-3</v>
      </c>
      <c r="R111" s="1197"/>
    </row>
    <row r="112" spans="2:21" ht="13.5" thickBot="1" x14ac:dyDescent="0.25">
      <c r="B112" s="664"/>
      <c r="C112" s="1198" t="s">
        <v>253</v>
      </c>
      <c r="D112" s="1198"/>
      <c r="E112" s="1198"/>
      <c r="F112" s="1198"/>
      <c r="G112" s="1198"/>
      <c r="H112" s="1198"/>
      <c r="I112" s="1199" t="s">
        <v>254</v>
      </c>
      <c r="J112" s="1199"/>
      <c r="K112" s="1199"/>
      <c r="L112" s="665"/>
      <c r="N112" s="625"/>
      <c r="O112" s="625"/>
      <c r="P112" s="666">
        <v>62</v>
      </c>
      <c r="Q112" s="1200">
        <f>P112*2.20462262</f>
        <v>136.68660244</v>
      </c>
      <c r="R112" s="1201"/>
    </row>
    <row r="113" spans="2:34" ht="13.5" thickBot="1" x14ac:dyDescent="0.25">
      <c r="B113" s="667" t="s">
        <v>53</v>
      </c>
      <c r="C113" s="668">
        <v>201</v>
      </c>
      <c r="D113" s="669" t="s">
        <v>255</v>
      </c>
      <c r="E113" s="668">
        <v>53</v>
      </c>
      <c r="F113" s="669" t="s">
        <v>256</v>
      </c>
      <c r="G113" s="668">
        <v>155</v>
      </c>
      <c r="H113" s="670" t="s">
        <v>17</v>
      </c>
      <c r="I113" s="671">
        <v>0.31597222222222221</v>
      </c>
      <c r="J113" s="1202" t="str">
        <f>"vVO2max  =  "&amp;TEXT(I113*(G113-E113)/(C113-E113),"h:mm")</f>
        <v>vVO2max  =  5:13</v>
      </c>
      <c r="K113" s="1203"/>
      <c r="L113" s="1204"/>
      <c r="N113" s="625"/>
      <c r="O113" s="625"/>
      <c r="P113" s="672">
        <v>188</v>
      </c>
      <c r="Q113" s="1205">
        <f>P113*0.393700787</f>
        <v>74.015747955999998</v>
      </c>
      <c r="R113" s="1206"/>
    </row>
    <row r="114" spans="2:34" ht="13.5" thickBot="1" x14ac:dyDescent="0.25">
      <c r="B114" s="673"/>
      <c r="C114" s="674"/>
      <c r="D114" s="674"/>
      <c r="E114" s="674"/>
      <c r="F114" s="674"/>
      <c r="G114" s="674"/>
      <c r="H114" s="674"/>
      <c r="I114" s="674"/>
      <c r="J114" s="674"/>
      <c r="K114" s="674"/>
      <c r="L114" s="675"/>
      <c r="N114" s="625"/>
      <c r="O114" s="625"/>
      <c r="P114" s="1224" t="s">
        <v>257</v>
      </c>
      <c r="Q114" s="1194"/>
      <c r="R114" s="1195"/>
    </row>
    <row r="115" spans="2:34" ht="14.25" thickTop="1" thickBot="1" x14ac:dyDescent="0.25">
      <c r="B115" s="1053" t="s">
        <v>258</v>
      </c>
      <c r="C115" s="1054"/>
      <c r="D115" s="1054"/>
      <c r="E115" s="1054"/>
      <c r="F115" s="1054"/>
      <c r="G115" s="1054"/>
      <c r="H115" s="1054"/>
      <c r="I115" s="1054"/>
      <c r="J115" s="1054"/>
      <c r="K115" s="1225"/>
      <c r="L115" s="1055"/>
      <c r="N115" s="625"/>
      <c r="O115" s="625"/>
      <c r="P115" s="616">
        <v>0.41666666666666669</v>
      </c>
      <c r="Q115" s="676">
        <f>P115*1440</f>
        <v>600</v>
      </c>
      <c r="R115" s="677">
        <f>60/P115/24</f>
        <v>6</v>
      </c>
    </row>
    <row r="116" spans="2:34" ht="13.5" thickBot="1" x14ac:dyDescent="0.25">
      <c r="B116" s="1226" t="s">
        <v>158</v>
      </c>
      <c r="C116" s="1227"/>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17" t="s">
        <v>267</v>
      </c>
      <c r="C117" s="1218"/>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9" t="s">
        <v>269</v>
      </c>
      <c r="C118" s="1220"/>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21" t="s">
        <v>272</v>
      </c>
      <c r="C119" s="12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17" t="s">
        <v>274</v>
      </c>
      <c r="C120" s="1218"/>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9" t="s">
        <v>277</v>
      </c>
      <c r="C121" s="1220"/>
      <c r="D121" s="714" t="s">
        <v>278</v>
      </c>
      <c r="E121" s="695"/>
      <c r="F121" s="695"/>
      <c r="G121" s="695">
        <v>2.6</v>
      </c>
      <c r="H121" s="695"/>
      <c r="I121" s="695"/>
      <c r="J121" s="695"/>
      <c r="K121" s="696"/>
      <c r="L121" s="697">
        <f>IF(SUM(E121:K121)&gt;0,SUM(E121:K121)/L126,"---")</f>
        <v>6.9892473118279563E-2</v>
      </c>
      <c r="M121" s="698" t="s">
        <v>279</v>
      </c>
      <c r="P121" s="1193" t="s">
        <v>280</v>
      </c>
      <c r="Q121" s="1194"/>
      <c r="R121" s="1195"/>
    </row>
    <row r="122" spans="2:34" ht="13.5" thickBot="1" x14ac:dyDescent="0.25">
      <c r="B122" s="1221" t="s">
        <v>281</v>
      </c>
      <c r="C122" s="12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17" t="s">
        <v>282</v>
      </c>
      <c r="C123" s="1218"/>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21" t="s">
        <v>285</v>
      </c>
      <c r="C124" s="12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21" t="s">
        <v>287</v>
      </c>
      <c r="C125" s="1237"/>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38" t="s">
        <v>290</v>
      </c>
      <c r="X131" s="1239"/>
      <c r="Y131" s="1239"/>
      <c r="Z131" s="1239"/>
      <c r="AA131" s="1239"/>
      <c r="AB131" s="1239"/>
      <c r="AC131" s="1239"/>
      <c r="AD131" s="1239"/>
      <c r="AE131" s="1239"/>
      <c r="AF131" s="1239"/>
      <c r="AG131" s="1240"/>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41" t="s">
        <v>291</v>
      </c>
      <c r="AE133" s="1242"/>
      <c r="AF133" s="1243"/>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44" t="s">
        <v>299</v>
      </c>
      <c r="X216" s="1244"/>
      <c r="Y216" s="1244"/>
      <c r="Z216" s="1244"/>
      <c r="AA216" s="1244"/>
      <c r="AB216" s="1244"/>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0.82596199454992247</v>
      </c>
      <c r="X217" s="783">
        <f t="shared" si="40"/>
        <v>0.82596199454992247</v>
      </c>
      <c r="Y217" s="783">
        <f t="shared" si="40"/>
        <v>0.82596199454992247</v>
      </c>
      <c r="Z217" s="783">
        <f t="shared" si="40"/>
        <v>0.82596199454992247</v>
      </c>
      <c r="AA217" s="783">
        <f t="shared" si="40"/>
        <v>0.82596199454992247</v>
      </c>
      <c r="AB217" s="784">
        <f t="shared" si="40"/>
        <v>0.82596199454992247</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4.1196036842071375E-3</v>
      </c>
      <c r="X218" s="786">
        <f t="shared" si="41"/>
        <v>4.1196036842071375E-3</v>
      </c>
      <c r="Y218" s="786">
        <f t="shared" si="41"/>
        <v>4.1196036842071375E-3</v>
      </c>
      <c r="Z218" s="786">
        <f t="shared" si="41"/>
        <v>4.1196036842071375E-3</v>
      </c>
      <c r="AA218" s="786">
        <f t="shared" si="41"/>
        <v>4.1196036842071375E-3</v>
      </c>
      <c r="AB218" s="787">
        <f t="shared" si="41"/>
        <v>4.1196036842071375E-3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1.7460323039160383E-4</v>
      </c>
      <c r="X219" s="789">
        <f t="shared" si="42"/>
        <v>1.7460323039160383E-4</v>
      </c>
      <c r="Y219" s="789">
        <f t="shared" si="42"/>
        <v>1.7460323039160383E-4</v>
      </c>
      <c r="Z219" s="789">
        <f t="shared" si="42"/>
        <v>1.7460323039160383E-4</v>
      </c>
      <c r="AA219" s="789">
        <f t="shared" si="42"/>
        <v>1.7460323039160383E-4</v>
      </c>
      <c r="AB219" s="790">
        <f t="shared" si="42"/>
        <v>1.7460323039160383E-4</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32" t="s">
        <v>300</v>
      </c>
      <c r="X232" s="1233"/>
      <c r="Y232" s="1234"/>
      <c r="Z232" s="1232" t="str">
        <f>"Projected Impact of Temperature on "&amp;$E$6&amp;" Time"</f>
        <v>Projected Impact of Temperature on 5k Time</v>
      </c>
      <c r="AA232" s="1233"/>
      <c r="AB232" s="1233"/>
      <c r="AC232" s="1233"/>
      <c r="AD232" s="1233"/>
      <c r="AE232" s="1235" t="s">
        <v>301</v>
      </c>
      <c r="AF232" s="1236"/>
      <c r="AG232" s="795" t="b">
        <v>0</v>
      </c>
    </row>
    <row r="233" spans="17:33" ht="13.5" thickBot="1" x14ac:dyDescent="0.25">
      <c r="W233" s="1228" t="str">
        <f>"Temperature  °"&amp;IF($L$80,"C","F")</f>
        <v>Temperature  °F</v>
      </c>
      <c r="X233" s="1229"/>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30" t="s">
        <v>203</v>
      </c>
      <c r="X234" s="1231"/>
      <c r="Y234" s="799">
        <f>IF(AND($E$6&gt;0,$G$6&gt;0),$G$6,"-")</f>
        <v>1.1261574074074075E-2</v>
      </c>
      <c r="Z234" s="800">
        <f>IF($Y234&lt;&gt;"-",$Y234+$Y234*(0.0015437*IF($L$80,(Z233*9/5)+32,Z233)-0.09108933),"-")</f>
        <v>1.1278834350810186E-2</v>
      </c>
      <c r="AA234" s="800">
        <f>IF($Y234&lt;&gt;"-",$Y234+$Y234*(0.0015437*IF($L$80,(AA233*9/5)+32,AA233)-0.09108933),"-")</f>
        <v>1.1365756810300926E-2</v>
      </c>
      <c r="AB234" s="800">
        <f t="shared" ref="AB234:AG234" si="43">IF($Y234&lt;&gt;"-",$Y234+$Y234*(0.0015437*IF($L$80,(AB233*9/5)+32,AB233)-0.09108933),"-")</f>
        <v>1.1452679269791667E-2</v>
      </c>
      <c r="AC234" s="800">
        <f t="shared" si="43"/>
        <v>1.1539601729282409E-2</v>
      </c>
      <c r="AD234" s="800">
        <f t="shared" si="43"/>
        <v>1.1626524188773149E-2</v>
      </c>
      <c r="AE234" s="800">
        <f t="shared" si="43"/>
        <v>1.1713446648263889E-2</v>
      </c>
      <c r="AF234" s="800">
        <f t="shared" si="43"/>
        <v>1.180036910775463E-2</v>
      </c>
      <c r="AG234" s="800">
        <f t="shared" si="43"/>
        <v>1.1887291567245372E-2</v>
      </c>
    </row>
    <row r="235" spans="17:33" ht="13.5" thickBot="1" x14ac:dyDescent="0.25">
      <c r="W235" s="33"/>
    </row>
    <row r="236" spans="17:33" ht="13.5" thickBot="1" x14ac:dyDescent="0.25">
      <c r="W236" s="1232" t="s">
        <v>302</v>
      </c>
      <c r="X236" s="1233"/>
      <c r="Y236" s="1234"/>
      <c r="Z236" s="1232" t="str">
        <f>"Projected Impact of Temperature on "&amp;$E$6&amp;" Time"</f>
        <v>Projected Impact of Temperature on 5k Time</v>
      </c>
      <c r="AA236" s="1233"/>
      <c r="AB236" s="1233"/>
      <c r="AC236" s="1233"/>
      <c r="AD236" s="1233"/>
      <c r="AE236" s="1235" t="s">
        <v>303</v>
      </c>
      <c r="AF236" s="1236"/>
      <c r="AG236" s="795" t="b">
        <v>0</v>
      </c>
    </row>
    <row r="237" spans="17:33" ht="13.5" thickBot="1" x14ac:dyDescent="0.25">
      <c r="W237" s="1228" t="str">
        <f>"Temp + Dew Point  °"&amp;IF($L$80,"C","F")</f>
        <v>Temp + Dew Point  °F</v>
      </c>
      <c r="X237" s="1229"/>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30" t="s">
        <v>203</v>
      </c>
      <c r="X238" s="1231"/>
      <c r="Y238" s="799">
        <f>IF(AND($E$6&gt;0,$G$6&gt;0),$G$6,"-")</f>
        <v>1.1261574074074075E-2</v>
      </c>
      <c r="Z238" s="800">
        <f>IF($Y238&lt;&gt;"-",$Y238+$Y238*(0.000012229*IF($L$80,((Z237*9/5)+64)^2,Z237^2) - (0.002174242*IF($L$80,((Z237*9/5)+64),Z237)) + 0.0954329),"")</f>
        <v>1.1309291390509259E-2</v>
      </c>
      <c r="AA238" s="800">
        <f>IF($Y238&lt;&gt;"-",$Y238+$Y238*(0.000012229*IF($L$80,((AA237*9/5)+64)^2,AA237^2) - (0.002174242*IF($L$80,((AA237*9/5)+64),AA237)) + 0.0954329),"")</f>
        <v>1.138118843263889E-2</v>
      </c>
      <c r="AB238" s="800">
        <f t="shared" ref="AB238:AG238" si="44">IF($Y238&lt;&gt;"-",$Y238+$Y238*(0.000012229*IF($L$80,((AB237*9/5)+64)^2,AB237^2) - (0.002174242*IF($L$80,((AB237*9/5)+64),AB237)) + 0.0954329),"")</f>
        <v>1.1480629032638891E-2</v>
      </c>
      <c r="AC238" s="800">
        <f t="shared" si="44"/>
        <v>1.160761319050926E-2</v>
      </c>
      <c r="AD238" s="800">
        <f t="shared" si="44"/>
        <v>1.1762140906250001E-2</v>
      </c>
      <c r="AE238" s="800">
        <f t="shared" si="44"/>
        <v>1.1944212179861111E-2</v>
      </c>
      <c r="AF238" s="800">
        <f t="shared" si="44"/>
        <v>1.2153827011342594E-2</v>
      </c>
      <c r="AG238" s="800">
        <f t="shared" si="44"/>
        <v>1.2390985400694445E-2</v>
      </c>
    </row>
    <row r="239" spans="17:33" ht="13.5" thickBot="1" x14ac:dyDescent="0.25"/>
    <row r="240" spans="17:33" ht="13.5" thickBot="1" x14ac:dyDescent="0.25">
      <c r="W240" s="1232" t="s">
        <v>304</v>
      </c>
      <c r="X240" s="1233"/>
      <c r="Y240" s="1234"/>
      <c r="Z240" s="1232" t="str">
        <f>"Projected Impact of Temperature on "&amp;$E$6&amp;" Time"</f>
        <v>Projected Impact of Temperature on 5k Time</v>
      </c>
      <c r="AA240" s="1233"/>
      <c r="AB240" s="1233"/>
      <c r="AC240" s="1233"/>
      <c r="AD240" s="1233"/>
      <c r="AE240" s="1235" t="s">
        <v>305</v>
      </c>
      <c r="AF240" s="1236"/>
      <c r="AG240" s="795" t="b">
        <v>0</v>
      </c>
    </row>
    <row r="241" spans="23:33" ht="13.5" thickBot="1" x14ac:dyDescent="0.25">
      <c r="W241" s="1228" t="str">
        <f>"Heat Index  °"&amp;IF($L$80,"C","F")</f>
        <v>Heat Index  °F</v>
      </c>
      <c r="X241" s="1229"/>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30" t="s">
        <v>203</v>
      </c>
      <c r="X242" s="1231"/>
      <c r="Y242" s="799">
        <f>IF(AND($E$6&gt;0,$G$6&gt;0),$G$6,"-")</f>
        <v>1.1261574074074075E-2</v>
      </c>
      <c r="Z242" s="800">
        <f t="shared" ref="Z242:AF242" si="45">IF($Y242&lt;&gt;"-",$Y242+$Y242*(0.00000000220395*IF($L$80,((Z241*9/5)+32)^4,Z241^4) - 0.0000004341222*IF($L$80,((Z241*9/5)+32)^3,Z241^3) + 0.0000608143905*IF($L$80,((Z241*9/5)+32)^2,Z241^2) - 0.0039308500021*IF($L$80,((Z241*9/5)+32),Z241) + 0.08700948577525),"-")</f>
        <v>1.1316565334103244E-2</v>
      </c>
      <c r="AA242" s="800">
        <f t="shared" si="45"/>
        <v>1.1417585434384691E-2</v>
      </c>
      <c r="AB242" s="800">
        <f t="shared" si="45"/>
        <v>1.1596682598683499E-2</v>
      </c>
      <c r="AC242" s="800">
        <f t="shared" si="45"/>
        <v>1.1869199334249668E-2</v>
      </c>
      <c r="AD242" s="800">
        <f t="shared" si="45"/>
        <v>1.2256434935416533E-2</v>
      </c>
      <c r="AE242" s="800">
        <f t="shared" si="45"/>
        <v>1.2785645483600755E-2</v>
      </c>
      <c r="AF242" s="800">
        <f t="shared" si="45"/>
        <v>1.3490043847302341E-2</v>
      </c>
      <c r="AG242" s="803" t="s">
        <v>91</v>
      </c>
    </row>
    <row r="243" spans="23:33" ht="13.5" thickBot="1" x14ac:dyDescent="0.25"/>
    <row r="244" spans="23:33" ht="13.5" thickBot="1" x14ac:dyDescent="0.25">
      <c r="W244" s="1232" t="s">
        <v>306</v>
      </c>
      <c r="X244" s="1233"/>
      <c r="Y244" s="1234"/>
      <c r="Z244" s="1232" t="str">
        <f>"Projected Impact of Temperature on "&amp;$E$6&amp;" Time"</f>
        <v>Projected Impact of Temperature on 5k Time</v>
      </c>
      <c r="AA244" s="1233"/>
      <c r="AB244" s="1233"/>
      <c r="AC244" s="1233"/>
      <c r="AD244" s="1233"/>
      <c r="AE244" s="1245" t="s">
        <v>307</v>
      </c>
      <c r="AF244" s="1246"/>
      <c r="AG244" s="795" t="b">
        <v>0</v>
      </c>
    </row>
    <row r="245" spans="23:33" ht="13.5" thickBot="1" x14ac:dyDescent="0.25">
      <c r="W245" s="1228" t="str">
        <f>"Temperature  °"&amp;IF($L$80,"C","F")</f>
        <v>Temperature  °F</v>
      </c>
      <c r="X245" s="1229"/>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30" t="s">
        <v>203</v>
      </c>
      <c r="X246" s="1231"/>
      <c r="Y246" s="800" t="s">
        <v>91</v>
      </c>
      <c r="Z246" s="800">
        <f>IF($AB246&lt;&gt;"-",$AB246*(1+$AA$254),"-")</f>
        <v>1.1629827546296297E-2</v>
      </c>
      <c r="AA246" s="800">
        <f>IF($AB246&lt;&gt;"-",$AB246*(1+$AA$255),"-")</f>
        <v>1.1353918981481482E-2</v>
      </c>
      <c r="AB246" s="799">
        <f>IF(AND($E$6&gt;0,$G$6&gt;0),$G$6,"-")</f>
        <v>1.1261574074074075E-2</v>
      </c>
      <c r="AC246" s="800">
        <f>IF($AB246&lt;&gt;"-",$AB246*(1+$AA$257),"-")</f>
        <v>1.1353918981481482E-2</v>
      </c>
      <c r="AD246" s="800">
        <f>IF($AB246&lt;&gt;"-",$AB246*(1+$AA$258),"-")</f>
        <v>1.1642215277777779E-2</v>
      </c>
      <c r="AE246" s="800">
        <f>IF($AB246&lt;&gt;"-",$AB246*(1+$AA$259),"-")</f>
        <v>1.2154616898148148E-2</v>
      </c>
      <c r="AF246" s="800">
        <f>IF($AB246&lt;&gt;"-",$AB246*(1+$AA$260),"-")</f>
        <v>1.295418865740741E-2</v>
      </c>
      <c r="AG246" s="803" t="s">
        <v>91</v>
      </c>
    </row>
    <row r="247" spans="23:33" ht="13.5" thickBot="1" x14ac:dyDescent="0.25"/>
    <row r="248" spans="23:33" ht="13.5" thickBot="1" x14ac:dyDescent="0.25">
      <c r="W248" s="1232" t="s">
        <v>308</v>
      </c>
      <c r="X248" s="1233"/>
      <c r="Y248" s="1234"/>
      <c r="Z248" s="1232" t="str">
        <f>"Projected Impact of Temperature on "&amp;$E$6&amp;" Time"</f>
        <v>Projected Impact of Temperature on 5k Time</v>
      </c>
      <c r="AA248" s="1233"/>
      <c r="AB248" s="1233"/>
      <c r="AC248" s="1233"/>
      <c r="AD248" s="1233"/>
      <c r="AE248" s="1245" t="s">
        <v>307</v>
      </c>
      <c r="AF248" s="1246"/>
      <c r="AG248" s="795" t="b">
        <v>0</v>
      </c>
    </row>
    <row r="249" spans="23:33" ht="13.5" thickBot="1" x14ac:dyDescent="0.25">
      <c r="W249" s="1228" t="str">
        <f>"Temperature  °"&amp;IF($L$80,"C","F")</f>
        <v>Temperature  °F</v>
      </c>
      <c r="X249" s="1229"/>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30" t="s">
        <v>203</v>
      </c>
      <c r="X250" s="1231"/>
      <c r="Y250" s="800" t="s">
        <v>91</v>
      </c>
      <c r="Z250" s="800">
        <f>IF($AB250&lt;&gt;"-",$AB250*(1+$AD$254),"-")</f>
        <v>1.1544239583333333E-2</v>
      </c>
      <c r="AA250" s="800">
        <f>IF($AB250&lt;&gt;"-",$AB250*(1+$AD$255),"-")</f>
        <v>1.1332521990740741E-2</v>
      </c>
      <c r="AB250" s="799">
        <f>IF(AND($E$6&gt;0,$G$6&gt;0),$G$6,"-")</f>
        <v>1.1261574074074075E-2</v>
      </c>
      <c r="AC250" s="800">
        <f>IF($AB250&lt;&gt;"-",$AB250*(1+$AD$257),"-")</f>
        <v>1.1332521990740741E-2</v>
      </c>
      <c r="AD250" s="800">
        <f>IF($AB250&lt;&gt;"-",$AB250*(1+$AD$258),"-")</f>
        <v>1.1552122685185186E-2</v>
      </c>
      <c r="AE250" s="800">
        <f>IF($AB250&lt;&gt;"-",$AB250*(1+$AD$259),"-")</f>
        <v>1.1937268518518521E-2</v>
      </c>
      <c r="AF250" s="800">
        <f>IF($AB250&lt;&gt;"-",$AB250*(1+$AD$260),"-")</f>
        <v>1.2520618055555556E-2</v>
      </c>
      <c r="AG250" s="803" t="s">
        <v>91</v>
      </c>
    </row>
    <row r="252" spans="23:33" x14ac:dyDescent="0.2">
      <c r="W252" t="s">
        <v>309</v>
      </c>
      <c r="AF252" s="1244" t="s">
        <v>310</v>
      </c>
      <c r="AG252" s="1244"/>
    </row>
    <row r="253" spans="23:33" x14ac:dyDescent="0.2">
      <c r="Y253" s="1244" t="s">
        <v>311</v>
      </c>
      <c r="Z253" s="1244"/>
      <c r="AA253" s="1244" t="s">
        <v>312</v>
      </c>
      <c r="AB253" s="1244"/>
      <c r="AE253" s="805" t="s">
        <v>313</v>
      </c>
      <c r="AF253" s="806">
        <f>0.0015437*IF($L$80,($N$95*9/5)+32,$N$95)-0.09108933</f>
        <v>3.2406670000000012E-2</v>
      </c>
      <c r="AG253" s="807">
        <f ca="1">IF($M$102,MAX(AF253*$O$91,0),0)</f>
        <v>3.2037112617322108E-4</v>
      </c>
    </row>
    <row r="254" spans="23:33" x14ac:dyDescent="0.2">
      <c r="W254" s="124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48"/>
      <c r="X255" s="812" t="s">
        <v>317</v>
      </c>
      <c r="Y255" s="812">
        <v>1.01</v>
      </c>
      <c r="Z255" s="813">
        <f t="shared" si="46"/>
        <v>33.817999999999998</v>
      </c>
      <c r="AA255" s="814">
        <v>8.2000000000000007E-3</v>
      </c>
      <c r="AB255" s="812">
        <v>1.85</v>
      </c>
      <c r="AC255" s="812">
        <f t="shared" si="47"/>
        <v>35.33</v>
      </c>
      <c r="AD255" s="814">
        <v>6.3E-3</v>
      </c>
      <c r="AE255" s="815"/>
      <c r="AF255" s="1244" t="s">
        <v>318</v>
      </c>
      <c r="AG255" s="1244"/>
    </row>
    <row r="256" spans="23:33" x14ac:dyDescent="0.2">
      <c r="W256" s="124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4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48"/>
      <c r="X258" s="812" t="s">
        <v>321</v>
      </c>
      <c r="Y258" s="812">
        <v>16.02</v>
      </c>
      <c r="Z258" s="813">
        <f t="shared" si="46"/>
        <v>60.835999999999999</v>
      </c>
      <c r="AA258" s="814">
        <v>3.3799999999999997E-2</v>
      </c>
      <c r="AB258" s="812">
        <v>16.850000000000001</v>
      </c>
      <c r="AC258" s="812">
        <f t="shared" si="47"/>
        <v>62.33</v>
      </c>
      <c r="AD258" s="814">
        <v>2.58E-2</v>
      </c>
      <c r="AE258" s="815"/>
      <c r="AF258" s="1244" t="s">
        <v>304</v>
      </c>
      <c r="AG258" s="1244"/>
    </row>
    <row r="259" spans="23:33" x14ac:dyDescent="0.2">
      <c r="W259" s="124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2.9417471346157098E-4</v>
      </c>
    </row>
    <row r="260" spans="23:33" x14ac:dyDescent="0.2">
      <c r="W260" s="124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44" t="s">
        <v>324</v>
      </c>
      <c r="AG261" s="1244"/>
    </row>
    <row r="262" spans="23:33" x14ac:dyDescent="0.2">
      <c r="W262" t="s">
        <v>325</v>
      </c>
      <c r="X262" s="33"/>
      <c r="Z262" t="s">
        <v>326</v>
      </c>
      <c r="AA262" s="33"/>
      <c r="AE262" s="805" t="s">
        <v>313</v>
      </c>
      <c r="AF262" s="806">
        <f>X263*IF($L$80,(($N$95*9/5)+32)^2,$N$95^2) +(X264*IF($L$80,(($N$95*9/5)+32),$N$95)) + X265</f>
        <v>0.15757841435455355</v>
      </c>
      <c r="AG262" s="807">
        <f ca="1">IF($M$102,MAX(AF262*$O$91,0),0)</f>
        <v>1.5578143038874025E-3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44" t="s">
        <v>329</v>
      </c>
      <c r="AG264" s="1244"/>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1.0712501207210481E-3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94" t="s">
        <v>1</v>
      </c>
      <c r="D1" s="883"/>
      <c r="E1" s="884"/>
      <c r="F1" s="3" t="s">
        <v>382</v>
      </c>
      <c r="G1" s="881" t="s">
        <v>453</v>
      </c>
      <c r="H1" s="881"/>
      <c r="I1" s="23" t="s">
        <v>2</v>
      </c>
      <c r="J1" s="881" t="s">
        <v>451</v>
      </c>
      <c r="K1" s="881"/>
      <c r="L1" s="1250"/>
      <c r="M1" s="883"/>
      <c r="N1" s="884"/>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9" t="s">
        <v>5</v>
      </c>
      <c r="D2" s="885"/>
      <c r="E2" s="886"/>
      <c r="F2" s="7" t="s">
        <v>33</v>
      </c>
      <c r="G2" s="881" t="s">
        <v>452</v>
      </c>
      <c r="H2" s="881"/>
      <c r="I2" s="6"/>
      <c r="J2" s="4"/>
      <c r="L2" s="885"/>
      <c r="M2" s="885"/>
      <c r="N2" s="886"/>
      <c r="O2" s="16"/>
      <c r="P2" s="8"/>
      <c r="Q2" s="9"/>
      <c r="R2" s="4"/>
      <c r="S2" s="4"/>
      <c r="T2" s="4"/>
      <c r="U2" s="4"/>
      <c r="V2" s="4"/>
      <c r="W2" s="4"/>
      <c r="X2" s="4"/>
      <c r="Y2" s="4"/>
      <c r="Z2" s="4"/>
      <c r="AA2" s="4"/>
    </row>
    <row r="3" spans="1:27" ht="15.75" customHeight="1" x14ac:dyDescent="0.2">
      <c r="A3" s="10" t="s">
        <v>6</v>
      </c>
      <c r="B3" s="11">
        <v>45963</v>
      </c>
      <c r="C3" s="890" t="s">
        <v>7</v>
      </c>
      <c r="D3" s="887"/>
      <c r="E3" s="888"/>
      <c r="F3" s="7" t="s">
        <v>34</v>
      </c>
      <c r="G3" s="881" t="s">
        <v>449</v>
      </c>
      <c r="H3" s="881"/>
      <c r="I3" s="6"/>
      <c r="J3" s="4"/>
      <c r="L3" s="885"/>
      <c r="M3" s="885"/>
      <c r="N3" s="886"/>
      <c r="O3" s="16"/>
      <c r="P3" s="6"/>
      <c r="Q3" s="4"/>
      <c r="R3" s="4"/>
      <c r="S3" s="4"/>
      <c r="T3" s="4"/>
      <c r="U3" s="4"/>
      <c r="V3" s="4"/>
      <c r="W3" s="4"/>
      <c r="X3" s="4"/>
      <c r="Y3" s="4"/>
      <c r="Z3" s="4"/>
      <c r="AA3" s="4"/>
    </row>
    <row r="4" spans="1:27" ht="15.75" customHeight="1" x14ac:dyDescent="0.2">
      <c r="A4" s="16"/>
      <c r="B4" s="6"/>
      <c r="C4" s="6"/>
      <c r="D4" s="6"/>
      <c r="E4" s="4"/>
      <c r="F4" s="12" t="s">
        <v>383</v>
      </c>
      <c r="G4" s="891" t="s">
        <v>450</v>
      </c>
      <c r="H4" s="891"/>
      <c r="I4" s="13"/>
      <c r="J4" s="850"/>
      <c r="K4" s="851"/>
      <c r="L4" s="887"/>
      <c r="M4" s="887"/>
      <c r="N4" s="888"/>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95" t="s">
        <v>9</v>
      </c>
      <c r="F6" s="885"/>
      <c r="G6" s="885"/>
      <c r="H6" s="885"/>
      <c r="I6" s="885"/>
      <c r="J6" s="885"/>
      <c r="K6" s="885"/>
      <c r="L6" s="885"/>
      <c r="M6" s="885"/>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5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5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5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5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5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5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5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93"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93"/>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93"/>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93"/>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93"/>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93"/>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93"/>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5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5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5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5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5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5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5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93"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93"/>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93"/>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93"/>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93"/>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93"/>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93"/>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5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5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5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5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5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5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5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93"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93"/>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93"/>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93"/>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93"/>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93"/>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93"/>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5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5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5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5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5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5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5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93"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93"/>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93"/>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93"/>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93"/>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93"/>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93"/>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5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5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5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5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5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5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5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93"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93"/>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93"/>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93"/>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93"/>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93"/>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93"/>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5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5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5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5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5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5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5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93"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93"/>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93"/>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93"/>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93"/>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93"/>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93"/>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5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5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5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5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5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5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5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93"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93"/>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93"/>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93"/>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93"/>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93"/>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93"/>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5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5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5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5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5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5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5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93"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93"/>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93"/>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93"/>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93"/>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93"/>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93"/>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5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5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5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5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5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5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5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93"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93"/>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93"/>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93"/>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93"/>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93"/>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93"/>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5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5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5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5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5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5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5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5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2025-09-29T18:46:28Z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