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414CB936-77A0-4AA6-9676-97BD2C8F64DF}" xr6:coauthVersionLast="47" xr6:coauthVersionMax="47" xr10:uidLastSave="{00000000-0000-0000-0000-000000000000}"/>
  <bookViews>
    <workbookView xWindow="2868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I20" i="7"/>
  <c r="N15" i="9"/>
  <c r="K3" i="7" s="1"/>
  <c r="K11"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36" i="9" l="1"/>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K5" i="7" s="1"/>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<sst xmlns="http://schemas.openxmlformats.org/spreadsheetml/2006/main" count="1230" uniqueCount="485">
  <si>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</si>
  <si>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</si>
  <si>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</si>
  <si>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</si>
  <si>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</si>
  <si>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</si>
  <si>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</si>
  <si>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</si>
  <si>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</si>
  <si>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</si>
  <si>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</si>
  <si>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</si>
  <si>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</si>
  <si>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</si>
  <si>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</si>
  <si>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</si>
  <si>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</si>
  <si>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</si>
  <si>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</si>
  <si>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</si>
  <si>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</si>
  <si>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</si>
  <si>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</si>
  <si>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</si>
  <si>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</si>
  <si>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</si>
  <si>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</si>
  <si>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</si>
  <si>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</si>
  <si>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</si>
  <si>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</si>
  <si>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</si>
  <si>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</si>
  <si>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</si>
  <si>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</si>
  <si>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</si>
  <si>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</si>
  <si>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</si>
  <si>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</si>
  <si>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</si>
  <si>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</si>
  <si>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</si>
  <si>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</si>
  <si>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</si>
  <si>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</si>
  <si>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</si>
  <si>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</si>
  <si>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</si>
  <si>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</si>
  <si>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</si>
  <si>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</si>
  <si>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</si>
  <si>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</si>
  <si>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</si>
  <si>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</si>
  <si>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</si>
  <si>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</si>
  <si>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</si>
  <si>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</si>
  <si>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</si>
  <si>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</si>
  <si>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</si>
  <si>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</si>
  <si>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</si>
  <si>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</si>
  <si>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</si>
  <si>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</si>
  <si>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</si>
  <si>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</si>
  <si>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</si>
  <si>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</si>
  <si>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</si>
  <si>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</si>
  <si>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</si>
  <si>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</si>
  <si>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</si>
  <si>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</si>
  <si>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</si>
  <si>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</si>
  <si>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</si>
  <si>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</si>
  <si>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</si>
  <si>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</si>
  <si>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</si>
  <si>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</si>
  <si>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</si>
  <si>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</si>
  <si>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</si>
  <si>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</si>
  <si>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</si>
  <si>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</si>
  <si>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</si>
  <si>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</si>
  <si>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</si>
  <si>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</si>
  <si>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</si>
  <si>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</si>
  <si>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</si>
  <si>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</si>
  <si>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</si>
  <si>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</si>
  <si>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</si>
  <si>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</si>
  <si>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</si>
  <si>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</si>
  <si>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</si>
  <si>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</si>
  <si>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</si>
  <si>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</si>
  <si>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</si>
  <si>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</si>
  <si>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</si>
  <si>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</si>
  <si>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</si>
  <si>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</si>
  <si>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</si>
  <si>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</si>
  <si>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</si>
  <si>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</si>
  <si>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</si>
  <si>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</si>
  <si>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</si>
  <si>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</si>
  <si>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</si>
  <si>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</si>
  <si>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</si>
  <si>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</si>
  <si>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</si>
  <si>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</si>
  <si>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</si>
  <si>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</si>
  <si>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</si>
  <si>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</si>
  <si>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</si>
  <si>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</si>
  <si>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</si>
  <si>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</si>
  <si>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</si>
  <si>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</si>
  <si>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</si>
  <si>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</si>
  <si>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</si>
  <si>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</si>
  <si>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</si>
  <si>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</si>
  <si>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</si>
  <si>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</si>
  <si>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</si>
  <si>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</si>
  <si>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</si>
  <si>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</si>
  <si>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</si>
  <si>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</si>
  <si>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</si>
  <si>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</si>
  <si>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</si>
  <si>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</si>
  <si>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</si>
  <si>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</si>
  <si>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</si>
  <si>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</si>
  <si>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</si>
  <si>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</si>
  <si>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</si>
  <si>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</si>
  <si>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</si>
  <si>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</si>
  <si>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</si>
  <si>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</si>
  <si>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</si>
  <si>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</si>
  <si>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</si>
  <si>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</si>
  <si>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</si>
  <si>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</si>
  <si>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</si>
  <si>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</si>
  <si>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</si>
  <si>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</si>
  <si>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</si>
  <si>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</si>
  <si>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</si>
  <si>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</si>
  <si>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</si>
  <si>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</si>
  <si>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</si>
  <si>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</si>
  <si>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</si>
  <si>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</si>
  <si>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</si>
  <si>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</si>
  <si>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</si>
  <si>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</si>
  <si>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</si>
  <si>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</si>
  <si>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</si>
  <si>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</si>
  <si>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</si>
  <si>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</si>
  <si>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</si>
  <si>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</si>
  <si>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</si>
  <si>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</si>
  <si>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</si>
  <si>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</si>
  <si>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</si>
  <si>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</si>
  <si>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</si>
  <si>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</si>
  <si>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</si>
  <si>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</si>
  <si>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</si>
  <si>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</si>
  <si>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</si>
  <si>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</si>
  <si>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</si>
  <si>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</si>
  <si>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</si>
  <si>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</si>
  <si>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</si>
  <si>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</si>
  <si>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</si>
  <si>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</si>
  <si>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</si>
  <si>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</si>
  <si>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</si>
  <si>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</si>
  <si>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</si>
  <si>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</si>
  <si>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</si>
  <si>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</si>
  <si>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</si>
  <si>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</si>
  <si>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</si>
  <si>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</si>
  <si>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</si>
  <si>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</si>
  <si>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</si>
  <si>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</si>
  <si>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</si>
  <si>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</si>
  <si>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</si>
  <si>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</si>
  <si>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</si>
  <si>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</si>
  <si>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</si>
  <si>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</si>
  <si>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</si>
  <si>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</si>
  <si>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</si>
  <si>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</si>
  <si>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</si>
  <si>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</si>
  <si>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</si>
  <si>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</si>
  <si>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</si>
  <si>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</si>
  <si>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</si>
  <si>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</si>
  <si>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</si>
  <si>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</si>
  <si>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</si>
  <si>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</si>
  <si>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</si>
  <si>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</si>
  <si>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</si>
  <si>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</si>
  <si>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</si>
  <si>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</si>
  <si>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</si>
  <si>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</si>
  <si>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</si>
  <si>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</si>
  <si>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</si>
  <si>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</si>
  <si>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</si>
  <si>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</si>
  <si>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</si>
  <si>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</si>
  <si>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</si>
  <si>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</si>
  <si>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</si>
  <si>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</si>
  <si>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</si>
  <si>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</si>
  <si>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</si>
  <si>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</si>
  <si>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</si>
  <si>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</si>
  <si>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</si>
  <si>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</si>
  <si>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</si>
  <si>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</si>
  <si>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</si>
  <si>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</si>
  <si>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</si>
  <si>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</si>
  <si>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</si>
  <si>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</si>
  <si>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</si>
  <si>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</si>
  <si>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</si>
  <si>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</si>
  <si>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</si>
  <si>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</si>
  <si>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</si>
  <si>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</si>
  <si>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</si>
  <si>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</si>
  <si>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</si>
  <si>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</si>
  <si>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</si>
  <si>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</si>
  <si>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</si>
  <si>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</si>
  <si>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</si>
  <si>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</si>
  <si>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</si>
  <si>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</si>
  <si>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</si>
  <si>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</si>
  <si>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</si>
  <si>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</si>
  <si>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</si>
  <si>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</si>
  <si>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</si>
  <si>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</si>
  <si>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</si>
  <si>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</si>
  <si>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</si>
  <si>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</si>
  <si>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</si>
  <si>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</si>
  <si>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</si>
  <si>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</si>
  <si>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</si>
  <si>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</si>
  <si>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</si>
  <si>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</si>
  <si>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</si>
  <si>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</si>
  <si>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</si>
  <si>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</si>
  <si>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</si>
  <si>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</si>
  <si>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</si>
  <si>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</si>
  <si>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</si>
  <si>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</si>
  <si>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</si>
  <si>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</si>
  <si>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</si>
  <si>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</si>
  <si>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</si>
  <si>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</si>
  <si>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</si>
  <si>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</si>
  <si>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</si>
  <si>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</si>
  <si>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</si>
  <si>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</si>
  <si>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</si>
  <si>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</si>
  <si>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</si>
  <si>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</si>
  <si>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</si>
  <si>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</si>
  <si>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</si>
  <si>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</si>
  <si>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</si>
  <si>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</si>
  <si>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</si>
  <si>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</si>
  <si>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</si>
  <si>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</si>
  <si>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</si>
  <si>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</si>
  <si>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</si>
  <si>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</si>
  <si>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</si>
  <si>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</si>
  <si>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</si>
  <si>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</si>
  <si>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</si>
  <si>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</si>
  <si>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</si>
  <si>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</si>
  <si>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</si>
  <si>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</si>
  <si>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</si>
  <si>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</si>
  <si>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</si>
  <si>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</si>
  <si>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</si>
  <si>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</si>
  <si>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</si>
  <si>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</si>
  <si>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</si>
  <si>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</si>
  <si>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</si>
  <si>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</si>
  <si>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</si>
  <si>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</si>
  <si>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</si>
  <si>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</si>
  <si>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</si>
  <si>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</si>
  <si>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</si>
  <si>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</si>
  <si>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</si>
  <si>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</si>
  <si>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</si>
  <si>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</si>
  <si>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</si>
  <si>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</si>
  <si>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</si>
  <si>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</si>
  <si>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</si>
  <si>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</si>
  <si>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</si>
  <si>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</si>
  <si>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</si>
  <si>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</si>
  <si>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</si>
  <si>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</si>
  <si>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</si>
  <si>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</si>
  <si>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</si>
  <si>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</si>
  <si>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</si>
  <si>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</si>
  <si>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</si>
  <si>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</si>
  <si>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</si>
  <si>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</si>
  <si>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</si>
  <si>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</si>
  <si>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</si>
  <si>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</si>
  <si>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</si>
  <si>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</si>
  <si>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</si>
  <si>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</si>
  <si>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</si>
  <si>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</si>
  <si>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</si>
  <si>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</si>
  <si>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</si>
  <si>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</si>
  <si>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</si>
  <si>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</si>
  <si>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</si>
  <si>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</si>
  <si>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</si>
  <si>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</si>
  <si>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</si>
  <si>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</si>
  <si>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</si>
  <si>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</si>
  <si>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</si>
  <si>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</si>
  <si>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</si>
  <si>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</si>
  <si>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</si>
  <si>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</si>
  <si>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</si>
  <si>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</si>
  <si>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</si>
  <si>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</si>
  <si>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</si>
  <si>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</si>
  <si>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</si>
  <si>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</si>
  <si>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</si>
  <si>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</si>
  <si>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</si>
  <si>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</si>
  <si>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</si>
  <si>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</si>
  <si>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</si>
  <si>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</si>
  <si>
    <t>Double 6E</t>
  </si>
  <si>
    <t>Tuesday Double</t>
  </si>
  <si>
    <t>missed - travel</t>
  </si>
  <si>
    <t>missed - travel/wedding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</si>
</sst>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2">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0" borderId="0" xfId="0" applyFont="1" applyAlignment="1">
      <alignment horizont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28.5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39.65</c:v>
                </c:pt>
                <c:pt idx="19">
                  <c:v>28.5</c:v>
                </c:pt>
                <c:pt idx="20">
                  <c:v>28.5</c:v>
                </c:pt>
                <c:pt idx="21">
                  <c:v>28.5</c:v>
                </c:pt>
                <c:pt idx="22">
                  <c:v>20.350000000000001</c:v>
                </c:pt>
                <c:pt idx="23">
                  <c:v>12.12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47.43</c:v>
                </c:pt>
                <c:pt idx="19" formatCode="0">
                  <c:v>42.521428571428565</c:v>
                </c:pt>
                <c:pt idx="20" formatCode="0">
                  <c:v>38.471428571428575</c:v>
                </c:pt>
                <c:pt idx="21" formatCode="0">
                  <c:v>36.712857142857146</c:v>
                </c:pt>
                <c:pt idx="22" formatCode="0">
                  <c:v>33.487142857142857</c:v>
                </c:pt>
                <c:pt idx="23" formatCode="0">
                  <c:v>28.945714285714281</c:v>
                </c:pt>
                <c:pt idx="24" formatCode="0">
                  <c:v>22.517142857142858</c:v>
                </c:pt>
                <c:pt idx="25" formatCode="0">
                  <c:v>16.852857142857143</c:v>
                </c:pt>
                <c:pt idx="26" formatCode="0">
                  <c:v>12.781428571428572</c:v>
                </c:pt>
                <c:pt idx="27" formatCode="0">
                  <c:v>8.7099999999999991</c:v>
                </c:pt>
                <c:pt idx="28" formatCode="0">
                  <c:v>4.6385714285714288</c:v>
                </c:pt>
                <c:pt idx="29" formatCode="0">
                  <c:v>1.7314285714285713</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39.65</c:v>
                      </c:pt>
                      <c:pt idx="19">
                        <c:v>28.5</c:v>
                      </c:pt>
                      <c:pt idx="20">
                        <c:v>28.5</c:v>
                      </c:pt>
                      <c:pt idx="21">
                        <c:v>28.5</c:v>
                      </c:pt>
                      <c:pt idx="22">
                        <c:v>20.350000000000001</c:v>
                      </c:pt>
                      <c:pt idx="23">
                        <c:v>12.12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0" t="s">
        <v>1</v>
      </c>
      <c r="D1" s="871"/>
      <c r="E1" s="872"/>
      <c r="F1" s="3" t="s">
        <v>382</v>
      </c>
      <c r="G1" s="873" t="s">
        <v>453</v>
      </c>
      <c r="H1" s="873"/>
      <c r="I1" s="23" t="s">
        <v>2</v>
      </c>
      <c r="J1" s="873" t="s">
        <v>451</v>
      </c>
      <c r="K1" s="873"/>
      <c r="L1" s="874"/>
      <c r="M1" s="871"/>
      <c r="N1" s="872"/>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79" t="s">
        <v>5</v>
      </c>
      <c r="D2" s="875"/>
      <c r="E2" s="876"/>
      <c r="F2" s="7" t="s">
        <v>33</v>
      </c>
      <c r="G2" s="873" t="s">
        <v>452</v>
      </c>
      <c r="H2" s="873"/>
      <c r="I2" s="6"/>
      <c r="J2" s="4"/>
      <c r="L2" s="875"/>
      <c r="M2" s="875"/>
      <c r="N2" s="876"/>
      <c r="O2" s="16"/>
      <c r="P2" s="8"/>
      <c r="Q2" s="9"/>
      <c r="R2" s="4"/>
      <c r="S2" s="4"/>
      <c r="T2" s="4"/>
      <c r="U2" s="4"/>
      <c r="V2" s="4"/>
      <c r="W2" s="4"/>
      <c r="X2" s="4"/>
      <c r="Y2" s="4"/>
      <c r="Z2" s="4"/>
      <c r="AA2" s="4"/>
    </row>
    <row r="3" spans="1:27" ht="15.75" customHeight="1" x14ac:dyDescent="0.2">
      <c r="A3" s="10" t="s">
        <v>6</v>
      </c>
      <c r="B3" s="11">
        <v>45963</v>
      </c>
      <c r="C3" s="880" t="s">
        <v>7</v>
      </c>
      <c r="D3" s="877"/>
      <c r="E3" s="878"/>
      <c r="F3" s="7" t="s">
        <v>34</v>
      </c>
      <c r="G3" s="873" t="s">
        <v>449</v>
      </c>
      <c r="H3" s="873"/>
      <c r="I3" s="6"/>
      <c r="J3" s="4"/>
      <c r="L3" s="875"/>
      <c r="M3" s="875"/>
      <c r="N3" s="876"/>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7"/>
      <c r="M4" s="877"/>
      <c r="N4" s="87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8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8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8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8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8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8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8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8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8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8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8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8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8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8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8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8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8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8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8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8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8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8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8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8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8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8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8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8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8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8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8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8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8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8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8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8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8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8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8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8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8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8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8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8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8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8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8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8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8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8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8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8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8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8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8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8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8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8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8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8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8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8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8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8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8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8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8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8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8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8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8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O23" sqref="O2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0" t="s">
        <v>1</v>
      </c>
      <c r="D1" s="871"/>
      <c r="E1" s="872"/>
      <c r="F1" s="3" t="s">
        <v>382</v>
      </c>
      <c r="G1" s="873" t="s">
        <v>460</v>
      </c>
      <c r="H1" s="873"/>
      <c r="I1" s="23" t="s">
        <v>2</v>
      </c>
      <c r="J1" s="873" t="s">
        <v>462</v>
      </c>
      <c r="K1" s="873"/>
      <c r="L1" s="886"/>
      <c r="M1" s="871"/>
      <c r="N1" s="872"/>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79" t="s">
        <v>5</v>
      </c>
      <c r="D2" s="875"/>
      <c r="E2" s="876"/>
      <c r="F2" s="7" t="s">
        <v>33</v>
      </c>
      <c r="G2" s="873" t="s">
        <v>457</v>
      </c>
      <c r="H2" s="873"/>
      <c r="I2" s="6"/>
      <c r="J2" s="4"/>
      <c r="L2" s="875"/>
      <c r="M2" s="875"/>
      <c r="N2" s="876"/>
      <c r="O2" s="16"/>
      <c r="P2" s="8"/>
      <c r="Q2" s="9"/>
      <c r="R2" s="4"/>
      <c r="S2" s="4"/>
      <c r="T2" s="4"/>
      <c r="U2" s="4"/>
      <c r="V2" s="4"/>
      <c r="W2" s="4"/>
      <c r="X2" s="4"/>
      <c r="Y2" s="4"/>
      <c r="Z2" s="4"/>
      <c r="AA2" s="4"/>
      <c r="AB2" s="4"/>
    </row>
    <row r="3" spans="1:28" ht="15.75" customHeight="1" x14ac:dyDescent="0.2">
      <c r="A3" s="10" t="s">
        <v>6</v>
      </c>
      <c r="B3" s="11">
        <v>45942</v>
      </c>
      <c r="C3" s="880" t="s">
        <v>7</v>
      </c>
      <c r="D3" s="877"/>
      <c r="E3" s="878"/>
      <c r="F3" s="7" t="s">
        <v>34</v>
      </c>
      <c r="G3" s="873" t="s">
        <v>458</v>
      </c>
      <c r="H3" s="873"/>
      <c r="I3" s="6"/>
      <c r="J3" s="4"/>
      <c r="L3" s="875"/>
      <c r="M3" s="875"/>
      <c r="N3" s="876"/>
      <c r="O3" s="16"/>
      <c r="P3" s="6"/>
      <c r="Q3" s="4"/>
      <c r="R3" s="4"/>
      <c r="S3" s="4"/>
      <c r="T3" s="4"/>
      <c r="U3" s="4"/>
      <c r="V3" s="4"/>
      <c r="W3" s="4"/>
      <c r="X3" s="4"/>
      <c r="Y3" s="4"/>
      <c r="Z3" s="4"/>
      <c r="AA3" s="4"/>
      <c r="AB3" s="4"/>
    </row>
    <row r="4" spans="1:28" ht="15.75" customHeight="1" x14ac:dyDescent="0.2">
      <c r="A4" s="16"/>
      <c r="B4" s="6"/>
      <c r="C4" s="6"/>
      <c r="D4" s="6"/>
      <c r="E4" s="4"/>
      <c r="F4" s="12" t="s">
        <v>383</v>
      </c>
      <c r="G4" s="882" t="s">
        <v>461</v>
      </c>
      <c r="H4" s="882"/>
      <c r="I4" s="13"/>
      <c r="J4" s="850"/>
      <c r="K4" s="851"/>
      <c r="L4" s="877"/>
      <c r="M4" s="877"/>
      <c r="N4" s="878"/>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7"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7"/>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7"/>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7"/>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7"/>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7"/>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7"/>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85"/>
      <c r="B19" s="6">
        <v>116</v>
      </c>
      <c r="C19" s="17">
        <f t="shared" si="0"/>
        <v>45826</v>
      </c>
      <c r="D19" s="6" t="s">
        <v>34</v>
      </c>
      <c r="E19" s="4" t="s">
        <v>481</v>
      </c>
      <c r="F19" s="6">
        <v>6</v>
      </c>
      <c r="G19" s="6">
        <v>5.35</v>
      </c>
      <c r="H19" s="29">
        <v>2.7511574074074074E-2</v>
      </c>
      <c r="I19" s="6" t="str">
        <f t="shared" si="1"/>
        <v>7:24</v>
      </c>
      <c r="J19" s="29"/>
      <c r="K19" s="6"/>
      <c r="L19" s="6" t="str">
        <f t="shared" si="2"/>
        <v>0:00</v>
      </c>
      <c r="M19" s="6"/>
      <c r="N19" s="6"/>
      <c r="O19" s="16" t="s">
        <v>482</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85"/>
      <c r="B20" s="6">
        <v>115</v>
      </c>
      <c r="C20" s="17">
        <f t="shared" si="0"/>
        <v>45827</v>
      </c>
      <c r="D20" s="6" t="s">
        <v>27</v>
      </c>
      <c r="E20" s="4" t="s">
        <v>385</v>
      </c>
      <c r="F20" s="6">
        <v>8</v>
      </c>
      <c r="G20" s="869">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484</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483</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7"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7"/>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7"/>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7"/>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39.65</v>
      </c>
      <c r="U26" s="868">
        <f t="shared" si="4"/>
        <v>47.43</v>
      </c>
      <c r="V26" s="4">
        <v>70</v>
      </c>
      <c r="W26" s="4">
        <f t="shared" si="5"/>
        <v>69</v>
      </c>
      <c r="X26" s="868">
        <f t="shared" si="6"/>
        <v>71</v>
      </c>
      <c r="Y26" s="4"/>
      <c r="Z26" s="4"/>
      <c r="AA26" s="4"/>
      <c r="AB26" s="4"/>
    </row>
    <row r="27" spans="1:28" ht="15.75" customHeight="1" x14ac:dyDescent="0.2">
      <c r="A27" s="887"/>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0.72482638888888884</v>
      </c>
      <c r="Q27" s="865"/>
      <c r="R27" s="4"/>
      <c r="S27" s="4"/>
      <c r="T27" s="16">
        <f t="shared" si="3"/>
        <v>28.5</v>
      </c>
      <c r="U27" s="868">
        <f t="shared" si="4"/>
        <v>42.521428571428565</v>
      </c>
      <c r="V27" s="4">
        <v>70</v>
      </c>
      <c r="W27" s="4">
        <f t="shared" si="5"/>
        <v>76</v>
      </c>
      <c r="X27" s="868">
        <f t="shared" si="6"/>
        <v>72.571428571428569</v>
      </c>
      <c r="Y27" s="4"/>
      <c r="Z27" s="4"/>
      <c r="AA27" s="4"/>
      <c r="AB27" s="4"/>
    </row>
    <row r="28" spans="1:28" ht="15.75" customHeight="1" x14ac:dyDescent="0.2">
      <c r="A28" s="887"/>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0.14488425925925924</v>
      </c>
      <c r="O28" s="858"/>
      <c r="P28" s="863">
        <f>N29+P21</f>
        <v>128.1</v>
      </c>
      <c r="Q28" s="866"/>
      <c r="R28" s="4"/>
      <c r="S28" s="16"/>
      <c r="T28" s="16">
        <f t="shared" si="3"/>
        <v>28.5</v>
      </c>
      <c r="U28" s="868">
        <f t="shared" si="4"/>
        <v>38.471428571428575</v>
      </c>
      <c r="V28" s="4">
        <v>70</v>
      </c>
      <c r="W28" s="4">
        <f t="shared" si="5"/>
        <v>63</v>
      </c>
      <c r="X28" s="868">
        <f t="shared" si="6"/>
        <v>70.428571428571431</v>
      </c>
      <c r="Y28" s="4"/>
      <c r="Z28" s="4"/>
      <c r="AA28" s="4"/>
      <c r="AB28" s="4"/>
    </row>
    <row r="29" spans="1:28" ht="15.75" customHeight="1" x14ac:dyDescent="0.2">
      <c r="A29" s="887"/>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28.5</v>
      </c>
      <c r="O29" s="858"/>
      <c r="P29" s="863">
        <f>M29+P22</f>
        <v>206</v>
      </c>
      <c r="Q29" s="862">
        <f>P28/P29</f>
        <v>0.62184466019417473</v>
      </c>
      <c r="R29" s="4"/>
      <c r="T29" s="16">
        <f t="shared" si="3"/>
        <v>28.5</v>
      </c>
      <c r="U29" s="868">
        <f t="shared" si="4"/>
        <v>36.712857142857146</v>
      </c>
      <c r="V29" s="4">
        <v>70</v>
      </c>
      <c r="W29" s="4">
        <f t="shared" si="5"/>
        <v>73</v>
      </c>
      <c r="X29" s="868">
        <f t="shared" si="6"/>
        <v>70.857142857142861</v>
      </c>
      <c r="Y29" s="4"/>
      <c r="Z29" s="4"/>
      <c r="AA29" s="4"/>
      <c r="AB29" s="4"/>
    </row>
    <row r="30" spans="1:28" ht="15.75" customHeight="1" x14ac:dyDescent="0.2">
      <c r="A30" s="885"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20.350000000000001</v>
      </c>
      <c r="U30" s="868">
        <f t="shared" si="4"/>
        <v>33.487142857142857</v>
      </c>
      <c r="V30" s="4">
        <v>70</v>
      </c>
      <c r="W30" s="4">
        <f t="shared" si="5"/>
        <v>71</v>
      </c>
      <c r="X30" s="868">
        <f t="shared" si="6"/>
        <v>70.714285714285708</v>
      </c>
      <c r="Y30" s="4"/>
      <c r="Z30" s="4"/>
      <c r="AA30" s="4"/>
      <c r="AB30" s="4"/>
    </row>
    <row r="31" spans="1:28" ht="15.75" customHeight="1" x14ac:dyDescent="0.2">
      <c r="A31" s="885"/>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12.12</v>
      </c>
      <c r="U31" s="868">
        <f t="shared" si="4"/>
        <v>28.945714285714281</v>
      </c>
      <c r="V31" s="4">
        <v>70</v>
      </c>
      <c r="W31" s="4">
        <f t="shared" si="5"/>
        <v>69</v>
      </c>
      <c r="X31" s="868">
        <f t="shared" si="6"/>
        <v>70</v>
      </c>
      <c r="Y31" s="4"/>
      <c r="Z31" s="4"/>
      <c r="AA31" s="4"/>
      <c r="AB31" s="4"/>
    </row>
    <row r="32" spans="1:28" ht="15.75" customHeight="1" x14ac:dyDescent="0.2">
      <c r="A32" s="885"/>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22.517142857142858</v>
      </c>
      <c r="V32" s="4">
        <v>70</v>
      </c>
      <c r="W32" s="4">
        <f t="shared" si="5"/>
        <v>75</v>
      </c>
      <c r="X32" s="868">
        <f t="shared" si="6"/>
        <v>70.857142857142861</v>
      </c>
      <c r="Y32" s="4"/>
      <c r="Z32" s="4"/>
      <c r="AA32" s="4"/>
      <c r="AB32" s="4"/>
    </row>
    <row r="33" spans="1:28" ht="15.75" customHeight="1" x14ac:dyDescent="0.2">
      <c r="A33" s="885"/>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16.852857142857143</v>
      </c>
      <c r="V33" s="4">
        <v>70</v>
      </c>
      <c r="W33" s="4">
        <f t="shared" si="5"/>
        <v>75</v>
      </c>
      <c r="X33" s="868">
        <f t="shared" si="6"/>
        <v>71.714285714285708</v>
      </c>
      <c r="Y33" s="4"/>
      <c r="Z33" s="4"/>
      <c r="AA33" s="4"/>
      <c r="AB33" s="4"/>
    </row>
    <row r="34" spans="1:28" ht="15.75" customHeight="1" x14ac:dyDescent="0.2">
      <c r="A34" s="885"/>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0.72482638888888884</v>
      </c>
      <c r="Q34" s="865"/>
      <c r="R34" s="4"/>
      <c r="T34" s="16">
        <f t="shared" si="3"/>
        <v>0</v>
      </c>
      <c r="U34" s="868">
        <f t="shared" si="4"/>
        <v>12.781428571428572</v>
      </c>
      <c r="V34" s="4">
        <v>70</v>
      </c>
      <c r="W34" s="4">
        <f t="shared" si="5"/>
        <v>70</v>
      </c>
      <c r="X34" s="868">
        <f t="shared" si="6"/>
        <v>70.857142857142861</v>
      </c>
      <c r="Y34" s="4"/>
      <c r="Z34" s="4"/>
      <c r="AA34" s="4"/>
      <c r="AB34" s="4"/>
    </row>
    <row r="35" spans="1:28" ht="15.75" customHeight="1" x14ac:dyDescent="0.2">
      <c r="A35" s="885"/>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128.1</v>
      </c>
      <c r="Q35" s="866"/>
      <c r="R35" s="4"/>
      <c r="T35" s="16">
        <f t="shared" si="3"/>
        <v>0</v>
      </c>
      <c r="U35" s="868">
        <f t="shared" si="4"/>
        <v>8.7099999999999991</v>
      </c>
      <c r="V35" s="4">
        <v>70</v>
      </c>
      <c r="W35" s="4">
        <f t="shared" si="5"/>
        <v>82</v>
      </c>
      <c r="X35" s="868">
        <f t="shared" si="6"/>
        <v>73.571428571428569</v>
      </c>
      <c r="Y35" s="4"/>
      <c r="Z35" s="4"/>
      <c r="AA35" s="4"/>
      <c r="AB35" s="4"/>
    </row>
    <row r="36" spans="1:28" ht="15.75" customHeight="1" x14ac:dyDescent="0.2">
      <c r="A36" s="885"/>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0.45749999999999996</v>
      </c>
      <c r="R36" s="4"/>
      <c r="T36" s="16">
        <f t="shared" si="3"/>
        <v>0</v>
      </c>
      <c r="U36" s="868">
        <f t="shared" si="4"/>
        <v>4.6385714285714288</v>
      </c>
      <c r="V36" s="4">
        <v>70</v>
      </c>
      <c r="W36" s="4">
        <f t="shared" si="5"/>
        <v>74</v>
      </c>
      <c r="X36" s="868">
        <f t="shared" si="6"/>
        <v>73.714285714285708</v>
      </c>
      <c r="Y36" s="4"/>
      <c r="Z36" s="4"/>
      <c r="AA36" s="4"/>
      <c r="AB36" s="4"/>
    </row>
    <row r="37" spans="1:28" ht="15.75" customHeight="1" x14ac:dyDescent="0.2">
      <c r="A37" s="887"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1.7314285714285713</v>
      </c>
      <c r="V37" s="4">
        <v>70</v>
      </c>
      <c r="W37" s="4">
        <f t="shared" si="5"/>
        <v>74</v>
      </c>
      <c r="X37" s="868">
        <f t="shared" si="6"/>
        <v>74.142857142857139</v>
      </c>
      <c r="Y37" s="4"/>
      <c r="Z37" s="4"/>
      <c r="AA37" s="4"/>
      <c r="AB37" s="4"/>
    </row>
    <row r="38" spans="1:28" ht="15.75" customHeight="1" x14ac:dyDescent="0.2">
      <c r="A38" s="887"/>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
      <c r="A39" s="887"/>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
      <c r="A40" s="887"/>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7"/>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0.72482638888888884</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7"/>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128.1</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7"/>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0.36392045454545452</v>
      </c>
      <c r="R43" s="4"/>
      <c r="T43" s="16">
        <f t="shared" si="3"/>
        <v>0</v>
      </c>
      <c r="U43" s="868">
        <f t="shared" si="4"/>
        <v>0</v>
      </c>
      <c r="V43" s="4">
        <v>70</v>
      </c>
      <c r="W43" s="4">
        <f t="shared" si="5"/>
        <v>72</v>
      </c>
      <c r="X43" s="868">
        <f t="shared" si="6"/>
        <v>73</v>
      </c>
      <c r="Y43" s="4"/>
      <c r="Z43" s="4"/>
      <c r="AA43" s="4"/>
      <c r="AB43" s="4"/>
    </row>
    <row r="44" spans="1:28" ht="15.75" customHeight="1" x14ac:dyDescent="0.2">
      <c r="A44" s="885"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85"/>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85"/>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85"/>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85"/>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0.72482638888888884</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85"/>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128.1</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85"/>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0.30427553444180522</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7"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7"/>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7"/>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7"/>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7"/>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0.72482638888888884</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7"/>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128.1</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7"/>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0.255688622754491</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85"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85"/>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85"/>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85"/>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85"/>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0.72482638888888884</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85"/>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128.1</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85"/>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0.22356020942408375</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7"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7"/>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7"/>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7"/>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7"/>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0.72482638888888884</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7"/>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128.1</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7"/>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0.20141509433962262</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85"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85"/>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85"/>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85"/>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85"/>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0.72482638888888884</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85"/>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128.1</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85"/>
      <c r="B78" s="6">
        <v>57</v>
      </c>
      <c r="C78" s="17">
        <f t="shared" si="0"/>
        <v>45885</v>
      </c>
      <c r="D78" s="6" t="s">
        <v>30</v>
      </c>
      <c r="E78" s="4" t="s">
        <v>480</v>
      </c>
      <c r="F78" s="6">
        <f>5+6+1+5+3</f>
        <v>20</v>
      </c>
      <c r="G78" s="6"/>
      <c r="H78" s="29"/>
      <c r="I78" s="6" t="str">
        <f t="shared" si="8"/>
        <v>0:00</v>
      </c>
      <c r="J78" s="29"/>
      <c r="K78" s="6"/>
      <c r="L78" s="6" t="str">
        <f t="shared" si="2"/>
        <v>0:00</v>
      </c>
      <c r="M78" s="4">
        <f>SUM(F72:F78)</f>
        <v>80</v>
      </c>
      <c r="N78" s="6">
        <f>SUM(G72:G78)</f>
        <v>0</v>
      </c>
      <c r="O78" s="16"/>
      <c r="P78" s="863">
        <f>M78+P71</f>
        <v>716</v>
      </c>
      <c r="Q78" s="862">
        <f>P77/P78</f>
        <v>0.17891061452513965</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7"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7"/>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7"/>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7"/>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7"/>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0.72482638888888884</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7"/>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128.1</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7"/>
      <c r="B85" s="854">
        <v>50</v>
      </c>
      <c r="C85" s="855">
        <f t="shared" si="0"/>
        <v>45892</v>
      </c>
      <c r="D85" s="854" t="s">
        <v>30</v>
      </c>
      <c r="E85" s="856" t="s">
        <v>479</v>
      </c>
      <c r="F85" s="854">
        <v>18</v>
      </c>
      <c r="G85" s="854"/>
      <c r="H85" s="857"/>
      <c r="I85" s="854" t="str">
        <f t="shared" si="8"/>
        <v>0:00</v>
      </c>
      <c r="J85" s="854"/>
      <c r="K85" s="854"/>
      <c r="L85" s="854" t="str">
        <f t="shared" si="2"/>
        <v>0:00</v>
      </c>
      <c r="M85" s="856">
        <f>SUM(F79:F85)</f>
        <v>74</v>
      </c>
      <c r="N85" s="854">
        <f>SUM(G79:G85)</f>
        <v>0</v>
      </c>
      <c r="O85" s="858"/>
      <c r="P85" s="863">
        <f>M85+P78</f>
        <v>790</v>
      </c>
      <c r="Q85" s="862">
        <f>P84/P85</f>
        <v>0.16215189873417721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85"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85"/>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85"/>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85"/>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0.72482638888888884</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128.1</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85"/>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0.14860788863109048</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7"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7"/>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7"/>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7"/>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7"/>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0.72482638888888884</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7"/>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128.1</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7"/>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0.13598726114649681</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85"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85"/>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85"/>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85"/>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85"/>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0.72482638888888884</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85"/>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128.1</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85"/>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0.12608267716535432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7"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7"/>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7"/>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7"/>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7"/>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0.72482638888888884</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7"/>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128.1</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7"/>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0.11817343173431734</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85"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85"/>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85"/>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85"/>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85"/>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0.72482638888888884</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85"/>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128.1</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85"/>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0.11139130434782608</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7"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7"/>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7"/>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7"/>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7"/>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0.72482638888888884</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7"/>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128.1</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7"/>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0.10604304635761588</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85"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85"/>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85"/>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85"/>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85"/>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0.72482638888888884</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85"/>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128.1</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85"/>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0.10223463687150837</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opLeftCell="J7" workbookViewId="0">
      <selection activeCell="J3" sqref="J3"/>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28.5</v>
      </c>
      <c r="L5" s="838">
        <f>(K5-K4)/((K5+K4)/2)*100</f>
        <v>-35.521569759053534</v>
      </c>
    </row>
    <row r="6" spans="1:12" x14ac:dyDescent="0.2">
      <c r="A6">
        <v>4</v>
      </c>
      <c r="B6">
        <v>15</v>
      </c>
      <c r="C6">
        <v>0.9</v>
      </c>
      <c r="D6">
        <v>0.9</v>
      </c>
      <c r="E6">
        <v>0.9</v>
      </c>
      <c r="G6">
        <f t="shared" si="1"/>
        <v>49.5</v>
      </c>
      <c r="H6">
        <f t="shared" si="0"/>
        <v>63</v>
      </c>
      <c r="I6">
        <f t="shared" si="2"/>
        <v>72</v>
      </c>
      <c r="K6">
        <f>'2Q - 80'!N36</f>
        <v>0</v>
      </c>
      <c r="L6" s="838">
        <f>(K6-K5)/((K6+K5)/2)*100</f>
        <v>-200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Mileage'!G3 - ('Q Sessions'!D3+'Q Sessions'!D4)</f>
        <v>12</v>
      </c>
      <c r="I3" s="890">
        <v>18</v>
      </c>
      <c r="J3" s="825" t="s">
        <v>314</v>
      </c>
      <c r="K3" s="825" t="s">
        <v>390</v>
      </c>
      <c r="L3">
        <v>18</v>
      </c>
      <c r="M3" s="891">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Mileage'!G5 - ('Q Sessions'!D5+'Q Sessions'!D6)</f>
        <v>24.375</v>
      </c>
      <c r="I5" s="890">
        <v>17</v>
      </c>
      <c r="J5" s="825" t="s">
        <v>314</v>
      </c>
      <c r="K5" s="825" t="s">
        <v>392</v>
      </c>
      <c r="L5">
        <v>18</v>
      </c>
      <c r="M5" s="891">
        <f>'Daniel''s Mileage'!I4 -(L5+L6)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Mileage'!G7 - ('Q Sessions'!D7+'Q Sessions'!D8)</f>
        <v>20.5</v>
      </c>
      <c r="I7" s="890">
        <v>16</v>
      </c>
      <c r="J7" s="825" t="s">
        <v>314</v>
      </c>
      <c r="K7" s="825" t="s">
        <v>393</v>
      </c>
      <c r="L7">
        <v>18</v>
      </c>
      <c r="M7" s="891">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Mileage'!G9 - ('Q Sessions'!D9+'Q Sessions'!D10)</f>
        <v>24.666666666666668</v>
      </c>
      <c r="I9" s="890">
        <v>15</v>
      </c>
      <c r="J9" s="825" t="s">
        <v>314</v>
      </c>
      <c r="K9" s="825" t="s">
        <v>395</v>
      </c>
      <c r="L9">
        <v>18</v>
      </c>
      <c r="M9" s="891">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Mileage'!G11 - ('Q Sessions'!D11+'Q Sessions'!D12)</f>
        <v>19.75</v>
      </c>
      <c r="I11" s="890">
        <v>14</v>
      </c>
      <c r="J11" s="825" t="s">
        <v>314</v>
      </c>
      <c r="K11" s="825" t="s">
        <v>400</v>
      </c>
      <c r="L11">
        <v>18</v>
      </c>
      <c r="M11" s="891">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Mileage'!G13 - ('Q Sessions'!D13+'Q Sessions'!D14)</f>
        <v>23.666666666666668</v>
      </c>
      <c r="I13" s="890">
        <v>13</v>
      </c>
      <c r="J13" s="825" t="s">
        <v>314</v>
      </c>
      <c r="K13" s="825" t="s">
        <v>397</v>
      </c>
      <c r="L13">
        <v>19</v>
      </c>
      <c r="M13" s="891">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Mileage'!G15 - ('Q Sessions'!D15+'Q Sessions'!D16)</f>
        <v>24</v>
      </c>
      <c r="I15" s="890">
        <v>12</v>
      </c>
      <c r="J15" s="825" t="s">
        <v>314</v>
      </c>
      <c r="K15" s="825" t="s">
        <v>402</v>
      </c>
      <c r="L15">
        <v>19</v>
      </c>
      <c r="M15" s="891">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Mileage'!G17 - ('Q Sessions'!D17+'Q Sessions'!D18)</f>
        <v>20.375</v>
      </c>
      <c r="I17" s="890">
        <v>11</v>
      </c>
      <c r="J17" s="825" t="s">
        <v>314</v>
      </c>
      <c r="K17" s="825" t="s">
        <v>404</v>
      </c>
      <c r="L17">
        <v>19</v>
      </c>
      <c r="M17" s="891">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Mileage'!G19 - ('Q Sessions'!D19+'Q Sessions'!D20)</f>
        <v>10</v>
      </c>
      <c r="I19" s="890">
        <v>10</v>
      </c>
      <c r="J19" s="825" t="s">
        <v>314</v>
      </c>
      <c r="K19" s="825" t="s">
        <v>411</v>
      </c>
      <c r="L19">
        <v>20</v>
      </c>
      <c r="M19" s="891">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Mileage'!G21 - ('Q Sessions'!D21+'Q Sessions'!D22)</f>
        <v>-31</v>
      </c>
      <c r="I21" s="890">
        <v>9</v>
      </c>
      <c r="J21" s="825" t="s">
        <v>314</v>
      </c>
      <c r="K21" s="825" t="s">
        <v>407</v>
      </c>
      <c r="L21">
        <v>18</v>
      </c>
      <c r="M21" s="891">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Mileage'!G23 - ('Q Sessions'!D23+'Q Sessions'!D24)</f>
        <v>-30.321428571428569</v>
      </c>
      <c r="I23" s="890">
        <v>8</v>
      </c>
      <c r="J23" s="825" t="s">
        <v>314</v>
      </c>
      <c r="K23" s="825" t="s">
        <v>409</v>
      </c>
      <c r="L23">
        <v>18</v>
      </c>
      <c r="M23" s="891">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Mileage'!G25 - ('Q Sessions'!D25+'Q Sessions'!D26)</f>
        <v>-36</v>
      </c>
      <c r="I25" s="890">
        <v>7</v>
      </c>
      <c r="J25" s="825" t="s">
        <v>314</v>
      </c>
      <c r="K25" s="825" t="s">
        <v>411</v>
      </c>
      <c r="L25">
        <v>20</v>
      </c>
      <c r="M25" s="891">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Mileage'!G27 - ('Q Sessions'!D27+'Q Sessions'!D28)</f>
        <v>-33.333333333333329</v>
      </c>
      <c r="I27" s="890">
        <v>6</v>
      </c>
      <c r="J27" s="825" t="s">
        <v>314</v>
      </c>
      <c r="K27" s="825" t="s">
        <v>413</v>
      </c>
      <c r="L27">
        <v>18</v>
      </c>
      <c r="M27" s="891">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Mileage'!G29 - ('Q Sessions'!D29+'Q Sessions'!D30)</f>
        <v>-29.875</v>
      </c>
      <c r="I29" s="890">
        <v>5</v>
      </c>
      <c r="J29" s="825" t="s">
        <v>314</v>
      </c>
      <c r="K29" s="825" t="s">
        <v>415</v>
      </c>
      <c r="L29">
        <v>16</v>
      </c>
      <c r="M29" s="891">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Mileage'!G31 - ('Q Sessions'!D31+'Q Sessions'!D32)</f>
        <v>-33.125</v>
      </c>
      <c r="I31" s="890">
        <v>4</v>
      </c>
      <c r="J31" s="825" t="s">
        <v>314</v>
      </c>
      <c r="K31" s="825" t="s">
        <v>393</v>
      </c>
      <c r="L31">
        <v>18</v>
      </c>
      <c r="M31" s="891">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Mileage'!G33 - ('Q Sessions'!D33+'Q Sessions'!D34)</f>
        <v>-29</v>
      </c>
      <c r="I33" s="890">
        <v>3</v>
      </c>
      <c r="J33" s="825" t="s">
        <v>314</v>
      </c>
      <c r="K33" s="825" t="s">
        <v>418</v>
      </c>
      <c r="L33">
        <v>18</v>
      </c>
      <c r="M33" s="891">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Mileage'!G35 - ('Q Sessions'!D35+'Q Sessions'!D36)</f>
        <v>-26</v>
      </c>
      <c r="I35" s="890">
        <v>2</v>
      </c>
      <c r="J35" s="825" t="s">
        <v>314</v>
      </c>
      <c r="K35" s="825" t="s">
        <v>419</v>
      </c>
      <c r="L35">
        <v>16</v>
      </c>
      <c r="M35" s="891">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77.26%</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925">
        <f>IF(AND($E$6&gt;0,$G$6&gt;0),(-4.6 + 0.182258 * (F8/G6/1440) + 0.000104 *(F8/G6/1440)^2)/D9,1)</f>
        <v>61.522215640700502</v>
      </c>
      <c r="J6" s="926"/>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0.92209332497414398</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7" t="s">
        <v>92</v>
      </c>
      <c r="N27" s="948"/>
      <c r="O27" s="948"/>
      <c r="P27" s="948"/>
      <c r="Q27" s="948"/>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2.1136921503280112E-3</v>
      </c>
      <c r="C60" s="96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2.2873032614391222E-3</v>
      </c>
      <c r="C61" s="97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2.4966039334112667E-3</v>
      </c>
      <c r="C62" s="97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2.1543769160467831E-3</v>
      </c>
      <c r="C63" s="97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005">
        <f>IF($L$58, P15,P14)</f>
        <v>2.3060087674508984E-3</v>
      </c>
      <c r="C64" s="1006"/>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2.4039351842669978E-3</v>
      </c>
      <c r="C65" s="1008"/>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2.4039351851851853E-2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3.8687586666666671E-3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4.017894560611821E-3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50" t="s">
        <v>206</v>
      </c>
      <c r="N83" s="1051"/>
      <c r="O83" s="499">
        <f ca="1">ABS(IF($O$85="yes",$O$74-$O$84,0))</f>
        <v>2.4199614197532165E-5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2" t="str">
        <f>IF(M100,"Age Grade Equivalent","No Age Grading")</f>
        <v>Age Grade Equivalent</v>
      </c>
      <c r="N84" s="1073"/>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3.4610580970427136E-3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6" t="str">
        <f>IF(M101,"Weight Adjusted Time","No Weight Grading")</f>
        <v>Weight Adjusted Time</v>
      </c>
      <c r="N91" s="1087"/>
      <c r="O91" s="545">
        <f ca="1">IF(AND($N$89&gt;0,$N$90&gt;0,$N$90&lt;&gt;"",$M$101),$O$84*(IF(N89&gt;=MIN(D98,F100,C3),$N$89,MIN(F100,D98,C3))/C3)^$I$93,O84)</f>
        <v>2.0554094140611608E-2</v>
      </c>
      <c r="P91" s="546" t="s">
        <v>218</v>
      </c>
      <c r="Q91" s="547" t="s">
        <v>99</v>
      </c>
      <c r="R91" s="548" t="s">
        <v>101</v>
      </c>
    </row>
    <row r="92" spans="2:23" ht="13.5" thickBot="1" x14ac:dyDescent="0.25">
      <c r="B92" s="1088" t="str">
        <f>IF($L$88,"Est Pace / km","Est Pace / mile")</f>
        <v>Est Pace / mile</v>
      </c>
      <c r="C92" s="1089"/>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2.4199614197532165E-5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3.4610580970427136E-3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6.6608974596373417E-4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2.1220183886575341E-2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34.616666666666667</v>
      </c>
      <c r="J104" s="1180"/>
      <c r="K104" s="1181">
        <f>G104/I104</f>
        <v>288.87818969667791</v>
      </c>
      <c r="L104" s="1182"/>
      <c r="M104" s="1183" t="str">
        <f>E6&amp;IF($L$80," Pace / km"," Pace / mile")</f>
        <v>10k Pace / mile</v>
      </c>
      <c r="N104" s="1184"/>
      <c r="O104" s="600">
        <f ca="1">O103/IF(L80,F8/1000,D8)</f>
        <v>3.4150575616756708E-3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4.537011049909963E-4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170</v>
      </c>
      <c r="D113" s="669" t="s">
        <v>255</v>
      </c>
      <c r="E113" s="668">
        <v>50</v>
      </c>
      <c r="F113" s="669" t="s">
        <v>256</v>
      </c>
      <c r="G113" s="668">
        <v>149</v>
      </c>
      <c r="H113" s="670" t="s">
        <v>17</v>
      </c>
      <c r="I113" s="671">
        <v>0.33124999999999999</v>
      </c>
      <c r="J113" s="1194" t="str">
        <f>"vVO2max  =  "&amp;TEXT(I113*(G113-E113)/(C113-E113),"h:mm")</f>
        <v>vVO2max  =  6:33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6.6608974596373417E-4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2025-06-24T21:50:16Z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