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FDBB55DC-2829-484C-943A-BB010358BEB2}" xr6:coauthVersionLast="47" xr6:coauthVersionMax="47" xr10:uidLastSave="{00000000-0000-0000-0000-000000000000}"/>
  <bookViews>
    <workbookView xWindow="-120" yWindow="-120" windowWidth="29040" windowHeight="1572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0" i="9" l="1"/>
  <c r="AA127" i="9"/>
  <c r="J125" i="9"/>
  <c r="H125" i="9"/>
  <c r="H123" i="9"/>
  <c r="G123" i="9"/>
  <c r="K123" i="9"/>
  <c r="J123" i="9"/>
  <c r="K119" i="9"/>
  <c r="J119" i="9"/>
  <c r="K116" i="9" l="1"/>
  <c r="J116" i="9"/>
  <c r="K111" i="9"/>
  <c r="J111" i="9"/>
  <c r="J109" i="9"/>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33" i="9"/>
  <c r="AB133" i="9" s="1"/>
  <c r="AA134" i="9"/>
  <c r="AB134" i="9" s="1"/>
  <c r="AA135" i="9"/>
  <c r="AB135" i="9"/>
  <c r="H39" i="9"/>
  <c r="G39" i="9"/>
  <c r="K35" i="9"/>
  <c r="G34" i="9"/>
  <c r="G33" i="9"/>
  <c r="K32" i="9"/>
  <c r="M35" i="8" l="1"/>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X69" i="9" l="1"/>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AA118" i="9" s="1"/>
  <c r="AB118" i="9" s="1"/>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AA125" i="9" s="1"/>
  <c r="AB125" i="9" s="1"/>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AA122" i="9" s="1"/>
  <c r="AB122" i="9" s="1"/>
  <c r="Z79" i="9"/>
  <c r="AA79" i="9" s="1"/>
  <c r="AB79" i="9" s="1"/>
  <c r="Z113" i="9"/>
  <c r="AA113" i="9" s="1"/>
  <c r="AB113" i="9" s="1"/>
  <c r="Z27" i="9"/>
  <c r="AA27" i="9" s="1"/>
  <c r="AB27" i="9" s="1"/>
  <c r="Z121" i="9"/>
  <c r="AA121" i="9" s="1"/>
  <c r="AB121" i="9" s="1"/>
  <c r="Z112" i="9"/>
  <c r="AA112" i="9" s="1"/>
  <c r="AB112" i="9" s="1"/>
  <c r="Z83" i="9"/>
  <c r="AA83" i="9" s="1"/>
  <c r="AB83" i="9" s="1"/>
  <c r="Z20" i="9"/>
  <c r="AA20" i="9" s="1"/>
  <c r="AB20" i="9" s="1"/>
  <c r="Z22" i="9"/>
  <c r="Z51" i="9"/>
  <c r="AA51" i="9" s="1"/>
  <c r="AB51" i="9" s="1"/>
  <c r="Z134" i="9"/>
  <c r="Z78" i="9"/>
  <c r="Z49" i="9"/>
  <c r="AA49" i="9" s="1"/>
  <c r="AB49" i="9" s="1"/>
  <c r="Z135" i="9"/>
  <c r="Z108" i="9"/>
  <c r="AA108" i="9" s="1"/>
  <c r="AB108" i="9" s="1"/>
  <c r="Z19" i="9"/>
  <c r="AA19" i="9" s="1"/>
  <c r="AB19" i="9" s="1"/>
  <c r="AC25" i="9" s="1"/>
  <c r="Z87" i="9"/>
  <c r="AA87" i="9" s="1"/>
  <c r="AB87" i="9" s="1"/>
  <c r="Z8" i="9"/>
  <c r="AA8" i="9" s="1"/>
  <c r="AB8" i="9" s="1"/>
  <c r="Z124" i="9"/>
  <c r="AA124" i="9" s="1"/>
  <c r="AB124" i="9" s="1"/>
  <c r="Z58" i="9"/>
  <c r="AA58" i="9" s="1"/>
  <c r="AB58" i="9" s="1"/>
  <c r="Z50" i="9"/>
  <c r="AA50" i="9" s="1"/>
  <c r="AB50" i="9" s="1"/>
  <c r="Z67" i="9"/>
  <c r="AA67" i="9" s="1"/>
  <c r="AB67" i="9" s="1"/>
  <c r="Z82" i="9"/>
  <c r="AA82" i="9" s="1"/>
  <c r="AB82" i="9" s="1"/>
  <c r="Z119" i="9"/>
  <c r="AA119" i="9" s="1"/>
  <c r="AB119" i="9" s="1"/>
  <c r="Z102" i="9"/>
  <c r="AA102" i="9" s="1"/>
  <c r="AB102" i="9" s="1"/>
  <c r="Z132" i="9"/>
  <c r="AA132" i="9" s="1"/>
  <c r="AB132" i="9" s="1"/>
  <c r="Z111" i="9"/>
  <c r="AA111" i="9" s="1"/>
  <c r="AB111" i="9" s="1"/>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AA130" i="9" s="1"/>
  <c r="AB130" i="9" s="1"/>
  <c r="Z80" i="9"/>
  <c r="AA80" i="9" s="1"/>
  <c r="AB80" i="9" s="1"/>
  <c r="Z81" i="9"/>
  <c r="AA81" i="9" s="1"/>
  <c r="AB81" i="9" s="1"/>
  <c r="Z34" i="9"/>
  <c r="AA34" i="9" s="1"/>
  <c r="AB34" i="9" s="1"/>
  <c r="Z21" i="9"/>
  <c r="Z123" i="9"/>
  <c r="AA123" i="9" s="1"/>
  <c r="AB123" i="9" s="1"/>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AA131" i="9" s="1"/>
  <c r="AB131" i="9" s="1"/>
  <c r="Z92" i="9"/>
  <c r="AA92" i="9" s="1"/>
  <c r="AB92" i="9" s="1"/>
  <c r="Z44" i="9"/>
  <c r="AA44" i="9" s="1"/>
  <c r="AB44" i="9" s="1"/>
  <c r="Z47" i="9"/>
  <c r="AA47" i="9" s="1"/>
  <c r="AB47" i="9" s="1"/>
  <c r="Z114" i="9"/>
  <c r="AA114" i="9" s="1"/>
  <c r="AB114" i="9" s="1"/>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AA115" i="9" s="1"/>
  <c r="AB115" i="9" s="1"/>
  <c r="Z74" i="9"/>
  <c r="AA74" i="9" s="1"/>
  <c r="AB74" i="9" s="1"/>
  <c r="Z25" i="9"/>
  <c r="AA25" i="9" s="1"/>
  <c r="AB25" i="9" s="1"/>
  <c r="Z126" i="9"/>
  <c r="AA126" i="9" s="1"/>
  <c r="AB126" i="9" s="1"/>
  <c r="Z129" i="9"/>
  <c r="AA129" i="9" s="1"/>
  <c r="AB129" i="9" s="1"/>
  <c r="Z98" i="9"/>
  <c r="AA98" i="9" s="1"/>
  <c r="AB98" i="9" s="1"/>
  <c r="Z35" i="9"/>
  <c r="AA35" i="9" s="1"/>
  <c r="AB35" i="9" s="1"/>
  <c r="Z10" i="9"/>
  <c r="AA10" i="9" s="1"/>
  <c r="AB10" i="9" s="1"/>
  <c r="Z63" i="9"/>
  <c r="AA63" i="9" s="1"/>
  <c r="AB63" i="9" s="1"/>
  <c r="Z127" i="9"/>
  <c r="AB127" i="9" s="1"/>
  <c r="Z31" i="9"/>
  <c r="AA31" i="9" s="1"/>
  <c r="AB31" i="9" s="1"/>
  <c r="Z48" i="9"/>
  <c r="AA48" i="9" s="1"/>
  <c r="AB48" i="9" s="1"/>
  <c r="Z65" i="9"/>
  <c r="AA65" i="9" s="1"/>
  <c r="AB65" i="9" s="1"/>
  <c r="Z70" i="9"/>
  <c r="AA70" i="9" s="1"/>
  <c r="AB70" i="9" s="1"/>
  <c r="Z71" i="9"/>
  <c r="AA71" i="9" s="1"/>
  <c r="AB71" i="9" s="1"/>
  <c r="Z116" i="9"/>
  <c r="AA116" i="9" s="1"/>
  <c r="AB116" i="9" s="1"/>
  <c r="Z117" i="9"/>
  <c r="AA117" i="9" s="1"/>
  <c r="AB117" i="9" s="1"/>
  <c r="Z56" i="9"/>
  <c r="AA56" i="9" s="1"/>
  <c r="AB56" i="9" s="1"/>
  <c r="Z69" i="9"/>
  <c r="AA69" i="9" s="1"/>
  <c r="AB69" i="9" s="1"/>
  <c r="Z120" i="9"/>
  <c r="AA120" i="9" s="1"/>
  <c r="AB120" i="9" s="1"/>
  <c r="Z46" i="9"/>
  <c r="AA46" i="9" s="1"/>
  <c r="AB46" i="9" s="1"/>
  <c r="Z36" i="9"/>
  <c r="AA36" i="9" s="1"/>
  <c r="AB36" i="9" s="1"/>
  <c r="Z128" i="9"/>
  <c r="AA128" i="9" s="1"/>
  <c r="AB128" i="9" s="1"/>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35" i="9" l="1"/>
  <c r="AC134" i="9"/>
  <c r="AE134" i="9" s="1"/>
  <c r="AC133" i="9"/>
  <c r="AC132" i="9"/>
  <c r="AC130" i="9"/>
  <c r="AC131" i="9"/>
  <c r="AC129" i="9"/>
  <c r="AC128" i="9"/>
  <c r="AC124" i="9"/>
  <c r="AC126" i="9"/>
  <c r="AC125" i="9"/>
  <c r="AC127" i="9"/>
  <c r="AC121" i="9"/>
  <c r="AC123" i="9"/>
  <c r="AC122" i="9"/>
  <c r="AC120" i="9"/>
  <c r="AE120" i="9" s="1"/>
  <c r="AC119" i="9"/>
  <c r="AC116" i="9"/>
  <c r="AC117" i="9"/>
  <c r="AC118" i="9"/>
  <c r="AC114" i="9"/>
  <c r="AC115" i="9"/>
  <c r="AC17" i="9"/>
  <c r="AC32" i="9"/>
  <c r="AC24" i="9"/>
  <c r="AC110" i="9"/>
  <c r="AC112" i="9"/>
  <c r="AC113" i="9"/>
  <c r="AC111" i="9"/>
  <c r="AC109" i="9"/>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35" i="9" l="1"/>
  <c r="AD129" i="9"/>
  <c r="AD134" i="9"/>
  <c r="AD124" i="9"/>
  <c r="AD126" i="9"/>
  <c r="AD131" i="9"/>
  <c r="AD132" i="9"/>
  <c r="AD133" i="9"/>
  <c r="AE127" i="9"/>
  <c r="AD130" i="9"/>
  <c r="AD125" i="9"/>
  <c r="AD128" i="9"/>
  <c r="AD121" i="9"/>
  <c r="AD127" i="9"/>
  <c r="AD115" i="9"/>
  <c r="AD119" i="9"/>
  <c r="AD117" i="9"/>
  <c r="AD116" i="9"/>
  <c r="AD123" i="9"/>
  <c r="AD122" i="9"/>
  <c r="AD120" i="9"/>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<sst xmlns="http://schemas.openxmlformats.org/spreadsheetml/2006/main" count="1248" uniqueCount="510">
  <si>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</si>
  <si>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</si>
  <si>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</si>
  <si>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</si>
  <si>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</si>
  <si>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</si>
  <si>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</si>
  <si>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</si>
  <si>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</si>
  <si>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</si>
  <si>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</si>
  <si>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</si>
  <si>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</si>
  <si>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</si>
  <si>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</si>
  <si>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</si>
  <si>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</si>
  <si>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</si>
  <si>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</si>
  <si>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</si>
  <si>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</si>
  <si>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</si>
  <si>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</si>
  <si>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</si>
  <si>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</si>
  <si>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</si>
  <si>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</si>
  <si>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</si>
  <si>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</si>
  <si>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</si>
  <si>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</si>
  <si>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</si>
  <si>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</si>
  <si>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</si>
  <si>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</si>
  <si>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</si>
  <si>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</si>
  <si>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</si>
  <si>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</si>
  <si>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</si>
  <si>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</si>
  <si>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</si>
  <si>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</si>
  <si>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</si>
  <si>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</si>
  <si>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</si>
  <si>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</si>
  <si>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</si>
  <si>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</si>
  <si>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</si>
  <si>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</si>
  <si>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</si>
  <si>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</si>
  <si>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</si>
  <si>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</si>
  <si>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</si>
  <si>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</si>
  <si>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</si>
  <si>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</si>
  <si>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</si>
  <si>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</si>
  <si>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</si>
  <si>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</si>
  <si>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</si>
  <si>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</si>
  <si>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</si>
  <si>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</si>
  <si>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</si>
  <si>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</si>
  <si>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</si>
  <si>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</si>
  <si>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</si>
  <si>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</si>
  <si>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</si>
  <si>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</si>
  <si>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</si>
  <si>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</si>
  <si>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</si>
  <si>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</si>
  <si>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</si>
  <si>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</si>
  <si>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</si>
  <si>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</si>
  <si>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</si>
  <si>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</si>
  <si>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</si>
  <si>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</si>
  <si>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</si>
  <si>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</si>
  <si>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</si>
  <si>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</si>
  <si>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</si>
  <si>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</si>
  <si>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</si>
  <si>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</si>
  <si>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</si>
  <si>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</si>
  <si>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</si>
  <si>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</si>
  <si>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</si>
  <si>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</si>
  <si>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</si>
  <si>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</si>
  <si>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</si>
  <si>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</si>
  <si>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</si>
  <si>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</si>
  <si>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</si>
  <si>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</si>
  <si>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</si>
  <si>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</si>
  <si>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</si>
  <si>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</si>
  <si>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</si>
  <si>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</si>
  <si>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</si>
  <si>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</si>
  <si>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</si>
  <si>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</si>
  <si>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</si>
  <si>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</si>
  <si>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</si>
  <si>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</si>
  <si>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</si>
  <si>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</si>
  <si>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</si>
  <si>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</si>
  <si>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</si>
  <si>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</si>
  <si>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</si>
  <si>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</si>
  <si>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</si>
  <si>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</si>
  <si>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</si>
  <si>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</si>
  <si>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</si>
  <si>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</si>
  <si>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</si>
  <si>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</si>
  <si>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</si>
  <si>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</si>
  <si>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</si>
  <si>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</si>
  <si>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</si>
  <si>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</si>
  <si>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</si>
  <si>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</si>
  <si>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</si>
  <si>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</si>
  <si>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</si>
  <si>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</si>
  <si>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</si>
  <si>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</si>
  <si>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</si>
  <si>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</si>
  <si>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</si>
  <si>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</si>
  <si>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</si>
  <si>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</si>
  <si>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</si>
  <si>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</si>
  <si>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</si>
  <si>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</si>
  <si>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</si>
  <si>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</si>
  <si>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</si>
  <si>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</si>
  <si>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</si>
  <si>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</si>
  <si>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</si>
  <si>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</si>
  <si>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</si>
  <si>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</si>
  <si>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</si>
  <si>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</si>
  <si>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</si>
  <si>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</si>
  <si>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</si>
  <si>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</si>
  <si>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</si>
  <si>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</si>
  <si>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</si>
  <si>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</si>
  <si>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</si>
  <si>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</si>
  <si>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</si>
  <si>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</si>
  <si>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</si>
  <si>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</si>
  <si>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</si>
  <si>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</si>
  <si>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</si>
  <si>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</si>
  <si>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</si>
  <si>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</si>
  <si>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</si>
  <si>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</si>
  <si>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</si>
  <si>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</si>
  <si>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</si>
  <si>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</si>
  <si>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</si>
  <si>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</si>
  <si>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</si>
  <si>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</si>
  <si>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</si>
  <si>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</si>
  <si>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</si>
  <si>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</si>
  <si>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</si>
  <si>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</si>
  <si>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</si>
  <si>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</si>
  <si>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</si>
  <si>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</si>
  <si>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</si>
  <si>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</si>
  <si>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</si>
  <si>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</si>
  <si>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</si>
  <si>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</si>
  <si>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</si>
  <si>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</si>
  <si>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</si>
  <si>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</si>
  <si>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</si>
  <si>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</si>
  <si>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</si>
  <si>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</si>
  <si>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</si>
  <si>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</si>
  <si>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</si>
  <si>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</si>
  <si>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</si>
  <si>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</si>
  <si>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</si>
  <si>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</si>
  <si>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</si>
  <si>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</si>
  <si>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</si>
  <si>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</si>
  <si>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</si>
  <si>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</si>
  <si>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</si>
  <si>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</si>
  <si>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</si>
  <si>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</si>
  <si>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</si>
  <si>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</si>
  <si>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</si>
  <si>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</si>
  <si>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</si>
  <si>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</si>
  <si>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</si>
  <si>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</si>
  <si>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</si>
  <si>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</si>
  <si>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</si>
  <si>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</si>
  <si>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</si>
  <si>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</si>
  <si>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</si>
  <si>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</si>
  <si>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</si>
  <si>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</si>
  <si>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</si>
  <si>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</si>
  <si>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</si>
  <si>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</si>
  <si>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</si>
  <si>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</si>
  <si>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</si>
  <si>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</si>
  <si>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</si>
  <si>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</si>
  <si>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</si>
  <si>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</si>
  <si>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</si>
  <si>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</si>
  <si>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</si>
  <si>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</si>
  <si>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</si>
  <si>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</si>
  <si>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</si>
  <si>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</si>
  <si>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</si>
  <si>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</si>
  <si>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</si>
  <si>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</si>
  <si>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</si>
  <si>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</si>
  <si>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</si>
  <si>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</si>
  <si>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</si>
  <si>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</si>
  <si>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</si>
  <si>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</si>
  <si>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</si>
  <si>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</si>
  <si>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</si>
  <si>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</si>
  <si>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</si>
  <si>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</si>
  <si>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</si>
  <si>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</si>
  <si>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</si>
  <si>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</si>
  <si>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</si>
  <si>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</si>
  <si>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</si>
  <si>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</si>
  <si>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</si>
  <si>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</si>
  <si>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</si>
  <si>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</si>
  <si>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</si>
  <si>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</si>
  <si>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</si>
  <si>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</si>
  <si>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</si>
  <si>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</si>
  <si>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</si>
  <si>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</si>
  <si>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</si>
  <si>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</si>
  <si>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</si>
  <si>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</si>
  <si>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</si>
  <si>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</si>
  <si>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</si>
  <si>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</si>
  <si>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</si>
  <si>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</si>
  <si>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</si>
  <si>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</si>
  <si>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</si>
  <si>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</si>
  <si>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</si>
  <si>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</si>
  <si>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</si>
  <si>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</si>
  <si>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</si>
  <si>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</si>
  <si>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</si>
  <si>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</si>
  <si>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</si>
  <si>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</si>
  <si>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</si>
  <si>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</si>
  <si>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</si>
  <si>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</si>
  <si>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</si>
  <si>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</si>
  <si>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</si>
  <si>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</si>
  <si>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</si>
  <si>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</si>
  <si>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</si>
  <si>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</si>
  <si>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</si>
  <si>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</si>
  <si>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</si>
  <si>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</si>
  <si>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</si>
  <si>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</si>
  <si>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</si>
  <si>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</si>
  <si>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</si>
  <si>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</si>
  <si>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</si>
  <si>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</si>
  <si>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</si>
  <si>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</si>
  <si>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</si>
  <si>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</si>
  <si>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</si>
  <si>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</si>
  <si>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</si>
  <si>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</si>
  <si>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</si>
  <si>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</si>
  <si>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</si>
  <si>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</si>
  <si>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</si>
  <si>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</si>
  <si>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</si>
  <si>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</si>
  <si>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</si>
  <si>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</si>
  <si>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</si>
  <si>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</si>
  <si>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</si>
  <si>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</si>
  <si>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</si>
  <si>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</si>
  <si>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</si>
  <si>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</si>
  <si>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</si>
  <si>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</si>
  <si>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</si>
  <si>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</si>
  <si>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</si>
  <si>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</si>
  <si>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</si>
  <si>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</si>
  <si>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</si>
  <si>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</si>
  <si>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</si>
  <si>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</si>
  <si>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</si>
  <si>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</si>
  <si>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</si>
  <si>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</si>
  <si>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</si>
  <si>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</si>
  <si>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</si>
  <si>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</si>
  <si>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</si>
  <si>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</si>
  <si>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</si>
  <si>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</si>
  <si>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</si>
  <si>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</si>
  <si>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</si>
  <si>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</si>
  <si>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</si>
  <si>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</si>
  <si>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</si>
  <si>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</si>
  <si>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</si>
  <si>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</si>
  <si>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</si>
  <si>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</si>
  <si>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</si>
  <si>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</si>
  <si>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</si>
  <si>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</si>
  <si>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</si>
  <si>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</si>
  <si>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</si>
  <si>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</si>
  <si>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</si>
  <si>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</si>
  <si>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</si>
  <si>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</si>
  <si>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</si>
  <si>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</si>
  <si>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</si>
  <si>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</si>
  <si>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</si>
  <si>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</si>
  <si>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</si>
  <si>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</si>
  <si>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</si>
  <si>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</si>
  <si>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</si>
  <si>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</si>
  <si>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</si>
  <si>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</si>
  <si>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</si>
  <si>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</si>
  <si>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</si>
  <si>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</si>
  <si>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</si>
  <si>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</si>
  <si>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</si>
  <si>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</si>
  <si>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</si>
  <si>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70 mpw average (horiz line)</t>
  </si>
  <si>
    <t>Planned 7-day moving total</t>
  </si>
  <si>
    <t>Planned 7-day average</t>
  </si>
  <si>
    <t>7-day average</t>
  </si>
  <si>
    <t>7-day total</t>
  </si>
  <si>
    <t>4E + 8x(1km I w/400m rest)  + 2E</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</si>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</sst>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2" fontId="1" fillId="36" borderId="0" xfId="0" applyNumberFormat="1" applyFont="1" applyFill="1" applyAlignment="1">
      <alignment horizontal="center"/>
    </xf>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67.069999999999993</c:v>
                </c:pt>
                <c:pt idx="15">
                  <c:v>65.13</c:v>
                </c:pt>
                <c:pt idx="16">
                  <c:v>60.839999999999996</c:v>
                </c:pt>
                <c:pt idx="17">
                  <c:v>35.050000000000004</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67.42</c:v>
                </c:pt>
                <c:pt idx="117">
                  <c:v>70.92</c:v>
                </c:pt>
                <c:pt idx="118">
                  <c:v>58.819999999999993</c:v>
                </c:pt>
                <c:pt idx="119">
                  <c:v>60.839999999999996</c:v>
                </c:pt>
                <c:pt idx="120">
                  <c:v>64.599999999999994</c:v>
                </c:pt>
                <c:pt idx="121">
                  <c:v>64.34</c:v>
                </c:pt>
                <c:pt idx="122">
                  <c:v>57.79</c:v>
                </c:pt>
                <c:pt idx="123">
                  <c:v>56.78</c:v>
                </c:pt>
                <c:pt idx="124">
                  <c:v>50.28</c:v>
                </c:pt>
                <c:pt idx="125">
                  <c:v>44.12</c:v>
                </c:pt>
                <c:pt idx="126">
                  <c:v>35.050000000000004</c:v>
                </c:pt>
                <c:pt idx="127">
                  <c:v>26.04</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- 80'!$W$8:$W$135</c:f>
              <c:numCache>
                <c:formatCode>General</c:formatCode>
                <c:ptCount val="128"/>
                <c:pt idx="7">
                  <c:v>63</c:v>
                </c:pt>
                <c:pt idx="8">
                  <c:v>65</c:v>
                </c:pt>
                <c:pt idx="9">
                  <c:v>64</c:v>
                </c:pt>
                <c:pt idx="10">
                  <c:v>64</c:v>
                </c:pt>
                <c:pt idx="11">
                  <c:v>63</c:v>
                </c:pt>
                <c:pt idx="12">
                  <c:v>65</c:v>
                </c:pt>
                <c:pt idx="13">
                  <c:v>78</c:v>
                </c:pt>
                <c:pt idx="14">
                  <c:v>70</c:v>
                </c:pt>
                <c:pt idx="15">
                  <c:v>72</c:v>
                </c:pt>
                <c:pt idx="16">
                  <c:v>74</c:v>
                </c:pt>
                <c:pt idx="17">
                  <c:v>69</c:v>
                </c:pt>
                <c:pt idx="18">
                  <c:v>69</c:v>
                </c:pt>
                <c:pt idx="19">
                  <c:v>76</c:v>
                </c:pt>
                <c:pt idx="20">
                  <c:v>63</c:v>
                </c:pt>
                <c:pt idx="21">
                  <c:v>73</c:v>
                </c:pt>
                <c:pt idx="22">
                  <c:v>69</c:v>
                </c:pt>
                <c:pt idx="23">
                  <c:v>69</c:v>
                </c:pt>
                <c:pt idx="24">
                  <c:v>75</c:v>
                </c:pt>
                <c:pt idx="25">
                  <c:v>77</c:v>
                </c:pt>
                <c:pt idx="26">
                  <c:v>70</c:v>
                </c:pt>
                <c:pt idx="27">
                  <c:v>82</c:v>
                </c:pt>
                <c:pt idx="28">
                  <c:v>74</c:v>
                </c:pt>
                <c:pt idx="29">
                  <c:v>74</c:v>
                </c:pt>
                <c:pt idx="30">
                  <c:v>74</c:v>
                </c:pt>
                <c:pt idx="31">
                  <c:v>75</c:v>
                </c:pt>
                <c:pt idx="32">
                  <c:v>74</c:v>
                </c:pt>
                <c:pt idx="33">
                  <c:v>76</c:v>
                </c:pt>
                <c:pt idx="34">
                  <c:v>64</c:v>
                </c:pt>
                <c:pt idx="35">
                  <c:v>72</c:v>
                </c:pt>
                <c:pt idx="36">
                  <c:v>72</c:v>
                </c:pt>
                <c:pt idx="37">
                  <c:v>72</c:v>
                </c:pt>
                <c:pt idx="38">
                  <c:v>63</c:v>
                </c:pt>
                <c:pt idx="39">
                  <c:v>62</c:v>
                </c:pt>
                <c:pt idx="40">
                  <c:v>69</c:v>
                </c:pt>
                <c:pt idx="41">
                  <c:v>69</c:v>
                </c:pt>
                <c:pt idx="42">
                  <c:v>70</c:v>
                </c:pt>
                <c:pt idx="43">
                  <c:v>72</c:v>
                </c:pt>
                <c:pt idx="44">
                  <c:v>74</c:v>
                </c:pt>
                <c:pt idx="45">
                  <c:v>82</c:v>
                </c:pt>
                <c:pt idx="46">
                  <c:v>84</c:v>
                </c:pt>
                <c:pt idx="47">
                  <c:v>77</c:v>
                </c:pt>
                <c:pt idx="48">
                  <c:v>79</c:v>
                </c:pt>
                <c:pt idx="49">
                  <c:v>80</c:v>
                </c:pt>
                <c:pt idx="50">
                  <c:v>79</c:v>
                </c:pt>
                <c:pt idx="51">
                  <c:v>76</c:v>
                </c:pt>
                <c:pt idx="52">
                  <c:v>77</c:v>
                </c:pt>
                <c:pt idx="53">
                  <c:v>77</c:v>
                </c:pt>
                <c:pt idx="54">
                  <c:v>76</c:v>
                </c:pt>
                <c:pt idx="55">
                  <c:v>73</c:v>
                </c:pt>
                <c:pt idx="56">
                  <c:v>72</c:v>
                </c:pt>
                <c:pt idx="57">
                  <c:v>70</c:v>
                </c:pt>
                <c:pt idx="58">
                  <c:v>68</c:v>
                </c:pt>
                <c:pt idx="59">
                  <c:v>61</c:v>
                </c:pt>
                <c:pt idx="60">
                  <c:v>58</c:v>
                </c:pt>
                <c:pt idx="61">
                  <c:v>67</c:v>
                </c:pt>
                <c:pt idx="62">
                  <c:v>67</c:v>
                </c:pt>
                <c:pt idx="63">
                  <c:v>68</c:v>
                </c:pt>
                <c:pt idx="64">
                  <c:v>73</c:v>
                </c:pt>
                <c:pt idx="65">
                  <c:v>84</c:v>
                </c:pt>
                <c:pt idx="66">
                  <c:v>82</c:v>
                </c:pt>
                <c:pt idx="67">
                  <c:v>97</c:v>
                </c:pt>
                <c:pt idx="68">
                  <c:v>87</c:v>
                </c:pt>
                <c:pt idx="69">
                  <c:v>92</c:v>
                </c:pt>
                <c:pt idx="70">
                  <c:v>80</c:v>
                </c:pt>
                <c:pt idx="71">
                  <c:v>77</c:v>
                </c:pt>
                <c:pt idx="72">
                  <c:v>69</c:v>
                </c:pt>
                <c:pt idx="73">
                  <c:v>78</c:v>
                </c:pt>
                <c:pt idx="74">
                  <c:v>65</c:v>
                </c:pt>
                <c:pt idx="75">
                  <c:v>67</c:v>
                </c:pt>
                <c:pt idx="76">
                  <c:v>64</c:v>
                </c:pt>
                <c:pt idx="77">
                  <c:v>74</c:v>
                </c:pt>
                <c:pt idx="78">
                  <c:v>75</c:v>
                </c:pt>
                <c:pt idx="79">
                  <c:v>75</c:v>
                </c:pt>
                <c:pt idx="80">
                  <c:v>68</c:v>
                </c:pt>
                <c:pt idx="81">
                  <c:v>66</c:v>
                </c:pt>
                <c:pt idx="82">
                  <c:v>71</c:v>
                </c:pt>
                <c:pt idx="83">
                  <c:v>69</c:v>
                </c:pt>
                <c:pt idx="84">
                  <c:v>71</c:v>
                </c:pt>
                <c:pt idx="85">
                  <c:v>71</c:v>
                </c:pt>
                <c:pt idx="86">
                  <c:v>73</c:v>
                </c:pt>
                <c:pt idx="87">
                  <c:v>77</c:v>
                </c:pt>
                <c:pt idx="88">
                  <c:v>82</c:v>
                </c:pt>
                <c:pt idx="89">
                  <c:v>79</c:v>
                </c:pt>
                <c:pt idx="90">
                  <c:v>81</c:v>
                </c:pt>
                <c:pt idx="91">
                  <c:v>80</c:v>
                </c:pt>
                <c:pt idx="92">
                  <c:v>80</c:v>
                </c:pt>
                <c:pt idx="93">
                  <c:v>80</c:v>
                </c:pt>
                <c:pt idx="94">
                  <c:v>80</c:v>
                </c:pt>
                <c:pt idx="95">
                  <c:v>77</c:v>
                </c:pt>
                <c:pt idx="96">
                  <c:v>77</c:v>
                </c:pt>
                <c:pt idx="97">
                  <c:v>77</c:v>
                </c:pt>
                <c:pt idx="98">
                  <c:v>74</c:v>
                </c:pt>
                <c:pt idx="99">
                  <c:v>72</c:v>
                </c:pt>
                <c:pt idx="100">
                  <c:v>72</c:v>
                </c:pt>
                <c:pt idx="101">
                  <c:v>70</c:v>
                </c:pt>
                <c:pt idx="102">
                  <c:v>70</c:v>
                </c:pt>
                <c:pt idx="103">
                  <c:v>68</c:v>
                </c:pt>
                <c:pt idx="104">
                  <c:v>66</c:v>
                </c:pt>
                <c:pt idx="105">
                  <c:v>68</c:v>
                </c:pt>
                <c:pt idx="106">
                  <c:v>68</c:v>
                </c:pt>
                <c:pt idx="107">
                  <c:v>66</c:v>
                </c:pt>
                <c:pt idx="108">
                  <c:v>66</c:v>
                </c:pt>
                <c:pt idx="109">
                  <c:v>67</c:v>
                </c:pt>
                <c:pt idx="110">
                  <c:v>65</c:v>
                </c:pt>
                <c:pt idx="111">
                  <c:v>78</c:v>
                </c:pt>
                <c:pt idx="112">
                  <c:v>68</c:v>
                </c:pt>
                <c:pt idx="113">
                  <c:v>67</c:v>
                </c:pt>
                <c:pt idx="114">
                  <c:v>65</c:v>
                </c:pt>
                <c:pt idx="115">
                  <c:v>69</c:v>
                </c:pt>
                <c:pt idx="116">
                  <c:v>67</c:v>
                </c:pt>
                <c:pt idx="117">
                  <c:v>71</c:v>
                </c:pt>
                <c:pt idx="118">
                  <c:v>58</c:v>
                </c:pt>
                <c:pt idx="119">
                  <c:v>58</c:v>
                </c:pt>
                <c:pt idx="120">
                  <c:v>63</c:v>
                </c:pt>
                <c:pt idx="121">
                  <c:v>65</c:v>
                </c:pt>
                <c:pt idx="122">
                  <c:v>58</c:v>
                </c:pt>
                <c:pt idx="123">
                  <c:v>59</c:v>
                </c:pt>
                <c:pt idx="124">
                  <c:v>52</c:v>
                </c:pt>
                <c:pt idx="125">
                  <c:v>50</c:v>
                </c:pt>
                <c:pt idx="126">
                  <c:v>45</c:v>
                </c:pt>
                <c:pt idx="127">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73.66</c:v>
                </c:pt>
                <c:pt idx="104" formatCode="0">
                  <c:v>71.989999999999995</c:v>
                </c:pt>
                <c:pt idx="105" formatCode="0">
                  <c:v>70.510000000000005</c:v>
                </c:pt>
                <c:pt idx="106" formatCode="0">
                  <c:v>69.508571428571429</c:v>
                </c:pt>
                <c:pt idx="107" formatCode="0">
                  <c:v>68.19714285714285</c:v>
                </c:pt>
                <c:pt idx="108" formatCode="0">
                  <c:v>66.647142857142853</c:v>
                </c:pt>
                <c:pt idx="109" formatCode="0">
                  <c:v>66.094285714285704</c:v>
                </c:pt>
                <c:pt idx="110" formatCode="0">
                  <c:v>65.521428571428572</c:v>
                </c:pt>
                <c:pt idx="111" formatCode="0">
                  <c:v>66.781428571428563</c:v>
                </c:pt>
                <c:pt idx="112" formatCode="0">
                  <c:v>66.504285714285714</c:v>
                </c:pt>
                <c:pt idx="113" formatCode="0">
                  <c:v>65.997142857142862</c:v>
                </c:pt>
                <c:pt idx="114" formatCode="0">
                  <c:v>66.11</c:v>
                </c:pt>
                <c:pt idx="115" formatCode="0">
                  <c:v>66.791428571428568</c:v>
                </c:pt>
                <c:pt idx="116" formatCode="0">
                  <c:v>67.125714285714281</c:v>
                </c:pt>
                <c:pt idx="117" formatCode="0">
                  <c:v>68.114285714285714</c:v>
                </c:pt>
                <c:pt idx="118" formatCode="0">
                  <c:v>65.63428571428571</c:v>
                </c:pt>
                <c:pt idx="119" formatCode="0">
                  <c:v>65.021428571428572</c:v>
                </c:pt>
                <c:pt idx="120" formatCode="0">
                  <c:v>65.058571428571426</c:v>
                </c:pt>
                <c:pt idx="121" formatCode="0">
                  <c:v>65.001428571428576</c:v>
                </c:pt>
                <c:pt idx="122" formatCode="0">
                  <c:v>63.532857142857154</c:v>
                </c:pt>
                <c:pt idx="123" formatCode="0">
                  <c:v>62.01285714285715</c:v>
                </c:pt>
                <c:pt idx="124" formatCode="0">
                  <c:v>59.064285714285703</c:v>
                </c:pt>
                <c:pt idx="125" formatCode="0">
                  <c:v>56.964285714285715</c:v>
                </c:pt>
                <c:pt idx="126" formatCode="0">
                  <c:v>53.279999999999994</c:v>
                </c:pt>
                <c:pt idx="127" formatCode="0">
                  <c:v>47.771428571428579</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67.42</c:v>
                      </c:pt>
                      <c:pt idx="117">
                        <c:v>70.92</c:v>
                      </c:pt>
                      <c:pt idx="118">
                        <c:v>58.819999999999993</c:v>
                      </c:pt>
                      <c:pt idx="119">
                        <c:v>60.839999999999996</c:v>
                      </c:pt>
                      <c:pt idx="120">
                        <c:v>64.599999999999994</c:v>
                      </c:pt>
                      <c:pt idx="121">
                        <c:v>64.34</c:v>
                      </c:pt>
                      <c:pt idx="122">
                        <c:v>57.79</c:v>
                      </c:pt>
                      <c:pt idx="123">
                        <c:v>56.78</c:v>
                      </c:pt>
                      <c:pt idx="124">
                        <c:v>50.28</c:v>
                      </c:pt>
                      <c:pt idx="125">
                        <c:v>44.12</c:v>
                      </c:pt>
                      <c:pt idx="126">
                        <c:v>35.050000000000004</c:v>
                      </c:pt>
                      <c:pt idx="127">
                        <c:v>26.04</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96.810083333333324</c:v>
                </c:pt>
                <c:pt idx="98">
                  <c:v>96.446749999999994</c:v>
                </c:pt>
                <c:pt idx="99">
                  <c:v>79.061866666666674</c:v>
                </c:pt>
                <c:pt idx="100">
                  <c:v>79.69853333333333</c:v>
                </c:pt>
                <c:pt idx="101">
                  <c:v>75.418999999999997</c:v>
                </c:pt>
                <c:pt idx="102">
                  <c:v>78.221166666666676</c:v>
                </c:pt>
                <c:pt idx="103">
                  <c:v>79.711666666666645</c:v>
                </c:pt>
                <c:pt idx="104">
                  <c:v>73.209999999999994</c:v>
                </c:pt>
                <c:pt idx="105">
                  <c:v>109.09083333333334</c:v>
                </c:pt>
                <c:pt idx="106">
                  <c:v>103.36380833333334</c:v>
                </c:pt>
                <c:pt idx="107">
                  <c:v>102.84714166666666</c:v>
                </c:pt>
                <c:pt idx="108">
                  <c:v>103.22205833333332</c:v>
                </c:pt>
                <c:pt idx="109">
                  <c:v>99.823158333333325</c:v>
                </c:pt>
                <c:pt idx="110">
                  <c:v>99.53799166666667</c:v>
                </c:pt>
                <c:pt idx="111">
                  <c:v>118.901325</c:v>
                </c:pt>
                <c:pt idx="112">
                  <c:v>83.500625000000014</c:v>
                </c:pt>
                <c:pt idx="113">
                  <c:v>84.18</c:v>
                </c:pt>
                <c:pt idx="114">
                  <c:v>87.123333333333349</c:v>
                </c:pt>
                <c:pt idx="115">
                  <c:v>90.005716666666672</c:v>
                </c:pt>
                <c:pt idx="116">
                  <c:v>79.911824999999993</c:v>
                </c:pt>
                <c:pt idx="117">
                  <c:v>78.816491666666664</c:v>
                </c:pt>
                <c:pt idx="118">
                  <c:v>57.014825000000002</c:v>
                </c:pt>
                <c:pt idx="119">
                  <c:v>51.576358333333332</c:v>
                </c:pt>
                <c:pt idx="120">
                  <c:v>39.14800833333333</c:v>
                </c:pt>
                <c:pt idx="121">
                  <c:v>32.014675000000004</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67.42</c:v>
                </c:pt>
                <c:pt idx="117">
                  <c:v>70.92</c:v>
                </c:pt>
                <c:pt idx="118">
                  <c:v>58.819999999999993</c:v>
                </c:pt>
                <c:pt idx="119">
                  <c:v>60.839999999999996</c:v>
                </c:pt>
                <c:pt idx="120">
                  <c:v>64.599999999999994</c:v>
                </c:pt>
                <c:pt idx="121">
                  <c:v>64.34</c:v>
                </c:pt>
                <c:pt idx="122">
                  <c:v>57.79</c:v>
                </c:pt>
                <c:pt idx="123">
                  <c:v>56.78</c:v>
                </c:pt>
                <c:pt idx="124">
                  <c:v>50.28</c:v>
                </c:pt>
                <c:pt idx="125">
                  <c:v>44.12</c:v>
                </c:pt>
                <c:pt idx="126">
                  <c:v>35.050000000000004</c:v>
                </c:pt>
                <c:pt idx="127">
                  <c:v>26.04</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96.810083333333324</c:v>
                </c:pt>
                <c:pt idx="104" formatCode="0.0">
                  <c:v>96.446749999999994</c:v>
                </c:pt>
                <c:pt idx="105" formatCode="0.0">
                  <c:v>79.061866666666674</c:v>
                </c:pt>
                <c:pt idx="106" formatCode="0.0">
                  <c:v>79.69853333333333</c:v>
                </c:pt>
                <c:pt idx="107" formatCode="0.0">
                  <c:v>75.418999999999997</c:v>
                </c:pt>
                <c:pt idx="108" formatCode="0.0">
                  <c:v>78.221166666666676</c:v>
                </c:pt>
                <c:pt idx="109" formatCode="0.0">
                  <c:v>79.711666666666645</c:v>
                </c:pt>
                <c:pt idx="110" formatCode="0.0">
                  <c:v>73.209999999999994</c:v>
                </c:pt>
                <c:pt idx="111" formatCode="0.0">
                  <c:v>109.09083333333334</c:v>
                </c:pt>
                <c:pt idx="112" formatCode="0.0">
                  <c:v>103.36380833333334</c:v>
                </c:pt>
                <c:pt idx="113" formatCode="0.0">
                  <c:v>102.84714166666666</c:v>
                </c:pt>
                <c:pt idx="114" formatCode="0.0">
                  <c:v>103.22205833333332</c:v>
                </c:pt>
                <c:pt idx="115" formatCode="0.0">
                  <c:v>99.823158333333325</c:v>
                </c:pt>
                <c:pt idx="116" formatCode="0.0">
                  <c:v>99.53799166666667</c:v>
                </c:pt>
                <c:pt idx="117" formatCode="0.0">
                  <c:v>118.901325</c:v>
                </c:pt>
                <c:pt idx="118" formatCode="0.0">
                  <c:v>83.500625000000014</c:v>
                </c:pt>
                <c:pt idx="119" formatCode="0.0">
                  <c:v>84.18</c:v>
                </c:pt>
                <c:pt idx="120" formatCode="0.0">
                  <c:v>87.123333333333349</c:v>
                </c:pt>
                <c:pt idx="121" formatCode="0.0">
                  <c:v>90.005716666666672</c:v>
                </c:pt>
                <c:pt idx="122" formatCode="0.0">
                  <c:v>79.911824999999993</c:v>
                </c:pt>
                <c:pt idx="123" formatCode="0.0">
                  <c:v>78.816491666666664</c:v>
                </c:pt>
                <c:pt idx="124" formatCode="0.0">
                  <c:v>57.014825000000002</c:v>
                </c:pt>
                <c:pt idx="125" formatCode="0.0">
                  <c:v>51.576358333333332</c:v>
                </c:pt>
                <c:pt idx="126" formatCode="0.0">
                  <c:v>39.14800833333333</c:v>
                </c:pt>
                <c:pt idx="127" formatCode="0.0">
                  <c:v>32.014675000000004</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123" activePane="bottomLeft" state="frozen"/>
      <selection pane="bottomLeft" activeCell="G133" sqref="G133"/>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7" t="s">
        <v>1</v>
      </c>
      <c r="D1" s="888"/>
      <c r="E1" s="889"/>
      <c r="F1" s="3" t="s">
        <v>382</v>
      </c>
      <c r="G1" s="882" t="s">
        <v>460</v>
      </c>
      <c r="H1" s="882"/>
      <c r="I1" s="23" t="s">
        <v>2</v>
      </c>
      <c r="J1" s="882" t="s">
        <v>462</v>
      </c>
      <c r="K1" s="882"/>
      <c r="L1" s="890"/>
      <c r="M1" s="888"/>
      <c r="N1" s="88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94" t="s">
        <v>5</v>
      </c>
      <c r="D2" s="886"/>
      <c r="E2" s="891"/>
      <c r="F2" s="7" t="s">
        <v>33</v>
      </c>
      <c r="G2" s="882" t="s">
        <v>457</v>
      </c>
      <c r="H2" s="882"/>
      <c r="I2" s="6"/>
      <c r="J2" s="4"/>
      <c r="L2" s="886"/>
      <c r="M2" s="886"/>
      <c r="N2" s="891"/>
      <c r="O2" s="16"/>
      <c r="P2" s="8"/>
      <c r="Q2" s="9"/>
      <c r="R2" s="4"/>
      <c r="S2" s="4"/>
      <c r="T2" s="4"/>
      <c r="U2" s="4"/>
      <c r="V2" s="4"/>
      <c r="W2" s="4"/>
      <c r="X2" s="4"/>
      <c r="Y2" s="4"/>
      <c r="Z2" s="4"/>
      <c r="AA2" s="4"/>
      <c r="AB2" s="4"/>
      <c r="AC2" s="4"/>
    </row>
    <row r="3" spans="1:35" ht="15.75" customHeight="1" x14ac:dyDescent="0.2">
      <c r="A3" s="10" t="s">
        <v>6</v>
      </c>
      <c r="B3" s="11">
        <v>45942</v>
      </c>
      <c r="C3" s="895" t="s">
        <v>7</v>
      </c>
      <c r="D3" s="892"/>
      <c r="E3" s="893"/>
      <c r="F3" s="7" t="s">
        <v>34</v>
      </c>
      <c r="G3" s="882" t="s">
        <v>458</v>
      </c>
      <c r="H3" s="882"/>
      <c r="I3" s="6"/>
      <c r="J3" s="4" t="s">
        <v>123</v>
      </c>
      <c r="K3" s="781">
        <f>'Daniel''s Tables'!$I$6</f>
        <v>63.579351807379361</v>
      </c>
      <c r="L3" s="886"/>
      <c r="M3" s="886"/>
      <c r="N3" s="891"/>
      <c r="O3" s="16"/>
      <c r="P3" s="6"/>
      <c r="Q3" s="4"/>
      <c r="R3" s="4"/>
      <c r="S3" s="4"/>
      <c r="T3" s="4"/>
      <c r="U3" s="4"/>
      <c r="V3" s="4"/>
      <c r="W3" s="4"/>
      <c r="X3" s="4"/>
      <c r="Y3" s="4"/>
      <c r="Z3" s="4"/>
      <c r="AA3" s="4"/>
      <c r="AB3" s="4"/>
      <c r="AC3" s="4"/>
    </row>
    <row r="4" spans="1:35" ht="15.75" customHeight="1" x14ac:dyDescent="0.2">
      <c r="A4" s="16"/>
      <c r="B4" s="6"/>
      <c r="C4" s="6"/>
      <c r="D4" s="6"/>
      <c r="E4" s="4"/>
      <c r="F4" s="12" t="s">
        <v>383</v>
      </c>
      <c r="G4" s="896" t="s">
        <v>461</v>
      </c>
      <c r="H4" s="896"/>
      <c r="I4" s="13"/>
      <c r="J4" s="850"/>
      <c r="K4" s="851"/>
      <c r="L4" s="892"/>
      <c r="M4" s="892"/>
      <c r="N4" s="893"/>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85" t="s">
        <v>9</v>
      </c>
      <c r="F6" s="886"/>
      <c r="G6" s="886"/>
      <c r="H6" s="886"/>
      <c r="I6" s="886"/>
      <c r="J6" s="886"/>
      <c r="K6" s="886"/>
      <c r="L6" s="886"/>
      <c r="M6" s="886"/>
      <c r="N6" s="6"/>
      <c r="O6" s="16"/>
      <c r="P6" s="6"/>
      <c r="Q6" s="4"/>
      <c r="R6" s="4"/>
      <c r="S6" s="4"/>
      <c r="T6" s="4"/>
      <c r="U6" s="4"/>
      <c r="V6" s="4"/>
      <c r="W6" s="4"/>
      <c r="X6" s="4"/>
      <c r="Y6" s="4"/>
      <c r="Z6" s="882" t="s">
        <v>488</v>
      </c>
      <c r="AA6" s="882"/>
      <c r="AB6" s="882"/>
      <c r="AC6" s="882"/>
      <c r="AD6" s="882"/>
      <c r="AE6" s="88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472</v>
      </c>
      <c r="U7" s="16" t="s">
        <v>471</v>
      </c>
      <c r="V7" s="16" t="s">
        <v>468</v>
      </c>
      <c r="W7" s="16" t="s">
        <v>469</v>
      </c>
      <c r="X7" s="16" t="s">
        <v>470</v>
      </c>
      <c r="Y7" s="16"/>
      <c r="Z7" s="16" t="s">
        <v>489</v>
      </c>
      <c r="AA7" s="16" t="s">
        <v>103</v>
      </c>
      <c r="AB7" s="16" t="s">
        <v>104</v>
      </c>
      <c r="AC7" s="4" t="s">
        <v>490</v>
      </c>
      <c r="AD7" s="825" t="s">
        <v>491</v>
      </c>
      <c r="AE7" s="4" t="s">
        <v>492</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872"/>
      <c r="S8" s="825"/>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
      <c r="A11" s="883"/>
      <c r="B11" s="854">
        <v>124</v>
      </c>
      <c r="C11" s="855">
        <f t="shared" si="0"/>
        <v>45818</v>
      </c>
      <c r="D11" s="854" t="s">
        <v>34</v>
      </c>
      <c r="E11" s="856" t="s">
        <v>473</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
      <c r="A19" s="884"/>
      <c r="B19" s="6">
        <v>116</v>
      </c>
      <c r="C19" s="17">
        <f t="shared" si="0"/>
        <v>45826</v>
      </c>
      <c r="D19" s="6" t="s">
        <v>34</v>
      </c>
      <c r="E19" s="4" t="s">
        <v>478</v>
      </c>
      <c r="F19" s="6">
        <v>6</v>
      </c>
      <c r="G19" s="6">
        <v>5.35</v>
      </c>
      <c r="H19" s="29">
        <v>2.7511574074074074E-2</v>
      </c>
      <c r="I19" s="6" t="str">
        <f t="shared" si="1"/>
        <v>7:24</v>
      </c>
      <c r="J19" s="29"/>
      <c r="K19" s="6"/>
      <c r="L19" s="6" t="str">
        <f t="shared" si="2"/>
        <v>0:00</v>
      </c>
      <c r="M19" s="6"/>
      <c r="N19" s="6"/>
      <c r="O19" s="16" t="s">
        <v>479</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481</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480</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
      <c r="A25" s="883"/>
      <c r="B25" s="854">
        <v>110</v>
      </c>
      <c r="C25" s="855">
        <f t="shared" si="0"/>
        <v>45832</v>
      </c>
      <c r="D25" s="854" t="s">
        <v>34</v>
      </c>
      <c r="E25" s="856" t="s">
        <v>476</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483</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484</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
      <c r="A35" s="884"/>
      <c r="B35" s="6">
        <v>100</v>
      </c>
      <c r="C35" s="17">
        <f t="shared" si="0"/>
        <v>45842</v>
      </c>
      <c r="D35" s="6" t="s">
        <v>28</v>
      </c>
      <c r="E35" s="4" t="s">
        <v>485</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
      <c r="A39" s="883"/>
      <c r="B39" s="854">
        <v>96</v>
      </c>
      <c r="C39" s="855">
        <f t="shared" si="0"/>
        <v>45846</v>
      </c>
      <c r="D39" s="854" t="s">
        <v>34</v>
      </c>
      <c r="E39" s="856" t="s">
        <v>487</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
      <c r="A50" s="88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
      <c r="A51" s="88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
      <c r="A52" s="88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
      <c r="A53" s="88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
      <c r="A54" s="88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
      <c r="A55" s="88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498</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
      <c r="A56" s="88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
      <c r="A57" s="883"/>
      <c r="B57" s="854">
        <v>78</v>
      </c>
      <c r="C57" s="855">
        <f t="shared" si="0"/>
        <v>45864</v>
      </c>
      <c r="D57" s="854" t="s">
        <v>30</v>
      </c>
      <c r="E57" s="856" t="s">
        <v>486</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
      <c r="A58" s="88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
      <c r="A59" s="88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
      <c r="A60" s="88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
      <c r="A61" s="884"/>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
      <c r="A62" s="884"/>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
      <c r="A63" s="884"/>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
      <c r="A64" s="884"/>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
      <c r="A65" s="883"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
      <c r="A66" s="883"/>
      <c r="B66" s="854">
        <v>69</v>
      </c>
      <c r="C66" s="855">
        <f t="shared" si="0"/>
        <v>45873</v>
      </c>
      <c r="D66" s="854" t="s">
        <v>33</v>
      </c>
      <c r="E66" s="856" t="s">
        <v>500</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
      <c r="A67" s="883"/>
      <c r="B67" s="854">
        <v>68</v>
      </c>
      <c r="C67" s="855">
        <f t="shared" si="0"/>
        <v>45874</v>
      </c>
      <c r="D67" s="854" t="s">
        <v>34</v>
      </c>
      <c r="E67" s="856" t="s">
        <v>499</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
      <c r="A68" s="883"/>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
      <c r="A69" s="883"/>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
      <c r="A70" s="883"/>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
      <c r="A71" s="883"/>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
      <c r="A72" s="884"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
      <c r="A73" s="884"/>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
      <c r="A74" s="884"/>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
      <c r="A75" s="884"/>
      <c r="B75" s="6">
        <v>60</v>
      </c>
      <c r="C75" s="17">
        <f t="shared" si="0"/>
        <v>45882</v>
      </c>
      <c r="D75" s="6" t="s">
        <v>26</v>
      </c>
      <c r="E75" s="4" t="s">
        <v>477</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
      <c r="A76" s="884"/>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
      <c r="A77" s="884"/>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
      <c r="A78" s="884"/>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
      <c r="A79" s="883"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
      <c r="A80" s="883"/>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
      <c r="A81" s="883"/>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
      <c r="A82" s="883"/>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
      <c r="A83" s="883"/>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
      <c r="A84" s="883"/>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
      <c r="A85" s="883"/>
      <c r="B85" s="854">
        <v>50</v>
      </c>
      <c r="C85" s="855">
        <f t="shared" si="0"/>
        <v>45892</v>
      </c>
      <c r="D85" s="854" t="s">
        <v>30</v>
      </c>
      <c r="E85" s="856" t="s">
        <v>482</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
      <c r="A86" s="884"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
      <c r="A87" s="884"/>
      <c r="B87" s="6">
        <v>48</v>
      </c>
      <c r="C87" s="17">
        <f t="shared" si="0"/>
        <v>45894</v>
      </c>
      <c r="D87" s="6" t="s">
        <v>33</v>
      </c>
      <c r="E87" s="4" t="s">
        <v>501</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
      <c r="A88" s="884"/>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
      <c r="A89" s="884"/>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
      <c r="A90" s="884"/>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
      <c r="A91" s="884"/>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
      <c r="A92" s="884"/>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
      <c r="A93" s="883"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
      <c r="A94" s="883"/>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
      <c r="A95" s="883"/>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
      <c r="A96" s="883"/>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
      <c r="A97" s="883"/>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
      <c r="A98" s="883"/>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
      <c r="A99" s="883"/>
      <c r="B99" s="854">
        <v>36</v>
      </c>
      <c r="C99" s="855">
        <f t="shared" si="0"/>
        <v>45906</v>
      </c>
      <c r="D99" s="854" t="s">
        <v>30</v>
      </c>
      <c r="E99" s="856" t="s">
        <v>502</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
      <c r="A100" s="884"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
      <c r="A101" s="884"/>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
      <c r="A102" s="884"/>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
      <c r="A103" s="884"/>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
      <c r="A104" s="884"/>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
      <c r="A105" s="884"/>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
      <c r="A106" s="884"/>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
      <c r="A107" s="883"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
      <c r="A108" s="883"/>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
      <c r="A109" s="883"/>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
      <c r="A110" s="883"/>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
      <c r="A111" s="883"/>
      <c r="B111" s="854">
        <v>24</v>
      </c>
      <c r="C111" s="855">
        <f t="shared" si="0"/>
        <v>45918</v>
      </c>
      <c r="D111" s="854" t="s">
        <v>27</v>
      </c>
      <c r="E111" s="856" t="s">
        <v>503</v>
      </c>
      <c r="F111" s="854">
        <v>10</v>
      </c>
      <c r="G111" s="854">
        <v>9.08</v>
      </c>
      <c r="H111" s="857">
        <v>4.4583333333333336E-2</v>
      </c>
      <c r="I111" s="854" t="str">
        <f t="shared" si="14"/>
        <v>7:04</v>
      </c>
      <c r="J111" s="857">
        <f>TIME(0,2,0)*8</f>
        <v>1.1111111111111112E-2</v>
      </c>
      <c r="K111" s="854">
        <f>0.35+0.36+0.35+0.35+0.35+0.34+0.35+0.36</f>
        <v>2.81</v>
      </c>
      <c r="L111" s="854" t="str">
        <f t="shared" si="2"/>
        <v>5:42</v>
      </c>
      <c r="M111" s="854"/>
      <c r="N111" s="859"/>
      <c r="O111" s="858"/>
      <c r="P111" s="861">
        <f>N112+P104</f>
        <v>5.3993865740740743</v>
      </c>
      <c r="Q111" s="865"/>
      <c r="R111" s="4"/>
      <c r="S111" s="4"/>
      <c r="T111" s="16">
        <f t="shared" si="15"/>
        <v>68.010000000000005</v>
      </c>
      <c r="U111" s="868">
        <f t="shared" si="18"/>
        <v>73.66</v>
      </c>
      <c r="V111" s="4">
        <v>70</v>
      </c>
      <c r="W111" s="4">
        <f t="shared" si="19"/>
        <v>68</v>
      </c>
      <c r="X111" s="868">
        <f t="shared" si="20"/>
        <v>71.857142857142861</v>
      </c>
      <c r="Y111" s="4"/>
      <c r="Z111" s="869">
        <f t="shared" si="21"/>
        <v>0.6648794844442123</v>
      </c>
      <c r="AA111" s="4">
        <f>IF(H111*G111,LOOKUP(Z111,'Daniel''s Tables'!$Z$135:$Z$214,'Daniel''s Tables'!$AB$135:$AB$214),0)</f>
        <v>0.2</v>
      </c>
      <c r="AB111" s="869">
        <f t="shared" si="22"/>
        <v>12.840000000000002</v>
      </c>
      <c r="AC111" s="871">
        <f t="shared" si="16"/>
        <v>96.810083333333324</v>
      </c>
      <c r="AD111" s="838">
        <f t="shared" si="17"/>
        <v>97.989570238095226</v>
      </c>
      <c r="AE111" s="838"/>
    </row>
    <row r="112" spans="1:31" ht="15.75" customHeight="1" x14ac:dyDescent="0.2">
      <c r="A112" s="883"/>
      <c r="B112" s="854">
        <v>23</v>
      </c>
      <c r="C112" s="855">
        <f t="shared" si="0"/>
        <v>45919</v>
      </c>
      <c r="D112" s="854" t="s">
        <v>28</v>
      </c>
      <c r="E112" s="856" t="s">
        <v>442</v>
      </c>
      <c r="F112" s="854">
        <v>5</v>
      </c>
      <c r="G112" s="854">
        <v>6.08</v>
      </c>
      <c r="H112" s="857">
        <v>3.4432870370370371E-2</v>
      </c>
      <c r="I112" s="854" t="str">
        <f t="shared" si="14"/>
        <v>8:09</v>
      </c>
      <c r="J112" s="857"/>
      <c r="K112" s="854"/>
      <c r="L112" s="854" t="str">
        <f t="shared" si="2"/>
        <v>0:00</v>
      </c>
      <c r="M112" s="854"/>
      <c r="N112" s="859">
        <f>SUM(H107:H113)</f>
        <v>0.34363425925925928</v>
      </c>
      <c r="O112" s="858"/>
      <c r="P112" s="863">
        <f>N113+P105</f>
        <v>1052.28</v>
      </c>
      <c r="Q112" s="866"/>
      <c r="R112" s="4"/>
      <c r="S112" s="4"/>
      <c r="T112" s="16">
        <f t="shared" si="15"/>
        <v>67.36</v>
      </c>
      <c r="U112" s="868">
        <f t="shared" si="18"/>
        <v>71.989999999999995</v>
      </c>
      <c r="V112" s="4">
        <v>70</v>
      </c>
      <c r="W112" s="4">
        <f t="shared" si="19"/>
        <v>66</v>
      </c>
      <c r="X112" s="868">
        <f t="shared" si="20"/>
        <v>70.285714285714292</v>
      </c>
      <c r="Y112" s="4"/>
      <c r="Z112" s="869">
        <f t="shared" si="21"/>
        <v>0.55705251859325033</v>
      </c>
      <c r="AA112" s="4">
        <f>IF(H112*G112,LOOKUP(Z112,'Daniel''s Tables'!$Z$135:$Z$214,'Daniel''s Tables'!$AB$135:$AB$214),0)</f>
        <v>0.1</v>
      </c>
      <c r="AB112" s="869">
        <f t="shared" si="22"/>
        <v>4.9583333333333339</v>
      </c>
      <c r="AC112" s="871">
        <f t="shared" si="16"/>
        <v>96.446749999999994</v>
      </c>
      <c r="AD112" s="838">
        <f t="shared" si="17"/>
        <v>96.09779523809523</v>
      </c>
      <c r="AE112" s="838"/>
    </row>
    <row r="113" spans="1:31" ht="15.75" customHeight="1" x14ac:dyDescent="0.2">
      <c r="A113" s="883"/>
      <c r="B113" s="854">
        <v>22</v>
      </c>
      <c r="C113" s="855">
        <f t="shared" si="0"/>
        <v>45920</v>
      </c>
      <c r="D113" s="854" t="s">
        <v>30</v>
      </c>
      <c r="E113" s="856" t="s">
        <v>393</v>
      </c>
      <c r="F113" s="854">
        <v>18</v>
      </c>
      <c r="G113" s="854">
        <v>18.100000000000001</v>
      </c>
      <c r="H113" s="857">
        <v>9.4444444444444442E-2</v>
      </c>
      <c r="I113" s="854" t="str">
        <f t="shared" si="14"/>
        <v>7:31</v>
      </c>
      <c r="J113" s="854"/>
      <c r="K113" s="854"/>
      <c r="L113" s="854" t="str">
        <f t="shared" si="2"/>
        <v>0:00</v>
      </c>
      <c r="M113" s="856">
        <f>SUM(F107:F113)</f>
        <v>68</v>
      </c>
      <c r="N113" s="854">
        <f>SUM(G107:G113)</f>
        <v>67.069999999999993</v>
      </c>
      <c r="O113" s="858"/>
      <c r="P113" s="863">
        <f>M113+P106</f>
        <v>1089</v>
      </c>
      <c r="Q113" s="862">
        <f>P112/P113</f>
        <v>0.96628099173553716</v>
      </c>
      <c r="R113" s="4"/>
      <c r="S113" s="4"/>
      <c r="T113" s="16">
        <f t="shared" si="15"/>
        <v>67.069999999999993</v>
      </c>
      <c r="U113" s="868">
        <f t="shared" si="18"/>
        <v>70.510000000000005</v>
      </c>
      <c r="V113" s="4">
        <v>70</v>
      </c>
      <c r="W113" s="4">
        <f t="shared" si="19"/>
        <v>68</v>
      </c>
      <c r="X113" s="868">
        <f t="shared" si="20"/>
        <v>69.428571428571431</v>
      </c>
      <c r="Y113" s="4"/>
      <c r="Z113" s="869">
        <f t="shared" si="21"/>
        <v>0.61667656023223927</v>
      </c>
      <c r="AA113" s="4">
        <f>IF(H113*G113,LOOKUP(Z113,'Daniel''s Tables'!$Z$135:$Z$214,'Daniel''s Tables'!$AB$135:$AB$214),0)</f>
        <v>0.1285</v>
      </c>
      <c r="AB113" s="869">
        <f t="shared" si="22"/>
        <v>17.475999999999999</v>
      </c>
      <c r="AC113" s="871">
        <f t="shared" si="16"/>
        <v>79.061866666666674</v>
      </c>
      <c r="AD113" s="838">
        <f t="shared" si="17"/>
        <v>93.574242857142849</v>
      </c>
      <c r="AE113" s="838">
        <f>AC113</f>
        <v>79.061866666666674</v>
      </c>
    </row>
    <row r="114" spans="1:31" ht="15.75" customHeight="1" x14ac:dyDescent="0.2">
      <c r="A114" s="884" t="s">
        <v>46</v>
      </c>
      <c r="B114" s="6">
        <v>21</v>
      </c>
      <c r="C114" s="17">
        <f t="shared" si="0"/>
        <v>45921</v>
      </c>
      <c r="D114" s="6" t="s">
        <v>31</v>
      </c>
      <c r="E114" s="4" t="s">
        <v>381</v>
      </c>
      <c r="F114" s="6">
        <v>6</v>
      </c>
      <c r="G114" s="6">
        <v>6.04</v>
      </c>
      <c r="H114" s="29">
        <v>3.2685185185185185E-2</v>
      </c>
      <c r="I114" s="6" t="str">
        <f t="shared" si="14"/>
        <v>7:48</v>
      </c>
      <c r="J114" s="6"/>
      <c r="K114" s="6"/>
      <c r="L114" s="6" t="str">
        <f t="shared" si="2"/>
        <v>0:00</v>
      </c>
      <c r="M114" s="4"/>
      <c r="N114" s="4"/>
      <c r="O114" s="16"/>
      <c r="P114" s="863"/>
      <c r="Q114" s="862"/>
      <c r="R114" s="4"/>
      <c r="S114" s="4"/>
      <c r="T114" s="16">
        <f t="shared" si="15"/>
        <v>67.89</v>
      </c>
      <c r="U114" s="868">
        <f t="shared" si="18"/>
        <v>69.508571428571429</v>
      </c>
      <c r="V114" s="4">
        <v>70</v>
      </c>
      <c r="W114" s="4">
        <f t="shared" si="19"/>
        <v>68</v>
      </c>
      <c r="X114" s="868">
        <f t="shared" si="20"/>
        <v>68.857142857142861</v>
      </c>
      <c r="Y114" s="4"/>
      <c r="Z114" s="869">
        <f t="shared" si="21"/>
        <v>0.5894472589151124</v>
      </c>
      <c r="AA114" s="4">
        <f>IF(H114*G114,LOOKUP(Z114,'Daniel''s Tables'!$Z$135:$Z$214,'Daniel''s Tables'!$AB$135:$AB$214),0)</f>
        <v>0.1</v>
      </c>
      <c r="AB114" s="869">
        <f t="shared" si="22"/>
        <v>4.706666666666667</v>
      </c>
      <c r="AC114" s="871">
        <f t="shared" si="16"/>
        <v>79.69853333333333</v>
      </c>
      <c r="AD114" s="838">
        <f t="shared" si="17"/>
        <v>91.416880952380964</v>
      </c>
      <c r="AE114" s="838"/>
    </row>
    <row r="115" spans="1:31" ht="15.75" customHeight="1" x14ac:dyDescent="0.2">
      <c r="A115" s="884"/>
      <c r="B115" s="6">
        <v>20</v>
      </c>
      <c r="C115" s="17">
        <f t="shared" si="0"/>
        <v>45922</v>
      </c>
      <c r="D115" s="6" t="s">
        <v>33</v>
      </c>
      <c r="E115" s="4" t="s">
        <v>385</v>
      </c>
      <c r="F115" s="6">
        <v>8</v>
      </c>
      <c r="G115" s="6">
        <v>5.4</v>
      </c>
      <c r="H115" s="29">
        <v>2.9953703703703705E-2</v>
      </c>
      <c r="I115" s="6" t="str">
        <f t="shared" si="14"/>
        <v>7:59</v>
      </c>
      <c r="J115" s="6"/>
      <c r="K115" s="6"/>
      <c r="L115" s="6" t="str">
        <f t="shared" si="2"/>
        <v>0:00</v>
      </c>
      <c r="M115" s="6"/>
      <c r="N115" s="6"/>
      <c r="O115" s="16"/>
      <c r="P115" s="863"/>
      <c r="Q115" s="864"/>
      <c r="R115" s="4"/>
      <c r="S115" s="4"/>
      <c r="T115" s="16">
        <f t="shared" si="15"/>
        <v>63.949999999999996</v>
      </c>
      <c r="U115" s="868">
        <f t="shared" si="18"/>
        <v>68.19714285714285</v>
      </c>
      <c r="V115" s="4">
        <v>70</v>
      </c>
      <c r="W115" s="4">
        <f t="shared" si="19"/>
        <v>66</v>
      </c>
      <c r="X115" s="868">
        <f t="shared" si="20"/>
        <v>68</v>
      </c>
      <c r="Y115" s="4"/>
      <c r="Z115" s="869">
        <f t="shared" si="21"/>
        <v>0.57161476903655906</v>
      </c>
      <c r="AA115" s="4">
        <f>IF(H115*G115,LOOKUP(Z115,'Daniel''s Tables'!$Z$135:$Z$214,'Daniel''s Tables'!$AB$135:$AB$214),0)</f>
        <v>0.1</v>
      </c>
      <c r="AB115" s="869">
        <f t="shared" si="22"/>
        <v>4.3133333333333335</v>
      </c>
      <c r="AC115" s="871">
        <f t="shared" si="16"/>
        <v>75.418999999999997</v>
      </c>
      <c r="AD115" s="838">
        <f t="shared" si="17"/>
        <v>88.69155714285715</v>
      </c>
      <c r="AE115" s="838"/>
    </row>
    <row r="116" spans="1:31" ht="15.75" customHeight="1" x14ac:dyDescent="0.2">
      <c r="A116" s="884"/>
      <c r="B116" s="6">
        <v>19</v>
      </c>
      <c r="C116" s="17">
        <f t="shared" si="0"/>
        <v>45923</v>
      </c>
      <c r="D116" s="6" t="s">
        <v>34</v>
      </c>
      <c r="E116" s="4" t="s">
        <v>420</v>
      </c>
      <c r="F116" s="6">
        <v>12</v>
      </c>
      <c r="G116" s="6">
        <v>12.37</v>
      </c>
      <c r="H116" s="29">
        <v>5.4282407407407404E-2</v>
      </c>
      <c r="I116" s="6" t="str">
        <f t="shared" si="14"/>
        <v>6:19</v>
      </c>
      <c r="J116" s="29">
        <f>TIME(0,11+11+11+10,9+12+4+53)</f>
        <v>3.0763888888888889E-2</v>
      </c>
      <c r="K116" s="6">
        <f>4*2</f>
        <v>8</v>
      </c>
      <c r="L116" s="6" t="str">
        <f t="shared" si="2"/>
        <v>5:32</v>
      </c>
      <c r="M116" s="6"/>
      <c r="N116" s="6"/>
      <c r="O116" s="16"/>
      <c r="P116" s="863"/>
      <c r="Q116" s="864"/>
      <c r="R116" s="4"/>
      <c r="S116" s="4"/>
      <c r="T116" s="16">
        <f t="shared" si="15"/>
        <v>63.3</v>
      </c>
      <c r="U116" s="868">
        <f t="shared" si="18"/>
        <v>66.647142857142853</v>
      </c>
      <c r="V116" s="4">
        <v>70</v>
      </c>
      <c r="W116" s="4">
        <f t="shared" si="19"/>
        <v>66</v>
      </c>
      <c r="X116" s="868">
        <f t="shared" si="20"/>
        <v>67.428571428571431</v>
      </c>
      <c r="Y116" s="4"/>
      <c r="Z116" s="869">
        <f t="shared" si="21"/>
        <v>0.76382348470085371</v>
      </c>
      <c r="AA116" s="4">
        <f>IF(H116*G116,LOOKUP(Z116,'Daniel''s Tables'!$Z$135:$Z$214,'Daniel''s Tables'!$AB$135:$AB$214),0)</f>
        <v>0.36699999999999999</v>
      </c>
      <c r="AB116" s="869">
        <f t="shared" si="22"/>
        <v>28.687166666666663</v>
      </c>
      <c r="AC116" s="871">
        <f t="shared" si="16"/>
        <v>78.221166666666676</v>
      </c>
      <c r="AD116" s="838">
        <f t="shared" si="17"/>
        <v>85.742319047619048</v>
      </c>
      <c r="AE116" s="838"/>
    </row>
    <row r="117" spans="1:31" ht="15.75" customHeight="1" x14ac:dyDescent="0.2">
      <c r="A117" s="884"/>
      <c r="B117" s="6">
        <v>18</v>
      </c>
      <c r="C117" s="17">
        <f t="shared" si="0"/>
        <v>45924</v>
      </c>
      <c r="D117" s="6" t="s">
        <v>26</v>
      </c>
      <c r="E117" s="4" t="s">
        <v>385</v>
      </c>
      <c r="F117" s="6">
        <v>8</v>
      </c>
      <c r="G117" s="6">
        <v>8.01</v>
      </c>
      <c r="H117" s="29">
        <v>4.2488425925925923E-2</v>
      </c>
      <c r="I117" s="6" t="str">
        <f t="shared" si="14"/>
        <v>7:38</v>
      </c>
      <c r="J117" s="29"/>
      <c r="K117" s="6"/>
      <c r="L117" s="6" t="str">
        <f t="shared" si="2"/>
        <v>0:00</v>
      </c>
      <c r="M117" s="6"/>
      <c r="N117" s="6"/>
      <c r="O117" s="16"/>
      <c r="P117" s="861"/>
      <c r="Q117" s="865"/>
      <c r="R117" s="4"/>
      <c r="S117" s="4"/>
      <c r="T117" s="16">
        <f t="shared" si="15"/>
        <v>65.08</v>
      </c>
      <c r="U117" s="868">
        <f t="shared" si="18"/>
        <v>66.094285714285704</v>
      </c>
      <c r="V117" s="4">
        <v>70</v>
      </c>
      <c r="W117" s="4">
        <f t="shared" si="19"/>
        <v>67</v>
      </c>
      <c r="X117" s="868">
        <f t="shared" si="20"/>
        <v>67</v>
      </c>
      <c r="Y117" s="4"/>
      <c r="Z117" s="869">
        <f t="shared" si="21"/>
        <v>0.60423710049349255</v>
      </c>
      <c r="AA117" s="4">
        <f>IF(H117*G117,LOOKUP(Z117,'Daniel''s Tables'!$Z$135:$Z$214,'Daniel''s Tables'!$AB$135:$AB$214),0)</f>
        <v>0.11</v>
      </c>
      <c r="AB117" s="869">
        <f t="shared" si="22"/>
        <v>6.7301666666666664</v>
      </c>
      <c r="AC117" s="871">
        <f t="shared" si="16"/>
        <v>79.711666666666645</v>
      </c>
      <c r="AD117" s="838">
        <f t="shared" si="17"/>
        <v>83.624152380952381</v>
      </c>
      <c r="AE117" s="838"/>
    </row>
    <row r="118" spans="1:31" ht="15.75" customHeight="1" x14ac:dyDescent="0.2">
      <c r="A118" s="884"/>
      <c r="B118" s="6">
        <v>17</v>
      </c>
      <c r="C118" s="17">
        <f t="shared" si="0"/>
        <v>45925</v>
      </c>
      <c r="D118" s="6" t="s">
        <v>27</v>
      </c>
      <c r="E118" s="4" t="s">
        <v>385</v>
      </c>
      <c r="F118" s="6">
        <v>8</v>
      </c>
      <c r="G118" s="6">
        <v>8</v>
      </c>
      <c r="H118" s="29">
        <v>4.4016203703703703E-2</v>
      </c>
      <c r="I118" s="6" t="str">
        <f t="shared" si="14"/>
        <v>7:55</v>
      </c>
      <c r="J118" s="29"/>
      <c r="K118" s="6"/>
      <c r="L118" s="6" t="str">
        <f t="shared" si="2"/>
        <v>0:00</v>
      </c>
      <c r="M118" s="6"/>
      <c r="N118" s="28"/>
      <c r="O118" s="16"/>
      <c r="P118" s="861">
        <f>N119+P111</f>
        <v>5.7176273148148153</v>
      </c>
      <c r="Q118" s="865"/>
      <c r="R118" s="4"/>
      <c r="S118" s="4"/>
      <c r="T118" s="16">
        <f t="shared" si="15"/>
        <v>63.999999999999993</v>
      </c>
      <c r="U118" s="868">
        <f t="shared" si="18"/>
        <v>65.521428571428572</v>
      </c>
      <c r="V118" s="4">
        <v>70</v>
      </c>
      <c r="W118" s="4">
        <f t="shared" si="19"/>
        <v>65</v>
      </c>
      <c r="X118" s="868">
        <f t="shared" si="20"/>
        <v>66.571428571428569</v>
      </c>
      <c r="Y118" s="4"/>
      <c r="Z118" s="869">
        <f t="shared" si="21"/>
        <v>0.57742356302861209</v>
      </c>
      <c r="AA118" s="4">
        <f>IF(H118*G118,LOOKUP(Z118,'Daniel''s Tables'!$Z$135:$Z$214,'Daniel''s Tables'!$AB$135:$AB$214),0)</f>
        <v>0.1</v>
      </c>
      <c r="AB118" s="869">
        <f t="shared" si="22"/>
        <v>6.3383333333333338</v>
      </c>
      <c r="AC118" s="871">
        <f t="shared" si="16"/>
        <v>73.209999999999994</v>
      </c>
      <c r="AD118" s="838">
        <f t="shared" si="17"/>
        <v>80.252711904761895</v>
      </c>
      <c r="AE118" s="838"/>
    </row>
    <row r="119" spans="1:31" ht="15.75" customHeight="1" x14ac:dyDescent="0.2">
      <c r="A119" s="884"/>
      <c r="B119" s="6">
        <v>16</v>
      </c>
      <c r="C119" s="17">
        <f t="shared" si="0"/>
        <v>45926</v>
      </c>
      <c r="D119" s="6" t="s">
        <v>28</v>
      </c>
      <c r="E119" s="4" t="s">
        <v>418</v>
      </c>
      <c r="F119" s="6">
        <v>18</v>
      </c>
      <c r="G119" s="6">
        <v>18.260000000000002</v>
      </c>
      <c r="H119" s="29">
        <v>8.1030092592592598E-2</v>
      </c>
      <c r="I119" s="6" t="str">
        <f t="shared" si="14"/>
        <v>6:23</v>
      </c>
      <c r="J119" s="29">
        <f>TIME(0,35+35,36+6) + TIME(0,5,35)</f>
        <v>5.2974537037037035E-2</v>
      </c>
      <c r="K119" s="6">
        <f>6+1+6</f>
        <v>13</v>
      </c>
      <c r="L119" s="6" t="str">
        <f t="shared" si="2"/>
        <v>5:52</v>
      </c>
      <c r="M119" s="6"/>
      <c r="N119" s="28">
        <f>SUM(H114:H120)</f>
        <v>0.31824074074074077</v>
      </c>
      <c r="O119" s="16"/>
      <c r="P119" s="863">
        <f>N120+P112</f>
        <v>1117.4099999999999</v>
      </c>
      <c r="Q119" s="866"/>
      <c r="R119" s="4"/>
      <c r="S119" s="4"/>
      <c r="T119" s="16">
        <f t="shared" si="15"/>
        <v>76.179999999999993</v>
      </c>
      <c r="U119" s="868">
        <f t="shared" si="18"/>
        <v>66.781428571428563</v>
      </c>
      <c r="V119" s="4">
        <v>70</v>
      </c>
      <c r="W119" s="4">
        <f t="shared" si="19"/>
        <v>78</v>
      </c>
      <c r="X119" s="868">
        <f t="shared" si="20"/>
        <v>68.285714285714292</v>
      </c>
      <c r="Y119" s="4"/>
      <c r="Z119" s="869">
        <f t="shared" si="21"/>
        <v>0.75335905331827735</v>
      </c>
      <c r="AA119" s="4">
        <f>IF(H119*G119,LOOKUP(Z119,'Daniel''s Tables'!$Z$135:$Z$214,'Daniel''s Tables'!$AB$135:$AB$214),0)</f>
        <v>0.35</v>
      </c>
      <c r="AB119" s="869">
        <f t="shared" si="22"/>
        <v>40.839166666666664</v>
      </c>
      <c r="AC119" s="871">
        <f t="shared" si="16"/>
        <v>109.09083333333334</v>
      </c>
      <c r="AD119" s="838">
        <f t="shared" si="17"/>
        <v>82.059009523809522</v>
      </c>
      <c r="AE119" s="838"/>
    </row>
    <row r="120" spans="1:31" ht="15.75" customHeight="1" x14ac:dyDescent="0.2">
      <c r="A120" s="884"/>
      <c r="B120" s="6">
        <v>15</v>
      </c>
      <c r="C120" s="17">
        <f t="shared" si="0"/>
        <v>45927</v>
      </c>
      <c r="D120" s="6" t="s">
        <v>30</v>
      </c>
      <c r="E120" s="4" t="s">
        <v>381</v>
      </c>
      <c r="F120" s="6">
        <v>8</v>
      </c>
      <c r="G120" s="6">
        <v>7.05</v>
      </c>
      <c r="H120" s="29">
        <v>3.3784722222222223E-2</v>
      </c>
      <c r="I120" s="6" t="str">
        <f t="shared" si="14"/>
        <v>6:54</v>
      </c>
      <c r="J120" s="29"/>
      <c r="K120" s="6"/>
      <c r="L120" s="6" t="str">
        <f t="shared" si="2"/>
        <v>0:00</v>
      </c>
      <c r="M120" s="4">
        <f>SUM(F114:F120)</f>
        <v>68</v>
      </c>
      <c r="N120" s="6">
        <f>SUM(G114:G120)</f>
        <v>65.13</v>
      </c>
      <c r="O120" s="16"/>
      <c r="P120" s="863">
        <f>M120+P113</f>
        <v>1157</v>
      </c>
      <c r="Q120" s="862">
        <f>P119/P120</f>
        <v>0.965782195332757</v>
      </c>
      <c r="R120" s="4"/>
      <c r="S120" s="4"/>
      <c r="T120" s="16">
        <f t="shared" si="15"/>
        <v>65.13</v>
      </c>
      <c r="U120" s="868">
        <f t="shared" si="18"/>
        <v>66.504285714285714</v>
      </c>
      <c r="V120" s="4">
        <v>70</v>
      </c>
      <c r="W120" s="4">
        <f t="shared" si="19"/>
        <v>68</v>
      </c>
      <c r="X120" s="868">
        <f t="shared" si="20"/>
        <v>68.285714285714292</v>
      </c>
      <c r="Y120" s="4"/>
      <c r="Z120" s="869">
        <f t="shared" si="21"/>
        <v>0.68515351154785287</v>
      </c>
      <c r="AA120" s="4">
        <f>IF(H120*G120,LOOKUP(Z120,'Daniel''s Tables'!$Z$135:$Z$214,'Daniel''s Tables'!$AB$135:$AB$214),0)</f>
        <v>0.24149999999999999</v>
      </c>
      <c r="AB120" s="869">
        <f t="shared" si="22"/>
        <v>11.748975</v>
      </c>
      <c r="AC120" s="871">
        <f t="shared" si="16"/>
        <v>103.36380833333334</v>
      </c>
      <c r="AD120" s="838">
        <f t="shared" si="17"/>
        <v>85.53071547619048</v>
      </c>
      <c r="AE120" s="838">
        <f>AC120</f>
        <v>103.36380833333334</v>
      </c>
    </row>
    <row r="121" spans="1:31" ht="15.75" customHeight="1" x14ac:dyDescent="0.2">
      <c r="A121" s="883" t="s">
        <v>47</v>
      </c>
      <c r="B121" s="854">
        <v>14</v>
      </c>
      <c r="C121" s="855">
        <f t="shared" si="0"/>
        <v>45928</v>
      </c>
      <c r="D121" s="854" t="s">
        <v>31</v>
      </c>
      <c r="E121" s="856" t="s">
        <v>380</v>
      </c>
      <c r="F121" s="854">
        <v>5</v>
      </c>
      <c r="G121" s="854">
        <v>5.25</v>
      </c>
      <c r="H121" s="857">
        <v>2.9097222222222222E-2</v>
      </c>
      <c r="I121" s="854" t="str">
        <f t="shared" si="14"/>
        <v>7:59</v>
      </c>
      <c r="J121" s="854"/>
      <c r="K121" s="854"/>
      <c r="L121" s="854" t="str">
        <f t="shared" si="2"/>
        <v>0:00</v>
      </c>
      <c r="M121" s="860"/>
      <c r="N121" s="860"/>
      <c r="O121" s="858"/>
      <c r="P121" s="863"/>
      <c r="Q121" s="862"/>
      <c r="R121" s="4"/>
      <c r="S121" s="4"/>
      <c r="T121" s="16">
        <f t="shared" si="15"/>
        <v>64.34</v>
      </c>
      <c r="U121" s="868">
        <f t="shared" si="18"/>
        <v>65.997142857142862</v>
      </c>
      <c r="V121" s="4">
        <v>70</v>
      </c>
      <c r="W121" s="4">
        <f t="shared" si="19"/>
        <v>67</v>
      </c>
      <c r="X121" s="868">
        <f t="shared" si="20"/>
        <v>68.142857142857139</v>
      </c>
      <c r="Y121" s="4"/>
      <c r="Z121" s="869">
        <f t="shared" si="21"/>
        <v>0.57221134044172761</v>
      </c>
      <c r="AA121" s="4">
        <f>IF(H121*G121,LOOKUP(Z121,'Daniel''s Tables'!$Z$135:$Z$214,'Daniel''s Tables'!$AB$135:$AB$214),0)</f>
        <v>0.1</v>
      </c>
      <c r="AB121" s="869">
        <f t="shared" si="22"/>
        <v>4.1900000000000004</v>
      </c>
      <c r="AC121" s="871">
        <f t="shared" si="16"/>
        <v>102.84714166666666</v>
      </c>
      <c r="AD121" s="838">
        <f t="shared" si="17"/>
        <v>88.837659523809506</v>
      </c>
      <c r="AE121" s="838"/>
    </row>
    <row r="122" spans="1:31" ht="15.75" customHeight="1" x14ac:dyDescent="0.2">
      <c r="A122" s="883"/>
      <c r="B122" s="854">
        <v>13</v>
      </c>
      <c r="C122" s="855">
        <f t="shared" si="0"/>
        <v>45929</v>
      </c>
      <c r="D122" s="854" t="s">
        <v>33</v>
      </c>
      <c r="E122" s="856" t="s">
        <v>381</v>
      </c>
      <c r="F122" s="854">
        <v>6</v>
      </c>
      <c r="G122" s="854">
        <v>5.8</v>
      </c>
      <c r="H122" s="857">
        <v>3.1006944444444445E-2</v>
      </c>
      <c r="I122" s="854" t="str">
        <f>CONCATENATE(FLOOR((HOUR(H122)*60+MINUTE(H122)+SECOND(H122)/60)/IF(ISBLANK(G122),1,G122),1),":",TEXT(ROUND((((HOUR(H122)*60+MINUTE(H122)+SECOND(H122)/60)/IF(ISBLANK(G122),1,G122))-(FLOOR((HOUR(H122)*60+MINUTE(H122)+SECOND(H122)/60)/IF(ISBLANK(G122),1,G122),1)))*60,0),"00"))</f>
        <v>7:42</v>
      </c>
      <c r="J122" s="854"/>
      <c r="K122" s="854"/>
      <c r="L122" s="854" t="str">
        <f t="shared" si="2"/>
        <v>0:00</v>
      </c>
      <c r="M122" s="854"/>
      <c r="N122" s="854"/>
      <c r="O122" s="858"/>
      <c r="P122" s="863"/>
      <c r="Q122" s="864"/>
      <c r="R122" s="4"/>
      <c r="S122" s="4"/>
      <c r="T122" s="16">
        <f t="shared" si="15"/>
        <v>64.739999999999995</v>
      </c>
      <c r="U122" s="868">
        <f t="shared" si="18"/>
        <v>66.11</v>
      </c>
      <c r="V122" s="4">
        <v>70</v>
      </c>
      <c r="W122" s="4">
        <f t="shared" si="19"/>
        <v>65</v>
      </c>
      <c r="X122" s="868">
        <f t="shared" si="20"/>
        <v>68</v>
      </c>
      <c r="Y122" s="4"/>
      <c r="Z122" s="869">
        <f t="shared" si="21"/>
        <v>0.59841129966043349</v>
      </c>
      <c r="AA122" s="4">
        <f>IF(H122*G122,LOOKUP(Z122,'Daniel''s Tables'!$Z$135:$Z$214,'Daniel''s Tables'!$AB$135:$AB$214),0)</f>
        <v>0.10500000000000001</v>
      </c>
      <c r="AB122" s="869">
        <f t="shared" si="22"/>
        <v>4.68825</v>
      </c>
      <c r="AC122" s="871">
        <f t="shared" si="16"/>
        <v>103.22205833333332</v>
      </c>
      <c r="AD122" s="838">
        <f t="shared" si="17"/>
        <v>92.809524999999994</v>
      </c>
      <c r="AE122" s="838"/>
    </row>
    <row r="123" spans="1:31" ht="15.75" customHeight="1" x14ac:dyDescent="0.2">
      <c r="A123" s="883"/>
      <c r="B123" s="854">
        <v>12</v>
      </c>
      <c r="C123" s="855">
        <f t="shared" si="0"/>
        <v>45930</v>
      </c>
      <c r="D123" s="854" t="s">
        <v>34</v>
      </c>
      <c r="E123" s="856" t="s">
        <v>419</v>
      </c>
      <c r="F123" s="854">
        <v>16</v>
      </c>
      <c r="G123" s="854">
        <f>11.62+4.08</f>
        <v>15.7</v>
      </c>
      <c r="H123" s="857">
        <f>TIME(1,16,20)+TIME(0,32,12)</f>
        <v>7.5370370370370365E-2</v>
      </c>
      <c r="I123" s="854" t="str">
        <f t="shared" si="14"/>
        <v>6:55</v>
      </c>
      <c r="J123" s="857">
        <f>TIME(0,5+5+5+5+5+5,32+13+12+13+11+12+16+6+12)</f>
        <v>2.2303240740740742E-2</v>
      </c>
      <c r="K123" s="881">
        <f>(1600/1609)*6</f>
        <v>5.9664387818520819</v>
      </c>
      <c r="L123" s="854" t="str">
        <f t="shared" si="2"/>
        <v>5:23</v>
      </c>
      <c r="M123" s="854"/>
      <c r="N123" s="854"/>
      <c r="O123" s="858"/>
      <c r="P123" s="863"/>
      <c r="Q123" s="864"/>
      <c r="R123" s="4"/>
      <c r="S123" s="4"/>
      <c r="T123" s="16">
        <f t="shared" si="15"/>
        <v>68.069999999999993</v>
      </c>
      <c r="U123" s="868">
        <f t="shared" si="18"/>
        <v>66.791428571428568</v>
      </c>
      <c r="V123" s="4">
        <v>70</v>
      </c>
      <c r="W123" s="4">
        <f t="shared" si="19"/>
        <v>69</v>
      </c>
      <c r="X123" s="868">
        <f t="shared" si="20"/>
        <v>68.428571428571431</v>
      </c>
      <c r="Y123" s="4"/>
      <c r="Z123" s="869">
        <f t="shared" si="21"/>
        <v>0.68365479964187936</v>
      </c>
      <c r="AA123" s="4">
        <f>IF(H123*G123,LOOKUP(Z123,'Daniel''s Tables'!$Z$135:$Z$214,'Daniel''s Tables'!$AB$135:$AB$214),0)</f>
        <v>0.23300000000000001</v>
      </c>
      <c r="AB123" s="869">
        <f t="shared" si="22"/>
        <v>25.288266666666669</v>
      </c>
      <c r="AC123" s="871">
        <f t="shared" si="16"/>
        <v>99.823158333333325</v>
      </c>
      <c r="AD123" s="838">
        <f t="shared" si="17"/>
        <v>95.895523809523795</v>
      </c>
      <c r="AE123" s="838"/>
    </row>
    <row r="124" spans="1:31" ht="15.75" customHeight="1" x14ac:dyDescent="0.2">
      <c r="A124" s="883"/>
      <c r="B124" s="854">
        <v>11</v>
      </c>
      <c r="C124" s="855">
        <f t="shared" si="0"/>
        <v>45931</v>
      </c>
      <c r="D124" s="854" t="s">
        <v>26</v>
      </c>
      <c r="E124" s="856" t="s">
        <v>381</v>
      </c>
      <c r="F124" s="854">
        <v>6</v>
      </c>
      <c r="G124" s="854">
        <v>7.36</v>
      </c>
      <c r="H124" s="857">
        <v>4.4756944444444446E-2</v>
      </c>
      <c r="I124" s="854" t="str">
        <f>CONCATENATE(FLOOR((HOUR(H124)*60+MINUTE(H124)+SECOND(H124)/60)/IF(ISBLANK(G124),1,G124),1),":",TEXT(ROUND((((HOUR(H124)*60+MINUTE(H124)+SECOND(H124)/60)/IF(ISBLANK(G124),1,G124))-(FLOOR((HOUR(H124)*60+MINUTE(H124)+SECOND(H124)/60)/IF(ISBLANK(G124),1,G124),1)))*60,0),"00"))</f>
        <v>8:45</v>
      </c>
      <c r="J124" s="854"/>
      <c r="K124" s="854"/>
      <c r="L124" s="854" t="str">
        <f t="shared" si="2"/>
        <v>0:00</v>
      </c>
      <c r="M124" s="854"/>
      <c r="N124" s="854"/>
      <c r="O124" s="858"/>
      <c r="P124" s="861"/>
      <c r="Q124" s="865"/>
      <c r="R124" s="4"/>
      <c r="S124" s="4"/>
      <c r="T124" s="16">
        <f t="shared" si="15"/>
        <v>67.42</v>
      </c>
      <c r="U124" s="868">
        <f t="shared" si="18"/>
        <v>67.125714285714281</v>
      </c>
      <c r="V124" s="4">
        <v>70</v>
      </c>
      <c r="W124" s="4">
        <f t="shared" si="19"/>
        <v>67</v>
      </c>
      <c r="X124" s="868">
        <f t="shared" si="20"/>
        <v>68.428571428571431</v>
      </c>
      <c r="Y124" s="4"/>
      <c r="Z124" s="869">
        <f t="shared" si="21"/>
        <v>0.50973310577062381</v>
      </c>
      <c r="AA124" s="4">
        <f>IF(H124*G124,LOOKUP(Z124,'Daniel''s Tables'!$Z$135:$Z$214,'Daniel''s Tables'!$AB$135:$AB$214),0)</f>
        <v>0.1</v>
      </c>
      <c r="AB124" s="869">
        <f t="shared" si="22"/>
        <v>6.4450000000000003</v>
      </c>
      <c r="AC124" s="871">
        <f t="shared" si="16"/>
        <v>99.53799166666667</v>
      </c>
      <c r="AD124" s="838">
        <f t="shared" si="17"/>
        <v>98.727855952380963</v>
      </c>
      <c r="AE124" s="838"/>
    </row>
    <row r="125" spans="1:31" ht="15.75" customHeight="1" x14ac:dyDescent="0.2">
      <c r="A125" s="883"/>
      <c r="B125" s="854">
        <v>10</v>
      </c>
      <c r="C125" s="855">
        <f t="shared" si="0"/>
        <v>45932</v>
      </c>
      <c r="D125" s="854" t="s">
        <v>27</v>
      </c>
      <c r="E125" s="856" t="s">
        <v>504</v>
      </c>
      <c r="F125" s="854">
        <v>12</v>
      </c>
      <c r="G125" s="854">
        <v>11.5</v>
      </c>
      <c r="H125" s="857">
        <f>TIME(1,9+3,49+37.5)</f>
        <v>5.0995370370370371E-2</v>
      </c>
      <c r="I125" s="854" t="str">
        <f t="shared" ref="I125:I134" si="23">CONCATENATE(FLOOR((HOUR(H125)*60+MINUTE(H125)+SECOND(H125)/60)/IF(ISBLANK(G125),1,G125),1),":",TEXT(ROUND((((HOUR(H125)*60+MINUTE(H125)+SECOND(H125)/60)/IF(ISBLANK(G125),1,G125))-(FLOOR((HOUR(H125)*60+MINUTE(H125)+SECOND(H125)/60)/IF(ISBLANK(G125),1,G125),1)))*60,0),"00"))</f>
        <v>6:23</v>
      </c>
      <c r="J125" s="857">
        <f>TIME(0,5+11+5+11,22+29+23+15)</f>
        <v>2.3252314814814816E-2</v>
      </c>
      <c r="K125" s="854">
        <v>6</v>
      </c>
      <c r="L125" s="854" t="str">
        <f t="shared" si="2"/>
        <v>5:35</v>
      </c>
      <c r="M125" s="854"/>
      <c r="N125" s="859"/>
      <c r="O125" s="858"/>
      <c r="P125" s="861">
        <f>N126+P118</f>
        <v>6.0264814814814818</v>
      </c>
      <c r="Q125" s="865"/>
      <c r="R125" s="4"/>
      <c r="S125" s="4"/>
      <c r="T125" s="16">
        <f t="shared" si="15"/>
        <v>70.92</v>
      </c>
      <c r="U125" s="868">
        <f t="shared" si="18"/>
        <v>68.114285714285714</v>
      </c>
      <c r="V125" s="4">
        <v>70</v>
      </c>
      <c r="W125" s="4">
        <f t="shared" si="19"/>
        <v>71</v>
      </c>
      <c r="X125" s="868">
        <f t="shared" si="20"/>
        <v>69.285714285714292</v>
      </c>
      <c r="Y125" s="4"/>
      <c r="Z125" s="869">
        <f t="shared" si="21"/>
        <v>0.75402847512088989</v>
      </c>
      <c r="AA125" s="4">
        <f>IF(H125*G125,LOOKUP(Z125,'Daniel''s Tables'!$Z$135:$Z$214,'Daniel''s Tables'!$AB$135:$AB$214),0)</f>
        <v>0.35</v>
      </c>
      <c r="AB125" s="869">
        <f t="shared" si="22"/>
        <v>25.701666666666668</v>
      </c>
      <c r="AC125" s="871">
        <f t="shared" si="16"/>
        <v>118.901325</v>
      </c>
      <c r="AD125" s="838">
        <f t="shared" si="17"/>
        <v>105.2551880952381</v>
      </c>
      <c r="AE125" s="838"/>
    </row>
    <row r="126" spans="1:31" ht="15.75" customHeight="1" x14ac:dyDescent="0.2">
      <c r="A126" s="883"/>
      <c r="B126" s="854">
        <v>9</v>
      </c>
      <c r="C126" s="855">
        <f t="shared" si="0"/>
        <v>45933</v>
      </c>
      <c r="D126" s="854" t="s">
        <v>28</v>
      </c>
      <c r="E126" s="856" t="s">
        <v>441</v>
      </c>
      <c r="F126" s="854">
        <v>5</v>
      </c>
      <c r="G126" s="854">
        <v>6.16</v>
      </c>
      <c r="H126" s="857">
        <v>3.2557870370370369E-2</v>
      </c>
      <c r="I126" s="854" t="str">
        <f t="shared" si="23"/>
        <v>7:37</v>
      </c>
      <c r="J126" s="854"/>
      <c r="K126" s="854"/>
      <c r="L126" s="854" t="str">
        <f t="shared" si="2"/>
        <v>0:00</v>
      </c>
      <c r="M126" s="854"/>
      <c r="N126" s="859">
        <f>SUM(H121:H127)</f>
        <v>0.30885416666666671</v>
      </c>
      <c r="O126" s="858"/>
      <c r="P126" s="863">
        <f>N127+P119</f>
        <v>1178.2499999999998</v>
      </c>
      <c r="Q126" s="866"/>
      <c r="R126" s="4"/>
      <c r="S126" s="4"/>
      <c r="T126" s="16">
        <f t="shared" si="15"/>
        <v>58.819999999999993</v>
      </c>
      <c r="U126" s="868">
        <f t="shared" si="18"/>
        <v>65.63428571428571</v>
      </c>
      <c r="V126" s="4">
        <v>70</v>
      </c>
      <c r="W126" s="4">
        <f t="shared" si="19"/>
        <v>58</v>
      </c>
      <c r="X126" s="868">
        <f t="shared" si="20"/>
        <v>66.428571428571431</v>
      </c>
      <c r="Y126" s="4"/>
      <c r="Z126" s="869">
        <f t="shared" si="21"/>
        <v>0.60693896770552047</v>
      </c>
      <c r="AA126" s="4">
        <f>IF(H126*G126,LOOKUP(Z126,'Daniel''s Tables'!$Z$135:$Z$214,'Daniel''s Tables'!$AB$135:$AB$214),0)</f>
        <v>0.11599999999999999</v>
      </c>
      <c r="AB126" s="869">
        <f t="shared" si="22"/>
        <v>5.4384666666666659</v>
      </c>
      <c r="AC126" s="871">
        <f t="shared" si="16"/>
        <v>83.500625000000014</v>
      </c>
      <c r="AD126" s="838">
        <f t="shared" si="17"/>
        <v>101.59944404761904</v>
      </c>
      <c r="AE126" s="838"/>
    </row>
    <row r="127" spans="1:31" ht="15.75" customHeight="1" x14ac:dyDescent="0.2">
      <c r="A127" s="883"/>
      <c r="B127" s="854">
        <v>8</v>
      </c>
      <c r="C127" s="855">
        <f t="shared" si="0"/>
        <v>45934</v>
      </c>
      <c r="D127" s="854" t="s">
        <v>30</v>
      </c>
      <c r="E127" s="856" t="s">
        <v>385</v>
      </c>
      <c r="F127" s="854">
        <v>8</v>
      </c>
      <c r="G127" s="854">
        <v>9.07</v>
      </c>
      <c r="H127" s="857">
        <v>4.5069444444444447E-2</v>
      </c>
      <c r="I127" s="854" t="str">
        <f t="shared" si="23"/>
        <v>7:09</v>
      </c>
      <c r="J127" s="854"/>
      <c r="K127" s="854"/>
      <c r="L127" s="854" t="str">
        <f t="shared" si="2"/>
        <v>0:00</v>
      </c>
      <c r="M127" s="856">
        <f>SUM(F121:F127)</f>
        <v>58</v>
      </c>
      <c r="N127" s="854">
        <f>SUM(G121:G127)</f>
        <v>60.839999999999996</v>
      </c>
      <c r="O127" s="858"/>
      <c r="P127" s="863">
        <f>M127+P120</f>
        <v>1215</v>
      </c>
      <c r="Q127" s="862">
        <f>P126/P127</f>
        <v>0.96975308641975289</v>
      </c>
      <c r="R127" s="872"/>
      <c r="S127" s="4"/>
      <c r="T127" s="16">
        <f t="shared" si="15"/>
        <v>60.839999999999996</v>
      </c>
      <c r="U127" s="868">
        <f t="shared" si="18"/>
        <v>65.021428571428572</v>
      </c>
      <c r="V127" s="4">
        <v>70</v>
      </c>
      <c r="W127" s="4">
        <f t="shared" si="19"/>
        <v>58</v>
      </c>
      <c r="X127" s="868">
        <f t="shared" si="20"/>
        <v>65</v>
      </c>
      <c r="Y127" s="4"/>
      <c r="Z127" s="869">
        <f t="shared" si="21"/>
        <v>0.65513025644226086</v>
      </c>
      <c r="AA127" s="4">
        <f>IF(H127*G127,LOOKUP(Z127,'Daniel''s Tables'!$Z$135:$Z$214,'Daniel''s Tables'!$AB$135:$AB$214),0)</f>
        <v>0.1915</v>
      </c>
      <c r="AB127" s="869">
        <f t="shared" si="22"/>
        <v>12.428350000000002</v>
      </c>
      <c r="AC127" s="871">
        <f t="shared" si="16"/>
        <v>84.18</v>
      </c>
      <c r="AD127" s="838">
        <f t="shared" si="17"/>
        <v>98.85890000000002</v>
      </c>
      <c r="AE127" s="838">
        <f>AC127</f>
        <v>84.18</v>
      </c>
    </row>
    <row r="128" spans="1:31" ht="15.75" customHeight="1" x14ac:dyDescent="0.2">
      <c r="A128" s="884" t="s">
        <v>48</v>
      </c>
      <c r="B128" s="6">
        <v>7</v>
      </c>
      <c r="C128" s="17">
        <f t="shared" si="0"/>
        <v>45935</v>
      </c>
      <c r="D128" s="6" t="s">
        <v>31</v>
      </c>
      <c r="E128" s="4" t="s">
        <v>437</v>
      </c>
      <c r="F128" s="6">
        <v>10</v>
      </c>
      <c r="G128" s="6">
        <v>9.01</v>
      </c>
      <c r="H128" s="29">
        <v>4.9537037037037039E-2</v>
      </c>
      <c r="I128" s="6" t="str">
        <f t="shared" si="23"/>
        <v>7:55</v>
      </c>
      <c r="J128" s="6"/>
      <c r="K128" s="6"/>
      <c r="L128" s="6" t="str">
        <f t="shared" si="2"/>
        <v>0:00</v>
      </c>
      <c r="M128" s="4"/>
      <c r="N128" s="4"/>
      <c r="O128" s="16"/>
      <c r="P128" s="863"/>
      <c r="Q128" s="862"/>
      <c r="R128" s="4"/>
      <c r="S128" s="4"/>
      <c r="T128" s="16">
        <f t="shared" si="15"/>
        <v>64.599999999999994</v>
      </c>
      <c r="U128" s="868">
        <f t="shared" si="18"/>
        <v>65.058571428571426</v>
      </c>
      <c r="V128" s="4">
        <v>70</v>
      </c>
      <c r="W128" s="4">
        <f t="shared" si="19"/>
        <v>63</v>
      </c>
      <c r="X128" s="868">
        <f t="shared" si="20"/>
        <v>64.428571428571431</v>
      </c>
      <c r="Y128" s="4"/>
      <c r="Z128" s="869">
        <f t="shared" si="21"/>
        <v>0.57794793149448509</v>
      </c>
      <c r="AA128" s="4">
        <f>IF(H128*G128,LOOKUP(Z128,'Daniel''s Tables'!$Z$135:$Z$214,'Daniel''s Tables'!$AB$135:$AB$214),0)</f>
        <v>0.1</v>
      </c>
      <c r="AB128" s="869">
        <f t="shared" si="22"/>
        <v>7.1333333333333346</v>
      </c>
      <c r="AC128" s="871">
        <f t="shared" si="16"/>
        <v>87.123333333333349</v>
      </c>
      <c r="AD128" s="838">
        <f t="shared" si="17"/>
        <v>96.612641666666676</v>
      </c>
      <c r="AE128" s="838"/>
    </row>
    <row r="129" spans="1:31" ht="15.75" customHeight="1" x14ac:dyDescent="0.2">
      <c r="A129" s="884"/>
      <c r="B129" s="6">
        <v>6</v>
      </c>
      <c r="C129" s="17">
        <f t="shared" si="0"/>
        <v>45936</v>
      </c>
      <c r="D129" s="6" t="s">
        <v>33</v>
      </c>
      <c r="E129" s="4" t="s">
        <v>423</v>
      </c>
      <c r="F129" s="6">
        <v>8</v>
      </c>
      <c r="G129" s="6">
        <v>5.54</v>
      </c>
      <c r="H129" s="29">
        <v>2.7453703703703702E-2</v>
      </c>
      <c r="I129" s="6" t="str">
        <f t="shared" si="23"/>
        <v>7:08</v>
      </c>
      <c r="J129" s="6"/>
      <c r="K129" s="6"/>
      <c r="L129" s="6" t="str">
        <f t="shared" si="2"/>
        <v>0:00</v>
      </c>
      <c r="M129" s="6"/>
      <c r="N129" s="6"/>
      <c r="O129" s="16"/>
      <c r="P129" s="863"/>
      <c r="Q129" s="864"/>
      <c r="R129" s="4"/>
      <c r="S129" s="4"/>
      <c r="T129" s="16">
        <f t="shared" si="15"/>
        <v>64.34</v>
      </c>
      <c r="U129" s="868">
        <f t="shared" si="18"/>
        <v>65.001428571428576</v>
      </c>
      <c r="V129" s="4">
        <v>70</v>
      </c>
      <c r="W129" s="4">
        <f t="shared" si="19"/>
        <v>65</v>
      </c>
      <c r="X129" s="868">
        <f t="shared" si="20"/>
        <v>64.428571428571431</v>
      </c>
      <c r="Y129" s="4"/>
      <c r="Z129" s="869">
        <f t="shared" si="21"/>
        <v>0.65734228645952564</v>
      </c>
      <c r="AA129" s="4">
        <f>IF(H129*G129,LOOKUP(Z129,'Daniel''s Tables'!$Z$135:$Z$214,'Daniel''s Tables'!$AB$135:$AB$214),0)</f>
        <v>0.1915</v>
      </c>
      <c r="AB129" s="869">
        <f t="shared" si="22"/>
        <v>7.5706333333333333</v>
      </c>
      <c r="AC129" s="871">
        <f t="shared" si="16"/>
        <v>90.005716666666672</v>
      </c>
      <c r="AD129" s="838">
        <f t="shared" si="17"/>
        <v>94.724592857142866</v>
      </c>
      <c r="AE129" s="838"/>
    </row>
    <row r="130" spans="1:31" ht="15.75" customHeight="1" x14ac:dyDescent="0.2">
      <c r="A130" s="884"/>
      <c r="B130" s="6">
        <v>5</v>
      </c>
      <c r="C130" s="17">
        <f t="shared" si="0"/>
        <v>45937</v>
      </c>
      <c r="D130" s="6" t="s">
        <v>34</v>
      </c>
      <c r="E130" s="4" t="s">
        <v>438</v>
      </c>
      <c r="F130" s="6">
        <v>9</v>
      </c>
      <c r="G130" s="6">
        <v>9.15</v>
      </c>
      <c r="H130" s="29">
        <v>4.3692129629629629E-2</v>
      </c>
      <c r="I130" s="6" t="str">
        <f t="shared" si="23"/>
        <v>6:53</v>
      </c>
      <c r="J130" s="29">
        <f>TIME(0,5+5+5,35+32+35)</f>
        <v>1.1597222222222222E-2</v>
      </c>
      <c r="K130" s="6">
        <v>3</v>
      </c>
      <c r="L130" s="6" t="str">
        <f t="shared" si="2"/>
        <v>5:34</v>
      </c>
      <c r="M130" s="6"/>
      <c r="N130" s="6"/>
      <c r="O130" s="16"/>
      <c r="P130" s="863"/>
      <c r="Q130" s="864"/>
      <c r="R130" s="4"/>
      <c r="S130" s="4"/>
      <c r="T130" s="16">
        <f t="shared" si="15"/>
        <v>57.79</v>
      </c>
      <c r="U130" s="868">
        <f t="shared" si="18"/>
        <v>63.532857142857154</v>
      </c>
      <c r="V130" s="4">
        <v>70</v>
      </c>
      <c r="W130" s="4">
        <f t="shared" si="19"/>
        <v>58</v>
      </c>
      <c r="X130" s="868">
        <f t="shared" si="20"/>
        <v>62.857142857142854</v>
      </c>
      <c r="Y130" s="4"/>
      <c r="Z130" s="869">
        <f t="shared" si="21"/>
        <v>0.68817937608792878</v>
      </c>
      <c r="AA130" s="4">
        <f>IF(H130*G130,LOOKUP(Z130,'Daniel''s Tables'!$Z$135:$Z$214,'Daniel''s Tables'!$AB$135:$AB$214),0)</f>
        <v>0.24149999999999999</v>
      </c>
      <c r="AB130" s="869">
        <f t="shared" si="22"/>
        <v>15.194374999999999</v>
      </c>
      <c r="AC130" s="871">
        <f t="shared" si="16"/>
        <v>79.911824999999993</v>
      </c>
      <c r="AD130" s="838">
        <f t="shared" si="17"/>
        <v>91.88011666666668</v>
      </c>
      <c r="AE130" s="838"/>
    </row>
    <row r="131" spans="1:31" ht="15.75" customHeight="1" x14ac:dyDescent="0.2">
      <c r="A131" s="884"/>
      <c r="B131" s="6">
        <v>4</v>
      </c>
      <c r="C131" s="17">
        <f t="shared" si="0"/>
        <v>45938</v>
      </c>
      <c r="D131" s="6" t="s">
        <v>26</v>
      </c>
      <c r="E131" s="4" t="s">
        <v>425</v>
      </c>
      <c r="F131" s="6">
        <v>7</v>
      </c>
      <c r="G131" s="6">
        <v>6.35</v>
      </c>
      <c r="H131" s="29">
        <v>3.3773148148148149E-2</v>
      </c>
      <c r="I131" s="6" t="str">
        <f t="shared" si="23"/>
        <v>7:40</v>
      </c>
      <c r="J131" s="6"/>
      <c r="K131" s="6"/>
      <c r="L131" s="6" t="str">
        <f t="shared" si="2"/>
        <v>0:00</v>
      </c>
      <c r="M131" s="6"/>
      <c r="N131" s="6"/>
      <c r="O131" s="16"/>
      <c r="P131" s="863"/>
      <c r="Q131" s="865"/>
      <c r="R131" s="4"/>
      <c r="S131" s="4"/>
      <c r="T131" s="16">
        <f t="shared" si="15"/>
        <v>56.78</v>
      </c>
      <c r="U131" s="868">
        <f t="shared" si="18"/>
        <v>62.01285714285715</v>
      </c>
      <c r="V131" s="4">
        <v>70</v>
      </c>
      <c r="W131" s="4">
        <f t="shared" si="19"/>
        <v>59</v>
      </c>
      <c r="X131" s="868">
        <f t="shared" si="20"/>
        <v>61.714285714285715</v>
      </c>
      <c r="Y131" s="4"/>
      <c r="Z131" s="869">
        <f t="shared" si="21"/>
        <v>0.6022397000673958</v>
      </c>
      <c r="AA131" s="4">
        <f>IF(H131*G131,LOOKUP(Z131,'Daniel''s Tables'!$Z$135:$Z$214,'Daniel''s Tables'!$AB$135:$AB$214),0)</f>
        <v>0.11</v>
      </c>
      <c r="AB131" s="869">
        <f t="shared" si="22"/>
        <v>5.3496666666666668</v>
      </c>
      <c r="AC131" s="871">
        <f t="shared" si="16"/>
        <v>78.816491666666664</v>
      </c>
      <c r="AD131" s="838">
        <f t="shared" si="17"/>
        <v>88.919902380952394</v>
      </c>
      <c r="AE131" s="838"/>
    </row>
    <row r="132" spans="1:31" ht="15.75" customHeight="1" x14ac:dyDescent="0.2">
      <c r="A132" s="884"/>
      <c r="B132" s="6">
        <v>3</v>
      </c>
      <c r="C132" s="17">
        <f t="shared" si="0"/>
        <v>45939</v>
      </c>
      <c r="D132" s="6" t="s">
        <v>27</v>
      </c>
      <c r="E132" s="4" t="s">
        <v>426</v>
      </c>
      <c r="F132" s="6">
        <v>5</v>
      </c>
      <c r="G132" s="6">
        <v>5</v>
      </c>
      <c r="H132" s="29">
        <v>2.7083333333333334E-2</v>
      </c>
      <c r="I132" s="6" t="str">
        <f t="shared" si="23"/>
        <v>7:48</v>
      </c>
      <c r="J132" s="6"/>
      <c r="K132" s="6"/>
      <c r="L132" s="6" t="str">
        <f t="shared" si="2"/>
        <v>0:00</v>
      </c>
      <c r="M132" s="6"/>
      <c r="N132" s="6"/>
      <c r="O132" s="16"/>
      <c r="P132" s="861">
        <f>N133+P125</f>
        <v>6.2080208333333333</v>
      </c>
      <c r="Q132" s="865"/>
      <c r="R132" s="4"/>
      <c r="S132" s="4"/>
      <c r="T132" s="16">
        <f t="shared" si="15"/>
        <v>50.28</v>
      </c>
      <c r="U132" s="868">
        <f t="shared" si="18"/>
        <v>59.064285714285703</v>
      </c>
      <c r="V132" s="4">
        <v>70</v>
      </c>
      <c r="W132" s="4">
        <f t="shared" si="19"/>
        <v>52</v>
      </c>
      <c r="X132" s="868">
        <f t="shared" si="20"/>
        <v>59</v>
      </c>
      <c r="Y132" s="4"/>
      <c r="Z132" s="869">
        <f t="shared" si="21"/>
        <v>0.58874337637531904</v>
      </c>
      <c r="AA132" s="4">
        <f>IF(H132*G132,LOOKUP(Z132,'Daniel''s Tables'!$Z$135:$Z$214,'Daniel''s Tables'!$AB$135:$AB$214),0)</f>
        <v>0.1</v>
      </c>
      <c r="AB132" s="869">
        <f t="shared" si="22"/>
        <v>3.9000000000000004</v>
      </c>
      <c r="AC132" s="871">
        <f t="shared" si="16"/>
        <v>57.014825000000002</v>
      </c>
      <c r="AD132" s="838">
        <f t="shared" si="17"/>
        <v>80.078973809523816</v>
      </c>
      <c r="AE132" s="838"/>
    </row>
    <row r="133" spans="1:31" ht="15.75" customHeight="1" x14ac:dyDescent="0.2">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0.18153935185185188</v>
      </c>
      <c r="O133" s="16"/>
      <c r="P133" s="863">
        <f>N134+P126</f>
        <v>1213.2999999999997</v>
      </c>
      <c r="Q133" s="866"/>
      <c r="R133" s="4"/>
      <c r="S133" s="4"/>
      <c r="T133" s="16">
        <f t="shared" si="15"/>
        <v>44.12</v>
      </c>
      <c r="U133" s="868">
        <f t="shared" si="18"/>
        <v>56.964285714285715</v>
      </c>
      <c r="V133" s="4">
        <v>70</v>
      </c>
      <c r="W133" s="4">
        <f t="shared" si="19"/>
        <v>50</v>
      </c>
      <c r="X133" s="868">
        <f t="shared" si="20"/>
        <v>57.857142857142854</v>
      </c>
      <c r="Y133" s="4"/>
      <c r="Z133" s="869" t="e">
        <f t="shared" si="21"/>
        <v>#DIV/0!</v>
      </c>
      <c r="AA133" s="4">
        <f>IF(H133*G133,LOOKUP(Z133,'Daniel''s Tables'!$Z$135:$Z$214,'Daniel''s Tables'!$AB$135:$AB$214),0)</f>
        <v>0</v>
      </c>
      <c r="AB133" s="869">
        <f t="shared" si="22"/>
        <v>0</v>
      </c>
      <c r="AC133" s="871">
        <f t="shared" si="16"/>
        <v>51.576358333333332</v>
      </c>
      <c r="AD133" s="838">
        <f t="shared" si="17"/>
        <v>75.518364285714284</v>
      </c>
      <c r="AE133" s="838"/>
    </row>
    <row r="134" spans="1:31" ht="15.75" customHeight="1" x14ac:dyDescent="0.2">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35.050000000000004</v>
      </c>
      <c r="O134" s="16"/>
      <c r="P134" s="863">
        <f>M134+P127</f>
        <v>1260</v>
      </c>
      <c r="Q134" s="862">
        <f>P133/P134</f>
        <v>0.96293650793650776</v>
      </c>
      <c r="R134" s="4"/>
      <c r="S134" s="4"/>
      <c r="T134" s="16">
        <f t="shared" si="15"/>
        <v>35.050000000000004</v>
      </c>
      <c r="U134" s="868">
        <f t="shared" si="18"/>
        <v>53.279999999999994</v>
      </c>
      <c r="V134" s="4">
        <v>70</v>
      </c>
      <c r="W134" s="4">
        <f t="shared" si="19"/>
        <v>45</v>
      </c>
      <c r="X134" s="868">
        <f t="shared" si="20"/>
        <v>56</v>
      </c>
      <c r="Y134" s="4"/>
      <c r="Z134" s="869" t="e">
        <f t="shared" si="21"/>
        <v>#DIV/0!</v>
      </c>
      <c r="AA134" s="4">
        <f>IF(H134*G134,LOOKUP(Z134,'Daniel''s Tables'!$Z$135:$Z$214,'Daniel''s Tables'!$AB$135:$AB$214),0)</f>
        <v>0</v>
      </c>
      <c r="AB134" s="869">
        <f t="shared" si="22"/>
        <v>0</v>
      </c>
      <c r="AC134" s="871">
        <f t="shared" si="16"/>
        <v>39.14800833333333</v>
      </c>
      <c r="AD134" s="838">
        <f t="shared" si="17"/>
        <v>69.085222619047627</v>
      </c>
      <c r="AE134" s="838">
        <f>AC134</f>
        <v>39.14800833333333</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44.12</v>
      </c>
      <c r="O135" s="837"/>
      <c r="P135" s="6"/>
      <c r="Q135" s="852"/>
      <c r="R135" s="4"/>
      <c r="S135" s="4"/>
      <c r="T135" s="16">
        <f t="shared" si="15"/>
        <v>26.04</v>
      </c>
      <c r="U135" s="868">
        <f t="shared" si="18"/>
        <v>47.771428571428579</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32.014675000000004</v>
      </c>
      <c r="AD135" s="838">
        <f t="shared" si="17"/>
        <v>61.212557142857158</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2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J1" workbookViewId="0">
      <selection activeCell="M64" sqref="M64"/>
    </sheetView>
  </sheetViews>
  <sheetFormatPr defaultRowHeight="12.75" x14ac:dyDescent="0.2"/>
  <cols>
    <col min="12" max="12" width="17.85546875" customWidth="1"/>
  </cols>
  <sheetData>
    <row r="1" spans="1:12" x14ac:dyDescent="0.2">
      <c r="C1" s="897" t="s">
        <v>333</v>
      </c>
      <c r="D1" s="898"/>
      <c r="G1" s="897" t="s">
        <v>475</v>
      </c>
      <c r="H1" s="898"/>
      <c r="I1" s="33"/>
    </row>
    <row r="2" spans="1:12" x14ac:dyDescent="0.2">
      <c r="B2" s="825" t="s">
        <v>331</v>
      </c>
      <c r="C2" s="825" t="s">
        <v>448</v>
      </c>
      <c r="D2" s="825" t="s">
        <v>332</v>
      </c>
      <c r="E2" s="825" t="s">
        <v>474</v>
      </c>
      <c r="F2" s="825"/>
      <c r="G2" s="825" t="s">
        <v>448</v>
      </c>
      <c r="H2" s="825" t="s">
        <v>332</v>
      </c>
      <c r="I2" s="825" t="s">
        <v>474</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26" x14ac:dyDescent="0.2">
      <c r="A17">
        <v>15</v>
      </c>
      <c r="B17">
        <v>4</v>
      </c>
      <c r="C17" s="825">
        <v>0.9</v>
      </c>
      <c r="D17" s="825">
        <v>0.9</v>
      </c>
      <c r="E17" s="825">
        <v>0.8</v>
      </c>
      <c r="F17" s="825"/>
      <c r="G17">
        <f t="shared" si="1"/>
        <v>49.5</v>
      </c>
      <c r="H17">
        <f t="shared" si="0"/>
        <v>63</v>
      </c>
      <c r="I17">
        <f t="shared" si="2"/>
        <v>64</v>
      </c>
      <c r="J17">
        <f t="shared" si="3"/>
        <v>68</v>
      </c>
      <c r="K17">
        <f>'2Q - 80'!N113</f>
        <v>67.069999999999993</v>
      </c>
      <c r="L17" s="838">
        <f>(K17-K16)/((K17+K16)/2)*100</f>
        <v>-14.33910034602078</v>
      </c>
    </row>
    <row r="18" spans="1:26" x14ac:dyDescent="0.2">
      <c r="A18">
        <v>16</v>
      </c>
      <c r="B18">
        <v>3</v>
      </c>
      <c r="C18" s="825">
        <v>0.8</v>
      </c>
      <c r="D18" s="825">
        <v>0.8</v>
      </c>
      <c r="E18">
        <v>0.8</v>
      </c>
      <c r="G18">
        <f t="shared" si="1"/>
        <v>44</v>
      </c>
      <c r="H18">
        <f t="shared" si="0"/>
        <v>56</v>
      </c>
      <c r="I18">
        <f t="shared" si="2"/>
        <v>64</v>
      </c>
      <c r="J18">
        <f t="shared" si="3"/>
        <v>68</v>
      </c>
      <c r="K18">
        <f>'2Q - 80'!N120</f>
        <v>65.13</v>
      </c>
      <c r="L18" s="838">
        <f t="shared" ref="L18:L20" si="5">(K18-K17)/((K18+K17)/2)*100</f>
        <v>-2.9349470499243537</v>
      </c>
    </row>
    <row r="19" spans="1:26" x14ac:dyDescent="0.2">
      <c r="A19">
        <v>17</v>
      </c>
      <c r="B19">
        <v>2</v>
      </c>
      <c r="C19" s="825">
        <v>0.8</v>
      </c>
      <c r="D19" s="825">
        <v>0.8</v>
      </c>
      <c r="E19" s="825">
        <v>0.7</v>
      </c>
      <c r="F19" s="825"/>
      <c r="G19">
        <f t="shared" si="1"/>
        <v>44</v>
      </c>
      <c r="H19">
        <f t="shared" si="0"/>
        <v>56</v>
      </c>
      <c r="I19">
        <f t="shared" si="2"/>
        <v>56</v>
      </c>
      <c r="J19">
        <f t="shared" si="3"/>
        <v>59.499999999999993</v>
      </c>
      <c r="K19">
        <f>'2Q - 80'!N127</f>
        <v>60.839999999999996</v>
      </c>
      <c r="L19" s="838">
        <f t="shared" si="5"/>
        <v>-6.8111455108359111</v>
      </c>
    </row>
    <row r="20" spans="1:26" x14ac:dyDescent="0.2">
      <c r="A20">
        <v>18</v>
      </c>
      <c r="B20">
        <v>1</v>
      </c>
      <c r="G20">
        <v>25</v>
      </c>
      <c r="H20">
        <f>13+8+8+7+5+3+3</f>
        <v>47</v>
      </c>
      <c r="I20">
        <f>13+8+9+7+5+3+3</f>
        <v>48</v>
      </c>
      <c r="J20">
        <f t="shared" si="3"/>
        <v>0</v>
      </c>
      <c r="K20">
        <f>'2Q - 80'!N134</f>
        <v>35.050000000000004</v>
      </c>
      <c r="L20" s="838">
        <f t="shared" si="5"/>
        <v>-53.790801960579813</v>
      </c>
    </row>
    <row r="21" spans="1:26" x14ac:dyDescent="0.2">
      <c r="A21" s="825"/>
    </row>
    <row r="25" spans="1:26" x14ac:dyDescent="0.2">
      <c r="Z25" s="825" t="s">
        <v>509</v>
      </c>
    </row>
    <row r="52" spans="27:29" x14ac:dyDescent="0.2">
      <c r="AA52" s="825" t="s">
        <v>497</v>
      </c>
      <c r="AB52">
        <v>200</v>
      </c>
      <c r="AC52">
        <v>0</v>
      </c>
    </row>
    <row r="53" spans="27:29" x14ac:dyDescent="0.2">
      <c r="AA53" s="825" t="s">
        <v>493</v>
      </c>
      <c r="AB53">
        <v>200</v>
      </c>
      <c r="AC53">
        <v>200</v>
      </c>
    </row>
    <row r="55" spans="27:29" x14ac:dyDescent="0.2">
      <c r="AA55" s="825" t="s">
        <v>494</v>
      </c>
      <c r="AB55">
        <v>150</v>
      </c>
      <c r="AC55">
        <v>150</v>
      </c>
    </row>
    <row r="57" spans="27:29" x14ac:dyDescent="0.2">
      <c r="AA57" s="825" t="s">
        <v>495</v>
      </c>
      <c r="AB57">
        <v>100</v>
      </c>
      <c r="AC57">
        <v>100</v>
      </c>
    </row>
    <row r="59" spans="27:29" x14ac:dyDescent="0.2">
      <c r="AA59" s="825" t="s">
        <v>496</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7" sqref="K37"/>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901" t="s">
        <v>378</v>
      </c>
      <c r="B1" s="901"/>
      <c r="C1" s="901"/>
      <c r="D1" s="901"/>
      <c r="E1" s="901"/>
      <c r="F1" s="901"/>
      <c r="I1" s="901" t="s">
        <v>389</v>
      </c>
      <c r="J1" s="901"/>
      <c r="K1" s="901"/>
      <c r="L1" s="901"/>
      <c r="M1" s="901"/>
    </row>
    <row r="2" spans="1:13" x14ac:dyDescent="0.2">
      <c r="A2" s="826" t="s">
        <v>10</v>
      </c>
      <c r="B2" s="825" t="s">
        <v>334</v>
      </c>
      <c r="D2" s="825" t="s">
        <v>362</v>
      </c>
      <c r="E2" s="825" t="s">
        <v>363</v>
      </c>
      <c r="F2" s="825" t="s">
        <v>377</v>
      </c>
      <c r="I2" s="826" t="s">
        <v>10</v>
      </c>
      <c r="J2" s="825" t="s">
        <v>334</v>
      </c>
      <c r="L2" s="825" t="s">
        <v>363</v>
      </c>
      <c r="M2" s="825" t="s">
        <v>377</v>
      </c>
    </row>
    <row r="3" spans="1:13" x14ac:dyDescent="0.2">
      <c r="A3" s="900">
        <v>18</v>
      </c>
      <c r="B3" s="825" t="s">
        <v>314</v>
      </c>
      <c r="C3" s="825" t="s">
        <v>336</v>
      </c>
      <c r="D3" s="838">
        <f>1+6+1+6+2</f>
        <v>16</v>
      </c>
      <c r="E3">
        <v>16</v>
      </c>
      <c r="F3" s="899">
        <f>'Daniel''s Metrics'!G3 - ('Q Sessions'!D3+'Q Sessions'!D4)</f>
        <v>12</v>
      </c>
      <c r="I3" s="900">
        <v>18</v>
      </c>
      <c r="J3" s="825" t="s">
        <v>314</v>
      </c>
      <c r="K3" s="825" t="s">
        <v>390</v>
      </c>
      <c r="L3">
        <v>18</v>
      </c>
      <c r="M3" s="899">
        <f>'Daniel''s Metrics'!I3 - (L3+L4)</f>
        <v>29</v>
      </c>
    </row>
    <row r="4" spans="1:13" x14ac:dyDescent="0.2">
      <c r="A4" s="900"/>
      <c r="B4" s="825" t="s">
        <v>335</v>
      </c>
      <c r="C4" s="825" t="s">
        <v>337</v>
      </c>
      <c r="D4" s="838">
        <f>8+3+2+3</f>
        <v>16</v>
      </c>
      <c r="E4">
        <v>15</v>
      </c>
      <c r="F4" s="900"/>
      <c r="I4" s="900"/>
      <c r="J4" s="825" t="s">
        <v>335</v>
      </c>
      <c r="K4" s="825" t="s">
        <v>391</v>
      </c>
      <c r="L4">
        <v>17</v>
      </c>
      <c r="M4" s="900"/>
    </row>
    <row r="5" spans="1:13" x14ac:dyDescent="0.2">
      <c r="A5" s="900">
        <v>17</v>
      </c>
      <c r="B5" s="825" t="s">
        <v>314</v>
      </c>
      <c r="C5" s="825" t="s">
        <v>338</v>
      </c>
      <c r="D5" s="838">
        <f>2+3+(60/7.5)+1+1</f>
        <v>15</v>
      </c>
      <c r="E5">
        <v>15</v>
      </c>
      <c r="F5" s="899">
        <f>'Daniel''s Metrics'!G5 - ('Q Sessions'!D5+'Q Sessions'!D6)</f>
        <v>24.375</v>
      </c>
      <c r="I5" s="900">
        <v>17</v>
      </c>
      <c r="J5" s="825" t="s">
        <v>314</v>
      </c>
      <c r="K5" s="825" t="s">
        <v>392</v>
      </c>
      <c r="L5">
        <v>18</v>
      </c>
      <c r="M5" s="899">
        <f>'Daniel''s Metrics'!I4 -(L5+L6)</f>
        <v>31</v>
      </c>
    </row>
    <row r="6" spans="1:13" x14ac:dyDescent="0.2">
      <c r="A6" s="900"/>
      <c r="B6" s="825" t="s">
        <v>335</v>
      </c>
      <c r="C6" s="825" t="s">
        <v>354</v>
      </c>
      <c r="D6" s="838">
        <f>4+ (5*(1000/1600)) + (4*(400/1600)) +2</f>
        <v>10.125</v>
      </c>
      <c r="E6">
        <v>13</v>
      </c>
      <c r="F6" s="900"/>
      <c r="I6" s="900"/>
      <c r="J6" s="825" t="s">
        <v>335</v>
      </c>
      <c r="K6" s="825" t="s">
        <v>396</v>
      </c>
      <c r="L6">
        <v>15</v>
      </c>
      <c r="M6" s="899"/>
    </row>
    <row r="7" spans="1:13" x14ac:dyDescent="0.2">
      <c r="A7" s="900">
        <v>16</v>
      </c>
      <c r="B7" s="825" t="s">
        <v>314</v>
      </c>
      <c r="C7" s="825" t="s">
        <v>339</v>
      </c>
      <c r="D7" s="838">
        <v>16</v>
      </c>
      <c r="E7">
        <v>16</v>
      </c>
      <c r="F7" s="899">
        <f>'Daniel''s Metrics'!G7 - ('Q Sessions'!D7+'Q Sessions'!D8)</f>
        <v>20.5</v>
      </c>
      <c r="I7" s="900">
        <v>16</v>
      </c>
      <c r="J7" s="825" t="s">
        <v>314</v>
      </c>
      <c r="K7" s="825" t="s">
        <v>393</v>
      </c>
      <c r="L7">
        <v>18</v>
      </c>
      <c r="M7" s="899">
        <f>'Daniel''s Metrics'!I5 -(L7+L8)</f>
        <v>37</v>
      </c>
    </row>
    <row r="8" spans="1:13" x14ac:dyDescent="0.2">
      <c r="A8" s="900"/>
      <c r="B8" s="825" t="s">
        <v>335</v>
      </c>
      <c r="C8" s="825" t="s">
        <v>341</v>
      </c>
      <c r="D8" s="838">
        <f>6+3+2+1+1</f>
        <v>13</v>
      </c>
      <c r="E8">
        <v>14</v>
      </c>
      <c r="F8" s="900"/>
      <c r="I8" s="900"/>
      <c r="J8" s="825" t="s">
        <v>335</v>
      </c>
      <c r="K8" s="825" t="s">
        <v>394</v>
      </c>
      <c r="L8">
        <v>17</v>
      </c>
      <c r="M8" s="900"/>
    </row>
    <row r="9" spans="1:13" x14ac:dyDescent="0.2">
      <c r="A9" s="900">
        <v>15</v>
      </c>
      <c r="B9" s="825" t="s">
        <v>314</v>
      </c>
      <c r="C9" s="825" t="s">
        <v>340</v>
      </c>
      <c r="D9" s="838">
        <f>2+8+1+3+2</f>
        <v>16</v>
      </c>
      <c r="E9">
        <v>16</v>
      </c>
      <c r="F9" s="899">
        <f>'Daniel''s Metrics'!G9 - ('Q Sessions'!D9+'Q Sessions'!D10)</f>
        <v>24.666666666666668</v>
      </c>
      <c r="I9" s="900">
        <v>15</v>
      </c>
      <c r="J9" s="825" t="s">
        <v>314</v>
      </c>
      <c r="K9" s="825" t="s">
        <v>395</v>
      </c>
      <c r="L9">
        <v>18</v>
      </c>
      <c r="M9" s="899">
        <f>'Daniel''s Metrics'!I6 -(L9+L10)</f>
        <v>38</v>
      </c>
    </row>
    <row r="10" spans="1:13" x14ac:dyDescent="0.2">
      <c r="A10" s="900"/>
      <c r="B10" s="825" t="s">
        <v>335</v>
      </c>
      <c r="C10" s="825" t="s">
        <v>342</v>
      </c>
      <c r="D10" s="839">
        <f>(40/7.5) + (3*2) + (2*1) + 1</f>
        <v>14.333333333333332</v>
      </c>
      <c r="E10">
        <v>15</v>
      </c>
      <c r="F10" s="900"/>
      <c r="I10" s="900"/>
      <c r="J10" s="825" t="s">
        <v>335</v>
      </c>
      <c r="K10" s="825" t="s">
        <v>399</v>
      </c>
      <c r="L10">
        <v>16</v>
      </c>
      <c r="M10" s="900"/>
    </row>
    <row r="11" spans="1:13" x14ac:dyDescent="0.2">
      <c r="A11" s="900">
        <v>14</v>
      </c>
      <c r="B11" s="825" t="s">
        <v>314</v>
      </c>
      <c r="C11" s="825" t="s">
        <v>347</v>
      </c>
      <c r="D11" s="838">
        <f>1+(2*2)+(60/7.5)+2+1</f>
        <v>16</v>
      </c>
      <c r="E11">
        <v>16</v>
      </c>
      <c r="F11" s="899">
        <f>'Daniel''s Metrics'!G11 - ('Q Sessions'!D11+'Q Sessions'!D12)</f>
        <v>19.75</v>
      </c>
      <c r="I11" s="900">
        <v>14</v>
      </c>
      <c r="J11" s="825" t="s">
        <v>314</v>
      </c>
      <c r="K11" s="825" t="s">
        <v>400</v>
      </c>
      <c r="L11">
        <v>18</v>
      </c>
      <c r="M11" s="899">
        <f>'Daniel''s Metrics'!I7 -(L11+L12)</f>
        <v>37</v>
      </c>
    </row>
    <row r="12" spans="1:13" x14ac:dyDescent="0.2">
      <c r="A12" s="900"/>
      <c r="B12" s="825" t="s">
        <v>335</v>
      </c>
      <c r="C12" s="825" t="s">
        <v>348</v>
      </c>
      <c r="D12" s="838">
        <f xml:space="preserve"> 8+(6*(1/1.6))+2</f>
        <v>13.75</v>
      </c>
      <c r="E12">
        <v>14</v>
      </c>
      <c r="F12" s="900"/>
      <c r="I12" s="900"/>
      <c r="J12" s="825" t="s">
        <v>335</v>
      </c>
      <c r="K12" s="825" t="s">
        <v>401</v>
      </c>
      <c r="L12">
        <v>17</v>
      </c>
      <c r="M12" s="900"/>
    </row>
    <row r="13" spans="1:13" x14ac:dyDescent="0.2">
      <c r="A13" s="900">
        <v>13</v>
      </c>
      <c r="B13" s="825" t="s">
        <v>314</v>
      </c>
      <c r="C13" s="825" t="s">
        <v>349</v>
      </c>
      <c r="D13" s="838">
        <v>17</v>
      </c>
      <c r="E13">
        <v>17</v>
      </c>
      <c r="F13" s="899">
        <f>'Daniel''s Metrics'!G13 - ('Q Sessions'!D13+'Q Sessions'!D14)</f>
        <v>23.666666666666668</v>
      </c>
      <c r="I13" s="900">
        <v>13</v>
      </c>
      <c r="J13" s="825" t="s">
        <v>314</v>
      </c>
      <c r="K13" s="825" t="s">
        <v>397</v>
      </c>
      <c r="L13">
        <v>19</v>
      </c>
      <c r="M13" s="899">
        <f>'Daniel''s Metrics'!I8 -(L13+L14)</f>
        <v>28</v>
      </c>
    </row>
    <row r="14" spans="1:13" x14ac:dyDescent="0.2">
      <c r="A14" s="900"/>
      <c r="B14" s="825" t="s">
        <v>335</v>
      </c>
      <c r="C14" s="825" t="s">
        <v>351</v>
      </c>
      <c r="D14" s="838">
        <f>(40/7.5)+3+(2*2)+2</f>
        <v>14.333333333333332</v>
      </c>
      <c r="E14">
        <v>15</v>
      </c>
      <c r="F14" s="900"/>
      <c r="I14" s="900"/>
      <c r="J14" s="825" t="s">
        <v>335</v>
      </c>
      <c r="K14" s="825" t="s">
        <v>398</v>
      </c>
      <c r="L14">
        <v>17</v>
      </c>
      <c r="M14" s="900"/>
    </row>
    <row r="15" spans="1:13" x14ac:dyDescent="0.2">
      <c r="A15" s="900">
        <v>12</v>
      </c>
      <c r="B15" s="825" t="s">
        <v>314</v>
      </c>
      <c r="C15" s="825" t="s">
        <v>350</v>
      </c>
      <c r="D15" s="838">
        <f>1+8+1+6+1</f>
        <v>17</v>
      </c>
      <c r="E15">
        <v>17</v>
      </c>
      <c r="F15" s="899">
        <f>'Daniel''s Metrics'!G15 - ('Q Sessions'!D15+'Q Sessions'!D16)</f>
        <v>24</v>
      </c>
      <c r="I15" s="900">
        <v>12</v>
      </c>
      <c r="J15" s="825" t="s">
        <v>314</v>
      </c>
      <c r="K15" s="825" t="s">
        <v>402</v>
      </c>
      <c r="L15">
        <v>19</v>
      </c>
      <c r="M15" s="899">
        <f>'Daniel''s Metrics'!I9 -(L15+L16)</f>
        <v>46</v>
      </c>
    </row>
    <row r="16" spans="1:13" x14ac:dyDescent="0.2">
      <c r="A16" s="900"/>
      <c r="B16" s="825" t="s">
        <v>335</v>
      </c>
      <c r="C16" s="825" t="s">
        <v>352</v>
      </c>
      <c r="D16" s="838">
        <f>4+3+2+2+1+2</f>
        <v>14</v>
      </c>
      <c r="E16">
        <v>14</v>
      </c>
      <c r="F16" s="900"/>
      <c r="I16" s="900"/>
      <c r="J16" s="825" t="s">
        <v>335</v>
      </c>
      <c r="K16" s="825" t="s">
        <v>403</v>
      </c>
      <c r="L16">
        <v>15</v>
      </c>
      <c r="M16" s="900"/>
    </row>
    <row r="17" spans="1:13" x14ac:dyDescent="0.2">
      <c r="A17" s="900">
        <v>11</v>
      </c>
      <c r="B17" s="825" t="s">
        <v>314</v>
      </c>
      <c r="C17" s="825" t="s">
        <v>353</v>
      </c>
      <c r="D17" s="838">
        <f>12+3+1</f>
        <v>16</v>
      </c>
      <c r="E17">
        <v>16</v>
      </c>
      <c r="F17" s="899">
        <f>'Daniel''s Metrics'!G17 - ('Q Sessions'!D17+'Q Sessions'!D18)</f>
        <v>20.375</v>
      </c>
      <c r="I17" s="900">
        <v>11</v>
      </c>
      <c r="J17" s="825" t="s">
        <v>314</v>
      </c>
      <c r="K17" s="825" t="s">
        <v>404</v>
      </c>
      <c r="L17">
        <v>19</v>
      </c>
      <c r="M17" s="899">
        <f>'Daniel''s Metrics'!I10 -(L17+L18)</f>
        <v>36</v>
      </c>
    </row>
    <row r="18" spans="1:13" x14ac:dyDescent="0.2">
      <c r="A18" s="900"/>
      <c r="B18" s="825" t="s">
        <v>335</v>
      </c>
      <c r="C18" s="825" t="s">
        <v>355</v>
      </c>
      <c r="D18" s="838">
        <f>8+(5*(1/1.6))+(4*0.25)+1</f>
        <v>13.125</v>
      </c>
      <c r="E18">
        <v>15</v>
      </c>
      <c r="F18" s="900"/>
      <c r="I18" s="900"/>
      <c r="J18" s="825" t="s">
        <v>335</v>
      </c>
      <c r="K18" s="825" t="s">
        <v>405</v>
      </c>
      <c r="L18">
        <v>17</v>
      </c>
      <c r="M18" s="900"/>
    </row>
    <row r="19" spans="1:13" x14ac:dyDescent="0.2">
      <c r="A19" s="900">
        <v>10</v>
      </c>
      <c r="B19" s="825" t="s">
        <v>314</v>
      </c>
      <c r="C19" s="825" t="s">
        <v>356</v>
      </c>
      <c r="D19" s="838">
        <v>18</v>
      </c>
      <c r="E19">
        <v>18</v>
      </c>
      <c r="F19" s="899">
        <f>'Daniel''s Metrics'!G19 - ('Q Sessions'!D19+'Q Sessions'!D20)</f>
        <v>10</v>
      </c>
      <c r="I19" s="900">
        <v>10</v>
      </c>
      <c r="J19" s="825" t="s">
        <v>314</v>
      </c>
      <c r="K19" s="825" t="s">
        <v>411</v>
      </c>
      <c r="L19">
        <v>20</v>
      </c>
      <c r="M19" s="899">
        <f>'Daniel''s Metrics'!I11 -(L19+L20)</f>
        <v>26</v>
      </c>
    </row>
    <row r="20" spans="1:13" x14ac:dyDescent="0.2">
      <c r="A20" s="900"/>
      <c r="B20" s="825" t="s">
        <v>335</v>
      </c>
      <c r="C20" s="825" t="s">
        <v>358</v>
      </c>
      <c r="D20" s="838">
        <f>2+12+2</f>
        <v>16</v>
      </c>
      <c r="E20">
        <v>16</v>
      </c>
      <c r="F20" s="900"/>
      <c r="I20" s="900"/>
      <c r="J20" s="825" t="s">
        <v>335</v>
      </c>
      <c r="K20" s="825" t="s">
        <v>406</v>
      </c>
      <c r="L20">
        <v>18</v>
      </c>
      <c r="M20" s="900"/>
    </row>
    <row r="21" spans="1:13" x14ac:dyDescent="0.2">
      <c r="A21" s="900">
        <v>9</v>
      </c>
      <c r="B21" s="825" t="s">
        <v>314</v>
      </c>
      <c r="C21" s="825" t="s">
        <v>359</v>
      </c>
      <c r="D21" s="838">
        <f>3+6+1+4+1+1</f>
        <v>16</v>
      </c>
      <c r="E21">
        <v>16</v>
      </c>
      <c r="F21" s="899">
        <f>'Daniel''s Metrics'!G21 - ('Q Sessions'!D21+'Q Sessions'!D22)</f>
        <v>-31</v>
      </c>
      <c r="I21" s="900">
        <v>9</v>
      </c>
      <c r="J21" s="825" t="s">
        <v>314</v>
      </c>
      <c r="K21" s="825" t="s">
        <v>407</v>
      </c>
      <c r="L21">
        <v>18</v>
      </c>
      <c r="M21" s="899">
        <f>'Daniel''s Metrics'!I12 -(L21+L22)</f>
        <v>46</v>
      </c>
    </row>
    <row r="22" spans="1:13" x14ac:dyDescent="0.2">
      <c r="A22" s="900"/>
      <c r="B22" s="825" t="s">
        <v>335</v>
      </c>
      <c r="C22" s="825" t="s">
        <v>360</v>
      </c>
      <c r="D22" s="838">
        <f>5+(4*2)+2</f>
        <v>15</v>
      </c>
      <c r="E22">
        <v>15</v>
      </c>
      <c r="F22" s="900"/>
      <c r="I22" s="900"/>
      <c r="J22" s="825" t="s">
        <v>335</v>
      </c>
      <c r="K22" s="825" t="s">
        <v>408</v>
      </c>
      <c r="L22">
        <v>16</v>
      </c>
      <c r="M22" s="900"/>
    </row>
    <row r="23" spans="1:13" x14ac:dyDescent="0.2">
      <c r="A23" s="900">
        <v>8</v>
      </c>
      <c r="B23" s="825" t="s">
        <v>314</v>
      </c>
      <c r="C23" s="825" t="s">
        <v>361</v>
      </c>
      <c r="D23" s="838">
        <f>2+2+(60/7)+2+2</f>
        <v>16.571428571428569</v>
      </c>
      <c r="E23">
        <v>17</v>
      </c>
      <c r="F23" s="899">
        <f>'Daniel''s Metrics'!G23 - ('Q Sessions'!D23+'Q Sessions'!D24)</f>
        <v>-30.321428571428569</v>
      </c>
      <c r="I23" s="900">
        <v>8</v>
      </c>
      <c r="J23" s="825" t="s">
        <v>314</v>
      </c>
      <c r="K23" s="825" t="s">
        <v>409</v>
      </c>
      <c r="L23">
        <v>18</v>
      </c>
      <c r="M23" s="899">
        <f>'Daniel''s Metrics'!I13 -(L23+L24)</f>
        <v>37</v>
      </c>
    </row>
    <row r="24" spans="1:13" x14ac:dyDescent="0.2">
      <c r="A24" s="900"/>
      <c r="B24" s="825" t="s">
        <v>335</v>
      </c>
      <c r="C24" s="825" t="s">
        <v>348</v>
      </c>
      <c r="D24" s="838">
        <f xml:space="preserve"> 8+(6*(1/1.6))+2</f>
        <v>13.75</v>
      </c>
      <c r="E24">
        <v>16</v>
      </c>
      <c r="F24" s="900"/>
      <c r="I24" s="900"/>
      <c r="J24" s="825" t="s">
        <v>335</v>
      </c>
      <c r="K24" s="825" t="s">
        <v>410</v>
      </c>
      <c r="L24">
        <v>17</v>
      </c>
      <c r="M24" s="900"/>
    </row>
    <row r="25" spans="1:13" x14ac:dyDescent="0.2">
      <c r="A25" s="900">
        <v>7</v>
      </c>
      <c r="B25" s="825" t="s">
        <v>314</v>
      </c>
      <c r="C25" s="825" t="s">
        <v>364</v>
      </c>
      <c r="D25" s="838">
        <v>20</v>
      </c>
      <c r="E25">
        <v>20</v>
      </c>
      <c r="F25" s="899">
        <f>'Daniel''s Metrics'!G25 - ('Q Sessions'!D25+'Q Sessions'!D26)</f>
        <v>-36</v>
      </c>
      <c r="I25" s="900">
        <v>7</v>
      </c>
      <c r="J25" s="825" t="s">
        <v>314</v>
      </c>
      <c r="K25" s="825" t="s">
        <v>411</v>
      </c>
      <c r="L25">
        <v>20</v>
      </c>
      <c r="M25" s="899">
        <f>'Daniel''s Metrics'!I14 -(L25+L26)</f>
        <v>37</v>
      </c>
    </row>
    <row r="26" spans="1:13" x14ac:dyDescent="0.2">
      <c r="A26" s="900"/>
      <c r="B26" s="825" t="s">
        <v>335</v>
      </c>
      <c r="C26" s="825" t="s">
        <v>365</v>
      </c>
      <c r="D26" s="838">
        <f>2+8+(2*2)+2</f>
        <v>16</v>
      </c>
      <c r="E26">
        <v>16</v>
      </c>
      <c r="F26" s="900"/>
      <c r="I26" s="900"/>
      <c r="J26" s="825" t="s">
        <v>335</v>
      </c>
      <c r="K26" s="825" t="s">
        <v>412</v>
      </c>
      <c r="L26">
        <v>15</v>
      </c>
      <c r="M26" s="900"/>
    </row>
    <row r="27" spans="1:13" x14ac:dyDescent="0.2">
      <c r="A27" s="900">
        <v>6</v>
      </c>
      <c r="B27" s="825" t="s">
        <v>314</v>
      </c>
      <c r="C27" s="825" t="s">
        <v>366</v>
      </c>
      <c r="D27" s="838">
        <f>3+12+2</f>
        <v>17</v>
      </c>
      <c r="E27">
        <v>17</v>
      </c>
      <c r="F27" s="899">
        <f>'Daniel''s Metrics'!G27 - ('Q Sessions'!D27+'Q Sessions'!D28)</f>
        <v>-33.333333333333329</v>
      </c>
      <c r="I27" s="900">
        <v>6</v>
      </c>
      <c r="J27" s="825" t="s">
        <v>314</v>
      </c>
      <c r="K27" s="825" t="s">
        <v>413</v>
      </c>
      <c r="L27">
        <v>18</v>
      </c>
      <c r="M27" s="899">
        <f>'Daniel''s Metrics'!I15 -(L27+L28)</f>
        <v>48</v>
      </c>
    </row>
    <row r="28" spans="1:13" x14ac:dyDescent="0.2">
      <c r="A28" s="900"/>
      <c r="B28" s="825" t="s">
        <v>335</v>
      </c>
      <c r="C28" s="825" t="s">
        <v>367</v>
      </c>
      <c r="D28" s="839">
        <f>(40/7.5) + (4*2) + (2*1) + 1</f>
        <v>16.333333333333332</v>
      </c>
      <c r="E28">
        <v>17</v>
      </c>
      <c r="F28" s="900"/>
      <c r="I28" s="900"/>
      <c r="J28" s="825" t="s">
        <v>335</v>
      </c>
      <c r="K28" s="825" t="s">
        <v>414</v>
      </c>
      <c r="L28">
        <v>14</v>
      </c>
      <c r="M28" s="900"/>
    </row>
    <row r="29" spans="1:13" x14ac:dyDescent="0.2">
      <c r="A29" s="900">
        <v>5</v>
      </c>
      <c r="B29" s="825" t="s">
        <v>314</v>
      </c>
      <c r="C29" s="825" t="s">
        <v>368</v>
      </c>
      <c r="D29" s="838">
        <f>6+2+6+2+1</f>
        <v>17</v>
      </c>
      <c r="E29">
        <v>17</v>
      </c>
      <c r="F29" s="899">
        <f>'Daniel''s Metrics'!G29 - ('Q Sessions'!D29+'Q Sessions'!D30)</f>
        <v>-29.875</v>
      </c>
      <c r="I29" s="900">
        <v>5</v>
      </c>
      <c r="J29" s="825" t="s">
        <v>314</v>
      </c>
      <c r="K29" s="825" t="s">
        <v>415</v>
      </c>
      <c r="L29">
        <v>16</v>
      </c>
      <c r="M29" s="899">
        <f>'Daniel''s Metrics'!I16 -(L29+L30)</f>
        <v>42</v>
      </c>
    </row>
    <row r="30" spans="1:13" x14ac:dyDescent="0.2">
      <c r="A30" s="900"/>
      <c r="B30" s="825" t="s">
        <v>335</v>
      </c>
      <c r="C30" s="825" t="s">
        <v>369</v>
      </c>
      <c r="D30" s="838">
        <f>8+(5*(1/1.6))+(6*0.125)+1</f>
        <v>12.875</v>
      </c>
      <c r="E30">
        <v>16</v>
      </c>
      <c r="F30" s="900"/>
      <c r="I30" s="900"/>
      <c r="J30" s="825" t="s">
        <v>335</v>
      </c>
      <c r="K30" s="825" t="s">
        <v>416</v>
      </c>
      <c r="L30">
        <v>14</v>
      </c>
      <c r="M30" s="900"/>
    </row>
    <row r="31" spans="1:13" x14ac:dyDescent="0.2">
      <c r="A31" s="900">
        <v>4</v>
      </c>
      <c r="B31" s="825" t="s">
        <v>314</v>
      </c>
      <c r="C31" s="825" t="s">
        <v>370</v>
      </c>
      <c r="D31" s="838">
        <v>20</v>
      </c>
      <c r="E31">
        <v>20</v>
      </c>
      <c r="F31" s="899">
        <f>'Daniel''s Metrics'!G31 - ('Q Sessions'!D31+'Q Sessions'!D32)</f>
        <v>-33.125</v>
      </c>
      <c r="I31" s="900">
        <v>4</v>
      </c>
      <c r="J31" s="825" t="s">
        <v>314</v>
      </c>
      <c r="K31" s="825" t="s">
        <v>393</v>
      </c>
      <c r="L31">
        <v>18</v>
      </c>
      <c r="M31" s="899">
        <f>'Daniel''s Metrics'!I17 -(L31+L32)</f>
        <v>34</v>
      </c>
    </row>
    <row r="32" spans="1:13" x14ac:dyDescent="0.2">
      <c r="A32" s="900"/>
      <c r="B32" s="825" t="s">
        <v>335</v>
      </c>
      <c r="C32" s="825" t="s">
        <v>371</v>
      </c>
      <c r="D32" s="838">
        <f>6+(5*(1/1.6))+4</f>
        <v>13.125</v>
      </c>
      <c r="E32">
        <v>15</v>
      </c>
      <c r="F32" s="900"/>
      <c r="I32" s="900"/>
      <c r="J32" s="825" t="s">
        <v>335</v>
      </c>
      <c r="K32" s="825" t="s">
        <v>417</v>
      </c>
      <c r="L32">
        <v>12</v>
      </c>
      <c r="M32" s="900"/>
    </row>
    <row r="33" spans="1:13" x14ac:dyDescent="0.2">
      <c r="A33" s="900">
        <v>3</v>
      </c>
      <c r="B33" s="825" t="s">
        <v>314</v>
      </c>
      <c r="C33" s="825" t="s">
        <v>372</v>
      </c>
      <c r="D33" s="838">
        <f>2+6+1+6+2</f>
        <v>17</v>
      </c>
      <c r="E33">
        <v>17</v>
      </c>
      <c r="F33" s="899">
        <f>'Daniel''s Metrics'!G33 - ('Q Sessions'!D33+'Q Sessions'!D34)</f>
        <v>-29</v>
      </c>
      <c r="I33" s="900">
        <v>3</v>
      </c>
      <c r="J33" s="825" t="s">
        <v>314</v>
      </c>
      <c r="K33" s="825" t="s">
        <v>418</v>
      </c>
      <c r="L33">
        <v>18</v>
      </c>
      <c r="M33" s="899">
        <f>'Daniel''s Metrics'!I18 -(L33+L34)</f>
        <v>34</v>
      </c>
    </row>
    <row r="34" spans="1:13" x14ac:dyDescent="0.2">
      <c r="A34" s="900"/>
      <c r="B34" s="825" t="s">
        <v>335</v>
      </c>
      <c r="C34" s="825" t="s">
        <v>373</v>
      </c>
      <c r="D34" s="838">
        <f>2+(4*2)+2</f>
        <v>12</v>
      </c>
      <c r="E34">
        <v>12</v>
      </c>
      <c r="F34" s="900"/>
      <c r="I34" s="900"/>
      <c r="J34" s="825" t="s">
        <v>335</v>
      </c>
      <c r="K34" s="825" t="s">
        <v>420</v>
      </c>
      <c r="L34">
        <v>12</v>
      </c>
      <c r="M34" s="900"/>
    </row>
    <row r="35" spans="1:13" x14ac:dyDescent="0.2">
      <c r="A35" s="900">
        <v>2</v>
      </c>
      <c r="B35" s="825" t="s">
        <v>314</v>
      </c>
      <c r="C35" s="825" t="s">
        <v>374</v>
      </c>
      <c r="D35" s="838">
        <f>2+(3*2)+7</f>
        <v>15</v>
      </c>
      <c r="E35">
        <v>15</v>
      </c>
      <c r="F35" s="899">
        <f>'Daniel''s Metrics'!G35 - ('Q Sessions'!D35+'Q Sessions'!D36)</f>
        <v>-26</v>
      </c>
      <c r="I35" s="900">
        <v>2</v>
      </c>
      <c r="J35" s="825" t="s">
        <v>314</v>
      </c>
      <c r="K35" s="825" t="s">
        <v>419</v>
      </c>
      <c r="L35">
        <v>16</v>
      </c>
      <c r="M35" s="899">
        <f>'Daniel''s Metrics'!I19 -(L35+L36)</f>
        <v>28</v>
      </c>
    </row>
    <row r="36" spans="1:13" x14ac:dyDescent="0.2">
      <c r="A36" s="900"/>
      <c r="B36" s="825" t="s">
        <v>335</v>
      </c>
      <c r="C36" s="825" t="s">
        <v>375</v>
      </c>
      <c r="D36" s="838">
        <f>3+1+2+1+2+2</f>
        <v>11</v>
      </c>
      <c r="E36">
        <v>11</v>
      </c>
      <c r="F36" s="900"/>
      <c r="I36" s="900"/>
      <c r="J36" s="825" t="s">
        <v>335</v>
      </c>
      <c r="K36" s="825" t="s">
        <v>421</v>
      </c>
      <c r="L36">
        <v>12</v>
      </c>
      <c r="M36" s="90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8" workbookViewId="0">
      <selection activeCell="Z195" sqref="Z195"/>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43" t="s">
        <v>51</v>
      </c>
      <c r="H2" s="1243"/>
      <c r="I2" s="1243"/>
      <c r="J2" s="1243"/>
      <c r="K2" s="1243"/>
      <c r="L2" s="1243"/>
      <c r="M2" s="1243"/>
      <c r="N2" s="38"/>
      <c r="O2" s="38"/>
      <c r="P2" s="39"/>
      <c r="Q2" s="40" t="s">
        <v>52</v>
      </c>
      <c r="R2" s="41">
        <v>44166</v>
      </c>
    </row>
    <row r="3" spans="1:34" ht="13.5" thickBot="1" x14ac:dyDescent="0.25">
      <c r="B3" s="42" t="str">
        <f>"Weight"&amp;IF($B$4," (kg):"," (lb):")</f>
        <v>Weight (lb):</v>
      </c>
      <c r="C3" s="43">
        <v>155</v>
      </c>
      <c r="D3" s="44" t="s">
        <v>53</v>
      </c>
      <c r="E3" s="45">
        <v>201</v>
      </c>
      <c r="G3" s="1244"/>
      <c r="H3" s="1244"/>
      <c r="I3" s="1244"/>
      <c r="J3" s="1244"/>
      <c r="K3" s="1244"/>
      <c r="L3" s="1244"/>
      <c r="M3" s="1244"/>
      <c r="P3" s="1245" t="str">
        <f>P73</f>
        <v>Male Peak Potential - 5k</v>
      </c>
      <c r="Q3" s="1246"/>
      <c r="R3" s="1247"/>
      <c r="S3" s="6" t="s">
        <v>54</v>
      </c>
      <c r="T3" s="6"/>
      <c r="U3" s="6"/>
      <c r="V3" s="6"/>
    </row>
    <row r="4" spans="1:34" ht="13.5" thickBot="1" x14ac:dyDescent="0.25">
      <c r="B4" s="46" t="b">
        <v>0</v>
      </c>
      <c r="C4" s="47" t="b">
        <v>1</v>
      </c>
      <c r="D4" s="48" t="s">
        <v>55</v>
      </c>
      <c r="E4" s="49">
        <v>54</v>
      </c>
      <c r="F4" s="50"/>
      <c r="G4" s="1248" t="s">
        <v>56</v>
      </c>
      <c r="H4" s="1248"/>
      <c r="I4" s="1248"/>
      <c r="J4" s="1248"/>
      <c r="K4" s="1248"/>
      <c r="L4" s="1248"/>
      <c r="M4" s="1248"/>
      <c r="N4" s="51"/>
      <c r="O4" s="52" t="b">
        <v>0</v>
      </c>
      <c r="P4" s="1249" t="str">
        <f>"Open Class Standard:"</f>
        <v>Open Class Standard:</v>
      </c>
      <c r="Q4" s="1250"/>
      <c r="R4" s="53">
        <f>R74</f>
        <v>9.0162037037037034E-3</v>
      </c>
      <c r="S4" s="6" t="s">
        <v>57</v>
      </c>
      <c r="T4" s="6"/>
      <c r="U4" s="6"/>
      <c r="V4" s="6"/>
      <c r="W4" s="1192" t="s">
        <v>58</v>
      </c>
      <c r="X4" s="1193"/>
      <c r="Y4" s="1193"/>
      <c r="Z4" s="1193"/>
      <c r="AA4" s="1193"/>
      <c r="AB4" s="1193"/>
      <c r="AC4" s="1193"/>
      <c r="AD4" s="1193"/>
      <c r="AE4" s="1193"/>
      <c r="AF4" s="1193"/>
      <c r="AG4" s="1194"/>
    </row>
    <row r="5" spans="1:34" ht="14.25" thickTop="1" thickBot="1" x14ac:dyDescent="0.25">
      <c r="B5" s="1195" t="s">
        <v>59</v>
      </c>
      <c r="C5" s="1196"/>
      <c r="D5" s="1196"/>
      <c r="E5" s="54">
        <f ca="1">IF(AND(DATEDIF($E$2,NOW(),"y")&gt;=0,DATEDIF($E$2,NOW(),"y")&lt;110),DATEDIF($E$2,NOW(),"y"),"Birthdate?")</f>
        <v>31</v>
      </c>
      <c r="G5" s="24" t="s">
        <v>60</v>
      </c>
      <c r="H5" s="55"/>
      <c r="I5" s="1197" t="str">
        <f ca="1">IF(R5="No Std","Custom Entry - No Std",IF(R5="Birthdate?",R5,"AGP  " &amp; IF($C$4,"M-","F-")&amp;$E$5&amp;":   "&amp;TEXT($R$5/$G$6,"0.00%")))</f>
        <v>AGP  M-31:   80.14%</v>
      </c>
      <c r="J5" s="1198"/>
      <c r="K5" s="1199" t="s">
        <v>61</v>
      </c>
      <c r="L5" s="1200"/>
      <c r="M5" s="1200"/>
      <c r="N5" s="56" t="s">
        <v>62</v>
      </c>
      <c r="O5" s="57" t="s">
        <v>63</v>
      </c>
      <c r="P5" s="1201" t="str">
        <f ca="1">"Age "&amp;TEXT(E5,"#")&amp; " Standard:"</f>
        <v>Age 31 Standard:</v>
      </c>
      <c r="Q5" s="1202"/>
      <c r="R5" s="58">
        <f ca="1">R75</f>
        <v>9.0252891614595737E-3</v>
      </c>
      <c r="S5" s="59">
        <v>15</v>
      </c>
      <c r="T5" s="6"/>
      <c r="U5" s="6"/>
      <c r="V5" s="6"/>
    </row>
    <row r="6" spans="1:34" ht="14.25" thickTop="1" thickBot="1" x14ac:dyDescent="0.25">
      <c r="B6" s="60" t="str">
        <f>"Powered by "&amp;IF($G$16=1,"Daniels","Riegel")</f>
        <v>Powered by Riegel</v>
      </c>
      <c r="C6" s="61">
        <v>1.06</v>
      </c>
      <c r="D6" s="62" t="s">
        <v>64</v>
      </c>
      <c r="E6" s="63" t="s">
        <v>78</v>
      </c>
      <c r="F6" s="62" t="s">
        <v>66</v>
      </c>
      <c r="G6" s="64">
        <v>1.1261574074074075E-2</v>
      </c>
      <c r="H6" s="65"/>
      <c r="I6" s="1203">
        <f>IF(AND($E$6&gt;0,$G$6&gt;0),(-4.6 + 0.182258 * (F8/G6/1440) + 0.000104 *(F8/G6/1440)^2)/D9,1)</f>
        <v>63.579351807379361</v>
      </c>
      <c r="J6" s="1204"/>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1232" t="str">
        <f>"Peak Potential at "&amp;ROUND(C3,1)&amp;IF(B4," kg"," lb")</f>
        <v>Peak Potential at 155 lb</v>
      </c>
      <c r="Q6" s="1233"/>
      <c r="R6" s="71">
        <f ca="1">R78</f>
        <v>1.027079005252729E-2</v>
      </c>
      <c r="S6" s="72">
        <v>1</v>
      </c>
      <c r="T6" s="6"/>
      <c r="U6" s="6"/>
      <c r="V6" s="6" t="s">
        <v>382</v>
      </c>
      <c r="W6" s="825" t="s">
        <v>456</v>
      </c>
      <c r="Y6" t="s">
        <v>2</v>
      </c>
      <c r="Z6" s="867">
        <v>0.20416666666666669</v>
      </c>
    </row>
    <row r="7" spans="1:34" ht="14.25" thickTop="1" thickBot="1" x14ac:dyDescent="0.25">
      <c r="B7" s="73"/>
      <c r="C7" s="74" t="s">
        <v>68</v>
      </c>
      <c r="D7" s="75" t="s">
        <v>69</v>
      </c>
      <c r="E7" s="1234" t="s">
        <v>70</v>
      </c>
      <c r="F7" s="1235"/>
      <c r="G7" s="123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37">
        <f>IF(E6="Custom",S8,HLOOKUP(E6,J7:P8,2,0))</f>
        <v>3.1068559611866697</v>
      </c>
      <c r="E8" s="1238"/>
      <c r="F8" s="1239">
        <f>IF(E6="Custom",S9,HLOOKUP(E6,J7:P9,3,0))</f>
        <v>5000</v>
      </c>
      <c r="G8" s="1240"/>
      <c r="H8" s="1241" t="s">
        <v>82</v>
      </c>
      <c r="I8" s="124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5" thickBot="1" x14ac:dyDescent="0.25">
      <c r="A9" s="91"/>
      <c r="B9" s="92" t="s">
        <v>83</v>
      </c>
      <c r="C9" s="93">
        <v>0</v>
      </c>
      <c r="D9" s="1219">
        <f>IF($G$6&gt;0,0.8+0.1894393 * EXP(-0.012778*G6*1440)+0.2989558* EXP(-0.1932605*G6*1440),0)</f>
        <v>0.96700150145062314</v>
      </c>
      <c r="E9" s="1220"/>
      <c r="F9" s="94" t="str">
        <f>"▼2nd ed 67%"</f>
        <v>▼2nd ed 67%</v>
      </c>
      <c r="G9" s="95" t="str">
        <f>"1st ed 70%▼"</f>
        <v>1st ed 70%▼</v>
      </c>
      <c r="H9" s="1221" t="s">
        <v>84</v>
      </c>
      <c r="I9" s="1222"/>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5" thickBot="1" x14ac:dyDescent="0.25">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507</v>
      </c>
      <c r="W12" s="500">
        <v>3.7164351851851851E-2</v>
      </c>
      <c r="X12" s="878">
        <v>45897</v>
      </c>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508</v>
      </c>
      <c r="W13" s="876">
        <v>4.0625000000000001E-2</v>
      </c>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506</v>
      </c>
      <c r="W14" s="500">
        <v>3.9942129629629633E-2</v>
      </c>
      <c r="X14" s="879">
        <v>45897</v>
      </c>
      <c r="Y14" s="33"/>
      <c r="Z14" s="33"/>
      <c r="AA14" s="33"/>
      <c r="AB14" s="33"/>
      <c r="AF14" s="33"/>
      <c r="AG14" s="33"/>
      <c r="AH14" s="118"/>
    </row>
    <row r="15" spans="1:34" ht="13.5" thickBot="1" x14ac:dyDescent="0.25">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505</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25" thickTop="1" thickBot="1" x14ac:dyDescent="0.25">
      <c r="B17" s="160"/>
      <c r="C17" s="160"/>
      <c r="D17" s="160"/>
      <c r="E17" s="160"/>
      <c r="F17" s="160"/>
      <c r="G17" s="160"/>
      <c r="H17" s="1223" t="s">
        <v>88</v>
      </c>
      <c r="I17" s="1223"/>
      <c r="J17" s="1223"/>
      <c r="K17" s="1223"/>
      <c r="L17" s="1223"/>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5" thickBot="1" x14ac:dyDescent="0.25">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1224" t="s">
        <v>92</v>
      </c>
      <c r="N27" s="1225"/>
      <c r="O27" s="1225"/>
      <c r="P27" s="1225"/>
      <c r="Q27" s="1225"/>
      <c r="R27" s="240"/>
      <c r="U27" s="6"/>
      <c r="V27" s="6"/>
      <c r="Y27" s="33"/>
    </row>
    <row r="28" spans="2:28" ht="14.25" thickTop="1" thickBot="1" x14ac:dyDescent="0.25">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25" thickTop="1" thickBot="1" x14ac:dyDescent="0.25">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1226" t="s">
        <v>106</v>
      </c>
      <c r="N42" s="1227"/>
      <c r="O42" s="1227"/>
      <c r="P42" s="1227"/>
      <c r="Q42" s="1227"/>
      <c r="R42" s="1228"/>
      <c r="V42" s="298"/>
      <c r="W42" s="4"/>
    </row>
    <row r="43" spans="2:28" ht="13.5" thickBot="1" x14ac:dyDescent="0.25">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1229" t="s">
        <v>107</v>
      </c>
      <c r="N43" s="1230"/>
      <c r="O43" s="1230"/>
      <c r="P43" s="1230" t="s">
        <v>108</v>
      </c>
      <c r="Q43" s="1230"/>
      <c r="R43" s="1231"/>
    </row>
    <row r="44" spans="2:28" ht="13.5" thickBot="1" x14ac:dyDescent="0.25">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1210" t="s">
        <v>109</v>
      </c>
      <c r="N44" s="1211"/>
      <c r="O44" s="1211"/>
      <c r="P44" s="1211" t="s">
        <v>110</v>
      </c>
      <c r="Q44" s="1211"/>
      <c r="R44" s="1212"/>
    </row>
    <row r="45" spans="2:28" ht="13.5" thickBot="1" x14ac:dyDescent="0.25">
      <c r="B45" s="1213" t="s">
        <v>111</v>
      </c>
      <c r="C45" s="1214"/>
      <c r="D45" s="1214"/>
      <c r="E45" s="1214"/>
      <c r="F45" s="1214"/>
      <c r="G45" s="1214"/>
      <c r="H45" s="1214"/>
      <c r="I45" s="1214"/>
      <c r="J45" s="1214"/>
      <c r="K45" s="1214"/>
      <c r="L45" s="1214"/>
      <c r="M45" s="1214"/>
      <c r="N45" s="1214"/>
      <c r="O45" s="1214"/>
      <c r="P45" s="1214"/>
      <c r="Q45" s="1214"/>
      <c r="R45" s="121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82" t="s">
        <v>112</v>
      </c>
      <c r="X46" s="882"/>
    </row>
    <row r="47" spans="2:28" ht="14.25" thickTop="1" thickBot="1" x14ac:dyDescent="0.25">
      <c r="B47" s="311">
        <f>E3</f>
        <v>201</v>
      </c>
      <c r="C47" s="312"/>
      <c r="D47" s="1216" t="str">
        <f>"Custom Heart Rate Zones - "&amp;IF(L47,"% HR Reserve","% HRmax")</f>
        <v>Custom Heart Rate Zones - % HRmax</v>
      </c>
      <c r="E47" s="1216"/>
      <c r="F47" s="1216"/>
      <c r="G47" s="1216"/>
      <c r="H47" s="1216"/>
      <c r="I47" s="1216"/>
      <c r="J47" s="1216"/>
      <c r="K47" s="313"/>
      <c r="L47" s="314" t="b">
        <v>0</v>
      </c>
      <c r="M47" s="315" t="s">
        <v>113</v>
      </c>
      <c r="N47" s="1217" t="s">
        <v>114</v>
      </c>
      <c r="O47" s="1218"/>
      <c r="P47" s="1218"/>
      <c r="Q47" s="316" t="b">
        <v>1</v>
      </c>
      <c r="R47" s="317">
        <v>25</v>
      </c>
      <c r="W47" s="1182" t="s">
        <v>115</v>
      </c>
      <c r="X47" s="1182"/>
      <c r="Y47" s="1182" t="s">
        <v>116</v>
      </c>
      <c r="Z47" s="1182"/>
      <c r="AA47" s="1182"/>
      <c r="AB47" s="1182"/>
    </row>
    <row r="48" spans="2:28" ht="13.5" thickBot="1" x14ac:dyDescent="0.25">
      <c r="B48" s="318">
        <f>E4</f>
        <v>54</v>
      </c>
      <c r="C48" s="1183" t="s">
        <v>117</v>
      </c>
      <c r="D48" s="1184"/>
      <c r="E48" s="1185" t="s">
        <v>65</v>
      </c>
      <c r="F48" s="1184"/>
      <c r="G48" s="1185" t="s">
        <v>118</v>
      </c>
      <c r="H48" s="1184"/>
      <c r="I48" s="1185" t="s">
        <v>76</v>
      </c>
      <c r="J48" s="1184"/>
      <c r="K48" s="1185" t="s">
        <v>78</v>
      </c>
      <c r="L48" s="1186"/>
      <c r="M48" s="319" t="s">
        <v>119</v>
      </c>
      <c r="N48" s="320" t="str">
        <f ca="1">"Age: "&amp;$E$5</f>
        <v>Age: 31</v>
      </c>
      <c r="O48" s="321"/>
      <c r="P48" s="322" t="str">
        <f>"Wght: "&amp;$C$3</f>
        <v>Wght: 155</v>
      </c>
      <c r="Q48" s="323" t="b">
        <v>1</v>
      </c>
      <c r="R48" s="324">
        <v>155</v>
      </c>
      <c r="S48" s="325"/>
      <c r="T48" s="1187" t="s">
        <v>120</v>
      </c>
      <c r="U48" s="1188"/>
      <c r="W48" s="326"/>
      <c r="X48" s="327" t="s">
        <v>121</v>
      </c>
      <c r="Y48" s="1189" t="s">
        <v>122</v>
      </c>
      <c r="Z48" s="1190"/>
      <c r="AA48" s="1190" t="s">
        <v>123</v>
      </c>
      <c r="AB48" s="119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205" t="str">
        <f>IF($L$47,TEXT((($B$47-$B$48)*C49)+$B$48,0)&amp;"  -  "&amp;TEXT((($B$47-$B$48)*D49)+$B$48,0),TEXT($B$47*C49,0)&amp;"  -  "&amp;TEXT($B$47*D49,0))</f>
        <v>131  -  161</v>
      </c>
      <c r="D50" s="1206"/>
      <c r="E50" s="1207" t="str">
        <f>IF($L$47,TEXT((($B$47-$B$48)*E49)+$B$48,0)&amp;"  -  "&amp;TEXT((($B$47-$B$48)*F49)+$B$48,0),TEXT($B$47*E49,0)&amp;"  -  "&amp;TEXT($B$47*F49,0))</f>
        <v>161  -  179</v>
      </c>
      <c r="F50" s="1208"/>
      <c r="G50" s="1207" t="str">
        <f>IF($L$47,TEXT((($B$47-$B$48)*G49)+$B$48,0)&amp;"  -  "&amp;TEXT((($B$47-$B$48)*H49)+$B$48,0),TEXT($B$47*G49,0)&amp;"  -  "&amp;TEXT($B$47*H49,0))</f>
        <v>177  -  185</v>
      </c>
      <c r="H50" s="1208"/>
      <c r="I50" s="1207" t="str">
        <f>IF($L$47,TEXT((($B$47-$B$48)*I49)+$B$48,0)&amp;"  -  "&amp;TEXT((($B$47-$B$48)*J49)+$B$48,0),TEXT($B$47*I49,0)&amp;"  -  "&amp;TEXT($B$47*J49,0))</f>
        <v>185  -  193</v>
      </c>
      <c r="J50" s="1208"/>
      <c r="K50" s="1207" t="str">
        <f>IF($L$47,TEXT((($B$47-$B$48)*K49)+$B$48,0)&amp;"  -  "&amp;TEXT((($B$47-$B$48)*L49)+$B$48,0),TEXT($B$47*K49,0)&amp;"  -  "&amp;TEXT($B$47*L49,0))</f>
        <v>185  -  201</v>
      </c>
      <c r="L50" s="1209"/>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81" t="s">
        <v>132</v>
      </c>
      <c r="D52" s="1181"/>
      <c r="E52" s="1181"/>
      <c r="F52" s="1181"/>
      <c r="G52" s="1181"/>
      <c r="H52" s="1181"/>
      <c r="I52" s="1181"/>
      <c r="J52" s="1181"/>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5" thickBot="1" x14ac:dyDescent="0.25">
      <c r="B53" s="1166" t="s">
        <v>135</v>
      </c>
      <c r="C53" s="1167"/>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
      <c r="B54" s="1168" t="str">
        <f>IF($L$52,"Pace / km","Pace / mile")</f>
        <v>Pace / mile</v>
      </c>
      <c r="C54" s="1169"/>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5" thickBot="1" x14ac:dyDescent="0.25">
      <c r="B55" s="1170" t="s">
        <v>139</v>
      </c>
      <c r="C55" s="1171"/>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72" t="str">
        <f>"◄ "&amp;J80&amp;" - "&amp;LEFT(B81,LEN(B81)-3)&amp;IF(L52,"°C","°F")</f>
        <v>◄ J.Daniels - Temperature °F</v>
      </c>
      <c r="E56" s="1173"/>
      <c r="F56" s="1174"/>
      <c r="G56" s="1175" t="s">
        <v>142</v>
      </c>
      <c r="H56" s="1176"/>
      <c r="I56" s="1176"/>
      <c r="J56" s="1176"/>
      <c r="K56" s="1176"/>
      <c r="L56" s="1177"/>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5" thickBot="1" x14ac:dyDescent="0.25">
      <c r="B57" s="1178" t="s">
        <v>143</v>
      </c>
      <c r="C57" s="1179"/>
      <c r="D57" s="1179"/>
      <c r="E57" s="1179"/>
      <c r="F57" s="1179"/>
      <c r="G57" s="1179" t="s">
        <v>144</v>
      </c>
      <c r="H57" s="1179"/>
      <c r="I57" s="1179"/>
      <c r="J57" s="1179"/>
      <c r="K57" s="1179"/>
      <c r="L57" s="1180"/>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5" thickBot="1" x14ac:dyDescent="0.25">
      <c r="B58" s="1043" t="str">
        <f>"Interval Split Times In "&amp;IF(L58,"Metric","US/Imperial")&amp;" Distances (Daniels)"</f>
        <v>Interval Split Times In Metric Distances (Daniels)</v>
      </c>
      <c r="C58" s="1044"/>
      <c r="D58" s="1044"/>
      <c r="E58" s="1044"/>
      <c r="F58" s="1044"/>
      <c r="G58" s="1044"/>
      <c r="H58" s="1044"/>
      <c r="I58" s="1044"/>
      <c r="J58" s="1044"/>
      <c r="K58" s="1157"/>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5" thickBot="1" x14ac:dyDescent="0.25">
      <c r="B59" s="1137" t="str">
        <f>"Pace per "&amp;IF($L$58,"/ km","/ mile")</f>
        <v>Pace per / km</v>
      </c>
      <c r="C59" s="113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
      <c r="B60" s="1158">
        <f>B61-(IF(L58,1000,1609.344)/400) * TIME(0,0,6)</f>
        <v>2.0534242267332254E-3</v>
      </c>
      <c r="C60" s="1159"/>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5" thickBot="1" x14ac:dyDescent="0.25">
      <c r="B61" s="1160">
        <f>IF(AND($E$6&gt;0,$G$6&gt;0),(1/(29.54 + 5.000663 * ($I$6*0.98) - 0.007546 * ($I$6*0.98)^2)*IF($L$58,1000,1609.344)/1440),"-")</f>
        <v>2.2270353378443363E-3</v>
      </c>
      <c r="C61" s="1161"/>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5" thickBot="1" x14ac:dyDescent="0.25">
      <c r="B62" s="1162">
        <f>IF(AND($E$6&gt;0,$G$6&gt;0),(1/(29.54 + 5.000663 * ($I$6*0.88) - 0.007546 * ($I$6*0.88)^2)*IF($L$58,1000,1609.344)/1440),"-")</f>
        <v>2.4306399167190996E-3</v>
      </c>
      <c r="C62" s="1163"/>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5" thickTop="1" x14ac:dyDescent="0.2">
      <c r="B63" s="1164">
        <f>IF($L$58, R15,R14)</f>
        <v>2.1042136141649274E-3</v>
      </c>
      <c r="C63" s="1165"/>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
      <c r="B64" s="1147">
        <f>IF($L$58, P15,P14)</f>
        <v>2.2523148139545388E-3</v>
      </c>
      <c r="C64" s="1148"/>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5" thickBot="1" x14ac:dyDescent="0.25">
      <c r="B65" s="1149">
        <f>IF($L$58,N15,N14)</f>
        <v>2.3479610761828473E-3</v>
      </c>
      <c r="C65" s="1150"/>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5" thickBot="1" x14ac:dyDescent="0.25">
      <c r="B66" s="1151" t="s">
        <v>152</v>
      </c>
      <c r="C66" s="1152"/>
      <c r="D66" s="1152"/>
      <c r="E66" s="1152"/>
      <c r="F66" s="1152"/>
      <c r="G66" s="1152"/>
      <c r="H66" s="1152"/>
      <c r="I66" s="1152"/>
      <c r="J66" s="1152"/>
      <c r="K66" s="1152"/>
      <c r="L66" s="1153"/>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5" thickBot="1" x14ac:dyDescent="0.25">
      <c r="B68" s="1154" t="s">
        <v>156</v>
      </c>
      <c r="C68" s="1155"/>
      <c r="D68" s="1155"/>
      <c r="E68" s="1155"/>
      <c r="F68" s="1132" t="s">
        <v>157</v>
      </c>
      <c r="G68" s="1132"/>
      <c r="H68" s="1132"/>
      <c r="I68" s="1132"/>
      <c r="J68" s="1132"/>
      <c r="K68" s="1156"/>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5" thickBot="1" x14ac:dyDescent="0.25">
      <c r="B69" s="1137" t="s">
        <v>158</v>
      </c>
      <c r="C69" s="1138"/>
      <c r="D69" s="1139"/>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5" thickBot="1" x14ac:dyDescent="0.25">
      <c r="B70" s="1113" t="s">
        <v>168</v>
      </c>
      <c r="C70" s="1114"/>
      <c r="D70" s="1115"/>
      <c r="E70" s="440" t="str">
        <f>IF($L$68,"1.6 k","Mile")</f>
        <v>Mile</v>
      </c>
      <c r="F70" s="440" t="s">
        <v>169</v>
      </c>
      <c r="G70" s="440" t="s">
        <v>170</v>
      </c>
      <c r="H70" s="440" t="s">
        <v>171</v>
      </c>
      <c r="I70" s="440" t="s">
        <v>172</v>
      </c>
      <c r="J70" s="440" t="s">
        <v>173</v>
      </c>
      <c r="K70" s="440" t="s">
        <v>174</v>
      </c>
      <c r="L70" s="441" t="s">
        <v>175</v>
      </c>
      <c r="M70" s="442">
        <v>0.13295138888888888</v>
      </c>
      <c r="N70" s="1140" t="s">
        <v>176</v>
      </c>
      <c r="O70" s="1032"/>
      <c r="P70" s="443" t="b">
        <v>0</v>
      </c>
      <c r="Q70" s="1141" t="s">
        <v>177</v>
      </c>
      <c r="R70" s="1142"/>
    </row>
    <row r="71" spans="2:28" ht="13.5" thickBot="1" x14ac:dyDescent="0.25">
      <c r="B71" s="1120" t="str">
        <f>IF($L$68,"Pace / km","Pace / mile")</f>
        <v>Pace / mile</v>
      </c>
      <c r="C71" s="1121"/>
      <c r="D71" s="1122"/>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143" t="s">
        <v>181</v>
      </c>
      <c r="R71" s="1144"/>
    </row>
    <row r="72" spans="2:28" ht="14.25" thickTop="1" thickBot="1" x14ac:dyDescent="0.25">
      <c r="B72" s="1145"/>
      <c r="C72" s="1146"/>
      <c r="D72" s="1146"/>
      <c r="E72" s="1146"/>
      <c r="F72" s="114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24" t="s">
        <v>182</v>
      </c>
      <c r="C73" s="1125"/>
      <c r="D73" s="1125"/>
      <c r="E73" s="1125"/>
      <c r="F73" s="1125"/>
      <c r="G73" s="1125"/>
      <c r="H73" s="1125"/>
      <c r="I73" s="1125"/>
      <c r="J73" s="1125"/>
      <c r="K73" s="1125"/>
      <c r="L73" s="1126"/>
      <c r="M73" s="1127" t="str">
        <f>"Entry Time Grading - "&amp;E6</f>
        <v>Entry Time Grading - 5k</v>
      </c>
      <c r="N73" s="1128"/>
      <c r="O73" s="1129"/>
      <c r="P73" s="1127" t="str">
        <f>IF(C4,"Male","Female")&amp;" Peak Potential - "&amp;$E$6</f>
        <v>Male Peak Potential - 5k</v>
      </c>
      <c r="Q73" s="1128"/>
      <c r="R73" s="1129"/>
      <c r="T73" s="458"/>
      <c r="U73" s="458"/>
      <c r="V73" s="33"/>
    </row>
    <row r="74" spans="2:28" ht="13.5" thickBot="1" x14ac:dyDescent="0.25">
      <c r="B74" s="1130" t="s">
        <v>183</v>
      </c>
      <c r="C74" s="1131"/>
      <c r="D74" s="1131"/>
      <c r="E74" s="1131"/>
      <c r="F74" s="1132" t="s">
        <v>184</v>
      </c>
      <c r="G74" s="1132"/>
      <c r="H74" s="1132"/>
      <c r="I74" s="1132"/>
      <c r="J74" s="1132"/>
      <c r="K74" s="1132"/>
      <c r="L74" s="459" t="b">
        <v>0</v>
      </c>
      <c r="M74" s="1133" t="str">
        <f ca="1">IF($C$4," Male ","Female ")&amp;IF(ISNUMBER($E$5),$E$5,"")</f>
        <v xml:space="preserve"> Male 31</v>
      </c>
      <c r="N74" s="1134"/>
      <c r="O74" s="1135">
        <f>$G$6</f>
        <v>1.1261574074074075E-2</v>
      </c>
      <c r="P74" s="460"/>
      <c r="Q74" s="461" t="s">
        <v>185</v>
      </c>
      <c r="R74" s="462">
        <f>IF(R72="No","No Std",LOOKUP($D$8,$S$50:$S$69,IF($C$4,$T$50:$T$69,$U$50:$U$69)))</f>
        <v>9.0162037037037034E-3</v>
      </c>
      <c r="T74" s="458"/>
      <c r="U74" s="458"/>
      <c r="V74" s="33"/>
      <c r="W74" s="33"/>
    </row>
    <row r="75" spans="2:28" ht="13.5" thickBot="1" x14ac:dyDescent="0.25">
      <c r="B75" s="1137" t="s">
        <v>186</v>
      </c>
      <c r="C75" s="1138"/>
      <c r="D75" s="1138"/>
      <c r="E75" s="1139"/>
      <c r="F75" s="463" t="s">
        <v>187</v>
      </c>
      <c r="G75" s="463" t="s">
        <v>188</v>
      </c>
      <c r="H75" s="463" t="s">
        <v>189</v>
      </c>
      <c r="I75" s="463" t="s">
        <v>190</v>
      </c>
      <c r="J75" s="463" t="s">
        <v>191</v>
      </c>
      <c r="K75" s="463" t="s">
        <v>192</v>
      </c>
      <c r="L75" s="464" t="s">
        <v>193</v>
      </c>
      <c r="M75" s="1116" t="str">
        <f>IF(O74=$G$6, "Current Entry Time","Manual Time")</f>
        <v>Current Entry Time</v>
      </c>
      <c r="N75" s="1117"/>
      <c r="O75" s="1136"/>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5" thickBot="1" x14ac:dyDescent="0.25">
      <c r="B76" s="1113" t="s">
        <v>194</v>
      </c>
      <c r="C76" s="1114"/>
      <c r="D76" s="1114"/>
      <c r="E76" s="111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16"/>
      <c r="N76" s="1117"/>
      <c r="O76" s="470">
        <f>O74/IF(L80,F8/1000,D8)</f>
        <v>3.6247493333333336E-3</v>
      </c>
      <c r="P76" s="1118" t="s">
        <v>195</v>
      </c>
      <c r="Q76" s="1119"/>
      <c r="R76" s="471">
        <f ca="1">IF($O$85="Yes",$E$5,"Birthdate?")</f>
        <v>31</v>
      </c>
      <c r="T76" s="458"/>
      <c r="U76" s="458"/>
      <c r="V76" s="33"/>
      <c r="W76" s="33"/>
    </row>
    <row r="77" spans="2:28" ht="13.5" thickBot="1" x14ac:dyDescent="0.25">
      <c r="B77" s="1120" t="str">
        <f>IF($L$74,"Zone Pace / km","Zone Pace / mile")</f>
        <v>Zone Pace / mile</v>
      </c>
      <c r="C77" s="1121"/>
      <c r="D77" s="1121"/>
      <c r="E77" s="1122"/>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110" t="s">
        <v>196</v>
      </c>
      <c r="N77" s="1111"/>
      <c r="O77" s="473" t="s">
        <v>101</v>
      </c>
      <c r="P77" s="1118" t="s">
        <v>197</v>
      </c>
      <c r="Q77" s="1123"/>
      <c r="R77" s="474">
        <f>IF(AND($C$2&gt;0,$C$3&gt;0),IF($B$4,$C$3 / ($C$2/100)^2,$C$3 / $C$2^2*703),"Wght / Hght?")</f>
        <v>21.61575084308669</v>
      </c>
      <c r="T77" s="458"/>
      <c r="U77" s="458"/>
      <c r="V77" s="33"/>
      <c r="W77" s="33"/>
    </row>
    <row r="78" spans="2:28" ht="13.5" thickBot="1" x14ac:dyDescent="0.25">
      <c r="B78" s="475" t="s">
        <v>198</v>
      </c>
      <c r="C78" s="476">
        <f>IF($E$3&lt;&gt;"",$E$3*0.9,"")</f>
        <v>180.9</v>
      </c>
      <c r="D78" s="1103" t="b">
        <v>0</v>
      </c>
      <c r="E78" s="1104"/>
      <c r="F78" s="477">
        <v>157</v>
      </c>
      <c r="G78" s="478"/>
      <c r="H78" s="479" t="s">
        <v>199</v>
      </c>
      <c r="I78" s="480">
        <f>+L6</f>
        <v>3.9117357661323827E-3</v>
      </c>
      <c r="J78" s="1103" t="b">
        <v>0</v>
      </c>
      <c r="K78" s="1104"/>
      <c r="L78" s="481">
        <v>0.30208333333333331</v>
      </c>
      <c r="M78" s="1105" t="s">
        <v>200</v>
      </c>
      <c r="N78" s="1106"/>
      <c r="O78" s="1107"/>
      <c r="P78" s="1108" t="str">
        <f>"current age, wght "&amp;ROUND($C$3,1)</f>
        <v>current age, wght 155</v>
      </c>
      <c r="Q78" s="1109"/>
      <c r="R78" s="482">
        <f ca="1">IF(R72="no","-",IF(AND($C$2&gt;0,$C$3&gt;0,$O$85="yes"),MAX($R$75*(C3/MIN(D98,F100))^$I$93,$R$75),"""?"))</f>
        <v>1.027079005252729E-2</v>
      </c>
      <c r="T78" s="458"/>
      <c r="U78" s="458"/>
      <c r="V78" s="33"/>
      <c r="W78" s="33"/>
    </row>
    <row r="79" spans="2:28" ht="13.5" thickBot="1" x14ac:dyDescent="0.25">
      <c r="B79" s="483"/>
      <c r="M79" s="484"/>
      <c r="N79" s="24"/>
      <c r="O79" s="485"/>
      <c r="P79" s="1110" t="s">
        <v>201</v>
      </c>
      <c r="Q79" s="1111"/>
      <c r="R79" s="486">
        <f>IF(AND($C$2&gt;0,$P$80&gt;0),IF($B$4,$P$80 / ($C$2/100)^2,$P$80 / $C$2^2*703),"")</f>
        <v>18.498158078143003</v>
      </c>
      <c r="T79" s="458"/>
      <c r="U79" s="458"/>
      <c r="V79" s="33"/>
      <c r="W79" s="33"/>
    </row>
    <row r="80" spans="2:28" ht="13.5" thickBot="1" x14ac:dyDescent="0.25">
      <c r="B80" s="487"/>
      <c r="C80" s="1044" t="str">
        <f>"Projected Impact of Temperature on "&amp;E6&amp;" Time "&amp;IF($D$85=4,IF($C$4,"- Male","- Female"),"")</f>
        <v xml:space="preserve">Projected Impact of Temperature on 5k Time </v>
      </c>
      <c r="D80" s="1044"/>
      <c r="E80" s="1044"/>
      <c r="F80" s="1044"/>
      <c r="G80" s="1044"/>
      <c r="H80" s="1044"/>
      <c r="I80" s="1044"/>
      <c r="J80" s="1112" t="str">
        <f>IF($D$85=1,HYPERLINK($AE$232,"J.Daniels"),IF($D$85=2,HYPERLINK($AE$236,"M.Hadley"),IF($D$85=3,HYPERLINK($AE$240,"Tinman"),IF($D$85=4,HYPERLINK($AE$244,"El Helou, et al")))))</f>
        <v>J.Daniels</v>
      </c>
      <c r="K80" s="1112"/>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25" thickTop="1" thickBot="1" x14ac:dyDescent="0.25">
      <c r="B81" s="1090" t="str">
        <f>IF($D$85=1,W233,IF($D$85=2,W237,IF($D$85=3,W241,IF($D$85=4,W245))))</f>
        <v>Temperature  °F</v>
      </c>
      <c r="C81" s="109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1" t="s">
        <v>202</v>
      </c>
      <c r="N81" s="1042"/>
      <c r="O81" s="1086"/>
      <c r="P81" s="162"/>
      <c r="R81" s="492"/>
      <c r="T81" s="458"/>
      <c r="U81" s="458"/>
      <c r="V81" s="33"/>
      <c r="W81" s="33"/>
    </row>
    <row r="82" spans="2:23" ht="14.25" thickTop="1" thickBot="1" x14ac:dyDescent="0.25">
      <c r="B82" s="1092" t="s">
        <v>203</v>
      </c>
      <c r="C82" s="1093"/>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94" t="s">
        <v>204</v>
      </c>
      <c r="N82" s="1095"/>
      <c r="O82" s="495">
        <v>25</v>
      </c>
      <c r="P82" s="935" t="s">
        <v>205</v>
      </c>
      <c r="Q82" s="936"/>
      <c r="R82" s="938"/>
    </row>
    <row r="83" spans="2:23" ht="13.5" thickTop="1" x14ac:dyDescent="0.2">
      <c r="B83" s="1096" t="str">
        <f>IF($L$80,"Adj Pace / km","Adj Pace / mile")</f>
        <v>Adj Pace / mile</v>
      </c>
      <c r="C83" s="1097"/>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98" t="s">
        <v>206</v>
      </c>
      <c r="N83" s="1099"/>
      <c r="O83" s="499">
        <f ca="1">ABS(IF($O$85="yes",$O$74-$O$84,0))</f>
        <v>1.1336651234568687E-5</v>
      </c>
      <c r="P83" s="1100" t="s">
        <v>207</v>
      </c>
      <c r="Q83" s="1101"/>
      <c r="R83" s="1102"/>
      <c r="T83" s="500"/>
    </row>
    <row r="84" spans="2:23" ht="13.5" thickBot="1" x14ac:dyDescent="0.25">
      <c r="B84" s="1077" t="str">
        <f>IF($L$80,"Drop in Seconds / km","Drop in Seconds / mile")</f>
        <v>Drop in Seconds / mile</v>
      </c>
      <c r="C84" s="1078"/>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79" t="str">
        <f>IF(M100,"Age Grade Equivalent","No Age Grading")</f>
        <v>Age Grade Equivalent</v>
      </c>
      <c r="N84" s="1080"/>
      <c r="O84" s="503">
        <f ca="1">IF(AND($O$85="yes",$M$100),($O$74*LOOKUP($E$5,$AD$135:$AD$230,IF($C$4,$AE$135:$AE$230,$AF$135:$AF$230))/LOOKUP($O$82,$AD$135:$AD$230,IF($Q$49,$AE$135:$AE$230,$AF$135:$AF$230))),O74)</f>
        <v>1.1250237422839506E-2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81" t="s">
        <v>209</v>
      </c>
      <c r="N85" s="108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83">
        <f>ROUND((-4.6 + 0.182258 * ((P85*IF(R86,1000,1))/Q85/1440*(IF(R86,1,1609.344))) + 0.000104 *((P85*IF(R86,1000,1))/Q85/1440*(IF(R86,1,1609.344)))^2)/R85,1)</f>
        <v>83.3</v>
      </c>
      <c r="Q86" s="1084"/>
      <c r="R86" s="520" t="b">
        <v>0</v>
      </c>
    </row>
    <row r="87" spans="2:23" ht="14.25" thickTop="1" thickBot="1" x14ac:dyDescent="0.25">
      <c r="B87" s="977" t="str">
        <f>"Projected Impact of Weight Change on "&amp;$E$6&amp;" Time (Daniels)"</f>
        <v>Projected Impact of Weight Change on 5k Time (Daniels)</v>
      </c>
      <c r="C87" s="978"/>
      <c r="D87" s="978"/>
      <c r="E87" s="978"/>
      <c r="F87" s="978"/>
      <c r="G87" s="978"/>
      <c r="H87" s="978"/>
      <c r="I87" s="978"/>
      <c r="J87" s="978"/>
      <c r="K87" s="978"/>
      <c r="L87" s="1085"/>
      <c r="M87" s="1041" t="s">
        <v>210</v>
      </c>
      <c r="N87" s="1042"/>
      <c r="O87" s="1086"/>
      <c r="P87" s="1087" t="s">
        <v>211</v>
      </c>
      <c r="Q87" s="1088"/>
      <c r="R87" s="1089"/>
    </row>
    <row r="88" spans="2:23" ht="13.5" thickBot="1" x14ac:dyDescent="0.25">
      <c r="B88" s="1062" t="str">
        <f>IF($C$4,"Male","Female")</f>
        <v>Male</v>
      </c>
      <c r="C88" s="1063"/>
      <c r="D88" s="521" t="s">
        <v>212</v>
      </c>
      <c r="E88" s="522">
        <f ca="1">$E$5</f>
        <v>31</v>
      </c>
      <c r="F88" s="1064" t="str">
        <f>IF($B$4,"Height (cm):","Height (in):")</f>
        <v>Height (in):</v>
      </c>
      <c r="G88" s="1065" t="str">
        <f>IF($B$4,"Height (cm):","Height (in):")</f>
        <v>Height (in):</v>
      </c>
      <c r="H88" s="523">
        <f>$C$2</f>
        <v>71</v>
      </c>
      <c r="I88" s="1066" t="str">
        <f>"Weight"&amp;IF($B$4," (kg):"," (lb):")</f>
        <v>Weight (lb):</v>
      </c>
      <c r="J88" s="1067" t="str">
        <f>"Weight"&amp;IF($B$4," (kg):"," (lb):")</f>
        <v>Weight (lb):</v>
      </c>
      <c r="K88" s="523">
        <f>$C$3</f>
        <v>155</v>
      </c>
      <c r="L88" s="524" t="b">
        <v>0</v>
      </c>
      <c r="M88" s="1068">
        <f>IF($C$3&gt;0,$C$3,"Current Weight?")</f>
        <v>155</v>
      </c>
      <c r="N88" s="1069"/>
      <c r="O88" s="1070">
        <f ca="1">IF(AND($N$89&gt;0,$N$90&gt;0,$N$90&lt;&gt;"",$M$101),ABS($O$84-$O$91),0)</f>
        <v>1.3642748671921362E-3</v>
      </c>
      <c r="P88" s="1026" t="s">
        <v>213</v>
      </c>
      <c r="Q88" s="1027"/>
      <c r="R88" s="1028"/>
    </row>
    <row r="89" spans="2:23" ht="14.25" thickTop="1" thickBot="1" x14ac:dyDescent="0.25">
      <c r="B89" s="1073" t="str">
        <f>"Projected Weight "&amp;IF(B4,"(kg)","(lb)")</f>
        <v>Projected Weight (lb)</v>
      </c>
      <c r="C89" s="1074"/>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071"/>
      <c r="P89" s="531" t="s">
        <v>215</v>
      </c>
      <c r="Q89" s="505" t="s">
        <v>99</v>
      </c>
      <c r="R89" s="532" t="s">
        <v>101</v>
      </c>
    </row>
    <row r="90" spans="2:23" ht="13.5" thickBot="1" x14ac:dyDescent="0.25">
      <c r="B90" s="1075" t="s">
        <v>216</v>
      </c>
      <c r="C90" s="1076"/>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072"/>
      <c r="P90" s="512">
        <v>26.218800000000002</v>
      </c>
      <c r="Q90" s="513">
        <v>0.17318287037037036</v>
      </c>
      <c r="R90" s="540">
        <f>Q90/P90</f>
        <v>6.6052935439596915E-3</v>
      </c>
    </row>
    <row r="91" spans="2:23" ht="13.5" thickBot="1" x14ac:dyDescent="0.25">
      <c r="B91" s="1049" t="s">
        <v>217</v>
      </c>
      <c r="C91" s="1050"/>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51" t="str">
        <f>IF(M101,"Weight Adjusted Time","No Weight Grading")</f>
        <v>Weight Adjusted Time</v>
      </c>
      <c r="N91" s="1052"/>
      <c r="O91" s="545">
        <f ca="1">IF(AND($N$89&gt;0,$N$90&gt;0,$N$90&lt;&gt;"",$M$101),$O$84*(IF(N89&gt;=MIN(D98,F100,C3),$N$89,MIN(F100,D98,C3))/C3)^$I$93,O84)</f>
        <v>9.88596255564737E-3</v>
      </c>
      <c r="P91" s="546" t="s">
        <v>218</v>
      </c>
      <c r="Q91" s="547" t="s">
        <v>99</v>
      </c>
      <c r="R91" s="548" t="s">
        <v>101</v>
      </c>
    </row>
    <row r="92" spans="2:23" ht="13.5" thickBot="1" x14ac:dyDescent="0.25">
      <c r="B92" s="1053" t="str">
        <f>IF($L$88,"Est Pace / km","Est Pace / mile")</f>
        <v>Est Pace / mile</v>
      </c>
      <c r="C92" s="1054"/>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5" thickBot="1" x14ac:dyDescent="0.25">
      <c r="B93" s="1055" t="s">
        <v>219</v>
      </c>
      <c r="C93" s="1056"/>
      <c r="D93" s="1056"/>
      <c r="E93" s="1056"/>
      <c r="F93" s="1057"/>
      <c r="G93" s="1058"/>
      <c r="H93" s="559" t="s">
        <v>220</v>
      </c>
      <c r="I93" s="560">
        <v>0.83</v>
      </c>
      <c r="J93" s="1059" t="s">
        <v>221</v>
      </c>
      <c r="K93" s="1059"/>
      <c r="L93" s="561">
        <v>4.4999999999999998E-2</v>
      </c>
      <c r="M93" s="562"/>
      <c r="N93" s="1060" t="s">
        <v>222</v>
      </c>
      <c r="O93" s="1061"/>
      <c r="P93" s="1026" t="s">
        <v>223</v>
      </c>
      <c r="Q93" s="1027"/>
      <c r="R93" s="1028"/>
    </row>
    <row r="94" spans="2:23" ht="14.25" thickTop="1" thickBot="1" x14ac:dyDescent="0.25">
      <c r="B94" s="483"/>
      <c r="C94" s="1040" t="s">
        <v>224</v>
      </c>
      <c r="D94" s="1040"/>
      <c r="E94" s="1040"/>
      <c r="F94" s="1040"/>
      <c r="G94" s="1040"/>
      <c r="H94" s="1040"/>
      <c r="I94" s="1040"/>
      <c r="J94" s="1040"/>
      <c r="K94" s="1040"/>
      <c r="M94" s="1041" t="str">
        <f>IF($D$85=1,W233,IF($D$85=2,W237,IF($D$85=3,W241,IF($D$85=4,W245))))</f>
        <v>Temperature  °F</v>
      </c>
      <c r="N94" s="1042"/>
      <c r="O94" s="563"/>
      <c r="P94" s="531" t="s">
        <v>215</v>
      </c>
      <c r="Q94" s="505" t="s">
        <v>225</v>
      </c>
      <c r="R94" s="532" t="s">
        <v>99</v>
      </c>
    </row>
    <row r="95" spans="2:23" ht="13.5" thickBot="1" x14ac:dyDescent="0.25">
      <c r="B95" s="1043" t="s">
        <v>226</v>
      </c>
      <c r="C95" s="1044"/>
      <c r="D95" s="1044"/>
      <c r="E95" s="1044"/>
      <c r="F95" s="1044"/>
      <c r="G95" s="564" t="str">
        <f>IF($C$4,"Male","Female")</f>
        <v>Male</v>
      </c>
      <c r="H95" s="565" t="str">
        <f ca="1">IF(ISNUMBER($E$5),"Age  "&amp;$E$5,"Birthdate?")</f>
        <v>Age  31</v>
      </c>
      <c r="I95" s="565" t="str">
        <f>"Hgt  "&amp;$C$2</f>
        <v>Hgt  71</v>
      </c>
      <c r="J95" s="566" t="str">
        <f>"Wgt  "&amp;$C$3</f>
        <v>Wgt  155</v>
      </c>
      <c r="K95" s="1045" t="str">
        <f>IF(AND(C2&gt;0,C3&gt;0),"Current BMI = " &amp;ROUND(IF($B$4,$C$3 / ($C$2/100)^2,$C$3 / $C$2^2*703),2),"Wght / Hght?")</f>
        <v>Current BMI = 21.62</v>
      </c>
      <c r="L95" s="1046"/>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47" t="str">
        <f>IF(M102,"Temp Adjusted Time","No Temp Grading")</f>
        <v>Temp Adjusted Time</v>
      </c>
      <c r="N96" s="1048"/>
      <c r="O96" s="545">
        <f ca="1">IF($M$97,$O$91+$O$95,$O$91-$O$95)</f>
        <v>1.0206333681820591E-2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26" t="s">
        <v>233</v>
      </c>
      <c r="Q98" s="1027"/>
      <c r="R98" s="1028"/>
    </row>
    <row r="99" spans="2:21" ht="14.25" thickTop="1" thickBot="1" x14ac:dyDescent="0.25">
      <c r="B99" s="1029" t="s">
        <v>234</v>
      </c>
      <c r="C99" s="1030"/>
      <c r="D99" s="1030"/>
      <c r="E99" s="1030"/>
      <c r="F99" s="591"/>
      <c r="G99" s="1031" t="s">
        <v>235</v>
      </c>
      <c r="H99" s="1032"/>
      <c r="I99" s="1033" t="s">
        <v>236</v>
      </c>
      <c r="J99" s="1032"/>
      <c r="K99" s="1033" t="s">
        <v>237</v>
      </c>
      <c r="L99" s="1034"/>
      <c r="M99" s="1035" t="s">
        <v>238</v>
      </c>
      <c r="N99" s="1036"/>
      <c r="O99" s="1037"/>
      <c r="P99" s="531" t="s">
        <v>62</v>
      </c>
      <c r="Q99" s="1038" t="s">
        <v>239</v>
      </c>
      <c r="R99" s="1039"/>
      <c r="U99" s="592"/>
    </row>
    <row r="100" spans="2:21" ht="13.5" thickBot="1" x14ac:dyDescent="0.25">
      <c r="B100" s="119"/>
      <c r="C100" s="593"/>
      <c r="D100" s="593"/>
      <c r="E100" s="593"/>
      <c r="F100" s="594">
        <v>144.92499999999998</v>
      </c>
      <c r="G100" s="1003" t="s">
        <v>240</v>
      </c>
      <c r="H100" s="1004"/>
      <c r="I100" s="1005" t="s">
        <v>241</v>
      </c>
      <c r="J100" s="1006"/>
      <c r="K100" s="1005" t="s">
        <v>242</v>
      </c>
      <c r="L100" s="1007"/>
      <c r="M100" s="1008" t="b">
        <v>1</v>
      </c>
      <c r="N100" s="1009" t="b">
        <v>1</v>
      </c>
      <c r="O100" s="569">
        <f ca="1">$O$83</f>
        <v>1.1336651234568687E-5</v>
      </c>
      <c r="P100" s="595">
        <v>0.7</v>
      </c>
      <c r="Q100" s="1010">
        <f>IF($C$8=4,(P100/(1+$C$9)-0.37182)/0.6463,IF($C$8=3,1.303*P100/(1+$C$9)-0.345,IF($C$8=2,1.3*P100/(1+$C$9)-0.293,(P100/(1+$C$9)-0.1578)/0.855)))</f>
        <v>0.6341520467836258</v>
      </c>
      <c r="R100" s="1011"/>
    </row>
    <row r="101" spans="2:21" x14ac:dyDescent="0.2">
      <c r="B101" s="1012" t="str">
        <f>"Based on a height of "&amp;IF($B$4,ROUND($C$2,3)&amp;" cm",INT($C$2/12)&amp;" ft "&amp;ROUND((($C$2/12)-INT($C$2/12))*12,1)&amp;" in")</f>
        <v>Based on a height of 5 ft 11 in</v>
      </c>
      <c r="C101" s="1013"/>
      <c r="D101" s="1014"/>
      <c r="E101" s="1015" t="str">
        <f>"Male       "&amp;IF(B4,"(kg)    ","(lb)    ")</f>
        <v xml:space="preserve">Male       (lb)    </v>
      </c>
      <c r="F101" s="1016"/>
      <c r="G101" s="1017">
        <f>IF($B$4,49.8952+(MAX($C$2,152.4)-152.4)/2.54*2.49476,110+(MAX($C$2,60)-60)*5.5)</f>
        <v>170.5</v>
      </c>
      <c r="H101" s="1018"/>
      <c r="I101" s="1019">
        <f>G101*0.88</f>
        <v>150.04</v>
      </c>
      <c r="J101" s="1020"/>
      <c r="K101" s="1019">
        <f>G101*0.85</f>
        <v>144.92499999999998</v>
      </c>
      <c r="L101" s="1021"/>
      <c r="M101" s="1022" t="b">
        <v>1</v>
      </c>
      <c r="N101" s="1023" t="b">
        <v>1</v>
      </c>
      <c r="O101" s="569">
        <f ca="1">$O$88</f>
        <v>1.3642748671921362E-3</v>
      </c>
      <c r="P101" s="546" t="s">
        <v>243</v>
      </c>
      <c r="Q101" s="1024" t="s">
        <v>239</v>
      </c>
      <c r="R101" s="1025"/>
      <c r="U101" s="592"/>
    </row>
    <row r="102" spans="2:21" ht="13.5" thickBot="1" x14ac:dyDescent="0.25">
      <c r="B102" s="985" t="str">
        <f>IF($B$4,"(Minimum height is 152.4 cm)","(Minimum height is 5 ft, 0 inches)")</f>
        <v>(Minimum height is 5 ft, 0 inches)</v>
      </c>
      <c r="C102" s="986"/>
      <c r="D102" s="987"/>
      <c r="E102" s="988" t="str">
        <f>"Female     "&amp;IF(B4,"(kg)    ","(lb)    ")</f>
        <v xml:space="preserve">Female     (lb)    </v>
      </c>
      <c r="F102" s="989"/>
      <c r="G102" s="990">
        <f>IF($B$4,45.3592+(MAX($C$2,152.4)-152.4)/2.54*2.26796,100+(MAX($C$2,60)-60)*5)</f>
        <v>155</v>
      </c>
      <c r="H102" s="991"/>
      <c r="I102" s="991">
        <f>G102*0.88</f>
        <v>136.4</v>
      </c>
      <c r="J102" s="991"/>
      <c r="K102" s="991">
        <f>G102*0.85</f>
        <v>131.75</v>
      </c>
      <c r="L102" s="992"/>
      <c r="M102" s="993" t="b">
        <v>1</v>
      </c>
      <c r="N102" s="994" t="b">
        <v>1</v>
      </c>
      <c r="O102" s="569">
        <f ca="1">$O$95</f>
        <v>3.2037112617322108E-4</v>
      </c>
      <c r="P102" s="596">
        <v>0.57499999999999996</v>
      </c>
      <c r="Q102" s="995">
        <f>IF($C$8=4,((P102/$E$3*($E$3-$E$4)+E$4/$E$3)/(1+$C$9)-0.37182)/0.6463,IF($C$8=3,1.303*(P102/$E$3*($E$3-$E$4)+E$4/$E$3)/(1+$C$9) - 0.345,IF($C$8=2,(1.3*(P102/$E$3*($E$3-$E$4)+E$4/$E$3)/(1+$C$9)-0.293),((P102/$E$3*($E$3-$E$4)+E$4/$E$3)/(1+$C$9)-0.1578)/0.855)))</f>
        <v>0.62149602862878595</v>
      </c>
      <c r="R102" s="996"/>
    </row>
    <row r="103" spans="2:21" ht="13.5" thickBot="1" x14ac:dyDescent="0.25">
      <c r="B103" s="483"/>
      <c r="I103" s="597"/>
      <c r="J103" s="597"/>
      <c r="M103" s="972" t="s">
        <v>244</v>
      </c>
      <c r="N103" s="973"/>
      <c r="O103" s="598">
        <f ca="1">$O$74+IF(O84&lt;O74,-$O$100,$O$100)+IF($N$89&lt;$M$88,-$O$101,$O$101)+IF($M$97,$O$102,-$O$102)</f>
        <v>1.0206333681820591E-2</v>
      </c>
      <c r="P103" s="974" t="str">
        <f>"HR Profile "&amp;IF(AND(C8&gt;=1,C8&lt;=4),C8,1)</f>
        <v>HR Profile 1</v>
      </c>
      <c r="Q103" s="975"/>
      <c r="R103" s="976"/>
    </row>
    <row r="104" spans="2:21" ht="13.5" thickBot="1" x14ac:dyDescent="0.25">
      <c r="B104" s="977" t="s">
        <v>245</v>
      </c>
      <c r="C104" s="978"/>
      <c r="D104" s="978"/>
      <c r="E104" s="978"/>
      <c r="F104" s="599" t="str">
        <f>E6</f>
        <v>5k</v>
      </c>
      <c r="G104" s="979">
        <f>$F$8</f>
        <v>5000</v>
      </c>
      <c r="H104" s="979"/>
      <c r="I104" s="980">
        <f>$G$6*1440</f>
        <v>16.216666666666669</v>
      </c>
      <c r="J104" s="980"/>
      <c r="K104" s="981">
        <f>G104/I104</f>
        <v>308.3247687564234</v>
      </c>
      <c r="L104" s="982"/>
      <c r="M104" s="983" t="str">
        <f>E6&amp;IF($L$80," Pace / km"," Pace / mile")</f>
        <v>5k Pace / mile</v>
      </c>
      <c r="N104" s="984"/>
      <c r="O104" s="600">
        <f ca="1">O103/IF(L80,F8/1000,D8)</f>
        <v>3.2851003745671755E-3</v>
      </c>
      <c r="P104" s="929" t="s">
        <v>246</v>
      </c>
      <c r="Q104" s="930"/>
      <c r="R104" s="931"/>
    </row>
    <row r="105" spans="2:21" ht="14.25" thickTop="1" thickBot="1" x14ac:dyDescent="0.25">
      <c r="B105" s="601" t="b">
        <v>0</v>
      </c>
      <c r="C105" s="602"/>
      <c r="D105" s="603"/>
      <c r="E105" s="604"/>
      <c r="F105" s="463" t="s">
        <v>123</v>
      </c>
      <c r="G105" s="463" t="s">
        <v>99</v>
      </c>
      <c r="H105" s="463" t="s">
        <v>101</v>
      </c>
      <c r="I105" s="463" t="s">
        <v>247</v>
      </c>
      <c r="J105" s="463" t="s">
        <v>122</v>
      </c>
      <c r="K105" s="997" t="s">
        <v>248</v>
      </c>
      <c r="L105" s="998"/>
      <c r="M105" s="999" t="str">
        <f>IF($L$80,"Change in Pace / Km","Change in Pace / Mile")</f>
        <v>Change in Pace / Mile</v>
      </c>
      <c r="N105" s="1000"/>
      <c r="O105" s="605">
        <f ca="1">ABS((O76-O104))</f>
        <v>3.3964895876615817E-4</v>
      </c>
      <c r="P105" s="606">
        <v>3.1</v>
      </c>
      <c r="Q105" s="1001">
        <f>P105*1.609344</f>
        <v>4.9889664000000007</v>
      </c>
      <c r="R105" s="1002"/>
    </row>
    <row r="106" spans="2:21" x14ac:dyDescent="0.2">
      <c r="B106" s="962" t="str">
        <f>"Entry Weight &amp; VDOT"</f>
        <v>Entry Weight &amp; VDOT</v>
      </c>
      <c r="C106" s="963"/>
      <c r="D106" s="964"/>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965">
        <f>P106/1.609344/60</f>
        <v>4.3150777238703747E-3</v>
      </c>
      <c r="R106" s="966"/>
    </row>
    <row r="107" spans="2:21" ht="13.5" thickBot="1" x14ac:dyDescent="0.25">
      <c r="B107" s="967" t="s">
        <v>249</v>
      </c>
      <c r="C107" s="968"/>
      <c r="D107" s="969"/>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970">
        <f>P107*0.45359237</f>
        <v>58.967008100000001</v>
      </c>
      <c r="R107" s="971"/>
    </row>
    <row r="108" spans="2:21" ht="13.5" thickBot="1" x14ac:dyDescent="0.25">
      <c r="B108" s="627" t="s">
        <v>74</v>
      </c>
      <c r="C108" s="952" t="s">
        <v>250</v>
      </c>
      <c r="D108" s="95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54">
        <f>P108*2.54</f>
        <v>187.96</v>
      </c>
      <c r="R108" s="955"/>
    </row>
    <row r="109" spans="2:21" ht="13.5" thickBot="1" x14ac:dyDescent="0.25">
      <c r="B109" s="636" t="s">
        <v>76</v>
      </c>
      <c r="C109" s="956" t="s">
        <v>251</v>
      </c>
      <c r="D109" s="95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9" t="s">
        <v>252</v>
      </c>
      <c r="Q109" s="930"/>
      <c r="R109" s="931"/>
    </row>
    <row r="110" spans="2:21" ht="13.5" thickBot="1" x14ac:dyDescent="0.25">
      <c r="B110" s="644" t="b">
        <v>1</v>
      </c>
      <c r="C110" s="958" t="str">
        <f>"Elite "&amp;E6</f>
        <v>Elite 5k</v>
      </c>
      <c r="D110" s="959"/>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960">
        <f>P110*0.621371192</f>
        <v>0.80778254960000007</v>
      </c>
      <c r="R110" s="961"/>
    </row>
    <row r="111" spans="2:21" ht="14.25" thickTop="1" thickBot="1" x14ac:dyDescent="0.25">
      <c r="B111" s="654"/>
      <c r="C111" s="655"/>
      <c r="D111" s="655"/>
      <c r="E111" s="656"/>
      <c r="F111" s="657"/>
      <c r="G111" s="658"/>
      <c r="H111" s="659"/>
      <c r="I111" s="660"/>
      <c r="J111" s="661"/>
      <c r="K111" s="659"/>
      <c r="L111" s="662"/>
      <c r="O111" s="625"/>
      <c r="P111" s="663">
        <v>0.2590277777777778</v>
      </c>
      <c r="Q111" s="941">
        <f>P111/0.62137117223/60</f>
        <v>6.947746890374965E-3</v>
      </c>
      <c r="R111" s="942"/>
    </row>
    <row r="112" spans="2:21" ht="13.5" thickBot="1" x14ac:dyDescent="0.25">
      <c r="B112" s="664"/>
      <c r="C112" s="943" t="s">
        <v>253</v>
      </c>
      <c r="D112" s="943"/>
      <c r="E112" s="943"/>
      <c r="F112" s="943"/>
      <c r="G112" s="943"/>
      <c r="H112" s="943"/>
      <c r="I112" s="944" t="s">
        <v>254</v>
      </c>
      <c r="J112" s="944"/>
      <c r="K112" s="944"/>
      <c r="L112" s="665"/>
      <c r="N112" s="625"/>
      <c r="O112" s="625"/>
      <c r="P112" s="666">
        <v>62</v>
      </c>
      <c r="Q112" s="945">
        <f>P112*2.20462262</f>
        <v>136.68660244</v>
      </c>
      <c r="R112" s="946"/>
    </row>
    <row r="113" spans="2:34" ht="13.5" thickBot="1" x14ac:dyDescent="0.25">
      <c r="B113" s="667" t="s">
        <v>53</v>
      </c>
      <c r="C113" s="668">
        <v>201</v>
      </c>
      <c r="D113" s="669" t="s">
        <v>255</v>
      </c>
      <c r="E113" s="668">
        <v>53</v>
      </c>
      <c r="F113" s="669" t="s">
        <v>256</v>
      </c>
      <c r="G113" s="668">
        <v>155</v>
      </c>
      <c r="H113" s="670" t="s">
        <v>17</v>
      </c>
      <c r="I113" s="671">
        <v>0.31597222222222221</v>
      </c>
      <c r="J113" s="947" t="str">
        <f>"vVO2max  =  "&amp;TEXT(I113*(G113-E113)/(C113-E113),"h:mm")</f>
        <v>vVO2max  =  5:13</v>
      </c>
      <c r="K113" s="948"/>
      <c r="L113" s="949"/>
      <c r="N113" s="625"/>
      <c r="O113" s="625"/>
      <c r="P113" s="672">
        <v>188</v>
      </c>
      <c r="Q113" s="950">
        <f>P113*0.393700787</f>
        <v>74.015747955999998</v>
      </c>
      <c r="R113" s="951"/>
    </row>
    <row r="114" spans="2:34" ht="13.5" thickBot="1" x14ac:dyDescent="0.25">
      <c r="B114" s="673"/>
      <c r="C114" s="674"/>
      <c r="D114" s="674"/>
      <c r="E114" s="674"/>
      <c r="F114" s="674"/>
      <c r="G114" s="674"/>
      <c r="H114" s="674"/>
      <c r="I114" s="674"/>
      <c r="J114" s="674"/>
      <c r="K114" s="674"/>
      <c r="L114" s="675"/>
      <c r="N114" s="625"/>
      <c r="O114" s="625"/>
      <c r="P114" s="934" t="s">
        <v>257</v>
      </c>
      <c r="Q114" s="930"/>
      <c r="R114" s="931"/>
    </row>
    <row r="115" spans="2:34" ht="14.25" thickTop="1" thickBot="1" x14ac:dyDescent="0.25">
      <c r="B115" s="935" t="s">
        <v>258</v>
      </c>
      <c r="C115" s="936"/>
      <c r="D115" s="936"/>
      <c r="E115" s="936"/>
      <c r="F115" s="936"/>
      <c r="G115" s="936"/>
      <c r="H115" s="936"/>
      <c r="I115" s="936"/>
      <c r="J115" s="936"/>
      <c r="K115" s="937"/>
      <c r="L115" s="938"/>
      <c r="N115" s="625"/>
      <c r="O115" s="625"/>
      <c r="P115" s="616">
        <v>0.41666666666666669</v>
      </c>
      <c r="Q115" s="676">
        <f>P115*1440</f>
        <v>600</v>
      </c>
      <c r="R115" s="677">
        <f>60/P115/24</f>
        <v>6</v>
      </c>
    </row>
    <row r="116" spans="2:34" ht="13.5" thickBot="1" x14ac:dyDescent="0.25">
      <c r="B116" s="939" t="s">
        <v>158</v>
      </c>
      <c r="C116" s="94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25" t="s">
        <v>267</v>
      </c>
      <c r="C117" s="92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27" t="s">
        <v>269</v>
      </c>
      <c r="C118" s="92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17" t="s">
        <v>272</v>
      </c>
      <c r="C119" s="93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25" t="s">
        <v>274</v>
      </c>
      <c r="C120" s="92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27" t="s">
        <v>277</v>
      </c>
      <c r="C121" s="928"/>
      <c r="D121" s="714" t="s">
        <v>278</v>
      </c>
      <c r="E121" s="695"/>
      <c r="F121" s="695"/>
      <c r="G121" s="695">
        <v>2.6</v>
      </c>
      <c r="H121" s="695"/>
      <c r="I121" s="695"/>
      <c r="J121" s="695"/>
      <c r="K121" s="696"/>
      <c r="L121" s="697">
        <f>IF(SUM(E121:K121)&gt;0,SUM(E121:K121)/L126,"---")</f>
        <v>6.9892473118279563E-2</v>
      </c>
      <c r="M121" s="698" t="s">
        <v>279</v>
      </c>
      <c r="P121" s="929" t="s">
        <v>280</v>
      </c>
      <c r="Q121" s="930"/>
      <c r="R121" s="931"/>
    </row>
    <row r="122" spans="2:34" ht="13.5" thickBot="1" x14ac:dyDescent="0.25">
      <c r="B122" s="917" t="s">
        <v>281</v>
      </c>
      <c r="C122" s="93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25" t="s">
        <v>282</v>
      </c>
      <c r="C123" s="92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17" t="s">
        <v>285</v>
      </c>
      <c r="C124" s="93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17" t="s">
        <v>287</v>
      </c>
      <c r="C125" s="91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9" t="s">
        <v>290</v>
      </c>
      <c r="X131" s="920"/>
      <c r="Y131" s="920"/>
      <c r="Z131" s="920"/>
      <c r="AA131" s="920"/>
      <c r="AB131" s="920"/>
      <c r="AC131" s="920"/>
      <c r="AD131" s="920"/>
      <c r="AE131" s="920"/>
      <c r="AF131" s="920"/>
      <c r="AG131" s="92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22" t="s">
        <v>291</v>
      </c>
      <c r="AE133" s="923"/>
      <c r="AF133" s="92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902" t="s">
        <v>299</v>
      </c>
      <c r="X216" s="902"/>
      <c r="Y216" s="902"/>
      <c r="Z216" s="902"/>
      <c r="AA216" s="902"/>
      <c r="AB216" s="90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10" t="s">
        <v>300</v>
      </c>
      <c r="X232" s="911"/>
      <c r="Y232" s="912"/>
      <c r="Z232" s="910" t="str">
        <f>"Projected Impact of Temperature on "&amp;$E$6&amp;" Time"</f>
        <v>Projected Impact of Temperature on 5k Time</v>
      </c>
      <c r="AA232" s="911"/>
      <c r="AB232" s="911"/>
      <c r="AC232" s="911"/>
      <c r="AD232" s="911"/>
      <c r="AE232" s="915" t="s">
        <v>301</v>
      </c>
      <c r="AF232" s="916"/>
      <c r="AG232" s="795" t="b">
        <v>0</v>
      </c>
    </row>
    <row r="233" spans="17:33" ht="13.5" thickBot="1" x14ac:dyDescent="0.25">
      <c r="W233" s="903" t="str">
        <f>"Temperature  °"&amp;IF($L$80,"C","F")</f>
        <v>Temperature  °F</v>
      </c>
      <c r="X233" s="90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905" t="s">
        <v>203</v>
      </c>
      <c r="X234" s="906"/>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5" thickBot="1" x14ac:dyDescent="0.25">
      <c r="W235" s="33"/>
    </row>
    <row r="236" spans="17:33" ht="13.5" thickBot="1" x14ac:dyDescent="0.25">
      <c r="W236" s="910" t="s">
        <v>302</v>
      </c>
      <c r="X236" s="911"/>
      <c r="Y236" s="912"/>
      <c r="Z236" s="910" t="str">
        <f>"Projected Impact of Temperature on "&amp;$E$6&amp;" Time"</f>
        <v>Projected Impact of Temperature on 5k Time</v>
      </c>
      <c r="AA236" s="911"/>
      <c r="AB236" s="911"/>
      <c r="AC236" s="911"/>
      <c r="AD236" s="911"/>
      <c r="AE236" s="915" t="s">
        <v>303</v>
      </c>
      <c r="AF236" s="916"/>
      <c r="AG236" s="795" t="b">
        <v>0</v>
      </c>
    </row>
    <row r="237" spans="17:33" ht="13.5" thickBot="1" x14ac:dyDescent="0.25">
      <c r="W237" s="903" t="str">
        <f>"Temp + Dew Point  °"&amp;IF($L$80,"C","F")</f>
        <v>Temp + Dew Point  °F</v>
      </c>
      <c r="X237" s="90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905" t="s">
        <v>203</v>
      </c>
      <c r="X238" s="906"/>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5" thickBot="1" x14ac:dyDescent="0.25"/>
    <row r="240" spans="17:33" ht="13.5" thickBot="1" x14ac:dyDescent="0.25">
      <c r="W240" s="910" t="s">
        <v>304</v>
      </c>
      <c r="X240" s="911"/>
      <c r="Y240" s="912"/>
      <c r="Z240" s="910" t="str">
        <f>"Projected Impact of Temperature on "&amp;$E$6&amp;" Time"</f>
        <v>Projected Impact of Temperature on 5k Time</v>
      </c>
      <c r="AA240" s="911"/>
      <c r="AB240" s="911"/>
      <c r="AC240" s="911"/>
      <c r="AD240" s="911"/>
      <c r="AE240" s="915" t="s">
        <v>305</v>
      </c>
      <c r="AF240" s="916"/>
      <c r="AG240" s="795" t="b">
        <v>0</v>
      </c>
    </row>
    <row r="241" spans="23:33" ht="13.5" thickBot="1" x14ac:dyDescent="0.25">
      <c r="W241" s="903" t="str">
        <f>"Heat Index  °"&amp;IF($L$80,"C","F")</f>
        <v>Heat Index  °F</v>
      </c>
      <c r="X241" s="90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905" t="s">
        <v>203</v>
      </c>
      <c r="X242" s="906"/>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5" thickBot="1" x14ac:dyDescent="0.25"/>
    <row r="244" spans="23:33" ht="13.5" thickBot="1" x14ac:dyDescent="0.25">
      <c r="W244" s="910" t="s">
        <v>306</v>
      </c>
      <c r="X244" s="911"/>
      <c r="Y244" s="912"/>
      <c r="Z244" s="910" t="str">
        <f>"Projected Impact of Temperature on "&amp;$E$6&amp;" Time"</f>
        <v>Projected Impact of Temperature on 5k Time</v>
      </c>
      <c r="AA244" s="911"/>
      <c r="AB244" s="911"/>
      <c r="AC244" s="911"/>
      <c r="AD244" s="911"/>
      <c r="AE244" s="913" t="s">
        <v>307</v>
      </c>
      <c r="AF244" s="914"/>
      <c r="AG244" s="795" t="b">
        <v>0</v>
      </c>
    </row>
    <row r="245" spans="23:33" ht="13.5" thickBot="1" x14ac:dyDescent="0.25">
      <c r="W245" s="903" t="str">
        <f>"Temperature  °"&amp;IF($L$80,"C","F")</f>
        <v>Temperature  °F</v>
      </c>
      <c r="X245" s="90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905" t="s">
        <v>203</v>
      </c>
      <c r="X246" s="906"/>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5" thickBot="1" x14ac:dyDescent="0.25"/>
    <row r="248" spans="23:33" ht="13.5" thickBot="1" x14ac:dyDescent="0.25">
      <c r="W248" s="910" t="s">
        <v>308</v>
      </c>
      <c r="X248" s="911"/>
      <c r="Y248" s="912"/>
      <c r="Z248" s="910" t="str">
        <f>"Projected Impact of Temperature on "&amp;$E$6&amp;" Time"</f>
        <v>Projected Impact of Temperature on 5k Time</v>
      </c>
      <c r="AA248" s="911"/>
      <c r="AB248" s="911"/>
      <c r="AC248" s="911"/>
      <c r="AD248" s="911"/>
      <c r="AE248" s="913" t="s">
        <v>307</v>
      </c>
      <c r="AF248" s="914"/>
      <c r="AG248" s="795" t="b">
        <v>0</v>
      </c>
    </row>
    <row r="249" spans="23:33" ht="13.5" thickBot="1" x14ac:dyDescent="0.25">
      <c r="W249" s="903" t="str">
        <f>"Temperature  °"&amp;IF($L$80,"C","F")</f>
        <v>Temperature  °F</v>
      </c>
      <c r="X249" s="90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905" t="s">
        <v>203</v>
      </c>
      <c r="X250" s="906"/>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
      <c r="W252" t="s">
        <v>309</v>
      </c>
      <c r="AF252" s="902" t="s">
        <v>310</v>
      </c>
      <c r="AG252" s="902"/>
    </row>
    <row r="253" spans="23:33" x14ac:dyDescent="0.2">
      <c r="Y253" s="902" t="s">
        <v>311</v>
      </c>
      <c r="Z253" s="902"/>
      <c r="AA253" s="902" t="s">
        <v>312</v>
      </c>
      <c r="AB253" s="902"/>
      <c r="AE253" s="805" t="s">
        <v>313</v>
      </c>
      <c r="AF253" s="806">
        <f>0.0015437*IF($L$80,($N$95*9/5)+32,$N$95)-0.09108933</f>
        <v>3.2406670000000012E-2</v>
      </c>
      <c r="AG253" s="807">
        <f ca="1">IF($M$102,MAX(AF253*$O$91,0),0)</f>
        <v>3.2037112617322108E-4</v>
      </c>
    </row>
    <row r="254" spans="23:33" x14ac:dyDescent="0.2">
      <c r="W254" s="90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908"/>
      <c r="X255" s="812" t="s">
        <v>317</v>
      </c>
      <c r="Y255" s="812">
        <v>1.01</v>
      </c>
      <c r="Z255" s="813">
        <f t="shared" si="46"/>
        <v>33.817999999999998</v>
      </c>
      <c r="AA255" s="814">
        <v>8.2000000000000007E-3</v>
      </c>
      <c r="AB255" s="812">
        <v>1.85</v>
      </c>
      <c r="AC255" s="812">
        <f t="shared" si="47"/>
        <v>35.33</v>
      </c>
      <c r="AD255" s="814">
        <v>6.3E-3</v>
      </c>
      <c r="AE255" s="815"/>
      <c r="AF255" s="902" t="s">
        <v>318</v>
      </c>
      <c r="AG255" s="902"/>
    </row>
    <row r="256" spans="23:33" x14ac:dyDescent="0.2">
      <c r="W256" s="90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90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908"/>
      <c r="X258" s="812" t="s">
        <v>321</v>
      </c>
      <c r="Y258" s="812">
        <v>16.02</v>
      </c>
      <c r="Z258" s="813">
        <f t="shared" si="46"/>
        <v>60.835999999999999</v>
      </c>
      <c r="AA258" s="814">
        <v>3.3799999999999997E-2</v>
      </c>
      <c r="AB258" s="812">
        <v>16.850000000000001</v>
      </c>
      <c r="AC258" s="812">
        <f t="shared" si="47"/>
        <v>62.33</v>
      </c>
      <c r="AD258" s="814">
        <v>2.58E-2</v>
      </c>
      <c r="AE258" s="815"/>
      <c r="AF258" s="902" t="s">
        <v>304</v>
      </c>
      <c r="AG258" s="902"/>
    </row>
    <row r="259" spans="23:33" x14ac:dyDescent="0.2">
      <c r="W259" s="90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
      <c r="W260" s="90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902" t="s">
        <v>324</v>
      </c>
      <c r="AG261" s="902"/>
    </row>
    <row r="262" spans="23:33" x14ac:dyDescent="0.2">
      <c r="W262" t="s">
        <v>325</v>
      </c>
      <c r="X262" s="33"/>
      <c r="Z262" t="s">
        <v>326</v>
      </c>
      <c r="AA262" s="33"/>
      <c r="AE262" s="805" t="s">
        <v>313</v>
      </c>
      <c r="AF262" s="806">
        <f>X263*IF($L$80,(($N$95*9/5)+32)^2,$N$95^2) +(X264*IF($L$80,(($N$95*9/5)+32),$N$95)) + X265</f>
        <v>0.15757841435455355</v>
      </c>
      <c r="AG262" s="807">
        <f ca="1">IF($M$102,MAX(AF262*$O$91,0),0)</f>
        <v>1.5578143038874025E-3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902" t="s">
        <v>329</v>
      </c>
      <c r="AG264" s="90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7" t="s">
        <v>1</v>
      </c>
      <c r="D1" s="888"/>
      <c r="E1" s="889"/>
      <c r="F1" s="3" t="s">
        <v>382</v>
      </c>
      <c r="G1" s="882" t="s">
        <v>453</v>
      </c>
      <c r="H1" s="882"/>
      <c r="I1" s="23" t="s">
        <v>2</v>
      </c>
      <c r="J1" s="882" t="s">
        <v>451</v>
      </c>
      <c r="K1" s="882"/>
      <c r="L1" s="1253"/>
      <c r="M1" s="888"/>
      <c r="N1" s="88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94" t="s">
        <v>5</v>
      </c>
      <c r="D2" s="886"/>
      <c r="E2" s="891"/>
      <c r="F2" s="7" t="s">
        <v>33</v>
      </c>
      <c r="G2" s="882" t="s">
        <v>452</v>
      </c>
      <c r="H2" s="882"/>
      <c r="I2" s="6"/>
      <c r="J2" s="4"/>
      <c r="L2" s="886"/>
      <c r="M2" s="886"/>
      <c r="N2" s="891"/>
      <c r="O2" s="16"/>
      <c r="P2" s="8"/>
      <c r="Q2" s="9"/>
      <c r="R2" s="4"/>
      <c r="S2" s="4"/>
      <c r="T2" s="4"/>
      <c r="U2" s="4"/>
      <c r="V2" s="4"/>
      <c r="W2" s="4"/>
      <c r="X2" s="4"/>
      <c r="Y2" s="4"/>
      <c r="Z2" s="4"/>
      <c r="AA2" s="4"/>
    </row>
    <row r="3" spans="1:27" ht="15.75" customHeight="1" x14ac:dyDescent="0.2">
      <c r="A3" s="10" t="s">
        <v>6</v>
      </c>
      <c r="B3" s="11">
        <v>45963</v>
      </c>
      <c r="C3" s="895" t="s">
        <v>7</v>
      </c>
      <c r="D3" s="892"/>
      <c r="E3" s="893"/>
      <c r="F3" s="7" t="s">
        <v>34</v>
      </c>
      <c r="G3" s="882" t="s">
        <v>449</v>
      </c>
      <c r="H3" s="882"/>
      <c r="I3" s="6"/>
      <c r="J3" s="4"/>
      <c r="L3" s="886"/>
      <c r="M3" s="886"/>
      <c r="N3" s="891"/>
      <c r="O3" s="16"/>
      <c r="P3" s="6"/>
      <c r="Q3" s="4"/>
      <c r="R3" s="4"/>
      <c r="S3" s="4"/>
      <c r="T3" s="4"/>
      <c r="U3" s="4"/>
      <c r="V3" s="4"/>
      <c r="W3" s="4"/>
      <c r="X3" s="4"/>
      <c r="Y3" s="4"/>
      <c r="Z3" s="4"/>
      <c r="AA3" s="4"/>
    </row>
    <row r="4" spans="1:27" ht="15.75" customHeight="1" x14ac:dyDescent="0.2">
      <c r="A4" s="16"/>
      <c r="B4" s="6"/>
      <c r="C4" s="6"/>
      <c r="D4" s="6"/>
      <c r="E4" s="4"/>
      <c r="F4" s="12" t="s">
        <v>383</v>
      </c>
      <c r="G4" s="896" t="s">
        <v>450</v>
      </c>
      <c r="H4" s="896"/>
      <c r="I4" s="13"/>
      <c r="J4" s="850"/>
      <c r="K4" s="851"/>
      <c r="L4" s="892"/>
      <c r="M4" s="892"/>
      <c r="N4" s="89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5" t="s">
        <v>9</v>
      </c>
      <c r="F6" s="886"/>
      <c r="G6" s="886"/>
      <c r="H6" s="886"/>
      <c r="I6" s="886"/>
      <c r="J6" s="886"/>
      <c r="K6" s="886"/>
      <c r="L6" s="886"/>
      <c r="M6" s="88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5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5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5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5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5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5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5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5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5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5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5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5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5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5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5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5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5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5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5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5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5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5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5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5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5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5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5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5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5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5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5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5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5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5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5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5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5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5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5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5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5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5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5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5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5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5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5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5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5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5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5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5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5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5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5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5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5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5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5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5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5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5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5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5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5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5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5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5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5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5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5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2025-10-09T23:04:42Z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