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D772A38E-B22E-4E40-833F-8566451614C1}" xr6:coauthVersionLast="47" xr6:coauthVersionMax="47" xr10:uidLastSave="{00000000-0000-0000-0000-000000000000}"/>
  <bookViews>
    <workbookView xWindow="-12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 i="9" l="1"/>
  <c r="AA21" i="9"/>
  <c r="AB21" i="9" s="1"/>
  <c r="AA22" i="9"/>
  <c r="AB22" i="9"/>
  <c r="AA47" i="9"/>
  <c r="AB47" i="9" s="1"/>
  <c r="AA48" i="9"/>
  <c r="AB48" i="9" s="1"/>
  <c r="AA49" i="9"/>
  <c r="AB49" i="9" s="1"/>
  <c r="AA50" i="9"/>
  <c r="AB50" i="9" s="1"/>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Z135" i="9"/>
  <c r="Z108" i="9"/>
  <c r="Z19" i="9"/>
  <c r="AA19" i="9" s="1"/>
  <c r="AB19" i="9" s="1"/>
  <c r="AC25" i="9" s="1"/>
  <c r="AD25" i="9" s="1"/>
  <c r="Z87" i="9"/>
  <c r="Z8" i="9"/>
  <c r="AA8" i="9" s="1"/>
  <c r="AB8" i="9" s="1"/>
  <c r="Z124" i="9"/>
  <c r="Z58" i="9"/>
  <c r="Z50" i="9"/>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<sst xmlns="http://schemas.openxmlformats.org/spreadsheetml/2006/main" count="1245" uniqueCount="500">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</sst>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22.65</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57.84</c:v>
                </c:pt>
                <c:pt idx="40">
                  <c:v>49.830000000000005</c:v>
                </c:pt>
                <c:pt idx="41">
                  <c:v>41.81</c:v>
                </c:pt>
                <c:pt idx="42">
                  <c:v>22.65</c:v>
                </c:pt>
                <c:pt idx="43">
                  <c:v>16.52</c:v>
                </c:pt>
                <c:pt idx="44">
                  <c:v>8.42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67.778571428571425</c:v>
                </c:pt>
                <c:pt idx="40" formatCode="0">
                  <c:v>64.572857142857131</c:v>
                </c:pt>
                <c:pt idx="41" formatCode="0">
                  <c:v>61.692857142857129</c:v>
                </c:pt>
                <c:pt idx="42" formatCode="0">
                  <c:v>54.625714285714267</c:v>
                </c:pt>
                <c:pt idx="43" formatCode="0">
                  <c:v>46.605714285714278</c:v>
                </c:pt>
                <c:pt idx="44" formatCode="0">
                  <c:v>37.430000000000007</c:v>
                </c:pt>
                <c:pt idx="45" formatCode="0">
                  <c:v>28.152857142857147</c:v>
                </c:pt>
                <c:pt idx="46" formatCode="0">
                  <c:v>19.890000000000004</c:v>
                </c:pt>
                <c:pt idx="47" formatCode="0">
                  <c:v>12.771428571428572</c:v>
                </c:pt>
                <c:pt idx="48" formatCode="0">
                  <c:v>6.7985714285714289</c:v>
                </c:pt>
                <c:pt idx="49" formatCode="0">
                  <c:v>3.5628571428571427</c:v>
                </c:pt>
                <c:pt idx="50" formatCode="0">
                  <c:v>1.2028571428571428</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57.84</c:v>
                      </c:pt>
                      <c:pt idx="40">
                        <c:v>49.830000000000005</c:v>
                      </c:pt>
                      <c:pt idx="41">
                        <c:v>41.81</c:v>
                      </c:pt>
                      <c:pt idx="42">
                        <c:v>22.65</c:v>
                      </c:pt>
                      <c:pt idx="43">
                        <c:v>16.52</c:v>
                      </c:pt>
                      <c:pt idx="44">
                        <c:v>8.42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81.140041666666662</c:v>
                </c:pt>
                <c:pt idx="34">
                  <c:v>69.905374999999992</c:v>
                </c:pt>
                <c:pt idx="35">
                  <c:v>62.999208333333328</c:v>
                </c:pt>
                <c:pt idx="36">
                  <c:v>24.129208333333338</c:v>
                </c:pt>
                <c:pt idx="37">
                  <c:v>15.559583333333336</c:v>
                </c:pt>
                <c:pt idx="38">
                  <c:v>9.0962500000000013</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57.84</c:v>
                </c:pt>
                <c:pt idx="40">
                  <c:v>49.830000000000005</c:v>
                </c:pt>
                <c:pt idx="41">
                  <c:v>41.81</c:v>
                </c:pt>
                <c:pt idx="42">
                  <c:v>22.65</c:v>
                </c:pt>
                <c:pt idx="43">
                  <c:v>16.52</c:v>
                </c:pt>
                <c:pt idx="44">
                  <c:v>8.42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81.140041666666662</c:v>
                </c:pt>
                <c:pt idx="40" formatCode="0.0">
                  <c:v>69.905374999999992</c:v>
                </c:pt>
                <c:pt idx="41" formatCode="0.0">
                  <c:v>62.999208333333328</c:v>
                </c:pt>
                <c:pt idx="42" formatCode="0.0">
                  <c:v>24.129208333333338</c:v>
                </c:pt>
                <c:pt idx="43" formatCode="0.0">
                  <c:v>15.559583333333336</c:v>
                </c:pt>
                <c:pt idx="44" formatCode="0.0">
                  <c:v>9.0962500000000013</c:v>
                </c:pt>
                <c:pt idx="45" formatCode="0.0">
                  <c:v>0</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39" activePane="bottomLeft" state="frozen"/>
      <selection pane="bottomLeft" activeCell="G54" sqref="G54"/>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
      <c r="A3" s="10" t="s">
        <v>6</v>
      </c>
      <c r="B3" s="11">
        <v>45942</v>
      </c>
      <c r="C3" s="885" t="s">
        <v>7</v>
      </c>
      <c r="D3" s="882"/>
      <c r="E3" s="883"/>
      <c r="F3" s="7" t="s">
        <v>34</v>
      </c>
      <c r="G3" s="872" t="s">
        <v>458</v>
      </c>
      <c r="H3" s="872"/>
      <c r="I3" s="6"/>
      <c r="J3" s="4" t="s">
        <v>123</v>
      </c>
      <c r="K3" s="781">
        <f>'Daniel''s Tables'!$I$6</f>
        <v>61.766335932854794</v>
      </c>
      <c r="L3" s="876"/>
      <c r="M3" s="876"/>
      <c r="N3" s="881"/>
      <c r="O3" s="16"/>
      <c r="P3" s="6"/>
      <c r="Q3" s="4"/>
      <c r="R3" s="4"/>
      <c r="S3" s="4"/>
      <c r="T3" s="4"/>
      <c r="U3" s="4"/>
      <c r="V3" s="4"/>
      <c r="W3" s="4"/>
      <c r="X3" s="4"/>
      <c r="Y3" s="4"/>
      <c r="Z3" s="4"/>
      <c r="AA3" s="4"/>
      <c r="AB3" s="4"/>
      <c r="AC3" s="4"/>
    </row>
    <row r="4" spans="1:35" ht="15.75" customHeight="1" x14ac:dyDescent="0.2">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7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7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5"/>
        <v>57.84</v>
      </c>
      <c r="U47" s="868">
        <f t="shared" si="8"/>
        <v>67.778571428571425</v>
      </c>
      <c r="V47" s="4">
        <v>70</v>
      </c>
      <c r="W47" s="4">
        <f t="shared" si="9"/>
        <v>62</v>
      </c>
      <c r="X47" s="868">
        <f t="shared" si="10"/>
        <v>68.714285714285708</v>
      </c>
      <c r="Y47" s="4"/>
      <c r="Z47" s="869" t="e">
        <f t="shared" si="11"/>
        <v>#DIV/0!</v>
      </c>
      <c r="AA47" s="4">
        <f>IF(H47*G47,LOOKUP(Z47,'Daniel''s Tables'!$Z$135:$Z$214,'Daniel''s Tables'!$AB$135:$AB$214),0)</f>
        <v>0</v>
      </c>
      <c r="AB47" s="869">
        <f t="shared" si="12"/>
        <v>0</v>
      </c>
      <c r="AC47" s="871">
        <f t="shared" si="6"/>
        <v>81.140041666666662</v>
      </c>
      <c r="AD47" s="838">
        <f t="shared" si="7"/>
        <v>11.591434523809523</v>
      </c>
      <c r="AE47" s="838"/>
    </row>
    <row r="48" spans="1:31" ht="15.75" customHeight="1" x14ac:dyDescent="0.2">
      <c r="A48" s="87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1.8072685185185184</v>
      </c>
      <c r="Q48" s="865"/>
      <c r="R48" s="4"/>
      <c r="T48" s="16">
        <f t="shared" si="5"/>
        <v>49.830000000000005</v>
      </c>
      <c r="U48" s="868">
        <f t="shared" si="8"/>
        <v>64.572857142857131</v>
      </c>
      <c r="V48" s="4">
        <v>70</v>
      </c>
      <c r="W48" s="4">
        <f t="shared" si="9"/>
        <v>69</v>
      </c>
      <c r="X48" s="868">
        <f t="shared" si="10"/>
        <v>67.714285714285708</v>
      </c>
      <c r="Y48" s="4"/>
      <c r="Z48" s="869" t="e">
        <f t="shared" si="11"/>
        <v>#DIV/0!</v>
      </c>
      <c r="AA48" s="4">
        <f>IF(H48*G48,LOOKUP(Z48,'Daniel''s Tables'!$Z$135:$Z$214,'Daniel''s Tables'!$AB$135:$AB$214),0)</f>
        <v>0</v>
      </c>
      <c r="AB48" s="869">
        <f t="shared" si="12"/>
        <v>0</v>
      </c>
      <c r="AC48" s="871">
        <f t="shared" si="6"/>
        <v>69.905374999999992</v>
      </c>
      <c r="AD48" s="838">
        <f t="shared" si="7"/>
        <v>9.9864821428571418</v>
      </c>
      <c r="AE48" s="838"/>
    </row>
    <row r="49" spans="1:31" ht="15.75" customHeight="1" x14ac:dyDescent="0.2">
      <c r="A49" s="874"/>
      <c r="B49" s="6">
        <v>86</v>
      </c>
      <c r="C49" s="17">
        <f t="shared" si="0"/>
        <v>45856</v>
      </c>
      <c r="D49" s="6" t="s">
        <v>28</v>
      </c>
      <c r="E49" s="4" t="s">
        <v>381</v>
      </c>
      <c r="F49" s="6">
        <v>6</v>
      </c>
      <c r="G49" s="6"/>
      <c r="H49" s="29"/>
      <c r="I49" s="6" t="str">
        <f t="shared" si="1"/>
        <v>0:00</v>
      </c>
      <c r="J49" s="6"/>
      <c r="K49" s="6"/>
      <c r="L49" s="6" t="str">
        <f t="shared" si="2"/>
        <v>0:00</v>
      </c>
      <c r="M49" s="6"/>
      <c r="N49" s="28">
        <f>SUM(H44:H50)</f>
        <v>0.12028935185185186</v>
      </c>
      <c r="O49" s="16"/>
      <c r="P49" s="863">
        <f>N50+P42</f>
        <v>342.05999999999995</v>
      </c>
      <c r="Q49" s="866"/>
      <c r="R49" s="25"/>
      <c r="T49" s="16">
        <f t="shared" si="5"/>
        <v>41.81</v>
      </c>
      <c r="U49" s="868">
        <f t="shared" si="8"/>
        <v>61.692857142857129</v>
      </c>
      <c r="V49" s="4">
        <v>70</v>
      </c>
      <c r="W49" s="4">
        <f t="shared" si="9"/>
        <v>69</v>
      </c>
      <c r="X49" s="868">
        <f t="shared" si="10"/>
        <v>68.428571428571431</v>
      </c>
      <c r="Y49" s="4"/>
      <c r="Z49" s="869" t="e">
        <f t="shared" si="11"/>
        <v>#DIV/0!</v>
      </c>
      <c r="AA49" s="4">
        <f>IF(H49*G49,LOOKUP(Z49,'Daniel''s Tables'!$Z$135:$Z$214,'Daniel''s Tables'!$AB$135:$AB$214),0)</f>
        <v>0</v>
      </c>
      <c r="AB49" s="869">
        <f t="shared" si="12"/>
        <v>0</v>
      </c>
      <c r="AC49" s="871">
        <f t="shared" si="6"/>
        <v>62.999208333333328</v>
      </c>
      <c r="AD49" s="838">
        <f t="shared" si="7"/>
        <v>8.9998869047619046</v>
      </c>
      <c r="AE49" s="838"/>
    </row>
    <row r="50" spans="1:31" ht="15.75" customHeight="1" x14ac:dyDescent="0.2">
      <c r="A50" s="874"/>
      <c r="B50" s="6">
        <v>85</v>
      </c>
      <c r="C50" s="17">
        <f t="shared" si="0"/>
        <v>45857</v>
      </c>
      <c r="D50" s="6" t="s">
        <v>30</v>
      </c>
      <c r="E50" s="4" t="s">
        <v>397</v>
      </c>
      <c r="F50" s="6">
        <v>19</v>
      </c>
      <c r="G50" s="6"/>
      <c r="H50" s="29"/>
      <c r="I50" s="6" t="str">
        <f t="shared" si="1"/>
        <v>0:00</v>
      </c>
      <c r="J50" s="29"/>
      <c r="K50" s="6"/>
      <c r="L50" s="6" t="str">
        <f t="shared" si="2"/>
        <v>0:00</v>
      </c>
      <c r="M50" s="4">
        <f>SUM(F44:F50)</f>
        <v>70</v>
      </c>
      <c r="N50" s="6">
        <f>SUM(G44:G50)</f>
        <v>22.65</v>
      </c>
      <c r="O50" s="16"/>
      <c r="P50" s="863">
        <f>M50+P43</f>
        <v>422</v>
      </c>
      <c r="Q50" s="862">
        <f>P49/P50</f>
        <v>0.81056872037914685</v>
      </c>
      <c r="R50" s="4"/>
      <c r="T50" s="16">
        <f t="shared" si="5"/>
        <v>22.65</v>
      </c>
      <c r="U50" s="868">
        <f t="shared" si="8"/>
        <v>54.625714285714267</v>
      </c>
      <c r="V50" s="4">
        <v>70</v>
      </c>
      <c r="W50" s="4">
        <f t="shared" si="9"/>
        <v>70</v>
      </c>
      <c r="X50" s="868">
        <f t="shared" si="10"/>
        <v>68.142857142857139</v>
      </c>
      <c r="Y50" s="4"/>
      <c r="Z50" s="869" t="e">
        <f t="shared" si="11"/>
        <v>#DIV/0!</v>
      </c>
      <c r="AA50" s="4">
        <f>IF(H50*G50,LOOKUP(Z50,'Daniel''s Tables'!$Z$135:$Z$214,'Daniel''s Tables'!$AB$135:$AB$214),0)</f>
        <v>0</v>
      </c>
      <c r="AB50" s="869">
        <f t="shared" si="12"/>
        <v>0</v>
      </c>
      <c r="AC50" s="871">
        <f t="shared" si="6"/>
        <v>24.129208333333338</v>
      </c>
      <c r="AD50" s="838">
        <f t="shared" si="7"/>
        <v>3.4470297619047625</v>
      </c>
      <c r="AE50" s="838"/>
    </row>
    <row r="51" spans="1:31" ht="15.75" customHeight="1" x14ac:dyDescent="0.2">
      <c r="A51" s="873"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16.52</v>
      </c>
      <c r="U51" s="868">
        <f t="shared" si="8"/>
        <v>46.605714285714278</v>
      </c>
      <c r="V51" s="4">
        <v>70</v>
      </c>
      <c r="W51" s="4">
        <f t="shared" si="9"/>
        <v>72</v>
      </c>
      <c r="X51" s="868">
        <f t="shared" si="10"/>
        <v>68.142857142857139</v>
      </c>
      <c r="Y51" s="4"/>
      <c r="Z51" s="869" t="e">
        <f t="shared" si="11"/>
        <v>#DIV/0!</v>
      </c>
      <c r="AA51" s="4">
        <f>IF(H51*G51,LOOKUP(Z51,'Daniel''s Tables'!$Z$135:$Z$214,'Daniel''s Tables'!$AB$135:$AB$214),0)</f>
        <v>0</v>
      </c>
      <c r="AB51" s="869">
        <f t="shared" si="12"/>
        <v>0</v>
      </c>
      <c r="AC51" s="871">
        <f t="shared" si="6"/>
        <v>15.559583333333336</v>
      </c>
      <c r="AD51" s="838">
        <f t="shared" si="7"/>
        <v>2.2227976190476193</v>
      </c>
      <c r="AE51" s="838"/>
    </row>
    <row r="52" spans="1:31" ht="15.75" customHeight="1" x14ac:dyDescent="0.2">
      <c r="A52" s="87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8.42</v>
      </c>
      <c r="U52" s="868">
        <f t="shared" si="8"/>
        <v>37.430000000000007</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9.0962500000000013</v>
      </c>
      <c r="AD52" s="838">
        <f t="shared" si="7"/>
        <v>1.299464285714286</v>
      </c>
      <c r="AE52" s="838"/>
    </row>
    <row r="53" spans="1:31" ht="15.75" customHeight="1" x14ac:dyDescent="0.2">
      <c r="A53" s="87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0</v>
      </c>
      <c r="U53" s="868">
        <f t="shared" si="8"/>
        <v>28.152857142857147</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0</v>
      </c>
      <c r="AD53" s="838">
        <f t="shared" si="7"/>
        <v>0</v>
      </c>
      <c r="AE53" s="838"/>
    </row>
    <row r="54" spans="1:31" ht="15.75" customHeight="1" x14ac:dyDescent="0.2">
      <c r="A54" s="87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0</v>
      </c>
      <c r="U54" s="868">
        <f t="shared" si="8"/>
        <v>19.890000000000004</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0</v>
      </c>
      <c r="AD54" s="838">
        <f t="shared" si="7"/>
        <v>0</v>
      </c>
      <c r="AE54" s="838"/>
    </row>
    <row r="55" spans="1:31" ht="15.75" customHeight="1" x14ac:dyDescent="0.2">
      <c r="A55" s="87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1.8072685185185184</v>
      </c>
      <c r="Q55" s="865"/>
      <c r="R55" s="4"/>
      <c r="T55" s="16">
        <f t="shared" si="5"/>
        <v>0</v>
      </c>
      <c r="U55" s="868">
        <f t="shared" si="8"/>
        <v>12.771428571428572</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0</v>
      </c>
      <c r="AD55" s="838">
        <f t="shared" si="7"/>
        <v>0</v>
      </c>
      <c r="AE55" s="838"/>
    </row>
    <row r="56" spans="1:31" ht="15.75" customHeight="1" x14ac:dyDescent="0.2">
      <c r="A56" s="87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342.05999999999995</v>
      </c>
      <c r="Q56" s="866"/>
      <c r="R56" s="4"/>
      <c r="T56" s="16">
        <f t="shared" si="5"/>
        <v>0</v>
      </c>
      <c r="U56" s="868">
        <f t="shared" si="8"/>
        <v>6.7985714285714289</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0</v>
      </c>
      <c r="AD56" s="838">
        <f t="shared" si="7"/>
        <v>0</v>
      </c>
      <c r="AE56" s="838"/>
    </row>
    <row r="57" spans="1:31" ht="15.75" customHeight="1" x14ac:dyDescent="0.2">
      <c r="A57" s="87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502</v>
      </c>
      <c r="Q57" s="862">
        <f>P56/P57</f>
        <v>0.68139442231075686</v>
      </c>
      <c r="R57" s="4"/>
      <c r="T57" s="16">
        <f t="shared" si="5"/>
        <v>0</v>
      </c>
      <c r="U57" s="868">
        <f t="shared" si="8"/>
        <v>3.5628571428571427</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0</v>
      </c>
      <c r="AD57" s="838">
        <f t="shared" si="7"/>
        <v>0</v>
      </c>
      <c r="AE57" s="838">
        <f>AC57</f>
        <v>0</v>
      </c>
    </row>
    <row r="58" spans="1:31" ht="15.75" customHeight="1" x14ac:dyDescent="0.2">
      <c r="A58" s="87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1.2028571428571428</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
      <c r="A59" s="87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0</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
      <c r="A60" s="87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0</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
      <c r="A61" s="87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0</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
      <c r="A62" s="87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1.8072685185185184</v>
      </c>
      <c r="Q62" s="865"/>
      <c r="R62" s="4"/>
      <c r="T62" s="16">
        <f t="shared" si="5"/>
        <v>0</v>
      </c>
      <c r="U62" s="868">
        <f t="shared" si="8"/>
        <v>0</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
      <c r="A63" s="87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342.05999999999995</v>
      </c>
      <c r="Q63" s="866"/>
      <c r="R63" s="4"/>
      <c r="T63" s="16">
        <f t="shared" si="5"/>
        <v>0</v>
      </c>
      <c r="U63" s="868">
        <f t="shared" si="8"/>
        <v>0</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
      <c r="A64" s="87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0.59592334494773513</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
      <c r="A65" s="87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
      <c r="A66" s="87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
      <c r="A67" s="87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1.8072685185185184</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342.05999999999995</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0.53280373831775696</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7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7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7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7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1.8072685185185184</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7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342.05999999999995</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7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0.47376731301939051</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1.8072685185185184</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342.05999999999995</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0.42972361809045218</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1.8072685185185184</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342.05999999999995</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0.39407834101382483</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1.8072685185185184</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342.05999999999995</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0.36082278481012653</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7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7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7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1.8072685185185184</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342.05999999999995</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0.33469667318982382</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1.8072685185185184</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342.05999999999995</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0.31381651376146785</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1.8072685185185184</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342.05999999999995</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0.29589965397923873</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1.8072685185185184</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342.05999999999995</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0.28176276771004938</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1.8072685185185184</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342.05999999999995</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0.27169181890389194</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L5" sqref="L5"/>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22.65</v>
      </c>
      <c r="L8" s="838">
        <f>(K8-K7)/((K8+K7)/2)*100</f>
        <v>-104.40012662234885</v>
      </c>
    </row>
    <row r="9" spans="1:12" x14ac:dyDescent="0.2">
      <c r="A9">
        <v>7</v>
      </c>
      <c r="B9">
        <v>12</v>
      </c>
      <c r="C9" s="825">
        <v>1</v>
      </c>
      <c r="D9" s="825">
        <v>1</v>
      </c>
      <c r="E9" s="825">
        <v>1</v>
      </c>
      <c r="F9" s="825"/>
      <c r="G9">
        <f t="shared" si="1"/>
        <v>55</v>
      </c>
      <c r="H9">
        <f t="shared" si="0"/>
        <v>70</v>
      </c>
      <c r="I9">
        <f t="shared" si="2"/>
        <v>80</v>
      </c>
      <c r="K9">
        <f>'2Q - 80'!N57</f>
        <v>0</v>
      </c>
      <c r="L9" s="838">
        <f t="shared" ref="L9:L12" si="3">(K9-K8)/((K9+K8)/2)*100</f>
        <v>-200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2"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R14" sqref="R14"/>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5" thickBot="1" x14ac:dyDescent="0.25">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201</v>
      </c>
      <c r="D113" s="669" t="s">
        <v>255</v>
      </c>
      <c r="E113" s="668">
        <v>53</v>
      </c>
      <c r="F113" s="669" t="s">
        <v>256</v>
      </c>
      <c r="G113" s="668">
        <v>155</v>
      </c>
      <c r="H113" s="670" t="s">
        <v>17</v>
      </c>
      <c r="I113" s="671">
        <v>0.31597222222222221</v>
      </c>
      <c r="J113" s="937" t="str">
        <f>"vVO2max  =  "&amp;TEXT(I113*(G113-E113)/(C113-E113),"h:mm")</f>
        <v>vVO2max  =  5:13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6.6384485996385633E-4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2025-07-16T18:58:30Z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