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8E6935A1-6BAD-46F3-9455-F39C8226529A}" xr6:coauthVersionLast="47" xr6:coauthVersionMax="47" xr10:uidLastSave="{00000000-0000-0000-0000-000000000000}"/>
  <bookViews>
    <workbookView xWindow="28680" yWindow="-90" windowWidth="29040" windowHeight="15690" activeTab="1" xr2:uid="{00000000-000D-0000-FFFF-FFFF00000000}"/>
  </bookViews>
  <sheets>
    <sheet name="2Q - 80" sheetId="9" r:id="rId1"/>
    <sheet name="Daniel's Metrics" sheetId="7" r:id="rId2"/>
    <sheet name="Q Sessions" sheetId="8" r:id="rId3"/>
    <sheet name="Daniel's Tables" sheetId="6" r:id="rId4"/>
    <sheet name="2Q - 55" sheetId="4" r:id="rId5"/>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5" i="9" l="1"/>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91" i="9"/>
  <c r="AD92" i="9"/>
  <c r="AD93" i="9"/>
  <c r="AD94" i="9"/>
  <c r="AD95" i="9"/>
  <c r="AD96" i="9"/>
  <c r="AD97"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4" i="9"/>
  <c r="K73" i="9" l="1"/>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c r="AA76" i="9"/>
  <c r="AB76" i="9" s="1"/>
  <c r="AA77" i="9"/>
  <c r="AB77" i="9" s="1"/>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C115" i="9"/>
  <c r="AC84" i="9"/>
  <c r="AD90" i="9" s="1"/>
  <c r="AC82" i="9"/>
  <c r="AC113" i="9"/>
  <c r="AC123" i="9"/>
  <c r="AC124" i="9"/>
  <c r="AC105" i="9"/>
  <c r="AC126" i="9"/>
  <c r="AC125" i="9"/>
  <c r="AC103" i="9"/>
  <c r="AC83" i="9"/>
  <c r="AD89" i="9" s="1"/>
  <c r="AC116" i="9"/>
  <c r="AC135" i="9"/>
  <c r="AC112" i="9"/>
  <c r="AC95" i="9"/>
  <c r="AC85" i="9"/>
  <c r="AC133" i="9"/>
  <c r="AC102" i="9"/>
  <c r="AC92" i="9"/>
  <c r="AC91" i="9"/>
  <c r="AC101" i="9"/>
  <c r="AC121" i="9"/>
  <c r="AC120" i="9"/>
  <c r="AC107" i="9"/>
  <c r="AC89" i="9"/>
  <c r="AC109" i="9"/>
  <c r="AC119" i="9"/>
  <c r="AC100" i="9"/>
  <c r="AC86" i="9"/>
  <c r="AC108" i="9"/>
  <c r="AC106" i="9"/>
  <c r="AC90" i="9"/>
  <c r="AC111" i="9"/>
  <c r="AC88" i="9"/>
  <c r="AC110" i="9"/>
  <c r="AC128" i="9"/>
  <c r="AC118" i="9"/>
  <c r="AC134" i="9"/>
  <c r="AC132" i="9"/>
  <c r="AC122" i="9"/>
  <c r="AC99" i="9"/>
  <c r="AC130" i="9"/>
  <c r="AC87" i="9"/>
  <c r="AC117" i="9"/>
  <c r="AC97" i="9"/>
  <c r="AC131" i="9"/>
  <c r="AC127" i="9"/>
  <c r="AC98" i="9"/>
  <c r="AC96" i="9"/>
  <c r="AC94" i="9"/>
  <c r="AC104" i="9"/>
  <c r="AC93" i="9"/>
  <c r="AC129" i="9"/>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D88" i="9" l="1"/>
  <c r="AE85" i="9"/>
  <c r="AE113" i="9"/>
  <c r="AE106" i="9"/>
  <c r="AE99" i="9"/>
  <c r="AE120" i="9"/>
  <c r="AE92" i="9"/>
  <c r="AE134" i="9"/>
  <c r="AE127" i="9"/>
  <c r="X69" i="9"/>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AA66" i="9" s="1"/>
  <c r="AB66" i="9" s="1"/>
  <c r="Z23" i="9"/>
  <c r="AA23" i="9" s="1"/>
  <c r="AB23" i="9" s="1"/>
  <c r="Z45" i="9"/>
  <c r="AA45" i="9" s="1"/>
  <c r="AB45" i="9" s="1"/>
  <c r="Z14" i="9"/>
  <c r="AA14" i="9" s="1"/>
  <c r="AB14" i="9" s="1"/>
  <c r="Z60" i="9"/>
  <c r="AA60" i="9" s="1"/>
  <c r="AB60" i="9" s="1"/>
  <c r="Z118" i="9"/>
  <c r="Z28" i="9"/>
  <c r="AA28" i="9" s="1"/>
  <c r="AB28" i="9" s="1"/>
  <c r="Z94" i="9"/>
  <c r="Z54" i="9"/>
  <c r="AA54" i="9" s="1"/>
  <c r="AB54" i="9" s="1"/>
  <c r="Z101" i="9"/>
  <c r="Z12" i="9"/>
  <c r="AA12" i="9" s="1"/>
  <c r="AB12" i="9" s="1"/>
  <c r="Z107" i="9"/>
  <c r="Z73" i="9"/>
  <c r="AA73" i="9" s="1"/>
  <c r="AB73" i="9" s="1"/>
  <c r="Z37" i="9"/>
  <c r="AA37" i="9" s="1"/>
  <c r="AB37" i="9" s="1"/>
  <c r="Z110" i="9"/>
  <c r="Z77" i="9"/>
  <c r="Z39" i="9"/>
  <c r="AA39" i="9" s="1"/>
  <c r="AB39" i="9" s="1"/>
  <c r="Z17" i="9"/>
  <c r="AA17" i="9" s="1"/>
  <c r="AB17" i="9" s="1"/>
  <c r="Z96" i="9"/>
  <c r="Z86" i="9"/>
  <c r="Z106" i="9"/>
  <c r="Z95" i="9"/>
  <c r="Z18" i="9"/>
  <c r="AA18" i="9" s="1"/>
  <c r="AB18" i="9" s="1"/>
  <c r="AC24" i="9" s="1"/>
  <c r="Z68" i="9"/>
  <c r="AA68" i="9" s="1"/>
  <c r="AB68" i="9" s="1"/>
  <c r="Z97" i="9"/>
  <c r="Z125" i="9"/>
  <c r="Z85" i="9"/>
  <c r="Z64" i="9"/>
  <c r="AA64" i="9" s="1"/>
  <c r="AB64" i="9" s="1"/>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Z87" i="9"/>
  <c r="Z8" i="9"/>
  <c r="AA8" i="9" s="1"/>
  <c r="AB8" i="9" s="1"/>
  <c r="Z124" i="9"/>
  <c r="Z58" i="9"/>
  <c r="AA58" i="9" s="1"/>
  <c r="AB58" i="9" s="1"/>
  <c r="Z50" i="9"/>
  <c r="AA50" i="9" s="1"/>
  <c r="AB50" i="9" s="1"/>
  <c r="Z67" i="9"/>
  <c r="AA67" i="9" s="1"/>
  <c r="AB67" i="9" s="1"/>
  <c r="Z82" i="9"/>
  <c r="Z119" i="9"/>
  <c r="Z102" i="9"/>
  <c r="Z132" i="9"/>
  <c r="Z111" i="9"/>
  <c r="Z11" i="9"/>
  <c r="AA11" i="9" s="1"/>
  <c r="AB11" i="9" s="1"/>
  <c r="AC17" i="9" s="1"/>
  <c r="Z89" i="9"/>
  <c r="Z105" i="9"/>
  <c r="Z59" i="9"/>
  <c r="AA59" i="9" s="1"/>
  <c r="AB59" i="9" s="1"/>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AA75" i="9" s="1"/>
  <c r="AB75" i="9" s="1"/>
  <c r="AC81" i="9" s="1"/>
  <c r="AD87" i="9" s="1"/>
  <c r="Z30" i="9"/>
  <c r="AA30" i="9" s="1"/>
  <c r="AB30" i="9" s="1"/>
  <c r="Z53" i="9"/>
  <c r="AA53" i="9" s="1"/>
  <c r="AB53" i="9" s="1"/>
  <c r="Z26" i="9"/>
  <c r="AA26" i="9" s="1"/>
  <c r="AB26" i="9" s="1"/>
  <c r="AC32" i="9" s="1"/>
  <c r="Z131" i="9"/>
  <c r="Z92" i="9"/>
  <c r="Z44" i="9"/>
  <c r="AA44" i="9" s="1"/>
  <c r="AB44" i="9" s="1"/>
  <c r="Z47" i="9"/>
  <c r="AA47" i="9" s="1"/>
  <c r="AB47" i="9" s="1"/>
  <c r="Z114" i="9"/>
  <c r="Z55" i="9"/>
  <c r="AA55" i="9" s="1"/>
  <c r="AB55" i="9" s="1"/>
  <c r="Z76" i="9"/>
  <c r="Z41" i="9"/>
  <c r="AA41" i="9" s="1"/>
  <c r="AB41" i="9" s="1"/>
  <c r="Z43" i="9"/>
  <c r="AA43" i="9" s="1"/>
  <c r="AB43" i="9" s="1"/>
  <c r="Z104" i="9"/>
  <c r="Z90" i="9"/>
  <c r="Z62" i="9"/>
  <c r="AA62" i="9" s="1"/>
  <c r="AB62" i="9" s="1"/>
  <c r="Z24" i="9"/>
  <c r="AA24" i="9" s="1"/>
  <c r="AB24" i="9" s="1"/>
  <c r="Z57" i="9"/>
  <c r="AA57" i="9" s="1"/>
  <c r="AB57" i="9" s="1"/>
  <c r="Z103" i="9"/>
  <c r="Z72" i="9"/>
  <c r="AA72" i="9" s="1"/>
  <c r="AB72" i="9" s="1"/>
  <c r="Z91" i="9"/>
  <c r="Z61" i="9"/>
  <c r="AA61" i="9" s="1"/>
  <c r="AB61" i="9" s="1"/>
  <c r="Z109" i="9"/>
  <c r="Z115" i="9"/>
  <c r="Z74" i="9"/>
  <c r="AA74" i="9" s="1"/>
  <c r="AB74" i="9" s="1"/>
  <c r="Z25" i="9"/>
  <c r="AA25" i="9" s="1"/>
  <c r="AB25" i="9" s="1"/>
  <c r="Z126" i="9"/>
  <c r="Z129" i="9"/>
  <c r="Z98" i="9"/>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AC77" i="9" s="1"/>
  <c r="Z116" i="9"/>
  <c r="Z117" i="9"/>
  <c r="Z56" i="9"/>
  <c r="AA56" i="9" s="1"/>
  <c r="AB56" i="9" s="1"/>
  <c r="Z69" i="9"/>
  <c r="AA69" i="9" s="1"/>
  <c r="AB69" i="9" s="1"/>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C80" i="9" l="1"/>
  <c r="AD86" i="9" s="1"/>
  <c r="AC79" i="9"/>
  <c r="AC78" i="9"/>
  <c r="AE78" i="9" s="1"/>
  <c r="AC76" i="9"/>
  <c r="AC75" i="9"/>
  <c r="AC73" i="9"/>
  <c r="AC74" i="9"/>
  <c r="AC70" i="9"/>
  <c r="AC71" i="9"/>
  <c r="AC72" i="9"/>
  <c r="AC69" i="9"/>
  <c r="AC64" i="9"/>
  <c r="AC67" i="9"/>
  <c r="AC68" i="9"/>
  <c r="AC66" i="9"/>
  <c r="AC65" i="9"/>
  <c r="AE64"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D81" i="9" l="1"/>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<sst xmlns="http://schemas.openxmlformats.org/spreadsheetml/2006/main" count="1246" uniqueCount="503">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</sst>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5">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50.989999999999995</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76.099999999999994</c:v>
                </c:pt>
                <c:pt idx="69">
                  <c:v>71.09</c:v>
                </c:pt>
                <c:pt idx="70">
                  <c:v>50.989999999999995</c:v>
                </c:pt>
                <c:pt idx="71">
                  <c:v>43.45</c:v>
                </c:pt>
                <c:pt idx="72">
                  <c:v>29.299999999999997</c:v>
                </c:pt>
                <c:pt idx="73">
                  <c:v>20.02</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70.571428571428569</c:v>
                </c:pt>
                <c:pt idx="79" formatCode="0">
                  <c:v>71.571428571428569</c:v>
                </c:pt>
                <c:pt idx="80" formatCode="0">
                  <c:v>71</c:v>
                </c:pt>
                <c:pt idx="81" formatCode="0">
                  <c:v>72</c:v>
                </c:pt>
                <c:pt idx="82" formatCode="0">
                  <c:v>72.714285714285708</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78.857142857142861</c:v>
                </c:pt>
                <c:pt idx="94" formatCode="0">
                  <c:v>80</c:v>
                </c:pt>
                <c:pt idx="95" formatCode="0">
                  <c:v>80</c:v>
                </c:pt>
                <c:pt idx="96" formatCode="0">
                  <c:v>79.714285714285708</c:v>
                </c:pt>
                <c:pt idx="97" formatCode="0">
                  <c:v>78.857142857142861</c:v>
                </c:pt>
                <c:pt idx="98" formatCode="0">
                  <c:v>78</c:v>
                </c:pt>
                <c:pt idx="99" formatCode="0">
                  <c:v>76.857142857142861</c:v>
                </c:pt>
                <c:pt idx="100" formatCode="0">
                  <c:v>75.714285714285708</c:v>
                </c:pt>
                <c:pt idx="101" formatCode="0">
                  <c:v>74.285714285714292</c:v>
                </c:pt>
                <c:pt idx="102" formatCode="0">
                  <c:v>73.714285714285708</c:v>
                </c:pt>
                <c:pt idx="103" formatCode="0">
                  <c:v>72.428571428571431</c:v>
                </c:pt>
                <c:pt idx="104" formatCode="0">
                  <c:v>71</c:v>
                </c:pt>
                <c:pt idx="105" formatCode="0">
                  <c:v>70.142857142857139</c:v>
                </c:pt>
                <c:pt idx="106" formatCode="0">
                  <c:v>68.714285714285708</c:v>
                </c:pt>
                <c:pt idx="107" formatCode="0">
                  <c:v>67.857142857142861</c:v>
                </c:pt>
                <c:pt idx="108" formatCode="0">
                  <c:v>66.714285714285708</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77.41</c:v>
                </c:pt>
                <c:pt idx="69" formatCode="0">
                  <c:v>77.618571428571428</c:v>
                </c:pt>
                <c:pt idx="70" formatCode="0">
                  <c:v>74.967142857142875</c:v>
                </c:pt>
                <c:pt idx="71" formatCode="0">
                  <c:v>70.878571428571433</c:v>
                </c:pt>
                <c:pt idx="72" formatCode="0">
                  <c:v>63.462857142857146</c:v>
                </c:pt>
                <c:pt idx="73" formatCode="0">
                  <c:v>55.011428571428567</c:v>
                </c:pt>
                <c:pt idx="74" formatCode="0">
                  <c:v>41.56428571428571</c:v>
                </c:pt>
                <c:pt idx="75" formatCode="0">
                  <c:v>30.692857142857143</c:v>
                </c:pt>
                <c:pt idx="76" formatCode="0">
                  <c:v>20.537142857142857</c:v>
                </c:pt>
                <c:pt idx="77" formatCode="0">
                  <c:v>13.252857142857142</c:v>
                </c:pt>
                <c:pt idx="78" formatCode="0">
                  <c:v>7.0457142857142845</c:v>
                </c:pt>
                <c:pt idx="79" formatCode="0">
                  <c:v>2.86</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76.099999999999994</c:v>
                      </c:pt>
                      <c:pt idx="69">
                        <c:v>71.09</c:v>
                      </c:pt>
                      <c:pt idx="70">
                        <c:v>50.989999999999995</c:v>
                      </c:pt>
                      <c:pt idx="71">
                        <c:v>43.45</c:v>
                      </c:pt>
                      <c:pt idx="72">
                        <c:v>29.299999999999997</c:v>
                      </c:pt>
                      <c:pt idx="73">
                        <c:v>20.02</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80</c:v>
                      </c:pt>
                      <c:pt idx="87">
                        <c:v>80</c:v>
                      </c:pt>
                      <c:pt idx="88">
                        <c:v>77</c:v>
                      </c:pt>
                      <c:pt idx="89">
                        <c:v>77</c:v>
                      </c:pt>
                      <c:pt idx="90">
                        <c:v>76</c:v>
                      </c:pt>
                      <c:pt idx="91">
                        <c:v>74</c:v>
                      </c:pt>
                      <c:pt idx="92">
                        <c:v>74</c:v>
                      </c:pt>
                      <c:pt idx="93">
                        <c:v>72</c:v>
                      </c:pt>
                      <c:pt idx="94">
                        <c:v>70</c:v>
                      </c:pt>
                      <c:pt idx="95">
                        <c:v>73</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127.85179166666666</c:v>
                </c:pt>
                <c:pt idx="46">
                  <c:v>113.05909166666667</c:v>
                </c:pt>
                <c:pt idx="47">
                  <c:v>110.61534166666668</c:v>
                </c:pt>
                <c:pt idx="48">
                  <c:v>112.379075</c:v>
                </c:pt>
                <c:pt idx="49">
                  <c:v>111.031575</c:v>
                </c:pt>
                <c:pt idx="50">
                  <c:v>98.921475000000001</c:v>
                </c:pt>
                <c:pt idx="51">
                  <c:v>97.633808333333334</c:v>
                </c:pt>
                <c:pt idx="52">
                  <c:v>95.750225</c:v>
                </c:pt>
                <c:pt idx="53">
                  <c:v>92.808599999999998</c:v>
                </c:pt>
                <c:pt idx="54">
                  <c:v>89.072766666666666</c:v>
                </c:pt>
                <c:pt idx="55">
                  <c:v>129.49496666666667</c:v>
                </c:pt>
                <c:pt idx="56">
                  <c:v>128.69463333333334</c:v>
                </c:pt>
                <c:pt idx="57">
                  <c:v>116.71884166666668</c:v>
                </c:pt>
                <c:pt idx="58">
                  <c:v>119.31150833333334</c:v>
                </c:pt>
                <c:pt idx="59">
                  <c:v>146.41490833333336</c:v>
                </c:pt>
                <c:pt idx="60">
                  <c:v>130.95965000000001</c:v>
                </c:pt>
                <c:pt idx="61">
                  <c:v>171.85374999999999</c:v>
                </c:pt>
                <c:pt idx="62">
                  <c:v>120.58615000000002</c:v>
                </c:pt>
                <c:pt idx="63">
                  <c:v>116.51448333333335</c:v>
                </c:pt>
                <c:pt idx="64">
                  <c:v>91.486750000000001</c:v>
                </c:pt>
                <c:pt idx="65">
                  <c:v>84.370083333333341</c:v>
                </c:pt>
                <c:pt idx="66">
                  <c:v>53.106933333333338</c:v>
                </c:pt>
                <c:pt idx="67">
                  <c:v>45.100766666666672</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76.099999999999994</c:v>
                </c:pt>
                <c:pt idx="69">
                  <c:v>71.09</c:v>
                </c:pt>
                <c:pt idx="70">
                  <c:v>50.989999999999995</c:v>
                </c:pt>
                <c:pt idx="71">
                  <c:v>43.45</c:v>
                </c:pt>
                <c:pt idx="72">
                  <c:v>29.299999999999997</c:v>
                </c:pt>
                <c:pt idx="73">
                  <c:v>20.02</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127.85179166666666</c:v>
                </c:pt>
                <c:pt idx="52" formatCode="0.0">
                  <c:v>113.05909166666667</c:v>
                </c:pt>
                <c:pt idx="53" formatCode="0.0">
                  <c:v>110.61534166666668</c:v>
                </c:pt>
                <c:pt idx="54" formatCode="0.0">
                  <c:v>112.379075</c:v>
                </c:pt>
                <c:pt idx="55" formatCode="0.0">
                  <c:v>111.031575</c:v>
                </c:pt>
                <c:pt idx="56" formatCode="0.0">
                  <c:v>98.921475000000001</c:v>
                </c:pt>
                <c:pt idx="57" formatCode="0.0">
                  <c:v>97.633808333333334</c:v>
                </c:pt>
                <c:pt idx="58" formatCode="0.0">
                  <c:v>95.750225</c:v>
                </c:pt>
                <c:pt idx="59" formatCode="0.0">
                  <c:v>92.808599999999998</c:v>
                </c:pt>
                <c:pt idx="60" formatCode="0.0">
                  <c:v>89.072766666666666</c:v>
                </c:pt>
                <c:pt idx="61" formatCode="0.0">
                  <c:v>129.49496666666667</c:v>
                </c:pt>
                <c:pt idx="62" formatCode="0.0">
                  <c:v>128.69463333333334</c:v>
                </c:pt>
                <c:pt idx="63" formatCode="0.0">
                  <c:v>116.71884166666668</c:v>
                </c:pt>
                <c:pt idx="64" formatCode="0.0">
                  <c:v>119.31150833333334</c:v>
                </c:pt>
                <c:pt idx="65" formatCode="0.0">
                  <c:v>146.41490833333336</c:v>
                </c:pt>
                <c:pt idx="66" formatCode="0.0">
                  <c:v>130.95965000000001</c:v>
                </c:pt>
                <c:pt idx="67" formatCode="0.0">
                  <c:v>171.85374999999999</c:v>
                </c:pt>
                <c:pt idx="68" formatCode="0.0">
                  <c:v>120.58615000000002</c:v>
                </c:pt>
                <c:pt idx="69" formatCode="0.0">
                  <c:v>116.51448333333335</c:v>
                </c:pt>
                <c:pt idx="70" formatCode="0.0">
                  <c:v>91.486750000000001</c:v>
                </c:pt>
                <c:pt idx="71" formatCode="0.0">
                  <c:v>84.370083333333341</c:v>
                </c:pt>
                <c:pt idx="72" formatCode="0.0">
                  <c:v>53.106933333333338</c:v>
                </c:pt>
                <c:pt idx="73" formatCode="0.0">
                  <c:v>45.100766666666672</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opLeftCell="E1" zoomScale="90" zoomScaleNormal="90" workbookViewId="0">
      <pane ySplit="7" topLeftCell="A15" activePane="bottomLeft" state="frozen"/>
      <selection pane="bottomLeft" activeCell="T75" sqref="T75"/>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6" t="s">
        <v>1</v>
      </c>
      <c r="D1" s="875"/>
      <c r="E1" s="876"/>
      <c r="F1" s="3" t="s">
        <v>382</v>
      </c>
      <c r="G1" s="873" t="s">
        <v>460</v>
      </c>
      <c r="H1" s="873"/>
      <c r="I1" s="23" t="s">
        <v>2</v>
      </c>
      <c r="J1" s="873" t="s">
        <v>462</v>
      </c>
      <c r="K1" s="873"/>
      <c r="L1" s="874"/>
      <c r="M1" s="875"/>
      <c r="N1" s="876"/>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1" t="s">
        <v>5</v>
      </c>
      <c r="D2" s="877"/>
      <c r="E2" s="878"/>
      <c r="F2" s="7" t="s">
        <v>33</v>
      </c>
      <c r="G2" s="873" t="s">
        <v>457</v>
      </c>
      <c r="H2" s="873"/>
      <c r="I2" s="6"/>
      <c r="J2" s="4"/>
      <c r="L2" s="877"/>
      <c r="M2" s="877"/>
      <c r="N2" s="878"/>
      <c r="O2" s="16"/>
      <c r="P2" s="8"/>
      <c r="Q2" s="9"/>
      <c r="R2" s="4"/>
      <c r="S2" s="4"/>
      <c r="T2" s="4"/>
      <c r="U2" s="4"/>
      <c r="V2" s="4"/>
      <c r="W2" s="4"/>
      <c r="X2" s="4"/>
      <c r="Y2" s="4"/>
      <c r="Z2" s="4"/>
      <c r="AA2" s="4"/>
      <c r="AB2" s="4"/>
      <c r="AC2" s="4"/>
    </row>
    <row r="3" spans="1:35" ht="15.75" customHeight="1" x14ac:dyDescent="0.2">
      <c r="A3" s="10" t="s">
        <v>6</v>
      </c>
      <c r="B3" s="11">
        <v>45942</v>
      </c>
      <c r="C3" s="882" t="s">
        <v>7</v>
      </c>
      <c r="D3" s="879"/>
      <c r="E3" s="880"/>
      <c r="F3" s="7" t="s">
        <v>34</v>
      </c>
      <c r="G3" s="873" t="s">
        <v>458</v>
      </c>
      <c r="H3" s="873"/>
      <c r="I3" s="6"/>
      <c r="J3" s="4" t="s">
        <v>123</v>
      </c>
      <c r="K3" s="781">
        <f>'Daniel''s Tables'!$I$6</f>
        <v>61.766335932854794</v>
      </c>
      <c r="L3" s="877"/>
      <c r="M3" s="877"/>
      <c r="N3" s="878"/>
      <c r="O3" s="16"/>
      <c r="P3" s="6"/>
      <c r="Q3" s="4"/>
      <c r="R3" s="4"/>
      <c r="S3" s="4"/>
      <c r="T3" s="4"/>
      <c r="U3" s="4"/>
      <c r="V3" s="4"/>
      <c r="W3" s="4"/>
      <c r="X3" s="4"/>
      <c r="Y3" s="4"/>
      <c r="Z3" s="4"/>
      <c r="AA3" s="4"/>
      <c r="AB3" s="4"/>
      <c r="AC3" s="4"/>
    </row>
    <row r="4" spans="1:35" ht="15.75" customHeight="1" x14ac:dyDescent="0.2">
      <c r="A4" s="16"/>
      <c r="B4" s="6"/>
      <c r="C4" s="6"/>
      <c r="D4" s="6"/>
      <c r="E4" s="4"/>
      <c r="F4" s="12" t="s">
        <v>383</v>
      </c>
      <c r="G4" s="883" t="s">
        <v>461</v>
      </c>
      <c r="H4" s="883"/>
      <c r="I4" s="13"/>
      <c r="J4" s="850"/>
      <c r="K4" s="851"/>
      <c r="L4" s="879"/>
      <c r="M4" s="879"/>
      <c r="N4" s="880"/>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887" t="s">
        <v>9</v>
      </c>
      <c r="F6" s="877"/>
      <c r="G6" s="877"/>
      <c r="H6" s="877"/>
      <c r="I6" s="877"/>
      <c r="J6" s="877"/>
      <c r="K6" s="877"/>
      <c r="L6" s="877"/>
      <c r="M6" s="877"/>
      <c r="N6" s="6"/>
      <c r="O6" s="16"/>
      <c r="P6" s="6"/>
      <c r="Q6" s="4"/>
      <c r="R6" s="4"/>
      <c r="S6" s="4"/>
      <c r="T6" s="4"/>
      <c r="U6" s="4"/>
      <c r="V6" s="4"/>
      <c r="W6" s="4"/>
      <c r="X6" s="4"/>
      <c r="Y6" s="4"/>
      <c r="Z6" s="873" t="s">
        <v>490</v>
      </c>
      <c r="AA6" s="873"/>
      <c r="AB6" s="873"/>
      <c r="AC6" s="873"/>
      <c r="AD6" s="873"/>
      <c r="AE6" s="873"/>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84"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84"/>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84"/>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84"/>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84"/>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84"/>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SUM(AC8:AC14)/7</f>
        <v>12.168989285714286</v>
      </c>
      <c r="AE14" s="871">
        <f>SUM(AB7:AB13)</f>
        <v>78.696799999999996</v>
      </c>
    </row>
    <row r="15" spans="1:35" ht="15.75" customHeight="1" x14ac:dyDescent="0.2">
      <c r="A15" s="884"/>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SUM(AC9:AC15)/7</f>
        <v>23.806378571428574</v>
      </c>
      <c r="AE15" s="871">
        <f>SUM(AB9:AB15)</f>
        <v>81.461725000000001</v>
      </c>
    </row>
    <row r="16" spans="1:35" ht="15.75" customHeight="1" x14ac:dyDescent="0.2">
      <c r="A16" s="88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35.819625000000002</v>
      </c>
      <c r="AE16" s="838"/>
    </row>
    <row r="17" spans="1:32" ht="15.75" customHeight="1" x14ac:dyDescent="0.2">
      <c r="A17" s="88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47.779145238095239</v>
      </c>
      <c r="AE17" s="838"/>
    </row>
    <row r="18" spans="1:32" ht="15.75" customHeight="1" x14ac:dyDescent="0.2">
      <c r="A18" s="88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59.327497619047627</v>
      </c>
      <c r="AE18" s="838"/>
    </row>
    <row r="19" spans="1:32" ht="15.75" customHeight="1" x14ac:dyDescent="0.2">
      <c r="A19" s="88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70.753885714285715</v>
      </c>
      <c r="AE19" s="838"/>
    </row>
    <row r="20" spans="1:32" ht="15.75" customHeight="1" x14ac:dyDescent="0.2">
      <c r="A20" s="88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82.440833333333345</v>
      </c>
      <c r="AE20" s="838"/>
    </row>
    <row r="21" spans="1:32" ht="15.75" customHeight="1" x14ac:dyDescent="0.2">
      <c r="A21" s="88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81.032202380952384</v>
      </c>
      <c r="AE21" s="838"/>
    </row>
    <row r="22" spans="1:32" ht="15.75" customHeight="1" x14ac:dyDescent="0.2">
      <c r="A22" s="88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76.698539285714304</v>
      </c>
      <c r="AE22" s="871">
        <f>AC22</f>
        <v>51.126083333333334</v>
      </c>
      <c r="AF22" s="838"/>
    </row>
    <row r="23" spans="1:32" ht="15.75" customHeight="1" x14ac:dyDescent="0.2">
      <c r="A23" s="884"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72.446947619047634</v>
      </c>
      <c r="AE23" s="838"/>
      <c r="AF23" s="838"/>
    </row>
    <row r="24" spans="1:32" ht="15.75" customHeight="1" x14ac:dyDescent="0.2">
      <c r="A24" s="884"/>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68.522120238095241</v>
      </c>
      <c r="AE24" s="838"/>
      <c r="AF24" s="838"/>
    </row>
    <row r="25" spans="1:32" ht="15.75" customHeight="1" x14ac:dyDescent="0.2">
      <c r="A25" s="884"/>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64.952732142857158</v>
      </c>
      <c r="AE25" s="838"/>
      <c r="AF25" s="838"/>
    </row>
    <row r="26" spans="1:32" ht="15.75" customHeight="1" x14ac:dyDescent="0.2">
      <c r="A26" s="884"/>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61.518225000000015</v>
      </c>
      <c r="AE26" s="838"/>
      <c r="AF26" s="838"/>
    </row>
    <row r="27" spans="1:32" ht="15.75" customHeight="1" x14ac:dyDescent="0.2">
      <c r="A27" s="884"/>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61.536558333333339</v>
      </c>
      <c r="AE27" s="838"/>
      <c r="AF27" s="838"/>
    </row>
    <row r="28" spans="1:32" ht="15.75" customHeight="1" x14ac:dyDescent="0.2">
      <c r="A28" s="884"/>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63.027909523809527</v>
      </c>
      <c r="AE28" s="871">
        <f>AC28</f>
        <v>85.761966666666666</v>
      </c>
      <c r="AF28" s="838"/>
    </row>
    <row r="29" spans="1:32" ht="15.75" customHeight="1" x14ac:dyDescent="0.2">
      <c r="A29" s="884"/>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71.995559523809533</v>
      </c>
      <c r="AE29" s="838"/>
      <c r="AF29" s="838"/>
    </row>
    <row r="30" spans="1:32" ht="15.75" customHeight="1" x14ac:dyDescent="0.2">
      <c r="A30" s="88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79.992257142857142</v>
      </c>
      <c r="AE30" s="838"/>
      <c r="AF30" s="838"/>
    </row>
    <row r="31" spans="1:32" ht="15.75" customHeight="1" x14ac:dyDescent="0.2">
      <c r="A31" s="88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87.917640476190485</v>
      </c>
      <c r="AE31" s="838"/>
      <c r="AF31" s="838"/>
    </row>
    <row r="32" spans="1:32" ht="15.75" customHeight="1" x14ac:dyDescent="0.2">
      <c r="A32" s="885"/>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97.594823809523817</v>
      </c>
      <c r="AE32" s="838"/>
      <c r="AF32" s="838"/>
    </row>
    <row r="33" spans="1:32" ht="15.75" customHeight="1" x14ac:dyDescent="0.2">
      <c r="A33" s="885"/>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107.46916428571429</v>
      </c>
      <c r="AE33" s="838"/>
      <c r="AF33" s="838"/>
    </row>
    <row r="34" spans="1:32" ht="15.75" customHeight="1" x14ac:dyDescent="0.2">
      <c r="A34" s="885"/>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110.46872857142856</v>
      </c>
      <c r="AE34" s="838"/>
      <c r="AF34" s="838"/>
    </row>
    <row r="35" spans="1:32" ht="15.75" customHeight="1" x14ac:dyDescent="0.2">
      <c r="A35" s="885"/>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119.47036666666665</v>
      </c>
      <c r="AE35" s="838"/>
      <c r="AF35" s="838"/>
    </row>
    <row r="36" spans="1:32" ht="15.75" customHeight="1" x14ac:dyDescent="0.2">
      <c r="A36" s="885"/>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121.76242142857143</v>
      </c>
      <c r="AE36" s="871">
        <f>AC36</f>
        <v>129.9440166666667</v>
      </c>
      <c r="AF36" s="838"/>
    </row>
    <row r="37" spans="1:32" ht="15.75" customHeight="1" x14ac:dyDescent="0.2">
      <c r="A37" s="884"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124.52535714285715</v>
      </c>
      <c r="AE37" s="838"/>
    </row>
    <row r="38" spans="1:32" ht="15.75" customHeight="1" x14ac:dyDescent="0.2">
      <c r="A38" s="884"/>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127.15124642857145</v>
      </c>
      <c r="AE38" s="838"/>
    </row>
    <row r="39" spans="1:32" ht="15.75" customHeight="1" x14ac:dyDescent="0.2">
      <c r="A39" s="884"/>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125.12384999999999</v>
      </c>
      <c r="AE39" s="838"/>
    </row>
    <row r="40" spans="1:32" ht="15.75" customHeight="1" x14ac:dyDescent="0.2">
      <c r="A40" s="884"/>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122.76920476190477</v>
      </c>
      <c r="AE40" s="838"/>
    </row>
    <row r="41" spans="1:32" ht="15.75" customHeight="1" x14ac:dyDescent="0.2">
      <c r="A41" s="884"/>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123.29672142857144</v>
      </c>
      <c r="AE41" s="838"/>
    </row>
    <row r="42" spans="1:32" ht="15.75" customHeight="1" x14ac:dyDescent="0.2">
      <c r="A42" s="884"/>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111.16740000000001</v>
      </c>
      <c r="AE42" s="838"/>
    </row>
    <row r="43" spans="1:32" ht="15.75" customHeight="1" x14ac:dyDescent="0.2">
      <c r="A43" s="884"/>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105.95110238095239</v>
      </c>
      <c r="AE43" s="838">
        <f>AC43</f>
        <v>93.429933333333338</v>
      </c>
    </row>
    <row r="44" spans="1:32" ht="15.75" customHeight="1" x14ac:dyDescent="0.2">
      <c r="A44" s="885"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101.35356071428571</v>
      </c>
      <c r="AE44" s="838"/>
    </row>
    <row r="45" spans="1:32" ht="15.75" customHeight="1" x14ac:dyDescent="0.2">
      <c r="A45" s="885"/>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96.242140476190485</v>
      </c>
      <c r="AE45" s="838"/>
    </row>
    <row r="46" spans="1:32" ht="15.75" customHeight="1" x14ac:dyDescent="0.2">
      <c r="A46" s="885"/>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93.301055952380949</v>
      </c>
      <c r="AE46" s="838"/>
    </row>
    <row r="47" spans="1:32" ht="15.75" customHeight="1" x14ac:dyDescent="0.2">
      <c r="A47" s="885"/>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90.598763095238112</v>
      </c>
      <c r="AE47" s="838"/>
    </row>
    <row r="48" spans="1:32" ht="15.75" customHeight="1" x14ac:dyDescent="0.2">
      <c r="A48" s="885"/>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90.909482142857129</v>
      </c>
      <c r="AE48" s="838"/>
    </row>
    <row r="49" spans="1:31" ht="15.75" customHeight="1" x14ac:dyDescent="0.2">
      <c r="A49" s="885"/>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98.13934880952381</v>
      </c>
      <c r="AE49" s="838"/>
    </row>
    <row r="50" spans="1:31" ht="15.75" customHeight="1" x14ac:dyDescent="0.2">
      <c r="A50" s="885"/>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99.748013095238093</v>
      </c>
      <c r="AE50" s="838"/>
    </row>
    <row r="51" spans="1:31" ht="15.75" customHeight="1" x14ac:dyDescent="0.2">
      <c r="A51" s="884"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100.57966666666668</v>
      </c>
      <c r="AE51" s="838"/>
    </row>
    <row r="52" spans="1:31" ht="15.75" customHeight="1" x14ac:dyDescent="0.2">
      <c r="A52" s="884"/>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102.32147380952381</v>
      </c>
      <c r="AE52" s="838"/>
    </row>
    <row r="53" spans="1:31" ht="15.75" customHeight="1" x14ac:dyDescent="0.2">
      <c r="A53" s="884"/>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109.43580238095238</v>
      </c>
      <c r="AE53" s="838"/>
    </row>
    <row r="54" spans="1:31" ht="15.75" customHeight="1" x14ac:dyDescent="0.2">
      <c r="A54" s="884"/>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116.69441547619047</v>
      </c>
      <c r="AE54" s="838"/>
    </row>
    <row r="55" spans="1:31" ht="15.75" customHeight="1" x14ac:dyDescent="0.2">
      <c r="A55" s="884"/>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118.17786190476191</v>
      </c>
      <c r="AE55" s="838"/>
    </row>
    <row r="56" spans="1:31" ht="15.75" customHeight="1" x14ac:dyDescent="0.2">
      <c r="A56" s="884"/>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117.94158928571429</v>
      </c>
      <c r="AE56" s="838"/>
    </row>
    <row r="57" spans="1:31" ht="15.75" customHeight="1" x14ac:dyDescent="0.2">
      <c r="A57" s="884"/>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121.96488214285715</v>
      </c>
      <c r="AE57" s="838">
        <f>AC57</f>
        <v>132.85363333333333</v>
      </c>
    </row>
    <row r="58" spans="1:31" ht="15.75" customHeight="1" x14ac:dyDescent="0.2">
      <c r="A58" s="885"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125.99497619047619</v>
      </c>
      <c r="AE58" s="838"/>
    </row>
    <row r="59" spans="1:31" ht="15.75" customHeight="1" x14ac:dyDescent="0.2">
      <c r="A59" s="885"/>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0.59169590812593353</v>
      </c>
      <c r="AA59" s="4">
        <f>IF(H59*G59,LOOKUP(Z59,'Daniel''s Tables'!$Z$135:$Z$214,'Daniel''s Tables'!$AB$135:$AB$214),0)</f>
        <v>0.1</v>
      </c>
      <c r="AB59" s="869">
        <f t="shared" si="12"/>
        <v>6.043333333333333</v>
      </c>
      <c r="AC59" s="871">
        <f t="shared" si="6"/>
        <v>127.85179166666666</v>
      </c>
      <c r="AD59" s="838">
        <f t="shared" si="7"/>
        <v>129.0431654761905</v>
      </c>
      <c r="AE59" s="838"/>
    </row>
    <row r="60" spans="1:31" ht="15.75" customHeight="1" x14ac:dyDescent="0.2">
      <c r="A60" s="885"/>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0.66694706943702808</v>
      </c>
      <c r="AA60" s="4">
        <f>IF(H60*G60,LOOKUP(Z60,'Daniel''s Tables'!$Z$135:$Z$214,'Daniel''s Tables'!$AB$135:$AB$214),0)</f>
        <v>0.20850000000000002</v>
      </c>
      <c r="AB60" s="869">
        <f t="shared" si="12"/>
        <v>26.403050000000004</v>
      </c>
      <c r="AC60" s="871">
        <f t="shared" si="6"/>
        <v>113.05909166666667</v>
      </c>
      <c r="AD60" s="838">
        <f t="shared" si="7"/>
        <v>125.39246904761903</v>
      </c>
      <c r="AE60" s="838"/>
    </row>
    <row r="61" spans="1:31" ht="15.75" customHeight="1" x14ac:dyDescent="0.2">
      <c r="A61" s="885"/>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0.63064797570053266</v>
      </c>
      <c r="AA61" s="4">
        <f>IF(H61*G61,LOOKUP(Z61,'Daniel''s Tables'!$Z$135:$Z$214,'Daniel''s Tables'!$AB$135:$AB$214),0)</f>
        <v>0.15</v>
      </c>
      <c r="AB61" s="869">
        <f t="shared" si="12"/>
        <v>7.9424999999999999</v>
      </c>
      <c r="AC61" s="871">
        <f t="shared" si="6"/>
        <v>110.61534166666668</v>
      </c>
      <c r="AD61" s="838">
        <f t="shared" si="7"/>
        <v>121.12676428571429</v>
      </c>
      <c r="AE61" s="838"/>
    </row>
    <row r="62" spans="1:31" ht="15.75" customHeight="1" x14ac:dyDescent="0.2">
      <c r="A62" s="885"/>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0.61991617473693439</v>
      </c>
      <c r="AA62" s="4">
        <f>IF(H62*G62,LOOKUP(Z62,'Daniel''s Tables'!$Z$135:$Z$214,'Daniel''s Tables'!$AB$135:$AB$214),0)</f>
        <v>0.1285</v>
      </c>
      <c r="AB62" s="869">
        <f t="shared" si="12"/>
        <v>10.845400000000001</v>
      </c>
      <c r="AC62" s="871">
        <f t="shared" si="6"/>
        <v>112.379075</v>
      </c>
      <c r="AD62" s="838">
        <f t="shared" si="7"/>
        <v>120.1543904761905</v>
      </c>
      <c r="AE62" s="838"/>
    </row>
    <row r="63" spans="1:31" ht="15.75" customHeight="1" x14ac:dyDescent="0.2">
      <c r="A63" s="885"/>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0.60817431608940409</v>
      </c>
      <c r="AA63" s="4">
        <f>IF(H63*G63,LOOKUP(Z63,'Daniel''s Tables'!$Z$135:$Z$214,'Daniel''s Tables'!$AB$135:$AB$214),0)</f>
        <v>0.11599999999999999</v>
      </c>
      <c r="AB63" s="869">
        <f t="shared" si="12"/>
        <v>4.8719999999999999</v>
      </c>
      <c r="AC63" s="871">
        <f t="shared" si="6"/>
        <v>111.031575</v>
      </c>
      <c r="AD63" s="838">
        <f t="shared" si="7"/>
        <v>119.89842380952382</v>
      </c>
      <c r="AE63" s="838"/>
    </row>
    <row r="64" spans="1:31" ht="15.75" customHeight="1" x14ac:dyDescent="0.2">
      <c r="A64" s="885"/>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0.70781518611059702</v>
      </c>
      <c r="AA64" s="4">
        <f>IF(H64*G64,LOOKUP(Z64,'Daniel''s Tables'!$Z$135:$Z$214,'Daniel''s Tables'!$AB$135:$AB$214),0)</f>
        <v>0.26649999999999996</v>
      </c>
      <c r="AB64" s="869">
        <f t="shared" si="12"/>
        <v>37.003524999999996</v>
      </c>
      <c r="AC64" s="871">
        <f t="shared" si="6"/>
        <v>98.921475000000001</v>
      </c>
      <c r="AD64" s="838">
        <f t="shared" si="7"/>
        <v>115.05097261904761</v>
      </c>
      <c r="AE64" s="838">
        <f>AC64</f>
        <v>98.921475000000001</v>
      </c>
    </row>
    <row r="65" spans="1:31" ht="15.75" customHeight="1" x14ac:dyDescent="0.2">
      <c r="A65" s="884"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0.60903450932271663</v>
      </c>
      <c r="AA65" s="4">
        <f>IF(H65*G65,LOOKUP(Z65,'Daniel''s Tables'!$Z$135:$Z$214,'Daniel''s Tables'!$AB$135:$AB$214),0)</f>
        <v>0.11599999999999999</v>
      </c>
      <c r="AB65" s="869">
        <f t="shared" si="12"/>
        <v>4.524</v>
      </c>
      <c r="AC65" s="871">
        <f t="shared" si="6"/>
        <v>97.633808333333334</v>
      </c>
      <c r="AD65" s="838">
        <f t="shared" si="7"/>
        <v>110.21316547619048</v>
      </c>
      <c r="AE65" s="838"/>
    </row>
    <row r="66" spans="1:31" ht="15.75" customHeight="1" x14ac:dyDescent="0.2">
      <c r="A66" s="884"/>
      <c r="B66" s="854">
        <v>69</v>
      </c>
      <c r="C66" s="855">
        <f t="shared" si="0"/>
        <v>45873</v>
      </c>
      <c r="D66" s="854" t="s">
        <v>33</v>
      </c>
      <c r="E66" s="856" t="s">
        <v>502</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0.59581056741747174</v>
      </c>
      <c r="AA66" s="4">
        <f>IF(H66*G66,LOOKUP(Z66,'Daniel''s Tables'!$Z$135:$Z$214,'Daniel''s Tables'!$AB$135:$AB$214),0)</f>
        <v>0.10500000000000001</v>
      </c>
      <c r="AB66" s="869">
        <f t="shared" si="12"/>
        <v>4.1597500000000007</v>
      </c>
      <c r="AC66" s="871">
        <f t="shared" si="6"/>
        <v>95.750225</v>
      </c>
      <c r="AD66" s="838">
        <f t="shared" si="7"/>
        <v>105.62722738095239</v>
      </c>
      <c r="AE66" s="838"/>
    </row>
    <row r="67" spans="1:31" ht="15.75" customHeight="1" x14ac:dyDescent="0.2">
      <c r="A67" s="884"/>
      <c r="B67" s="854">
        <v>68</v>
      </c>
      <c r="C67" s="855">
        <f t="shared" si="0"/>
        <v>45874</v>
      </c>
      <c r="D67" s="854" t="s">
        <v>34</v>
      </c>
      <c r="E67" s="856" t="s">
        <v>501</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0.72820803757894703</v>
      </c>
      <c r="AA67" s="4">
        <f>IF(H67*G67,LOOKUP(Z67,'Daniel''s Tables'!$Z$135:$Z$214,'Daniel''s Tables'!$AB$135:$AB$214),0)</f>
        <v>0.3085</v>
      </c>
      <c r="AB67" s="869">
        <f t="shared" si="12"/>
        <v>23.461425000000002</v>
      </c>
      <c r="AC67" s="871">
        <f t="shared" si="6"/>
        <v>92.808599999999998</v>
      </c>
      <c r="AD67" s="838">
        <f t="shared" si="7"/>
        <v>102.73429999999999</v>
      </c>
      <c r="AE67" s="838"/>
    </row>
    <row r="68" spans="1:31" ht="15.75" customHeight="1" x14ac:dyDescent="0.2">
      <c r="A68" s="884"/>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0.56121096229472567</v>
      </c>
      <c r="AA68" s="4">
        <f>IF(H68*G68,LOOKUP(Z68,'Daniel''s Tables'!$Z$135:$Z$214,'Daniel''s Tables'!$AB$135:$AB$214),0)</f>
        <v>0.1</v>
      </c>
      <c r="AB68" s="869">
        <f t="shared" si="12"/>
        <v>4.2066666666666661</v>
      </c>
      <c r="AC68" s="871">
        <f t="shared" si="6"/>
        <v>89.072766666666666</v>
      </c>
      <c r="AD68" s="838">
        <f t="shared" si="7"/>
        <v>99.656789285714282</v>
      </c>
      <c r="AE68" s="838"/>
    </row>
    <row r="69" spans="1:31" ht="15.75" customHeight="1" x14ac:dyDescent="0.2">
      <c r="A69" s="884"/>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0.7959928536455857</v>
      </c>
      <c r="AA69" s="4">
        <f>IF(H69*G69,LOOKUP(Z69,'Daniel''s Tables'!$Z$135:$Z$214,'Daniel''s Tables'!$AB$135:$AB$214),0)</f>
        <v>0.45450000000000002</v>
      </c>
      <c r="AB69" s="869">
        <f t="shared" si="12"/>
        <v>51.267600000000009</v>
      </c>
      <c r="AC69" s="871">
        <f t="shared" si="6"/>
        <v>129.49496666666667</v>
      </c>
      <c r="AD69" s="838">
        <f t="shared" si="7"/>
        <v>102.10191666666667</v>
      </c>
      <c r="AE69" s="838"/>
    </row>
    <row r="70" spans="1:31" ht="15.75" customHeight="1" x14ac:dyDescent="0.2">
      <c r="A70" s="884"/>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0.57586891347186997</v>
      </c>
      <c r="AA70" s="4">
        <f>IF(H70*G70,LOOKUP(Z70,'Daniel''s Tables'!$Z$135:$Z$214,'Daniel''s Tables'!$AB$135:$AB$214),0)</f>
        <v>0.1</v>
      </c>
      <c r="AB70" s="869">
        <f t="shared" si="12"/>
        <v>4.0716666666666672</v>
      </c>
      <c r="AC70" s="871">
        <f t="shared" si="6"/>
        <v>128.69463333333334</v>
      </c>
      <c r="AD70" s="838">
        <f t="shared" si="7"/>
        <v>104.62521071428571</v>
      </c>
      <c r="AE70" s="838"/>
    </row>
    <row r="71" spans="1:31" ht="15.75" customHeight="1" x14ac:dyDescent="0.2">
      <c r="A71" s="884"/>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0.64087505299761227</v>
      </c>
      <c r="AA71" s="4">
        <f>IF(H71*G71,LOOKUP(Z71,'Daniel''s Tables'!$Z$135:$Z$214,'Daniel''s Tables'!$AB$135:$AB$214),0)</f>
        <v>0.16700000000000001</v>
      </c>
      <c r="AB71" s="869">
        <f t="shared" si="12"/>
        <v>25.02773333333333</v>
      </c>
      <c r="AC71" s="871">
        <f t="shared" si="6"/>
        <v>116.71884166666668</v>
      </c>
      <c r="AD71" s="838">
        <f t="shared" si="7"/>
        <v>107.16769166666666</v>
      </c>
      <c r="AE71" s="838">
        <f>AC71</f>
        <v>116.71884166666668</v>
      </c>
    </row>
    <row r="72" spans="1:31" ht="15.75" customHeight="1" x14ac:dyDescent="0.2">
      <c r="A72" s="885"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0.61220163280215489</v>
      </c>
      <c r="AA72" s="4">
        <f>IF(H72*G72,LOOKUP(Z72,'Daniel''s Tables'!$Z$135:$Z$214,'Daniel''s Tables'!$AB$135:$AB$214),0)</f>
        <v>0.122</v>
      </c>
      <c r="AB72" s="869">
        <f t="shared" si="12"/>
        <v>7.1166666666666671</v>
      </c>
      <c r="AC72" s="871">
        <f t="shared" si="6"/>
        <v>119.31150833333334</v>
      </c>
      <c r="AD72" s="838">
        <f t="shared" si="7"/>
        <v>110.26450595238096</v>
      </c>
      <c r="AE72" s="838"/>
    </row>
    <row r="73" spans="1:31" ht="15.75" customHeight="1" x14ac:dyDescent="0.2">
      <c r="A73" s="885"/>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0.74032350897457977</v>
      </c>
      <c r="AA73" s="4">
        <f>IF(H73*G73,LOOKUP(Z73,'Daniel''s Tables'!$Z$135:$Z$214,'Daniel''s Tables'!$AB$135:$AB$214),0)</f>
        <v>0.33300000000000002</v>
      </c>
      <c r="AB73" s="869">
        <f t="shared" si="12"/>
        <v>31.263150000000003</v>
      </c>
      <c r="AC73" s="871">
        <f t="shared" si="6"/>
        <v>146.41490833333336</v>
      </c>
      <c r="AD73" s="838">
        <f t="shared" si="7"/>
        <v>117.50231785714287</v>
      </c>
      <c r="AE73" s="838"/>
    </row>
    <row r="74" spans="1:31" ht="15.75" customHeight="1" x14ac:dyDescent="0.2">
      <c r="A74" s="885"/>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0.60189990941103033</v>
      </c>
      <c r="AA74" s="4">
        <f>IF(H74*G74,LOOKUP(Z74,'Daniel''s Tables'!$Z$135:$Z$214,'Daniel''s Tables'!$AB$135:$AB$214),0)</f>
        <v>0.11</v>
      </c>
      <c r="AB74" s="869">
        <f t="shared" si="12"/>
        <v>8.0061666666666671</v>
      </c>
      <c r="AC74" s="871">
        <f t="shared" si="6"/>
        <v>130.95965000000001</v>
      </c>
      <c r="AD74" s="838">
        <f t="shared" si="7"/>
        <v>122.95246785714286</v>
      </c>
      <c r="AE74" s="838"/>
    </row>
    <row r="75" spans="1:31" ht="15.75" customHeight="1" x14ac:dyDescent="0.2">
      <c r="A75" s="885"/>
      <c r="B75" s="6">
        <v>60</v>
      </c>
      <c r="C75" s="17">
        <f t="shared" si="0"/>
        <v>45882</v>
      </c>
      <c r="D75" s="6" t="s">
        <v>26</v>
      </c>
      <c r="E75" s="4" t="s">
        <v>479</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0.74560877367677181</v>
      </c>
      <c r="AA75" s="4">
        <f>IF(H75*G75,LOOKUP(Z75,'Daniel''s Tables'!$Z$135:$Z$214,'Daniel''s Tables'!$AB$135:$AB$214),0)</f>
        <v>0.34150000000000003</v>
      </c>
      <c r="AB75" s="869">
        <f t="shared" si="12"/>
        <v>45.100766666666672</v>
      </c>
      <c r="AC75" s="871">
        <f t="shared" si="6"/>
        <v>171.85374999999999</v>
      </c>
      <c r="AD75" s="838">
        <f t="shared" si="7"/>
        <v>134.77832261904763</v>
      </c>
      <c r="AE75" s="838"/>
    </row>
    <row r="76" spans="1:31" ht="15.75" customHeight="1" x14ac:dyDescent="0.2">
      <c r="A76" s="885"/>
      <c r="B76" s="6">
        <v>59</v>
      </c>
      <c r="C76" s="17">
        <f t="shared" si="0"/>
        <v>45883</v>
      </c>
      <c r="D76" s="6" t="s">
        <v>27</v>
      </c>
      <c r="E76" s="4" t="s">
        <v>385</v>
      </c>
      <c r="F76" s="6">
        <v>8</v>
      </c>
      <c r="G76" s="6"/>
      <c r="H76" s="29"/>
      <c r="I76" s="6" t="str">
        <f t="shared" si="14"/>
        <v>0:00</v>
      </c>
      <c r="J76" s="6"/>
      <c r="K76" s="6"/>
      <c r="L76" s="6" t="str">
        <f t="shared" si="2"/>
        <v>0:00</v>
      </c>
      <c r="M76" s="6"/>
      <c r="N76" s="28"/>
      <c r="O76" s="16"/>
      <c r="P76" s="861">
        <f>N77+P69</f>
        <v>3.4287384259259261</v>
      </c>
      <c r="Q76" s="865"/>
      <c r="R76" s="4"/>
      <c r="S76" s="4"/>
      <c r="T76" s="16">
        <f t="shared" si="5"/>
        <v>76.099999999999994</v>
      </c>
      <c r="U76" s="868">
        <f t="shared" si="8"/>
        <v>77.41</v>
      </c>
      <c r="V76" s="4">
        <v>70</v>
      </c>
      <c r="W76" s="4">
        <f t="shared" si="9"/>
        <v>87</v>
      </c>
      <c r="X76" s="868">
        <f t="shared" si="10"/>
        <v>79.714285714285708</v>
      </c>
      <c r="Y76" s="4"/>
      <c r="Z76" s="869" t="e">
        <f t="shared" si="11"/>
        <v>#DIV/0!</v>
      </c>
      <c r="AA76" s="4">
        <f>IF(H76*G76,LOOKUP(Z76,'Daniel''s Tables'!$Z$135:$Z$214,'Daniel''s Tables'!$AB$135:$AB$214),0)</f>
        <v>0</v>
      </c>
      <c r="AB76" s="869">
        <f t="shared" si="12"/>
        <v>0</v>
      </c>
      <c r="AC76" s="871">
        <f t="shared" si="6"/>
        <v>120.58615000000002</v>
      </c>
      <c r="AD76" s="838">
        <f t="shared" si="7"/>
        <v>133.50563452380953</v>
      </c>
      <c r="AE76" s="838"/>
    </row>
    <row r="77" spans="1:31" ht="15.75" customHeight="1" x14ac:dyDescent="0.2">
      <c r="A77" s="885"/>
      <c r="B77" s="6">
        <v>58</v>
      </c>
      <c r="C77" s="17">
        <f t="shared" si="0"/>
        <v>45884</v>
      </c>
      <c r="D77" s="6" t="s">
        <v>28</v>
      </c>
      <c r="E77" s="4" t="s">
        <v>437</v>
      </c>
      <c r="F77" s="6">
        <v>10</v>
      </c>
      <c r="G77" s="6"/>
      <c r="H77" s="29"/>
      <c r="I77" s="6" t="str">
        <f t="shared" si="14"/>
        <v>0:00</v>
      </c>
      <c r="J77" s="6"/>
      <c r="K77" s="6"/>
      <c r="L77" s="6" t="str">
        <f t="shared" si="2"/>
        <v>0:00</v>
      </c>
      <c r="M77" s="6"/>
      <c r="N77" s="28">
        <f>SUM(H72:H78)</f>
        <v>0.24796296296296297</v>
      </c>
      <c r="O77" s="16"/>
      <c r="P77" s="863">
        <f>N78+P70</f>
        <v>666.62</v>
      </c>
      <c r="Q77" s="866"/>
      <c r="R77" s="4"/>
      <c r="T77" s="16">
        <f t="shared" si="5"/>
        <v>71.09</v>
      </c>
      <c r="U77" s="868">
        <f t="shared" si="8"/>
        <v>77.618571428571428</v>
      </c>
      <c r="V77" s="4">
        <v>70</v>
      </c>
      <c r="W77" s="4">
        <f t="shared" si="9"/>
        <v>92</v>
      </c>
      <c r="X77" s="868">
        <f t="shared" si="10"/>
        <v>83.285714285714292</v>
      </c>
      <c r="Y77" s="4"/>
      <c r="Z77" s="869" t="e">
        <f t="shared" si="11"/>
        <v>#DIV/0!</v>
      </c>
      <c r="AA77" s="4">
        <f>IF(H77*G77,LOOKUP(Z77,'Daniel''s Tables'!$Z$135:$Z$214,'Daniel''s Tables'!$AB$135:$AB$214),0)</f>
        <v>0</v>
      </c>
      <c r="AB77" s="869">
        <f t="shared" si="12"/>
        <v>0</v>
      </c>
      <c r="AC77" s="871">
        <f t="shared" si="6"/>
        <v>116.51448333333335</v>
      </c>
      <c r="AD77" s="838">
        <f t="shared" si="7"/>
        <v>131.76561309523811</v>
      </c>
      <c r="AE77" s="838"/>
    </row>
    <row r="78" spans="1:31" ht="15.75" customHeight="1" x14ac:dyDescent="0.2">
      <c r="A78" s="885"/>
      <c r="B78" s="6">
        <v>57</v>
      </c>
      <c r="C78" s="17">
        <f t="shared" si="0"/>
        <v>45885</v>
      </c>
      <c r="D78" s="6" t="s">
        <v>30</v>
      </c>
      <c r="E78" s="4" t="s">
        <v>385</v>
      </c>
      <c r="F78" s="6">
        <v>8</v>
      </c>
      <c r="G78" s="6"/>
      <c r="H78" s="29"/>
      <c r="I78" s="6" t="str">
        <f t="shared" si="14"/>
        <v>0:00</v>
      </c>
      <c r="J78" s="29"/>
      <c r="K78" s="6"/>
      <c r="L78" s="6" t="str">
        <f t="shared" si="2"/>
        <v>0:00</v>
      </c>
      <c r="M78" s="4">
        <f>SUM(F72:F78)</f>
        <v>80</v>
      </c>
      <c r="N78" s="6">
        <f>SUM(G72:G78)</f>
        <v>50.989999999999995</v>
      </c>
      <c r="O78" s="16"/>
      <c r="P78" s="863">
        <f>M78+P71</f>
        <v>722</v>
      </c>
      <c r="Q78" s="862">
        <f>P77/P78</f>
        <v>0.9232963988919668</v>
      </c>
      <c r="R78" s="4"/>
      <c r="T78" s="16">
        <f t="shared" ref="T78:T135" si="15">SUM(G72:G78)</f>
        <v>50.989999999999995</v>
      </c>
      <c r="U78" s="868">
        <f t="shared" si="8"/>
        <v>74.967142857142875</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91.486750000000001</v>
      </c>
      <c r="AD78" s="838">
        <f t="shared" si="7"/>
        <v>128.16102857142857</v>
      </c>
      <c r="AE78" s="838">
        <f>AC78</f>
        <v>91.486750000000001</v>
      </c>
    </row>
    <row r="79" spans="1:31" ht="15.75" customHeight="1" x14ac:dyDescent="0.2">
      <c r="A79" s="884"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43.45</v>
      </c>
      <c r="U79" s="868">
        <f t="shared" si="8"/>
        <v>70.878571428571433</v>
      </c>
      <c r="V79" s="4">
        <v>70</v>
      </c>
      <c r="W79" s="4">
        <f t="shared" si="9"/>
        <v>77</v>
      </c>
      <c r="X79" s="868">
        <f t="shared" si="10"/>
        <v>85.571428571428569</v>
      </c>
      <c r="Y79" s="4"/>
      <c r="Z79" s="869" t="e">
        <f t="shared" si="11"/>
        <v>#DIV/0!</v>
      </c>
      <c r="AA79" s="4">
        <f>IF(H79*G79,LOOKUP(Z79,'Daniel''s Tables'!$Z$135:$Z$214,'Daniel''s Tables'!$AB$135:$AB$214),0)</f>
        <v>0</v>
      </c>
      <c r="AB79" s="869">
        <f t="shared" si="12"/>
        <v>0</v>
      </c>
      <c r="AC79" s="871">
        <f t="shared" ref="AC79:AC135" si="16">SUM(AB73:AB79)</f>
        <v>84.370083333333341</v>
      </c>
      <c r="AD79" s="838">
        <f t="shared" ref="AD79:AD135" si="17">SUM(AC73:AC79)/7</f>
        <v>123.16939642857145</v>
      </c>
      <c r="AE79" s="838"/>
    </row>
    <row r="80" spans="1:31" ht="15.75" customHeight="1" x14ac:dyDescent="0.2">
      <c r="A80" s="884"/>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29.299999999999997</v>
      </c>
      <c r="U80" s="868">
        <f t="shared" ref="U80:U135" si="18">SUM(T74:T80)/7</f>
        <v>63.462857142857146</v>
      </c>
      <c r="V80" s="4">
        <v>70</v>
      </c>
      <c r="W80" s="4">
        <f t="shared" ref="W80:W135" si="19">SUM(F74:F80)</f>
        <v>69</v>
      </c>
      <c r="X80" s="868">
        <f t="shared" ref="X80:X135" si="20">SUM(W74:W80)/7</f>
        <v>83.428571428571431</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53.106933333333338</v>
      </c>
      <c r="AD80" s="838">
        <f t="shared" si="17"/>
        <v>109.83968571428572</v>
      </c>
      <c r="AE80" s="838"/>
    </row>
    <row r="81" spans="1:31" ht="15.75" customHeight="1" x14ac:dyDescent="0.2">
      <c r="A81" s="884"/>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20.02</v>
      </c>
      <c r="U81" s="868">
        <f t="shared" si="18"/>
        <v>55.011428571428567</v>
      </c>
      <c r="V81" s="4">
        <v>70</v>
      </c>
      <c r="W81" s="4">
        <f t="shared" si="19"/>
        <v>78</v>
      </c>
      <c r="X81" s="868">
        <f t="shared" si="20"/>
        <v>82.857142857142861</v>
      </c>
      <c r="Y81" s="4"/>
      <c r="Z81" s="869" t="e">
        <f t="shared" si="21"/>
        <v>#DIV/0!</v>
      </c>
      <c r="AA81" s="4">
        <f>IF(H81*G81,LOOKUP(Z81,'Daniel''s Tables'!$Z$135:$Z$214,'Daniel''s Tables'!$AB$135:$AB$214),0)</f>
        <v>0</v>
      </c>
      <c r="AB81" s="869">
        <f t="shared" si="22"/>
        <v>0</v>
      </c>
      <c r="AC81" s="871">
        <f t="shared" si="16"/>
        <v>45.100766666666672</v>
      </c>
      <c r="AD81" s="838">
        <f t="shared" si="17"/>
        <v>97.574130952380969</v>
      </c>
      <c r="AE81" s="838"/>
    </row>
    <row r="82" spans="1:31" ht="15.75" customHeight="1" x14ac:dyDescent="0.2">
      <c r="A82" s="884"/>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41.56428571428571</v>
      </c>
      <c r="V82" s="4">
        <v>70</v>
      </c>
      <c r="W82" s="4">
        <f t="shared" si="19"/>
        <v>65</v>
      </c>
      <c r="X82" s="868">
        <f t="shared" si="20"/>
        <v>78.285714285714292</v>
      </c>
      <c r="Y82" s="4"/>
      <c r="Z82" s="869" t="e">
        <f t="shared" si="21"/>
        <v>#DIV/0!</v>
      </c>
      <c r="AA82" s="4">
        <f>IF(H82*G82,LOOKUP(Z82,'Daniel''s Tables'!$Z$135:$Z$214,'Daniel''s Tables'!$AB$135:$AB$214),0)</f>
        <v>0</v>
      </c>
      <c r="AB82" s="869">
        <f t="shared" si="22"/>
        <v>0</v>
      </c>
      <c r="AC82" s="871">
        <f t="shared" si="16"/>
        <v>0</v>
      </c>
      <c r="AD82" s="838">
        <f t="shared" si="17"/>
        <v>73.023595238095254</v>
      </c>
      <c r="AE82" s="838"/>
    </row>
    <row r="83" spans="1:31" ht="15.75" customHeight="1" x14ac:dyDescent="0.2">
      <c r="A83" s="884"/>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3.4287384259259261</v>
      </c>
      <c r="Q83" s="865"/>
      <c r="R83" s="4"/>
      <c r="S83" s="4"/>
      <c r="T83" s="16">
        <f t="shared" si="15"/>
        <v>0</v>
      </c>
      <c r="U83" s="868">
        <f t="shared" si="18"/>
        <v>30.692857142857143</v>
      </c>
      <c r="V83" s="4">
        <v>70</v>
      </c>
      <c r="W83" s="4">
        <f t="shared" si="19"/>
        <v>67</v>
      </c>
      <c r="X83" s="868">
        <f t="shared" si="20"/>
        <v>75.428571428571431</v>
      </c>
      <c r="Y83" s="4"/>
      <c r="Z83" s="869" t="e">
        <f t="shared" si="21"/>
        <v>#DIV/0!</v>
      </c>
      <c r="AA83" s="4">
        <f>IF(H83*G83,LOOKUP(Z83,'Daniel''s Tables'!$Z$135:$Z$214,'Daniel''s Tables'!$AB$135:$AB$214),0)</f>
        <v>0</v>
      </c>
      <c r="AB83" s="869">
        <f t="shared" si="22"/>
        <v>0</v>
      </c>
      <c r="AC83" s="871">
        <f t="shared" si="16"/>
        <v>0</v>
      </c>
      <c r="AD83" s="838">
        <f t="shared" si="17"/>
        <v>55.797002380952392</v>
      </c>
      <c r="AE83" s="838"/>
    </row>
    <row r="84" spans="1:31" ht="15.75" customHeight="1" x14ac:dyDescent="0.2">
      <c r="A84" s="884"/>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666.62</v>
      </c>
      <c r="Q84" s="866"/>
      <c r="R84" s="4"/>
      <c r="S84" s="4"/>
      <c r="T84" s="16">
        <f t="shared" si="15"/>
        <v>0</v>
      </c>
      <c r="U84" s="868">
        <f t="shared" si="18"/>
        <v>20.537142857142857</v>
      </c>
      <c r="V84" s="4">
        <v>70</v>
      </c>
      <c r="W84" s="4">
        <f t="shared" si="19"/>
        <v>64</v>
      </c>
      <c r="X84" s="868">
        <f t="shared" si="20"/>
        <v>71.428571428571431</v>
      </c>
      <c r="Y84" s="4"/>
      <c r="Z84" s="869" t="e">
        <f t="shared" si="21"/>
        <v>#DIV/0!</v>
      </c>
      <c r="AA84" s="4">
        <f>IF(H84*G84,LOOKUP(Z84,'Daniel''s Tables'!$Z$135:$Z$214,'Daniel''s Tables'!$AB$135:$AB$214),0)</f>
        <v>0</v>
      </c>
      <c r="AB84" s="869">
        <f t="shared" si="22"/>
        <v>0</v>
      </c>
      <c r="AC84" s="871">
        <f t="shared" si="16"/>
        <v>0</v>
      </c>
      <c r="AD84" s="838">
        <f t="shared" si="17"/>
        <v>39.152076190476187</v>
      </c>
      <c r="AE84" s="838"/>
    </row>
    <row r="85" spans="1:31" ht="15.75" customHeight="1" x14ac:dyDescent="0.2">
      <c r="A85" s="884"/>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0.83746231155778894</v>
      </c>
      <c r="R85" s="4"/>
      <c r="S85" s="4"/>
      <c r="T85" s="16">
        <f t="shared" si="15"/>
        <v>0</v>
      </c>
      <c r="U85" s="868">
        <f t="shared" si="18"/>
        <v>13.252857142857142</v>
      </c>
      <c r="V85" s="4">
        <v>70</v>
      </c>
      <c r="W85" s="4">
        <f t="shared" si="19"/>
        <v>74</v>
      </c>
      <c r="X85" s="868">
        <f t="shared" si="20"/>
        <v>70.571428571428569</v>
      </c>
      <c r="Y85" s="4"/>
      <c r="Z85" s="869" t="e">
        <f t="shared" si="21"/>
        <v>#DIV/0!</v>
      </c>
      <c r="AA85" s="4">
        <f>IF(H85*G85,LOOKUP(Z85,'Daniel''s Tables'!$Z$135:$Z$214,'Daniel''s Tables'!$AB$135:$AB$214),0)</f>
        <v>0</v>
      </c>
      <c r="AB85" s="869">
        <f t="shared" si="22"/>
        <v>0</v>
      </c>
      <c r="AC85" s="871">
        <f t="shared" si="16"/>
        <v>0</v>
      </c>
      <c r="AD85" s="838">
        <f t="shared" si="17"/>
        <v>26.082540476190477</v>
      </c>
      <c r="AE85" s="838">
        <f>AC85</f>
        <v>0</v>
      </c>
    </row>
    <row r="86" spans="1:31" ht="15.75" customHeight="1" x14ac:dyDescent="0.2">
      <c r="A86" s="885"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7.0457142857142845</v>
      </c>
      <c r="V86" s="4">
        <v>70</v>
      </c>
      <c r="W86" s="4">
        <f t="shared" si="19"/>
        <v>77</v>
      </c>
      <c r="X86" s="868">
        <f t="shared" si="20"/>
        <v>70.571428571428569</v>
      </c>
      <c r="Y86" s="4"/>
      <c r="Z86" s="869" t="e">
        <f t="shared" si="21"/>
        <v>#DIV/0!</v>
      </c>
      <c r="AA86" s="4">
        <f>IF(H86*G86,LOOKUP(Z86,'Daniel''s Tables'!$Z$135:$Z$214,'Daniel''s Tables'!$AB$135:$AB$214),0)</f>
        <v>0</v>
      </c>
      <c r="AB86" s="869">
        <f t="shared" si="22"/>
        <v>0</v>
      </c>
      <c r="AC86" s="871">
        <f t="shared" si="16"/>
        <v>0</v>
      </c>
      <c r="AD86" s="838">
        <f t="shared" si="17"/>
        <v>14.029671428571431</v>
      </c>
      <c r="AE86" s="838"/>
    </row>
    <row r="87" spans="1:31" ht="15.75" customHeight="1" x14ac:dyDescent="0.2">
      <c r="A87" s="885"/>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2.86</v>
      </c>
      <c r="V87" s="4">
        <v>70</v>
      </c>
      <c r="W87" s="4">
        <f t="shared" si="19"/>
        <v>76</v>
      </c>
      <c r="X87" s="868">
        <f t="shared" si="20"/>
        <v>71.571428571428569</v>
      </c>
      <c r="Y87" s="4"/>
      <c r="Z87" s="869" t="e">
        <f t="shared" si="21"/>
        <v>#DIV/0!</v>
      </c>
      <c r="AA87" s="4">
        <f>IF(H87*G87,LOOKUP(Z87,'Daniel''s Tables'!$Z$135:$Z$214,'Daniel''s Tables'!$AB$135:$AB$214),0)</f>
        <v>0</v>
      </c>
      <c r="AB87" s="869">
        <f t="shared" si="22"/>
        <v>0</v>
      </c>
      <c r="AC87" s="871">
        <f t="shared" si="16"/>
        <v>0</v>
      </c>
      <c r="AD87" s="838">
        <f t="shared" si="17"/>
        <v>6.4429666666666678</v>
      </c>
      <c r="AE87" s="838"/>
    </row>
    <row r="88" spans="1:31" ht="15.75" customHeight="1" x14ac:dyDescent="0.2">
      <c r="A88" s="885"/>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85"/>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72</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85"/>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3.4287384259259261</v>
      </c>
      <c r="Q90" s="865"/>
      <c r="R90" s="4"/>
      <c r="S90" s="4"/>
      <c r="T90" s="16">
        <f t="shared" si="15"/>
        <v>0</v>
      </c>
      <c r="U90" s="868">
        <f t="shared" si="18"/>
        <v>0</v>
      </c>
      <c r="V90" s="4">
        <v>70</v>
      </c>
      <c r="W90" s="4">
        <f t="shared" si="19"/>
        <v>72</v>
      </c>
      <c r="X90" s="868">
        <f t="shared" si="20"/>
        <v>72.714285714285708</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8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666.62</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85"/>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0.76799539170506914</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84"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84"/>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84"/>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84"/>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84"/>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3.4287384259259261</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84"/>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666.62</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84"/>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0.7031856540084388</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85"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85"/>
      <c r="B101" s="6">
        <v>34</v>
      </c>
      <c r="C101" s="17">
        <f t="shared" si="0"/>
        <v>45908</v>
      </c>
      <c r="D101" s="6" t="s">
        <v>33</v>
      </c>
      <c r="E101" s="4" t="s">
        <v>385</v>
      </c>
      <c r="F101" s="6">
        <v>8</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80</v>
      </c>
      <c r="X101" s="868">
        <f t="shared" si="20"/>
        <v>78.857142857142861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85"/>
      <c r="B102" s="6">
        <v>33</v>
      </c>
      <c r="C102" s="17">
        <f t="shared" si="0"/>
        <v>45909</v>
      </c>
      <c r="D102" s="6" t="s">
        <v>34</v>
      </c>
      <c r="E102" s="4" t="s">
        <v>416</v>
      </c>
      <c r="F102" s="6">
        <v>14</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80</v>
      </c>
      <c r="X102" s="868">
        <f t="shared" si="20"/>
        <v>80</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85"/>
      <c r="B103" s="6">
        <v>32</v>
      </c>
      <c r="C103" s="17">
        <f t="shared" si="0"/>
        <v>45910</v>
      </c>
      <c r="D103" s="6" t="s">
        <v>26</v>
      </c>
      <c r="E103" s="4" t="s">
        <v>384</v>
      </c>
      <c r="F103" s="6">
        <v>7</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77</v>
      </c>
      <c r="X103" s="868">
        <f t="shared" si="20"/>
        <v>80</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85"/>
      <c r="B104" s="6">
        <v>31</v>
      </c>
      <c r="C104" s="17">
        <f t="shared" si="0"/>
        <v>45911</v>
      </c>
      <c r="D104" s="6" t="s">
        <v>27</v>
      </c>
      <c r="E104" s="4" t="s">
        <v>443</v>
      </c>
      <c r="F104" s="6">
        <v>12</v>
      </c>
      <c r="G104" s="6"/>
      <c r="H104" s="29"/>
      <c r="I104" s="6" t="str">
        <f t="shared" si="14"/>
        <v>0:00</v>
      </c>
      <c r="J104" s="6"/>
      <c r="K104" s="6"/>
      <c r="L104" s="6" t="str">
        <f t="shared" si="2"/>
        <v>0:00</v>
      </c>
      <c r="M104" s="6"/>
      <c r="N104" s="28"/>
      <c r="O104" s="16"/>
      <c r="P104" s="861">
        <f>N105+P97</f>
        <v>3.4287384259259261</v>
      </c>
      <c r="Q104" s="865"/>
      <c r="R104" s="4"/>
      <c r="S104" s="4"/>
      <c r="T104" s="16">
        <f t="shared" si="15"/>
        <v>0</v>
      </c>
      <c r="U104" s="868">
        <f t="shared" si="18"/>
        <v>0</v>
      </c>
      <c r="V104" s="4">
        <v>70</v>
      </c>
      <c r="W104" s="4">
        <f t="shared" si="19"/>
        <v>77</v>
      </c>
      <c r="X104" s="868">
        <f t="shared" si="20"/>
        <v>79.714285714285708</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85"/>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666.62</v>
      </c>
      <c r="Q105" s="866"/>
      <c r="R105" s="4"/>
      <c r="S105" s="4"/>
      <c r="T105" s="16">
        <f t="shared" si="15"/>
        <v>0</v>
      </c>
      <c r="U105" s="868">
        <f t="shared" si="18"/>
        <v>0</v>
      </c>
      <c r="V105" s="4">
        <v>70</v>
      </c>
      <c r="W105" s="4">
        <f t="shared" si="19"/>
        <v>76</v>
      </c>
      <c r="X105" s="868">
        <f t="shared" si="20"/>
        <v>78.857142857142861</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85"/>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0.65227005870841492</v>
      </c>
      <c r="R106" s="4"/>
      <c r="S106" s="4"/>
      <c r="T106" s="16">
        <f t="shared" si="15"/>
        <v>0</v>
      </c>
      <c r="U106" s="868">
        <f t="shared" si="18"/>
        <v>0</v>
      </c>
      <c r="V106" s="4">
        <v>70</v>
      </c>
      <c r="W106" s="4">
        <f t="shared" si="19"/>
        <v>74</v>
      </c>
      <c r="X106" s="868">
        <f t="shared" si="20"/>
        <v>78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84"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76.857142857142861</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84"/>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72</v>
      </c>
      <c r="X108" s="868">
        <f t="shared" si="20"/>
        <v>75.714285714285708</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84"/>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70</v>
      </c>
      <c r="X109" s="868">
        <f t="shared" si="20"/>
        <v>74.285714285714292</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84"/>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73</v>
      </c>
      <c r="X110" s="868">
        <f t="shared" si="20"/>
        <v>73.714285714285708</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84"/>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3.4287384259259261</v>
      </c>
      <c r="Q111" s="865"/>
      <c r="R111" s="4"/>
      <c r="S111" s="4"/>
      <c r="T111" s="16">
        <f t="shared" si="15"/>
        <v>0</v>
      </c>
      <c r="U111" s="868">
        <f t="shared" si="18"/>
        <v>0</v>
      </c>
      <c r="V111" s="4">
        <v>70</v>
      </c>
      <c r="W111" s="4">
        <f t="shared" si="19"/>
        <v>68</v>
      </c>
      <c r="X111" s="868">
        <f t="shared" si="20"/>
        <v>72.428571428571431</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84"/>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666.62</v>
      </c>
      <c r="Q112" s="866"/>
      <c r="R112" s="4"/>
      <c r="S112" s="4"/>
      <c r="T112" s="16">
        <f t="shared" si="15"/>
        <v>0</v>
      </c>
      <c r="U112" s="868">
        <f t="shared" si="18"/>
        <v>0</v>
      </c>
      <c r="V112" s="4">
        <v>70</v>
      </c>
      <c r="W112" s="4">
        <f t="shared" si="19"/>
        <v>66</v>
      </c>
      <c r="X112" s="868">
        <f t="shared" si="20"/>
        <v>71</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84"/>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0.61157798165137611</v>
      </c>
      <c r="R113" s="4"/>
      <c r="S113" s="4"/>
      <c r="T113" s="16">
        <f t="shared" si="15"/>
        <v>0</v>
      </c>
      <c r="U113" s="868">
        <f t="shared" si="18"/>
        <v>0</v>
      </c>
      <c r="V113" s="4">
        <v>70</v>
      </c>
      <c r="W113" s="4">
        <f t="shared" si="19"/>
        <v>68</v>
      </c>
      <c r="X113" s="868">
        <f t="shared" si="20"/>
        <v>70.142857142857139</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85"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68.714285714285708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85"/>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67.857142857142861</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85"/>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66.714285714285708</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85"/>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85"/>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3.4287384259259261</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85"/>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666.62</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85"/>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0.57666089965397926</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84"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84"/>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84"/>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84"/>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84"/>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3.4287384259259261</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84"/>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666.62</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84"/>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0.54911037891268533</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85"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85"/>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85"/>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85"/>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85"/>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3.4287384259259261</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85"/>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666.62</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85"/>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0.52948371723590149</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abSelected="1" topLeftCell="J13" workbookViewId="0">
      <selection activeCell="L58" sqref="L58"/>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50.989999999999995</v>
      </c>
      <c r="L12" s="838">
        <f t="shared" si="4"/>
        <v>-30.794756927161117</v>
      </c>
    </row>
    <row r="13" spans="1:12" x14ac:dyDescent="0.2">
      <c r="A13">
        <v>11</v>
      </c>
      <c r="B13">
        <v>8</v>
      </c>
      <c r="C13" s="825">
        <v>1</v>
      </c>
      <c r="D13" s="825">
        <v>1</v>
      </c>
      <c r="E13" s="825">
        <v>0.9</v>
      </c>
      <c r="F13" s="825"/>
      <c r="G13">
        <f t="shared" si="1"/>
        <v>55</v>
      </c>
      <c r="H13">
        <f t="shared" si="0"/>
        <v>70</v>
      </c>
      <c r="I13">
        <f t="shared" si="2"/>
        <v>72</v>
      </c>
      <c r="J13">
        <f t="shared" si="3"/>
        <v>76.5</v>
      </c>
      <c r="K13">
        <f>'2Q - 80'!N85</f>
        <v>0</v>
      </c>
      <c r="L13" s="838">
        <f>(K13-K12)/((K13+K12)/2)*100</f>
        <v>-200</v>
      </c>
    </row>
    <row r="14" spans="1:12" x14ac:dyDescent="0.2">
      <c r="A14">
        <v>12</v>
      </c>
      <c r="B14">
        <v>7</v>
      </c>
      <c r="C14" s="825">
        <v>0.9</v>
      </c>
      <c r="D14" s="825">
        <v>0.9</v>
      </c>
      <c r="E14" s="825">
        <v>0.9</v>
      </c>
      <c r="F14" s="825"/>
      <c r="G14">
        <f t="shared" si="1"/>
        <v>49.5</v>
      </c>
      <c r="H14">
        <f t="shared" si="0"/>
        <v>63</v>
      </c>
      <c r="I14">
        <f t="shared" si="2"/>
        <v>72</v>
      </c>
      <c r="J14">
        <f t="shared" si="3"/>
        <v>76.5</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J15">
        <f t="shared" si="3"/>
        <v>85</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J16">
        <f t="shared" si="3"/>
        <v>76.5</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J17">
        <f t="shared" si="3"/>
        <v>68</v>
      </c>
      <c r="K17">
        <f>'2Q - 80'!N113</f>
        <v>0</v>
      </c>
      <c r="L17" s="838" t="e">
        <f>(K17-K16)/((K17+K16)/2)*100</f>
        <v>#DIV/0!</v>
      </c>
    </row>
    <row r="18" spans="1:12" x14ac:dyDescent="0.2">
      <c r="A18">
        <v>16</v>
      </c>
      <c r="B18">
        <v>3</v>
      </c>
      <c r="C18" s="825">
        <v>0.8</v>
      </c>
      <c r="D18" s="825">
        <v>0.8</v>
      </c>
      <c r="E18">
        <v>0.8</v>
      </c>
      <c r="G18">
        <f t="shared" si="1"/>
        <v>44</v>
      </c>
      <c r="H18">
        <f t="shared" si="0"/>
        <v>56</v>
      </c>
      <c r="I18">
        <f t="shared" si="2"/>
        <v>64</v>
      </c>
      <c r="J18">
        <f t="shared" si="3"/>
        <v>68</v>
      </c>
      <c r="K18">
        <f>'2Q - 80'!N120</f>
        <v>0</v>
      </c>
      <c r="L18" s="838" t="e">
        <f t="shared" ref="L18:L20" si="5">(K18-K17)/((K18+K17)/2)*100</f>
        <v>#DIV/0!</v>
      </c>
    </row>
    <row r="19" spans="1:12" x14ac:dyDescent="0.2">
      <c r="A19">
        <v>17</v>
      </c>
      <c r="B19">
        <v>2</v>
      </c>
      <c r="C19" s="825">
        <v>0.8</v>
      </c>
      <c r="D19" s="825">
        <v>0.8</v>
      </c>
      <c r="E19" s="825">
        <v>0.7</v>
      </c>
      <c r="F19" s="825"/>
      <c r="G19">
        <f t="shared" si="1"/>
        <v>44</v>
      </c>
      <c r="H19">
        <f t="shared" si="0"/>
        <v>56</v>
      </c>
      <c r="I19">
        <f t="shared" si="2"/>
        <v>56</v>
      </c>
      <c r="J19">
        <f t="shared" si="3"/>
        <v>59.499999999999993</v>
      </c>
      <c r="K19">
        <f>'2Q - 80'!N127</f>
        <v>0</v>
      </c>
      <c r="L19" s="838" t="e">
        <f t="shared" si="5"/>
        <v>#DIV/0!</v>
      </c>
    </row>
    <row r="20" spans="1:12" x14ac:dyDescent="0.2">
      <c r="A20">
        <v>18</v>
      </c>
      <c r="B20">
        <v>1</v>
      </c>
      <c r="G20">
        <v>25</v>
      </c>
      <c r="H20">
        <f>13+8+8+7+5+3+3</f>
        <v>47</v>
      </c>
      <c r="I20">
        <f>13+8+9+7+5+3+3</f>
        <v>48</v>
      </c>
      <c r="J20">
        <f t="shared" si="3"/>
        <v>0</v>
      </c>
      <c r="K20">
        <f>'2Q - 80'!N134</f>
        <v>0</v>
      </c>
      <c r="L20" s="838" t="e">
        <f t="shared" si="5"/>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91">
        <f>'Daniel''s Metrics'!G3 - ('Q Sessions'!D3+'Q Sessions'!D4)</f>
        <v>12</v>
      </c>
      <c r="I3" s="890">
        <v>18</v>
      </c>
      <c r="J3" s="825" t="s">
        <v>314</v>
      </c>
      <c r="K3" s="825" t="s">
        <v>390</v>
      </c>
      <c r="L3">
        <v>18</v>
      </c>
      <c r="M3" s="891">
        <f>'Daniel''s Metrics'!I3 -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91">
        <f>'Daniel''s Metrics'!G5 - ('Q Sessions'!D5+'Q Sessions'!D6)</f>
        <v>24.375</v>
      </c>
      <c r="I5" s="890">
        <v>17</v>
      </c>
      <c r="J5" s="825" t="s">
        <v>314</v>
      </c>
      <c r="K5" s="825" t="s">
        <v>392</v>
      </c>
      <c r="L5">
        <v>18</v>
      </c>
      <c r="M5" s="891">
        <f>'Daniel''s Metrics'!I4 -(L5+L6)</f>
        <v>31</v>
      </c>
    </row>
    <row r="6" spans="1:13" x14ac:dyDescent="0.2">
      <c r="A6" s="890"/>
      <c r="B6" s="825" t="s">
        <v>335</v>
      </c>
      <c r="C6" s="825" t="s">
        <v>354</v>
      </c>
      <c r="D6" s="838">
        <f>4+ (5*(1000/1600)) + (4*(400/1600)) +2</f>
        <v>10.125</v>
      </c>
      <c r="E6">
        <v>13</v>
      </c>
      <c r="F6" s="890"/>
      <c r="I6" s="890"/>
      <c r="J6" s="825" t="s">
        <v>335</v>
      </c>
      <c r="K6" s="825" t="s">
        <v>396</v>
      </c>
      <c r="L6">
        <v>15</v>
      </c>
      <c r="M6" s="891"/>
    </row>
    <row r="7" spans="1:13" x14ac:dyDescent="0.2">
      <c r="A7" s="890">
        <v>16</v>
      </c>
      <c r="B7" s="825" t="s">
        <v>314</v>
      </c>
      <c r="C7" s="825" t="s">
        <v>339</v>
      </c>
      <c r="D7" s="838">
        <v>16</v>
      </c>
      <c r="E7">
        <v>16</v>
      </c>
      <c r="F7" s="891">
        <f>'Daniel''s Metrics'!G7 - ('Q Sessions'!D7+'Q Sessions'!D8)</f>
        <v>20.5</v>
      </c>
      <c r="I7" s="890">
        <v>16</v>
      </c>
      <c r="J7" s="825" t="s">
        <v>314</v>
      </c>
      <c r="K7" s="825" t="s">
        <v>393</v>
      </c>
      <c r="L7">
        <v>18</v>
      </c>
      <c r="M7" s="891">
        <f>'Daniel''s Metrics'!I5 -(L7+L8)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91">
        <f>'Daniel''s Metrics'!G9 - ('Q Sessions'!D9+'Q Sessions'!D10)</f>
        <v>24.666666666666668</v>
      </c>
      <c r="I9" s="890">
        <v>15</v>
      </c>
      <c r="J9" s="825" t="s">
        <v>314</v>
      </c>
      <c r="K9" s="825" t="s">
        <v>395</v>
      </c>
      <c r="L9">
        <v>18</v>
      </c>
      <c r="M9" s="891">
        <f>'Daniel''s Metrics'!I6 -(L9+L10)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91">
        <f>'Daniel''s Metrics'!G11 - ('Q Sessions'!D11+'Q Sessions'!D12)</f>
        <v>19.75</v>
      </c>
      <c r="I11" s="890">
        <v>14</v>
      </c>
      <c r="J11" s="825" t="s">
        <v>314</v>
      </c>
      <c r="K11" s="825" t="s">
        <v>400</v>
      </c>
      <c r="L11">
        <v>18</v>
      </c>
      <c r="M11" s="891">
        <f>'Daniel''s Metrics'!I7 -(L11+L12)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91">
        <f>'Daniel''s Metrics'!G13 - ('Q Sessions'!D13+'Q Sessions'!D14)</f>
        <v>23.666666666666668</v>
      </c>
      <c r="I13" s="890">
        <v>13</v>
      </c>
      <c r="J13" s="825" t="s">
        <v>314</v>
      </c>
      <c r="K13" s="825" t="s">
        <v>397</v>
      </c>
      <c r="L13">
        <v>19</v>
      </c>
      <c r="M13" s="891">
        <f>'Daniel''s Metrics'!I8 -(L13+L14)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91">
        <f>'Daniel''s Metrics'!G15 - ('Q Sessions'!D15+'Q Sessions'!D16)</f>
        <v>24</v>
      </c>
      <c r="I15" s="890">
        <v>12</v>
      </c>
      <c r="J15" s="825" t="s">
        <v>314</v>
      </c>
      <c r="K15" s="825" t="s">
        <v>402</v>
      </c>
      <c r="L15">
        <v>19</v>
      </c>
      <c r="M15" s="891">
        <f>'Daniel''s Metrics'!I9 -(L15+L16)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91">
        <f>'Daniel''s Metrics'!G17 - ('Q Sessions'!D17+'Q Sessions'!D18)</f>
        <v>20.375</v>
      </c>
      <c r="I17" s="890">
        <v>11</v>
      </c>
      <c r="J17" s="825" t="s">
        <v>314</v>
      </c>
      <c r="K17" s="825" t="s">
        <v>404</v>
      </c>
      <c r="L17">
        <v>19</v>
      </c>
      <c r="M17" s="891">
        <f>'Daniel''s Metrics'!I10 -(L17+L18)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91">
        <f>'Daniel''s Metrics'!G19 - ('Q Sessions'!D19+'Q Sessions'!D20)</f>
        <v>10</v>
      </c>
      <c r="I19" s="890">
        <v>10</v>
      </c>
      <c r="J19" s="825" t="s">
        <v>314</v>
      </c>
      <c r="K19" s="825" t="s">
        <v>411</v>
      </c>
      <c r="L19">
        <v>20</v>
      </c>
      <c r="M19" s="891">
        <f>'Daniel''s Metrics'!I11 -(L19+L20)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91">
        <f>'Daniel''s Metrics'!G21 - ('Q Sessions'!D21+'Q Sessions'!D22)</f>
        <v>-31</v>
      </c>
      <c r="I21" s="890">
        <v>9</v>
      </c>
      <c r="J21" s="825" t="s">
        <v>314</v>
      </c>
      <c r="K21" s="825" t="s">
        <v>407</v>
      </c>
      <c r="L21">
        <v>18</v>
      </c>
      <c r="M21" s="891">
        <f>'Daniel''s Metrics'!I12 -(L21+L22)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91">
        <f>'Daniel''s Metrics'!G23 - ('Q Sessions'!D23+'Q Sessions'!D24)</f>
        <v>-30.321428571428569</v>
      </c>
      <c r="I23" s="890">
        <v>8</v>
      </c>
      <c r="J23" s="825" t="s">
        <v>314</v>
      </c>
      <c r="K23" s="825" t="s">
        <v>409</v>
      </c>
      <c r="L23">
        <v>18</v>
      </c>
      <c r="M23" s="891">
        <f>'Daniel''s Metrics'!I13 -(L23+L24)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91">
        <f>'Daniel''s Metrics'!G25 - ('Q Sessions'!D25+'Q Sessions'!D26)</f>
        <v>-36</v>
      </c>
      <c r="I25" s="890">
        <v>7</v>
      </c>
      <c r="J25" s="825" t="s">
        <v>314</v>
      </c>
      <c r="K25" s="825" t="s">
        <v>411</v>
      </c>
      <c r="L25">
        <v>20</v>
      </c>
      <c r="M25" s="891">
        <f>'Daniel''s Metrics'!I14 -(L25+L26)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91">
        <f>'Daniel''s Metrics'!G27 - ('Q Sessions'!D27+'Q Sessions'!D28)</f>
        <v>-33.333333333333329</v>
      </c>
      <c r="I27" s="890">
        <v>6</v>
      </c>
      <c r="J27" s="825" t="s">
        <v>314</v>
      </c>
      <c r="K27" s="825" t="s">
        <v>413</v>
      </c>
      <c r="L27">
        <v>18</v>
      </c>
      <c r="M27" s="891">
        <f>'Daniel''s Metrics'!I15 -(L27+L28)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91">
        <f>'Daniel''s Metrics'!G29 - ('Q Sessions'!D29+'Q Sessions'!D30)</f>
        <v>-29.875</v>
      </c>
      <c r="I29" s="890">
        <v>5</v>
      </c>
      <c r="J29" s="825" t="s">
        <v>314</v>
      </c>
      <c r="K29" s="825" t="s">
        <v>415</v>
      </c>
      <c r="L29">
        <v>16</v>
      </c>
      <c r="M29" s="891">
        <f>'Daniel''s Metrics'!I16 -(L29+L30)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91">
        <f>'Daniel''s Metrics'!G31 - ('Q Sessions'!D31+'Q Sessions'!D32)</f>
        <v>-33.125</v>
      </c>
      <c r="I31" s="890">
        <v>4</v>
      </c>
      <c r="J31" s="825" t="s">
        <v>314</v>
      </c>
      <c r="K31" s="825" t="s">
        <v>393</v>
      </c>
      <c r="L31">
        <v>18</v>
      </c>
      <c r="M31" s="891">
        <f>'Daniel''s Metrics'!I17 -(L31+L32)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91">
        <f>'Daniel''s Metrics'!G33 - ('Q Sessions'!D33+'Q Sessions'!D34)</f>
        <v>-29</v>
      </c>
      <c r="I33" s="890">
        <v>3</v>
      </c>
      <c r="J33" s="825" t="s">
        <v>314</v>
      </c>
      <c r="K33" s="825" t="s">
        <v>418</v>
      </c>
      <c r="L33">
        <v>18</v>
      </c>
      <c r="M33" s="891">
        <f>'Daniel''s Metrics'!I18 -(L33+L34)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91">
        <f>'Daniel''s Metrics'!G35 - ('Q Sessions'!D35+'Q Sessions'!D36)</f>
        <v>-26</v>
      </c>
      <c r="I35" s="890">
        <v>2</v>
      </c>
      <c r="J35" s="825" t="s">
        <v>314</v>
      </c>
      <c r="K35" s="825" t="s">
        <v>419</v>
      </c>
      <c r="L35">
        <v>16</v>
      </c>
      <c r="M35" s="891">
        <f>'Daniel''s Metrics'!I19 -(L35+L36)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S190" sqref="S190"/>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6" t="s">
        <v>51</v>
      </c>
      <c r="H2" s="906"/>
      <c r="I2" s="906"/>
      <c r="J2" s="906"/>
      <c r="K2" s="906"/>
      <c r="L2" s="906"/>
      <c r="M2" s="906"/>
      <c r="N2" s="38"/>
      <c r="O2" s="38"/>
      <c r="P2" s="39"/>
      <c r="Q2" s="40" t="s">
        <v>52</v>
      </c>
      <c r="R2" s="41">
        <v>44166</v>
      </c>
    </row>
    <row r="3" spans="1:34" ht="13.5" thickBot="1" x14ac:dyDescent="0.25">
      <c r="B3" s="42" t="str">
        <f>"Weight"&amp;IF($B$4," (kg):"," (lb):")</f>
        <v>Weight (lb):</v>
      </c>
      <c r="C3" s="43">
        <v>160</v>
      </c>
      <c r="D3" s="44" t="s">
        <v>53</v>
      </c>
      <c r="E3" s="45">
        <v>201</v>
      </c>
      <c r="G3" s="907"/>
      <c r="H3" s="907"/>
      <c r="I3" s="907"/>
      <c r="J3" s="907"/>
      <c r="K3" s="907"/>
      <c r="L3" s="907"/>
      <c r="M3" s="907"/>
      <c r="P3" s="908" t="str">
        <f>P73</f>
        <v>Male Peak Potential - 10k</v>
      </c>
      <c r="Q3" s="909"/>
      <c r="R3" s="910"/>
      <c r="S3" s="6" t="s">
        <v>54</v>
      </c>
      <c r="T3" s="6"/>
      <c r="U3" s="6"/>
      <c r="V3" s="6"/>
    </row>
    <row r="4" spans="1:34" ht="13.5" thickBot="1" x14ac:dyDescent="0.25">
      <c r="B4" s="46" t="b">
        <v>0</v>
      </c>
      <c r="C4" s="47" t="b">
        <v>1</v>
      </c>
      <c r="D4" s="48" t="s">
        <v>55</v>
      </c>
      <c r="E4" s="49">
        <v>54</v>
      </c>
      <c r="F4" s="50"/>
      <c r="G4" s="911" t="s">
        <v>56</v>
      </c>
      <c r="H4" s="911"/>
      <c r="I4" s="911"/>
      <c r="J4" s="911"/>
      <c r="K4" s="911"/>
      <c r="L4" s="911"/>
      <c r="M4" s="911"/>
      <c r="N4" s="51"/>
      <c r="O4" s="52" t="b">
        <v>0</v>
      </c>
      <c r="P4" s="912" t="str">
        <f>"Open Class Standard:"</f>
        <v>Open Class Standard:</v>
      </c>
      <c r="Q4" s="913"/>
      <c r="R4" s="53">
        <f>R74</f>
        <v>1.8553240740740742E-2</v>
      </c>
      <c r="S4" s="6" t="s">
        <v>57</v>
      </c>
      <c r="T4" s="6"/>
      <c r="U4" s="6"/>
      <c r="V4" s="6"/>
      <c r="W4" s="914" t="s">
        <v>58</v>
      </c>
      <c r="X4" s="915"/>
      <c r="Y4" s="915"/>
      <c r="Z4" s="915"/>
      <c r="AA4" s="915"/>
      <c r="AB4" s="915"/>
      <c r="AC4" s="915"/>
      <c r="AD4" s="915"/>
      <c r="AE4" s="915"/>
      <c r="AF4" s="915"/>
      <c r="AG4" s="916"/>
    </row>
    <row r="5" spans="1:34" ht="14.25" thickTop="1" thickBot="1" x14ac:dyDescent="0.25">
      <c r="B5" s="917" t="s">
        <v>59</v>
      </c>
      <c r="C5" s="918"/>
      <c r="D5" s="918"/>
      <c r="E5" s="54">
        <f ca="1">IF(AND(DATEDIF($E$2,NOW(),"y")&gt;=0,DATEDIF($E$2,NOW(),"y")&lt;110),DATEDIF($E$2,NOW(),"y"),"Birthdate?")</f>
        <v>31</v>
      </c>
      <c r="G5" s="24" t="s">
        <v>60</v>
      </c>
      <c r="H5" s="55"/>
      <c r="I5" s="919" t="str">
        <f ca="1">IF(R5="No Std","Custom Entry - No Std",IF(R5="Birthdate?",R5,"AGP  " &amp; IF($C$4,"M-","F-")&amp;$E$5&amp;":   "&amp;TEXT($R$5/$G$6,"0.00%")))</f>
        <v>AGP  M-31:   77.52%</v>
      </c>
      <c r="J5" s="920"/>
      <c r="K5" s="921" t="s">
        <v>61</v>
      </c>
      <c r="L5" s="922"/>
      <c r="M5" s="922"/>
      <c r="N5" s="56" t="s">
        <v>62</v>
      </c>
      <c r="O5" s="57" t="s">
        <v>63</v>
      </c>
      <c r="P5" s="923" t="str">
        <f ca="1">"Age "&amp;TEXT(E5,"#")&amp; " Standard:"</f>
        <v>Age 31 Standard:</v>
      </c>
      <c r="Q5" s="924"/>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925">
        <f>IF(AND($E$6&gt;0,$G$6&gt;0),(-4.6 + 0.182258 * (F8/G6/1440) + 0.000104 *(F8/G6/1440)^2)/D9,1)</f>
        <v>61.766335932854794</v>
      </c>
      <c r="J6" s="926"/>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5" t="str">
        <f>"Peak Potential at "&amp;ROUND(C3,1)&amp;IF(B4," kg"," lb")</f>
        <v>Peak Potential at 160 lb</v>
      </c>
      <c r="Q6" s="896"/>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7" t="s">
        <v>70</v>
      </c>
      <c r="F7" s="898"/>
      <c r="G7" s="899"/>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900">
        <f>IF(E6="Custom",S8,HLOOKUP(E6,J7:P8,2,0))</f>
        <v>6.2137119223733395</v>
      </c>
      <c r="E8" s="901"/>
      <c r="F8" s="902">
        <f>IF(E6="Custom",S9,HLOOKUP(E6,J7:P9,3,0))</f>
        <v>10000</v>
      </c>
      <c r="G8" s="903"/>
      <c r="H8" s="904" t="s">
        <v>82</v>
      </c>
      <c r="I8" s="905"/>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2">
        <f>IF($G$6&gt;0,0.8+0.1894393 * EXP(-0.012778*G6*1440)+0.2989558* EXP(-0.1932605*G6*1440),0)</f>
        <v>0.92228339421748917</v>
      </c>
      <c r="E9" s="943"/>
      <c r="F9" s="94" t="str">
        <f>"▼2nd ed 67%"</f>
        <v>▼2nd ed 67%</v>
      </c>
      <c r="G9" s="95" t="str">
        <f>"1st ed 70%▼"</f>
        <v>1st ed 70%▼</v>
      </c>
      <c r="H9" s="944" t="s">
        <v>84</v>
      </c>
      <c r="I9" s="945"/>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946" t="s">
        <v>88</v>
      </c>
      <c r="I17" s="946"/>
      <c r="J17" s="946"/>
      <c r="K17" s="946"/>
      <c r="L17" s="946"/>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7" t="s">
        <v>92</v>
      </c>
      <c r="N27" s="948"/>
      <c r="O27" s="948"/>
      <c r="P27" s="948"/>
      <c r="Q27" s="948"/>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9" t="s">
        <v>106</v>
      </c>
      <c r="N42" s="950"/>
      <c r="O42" s="950"/>
      <c r="P42" s="950"/>
      <c r="Q42" s="950"/>
      <c r="R42" s="951"/>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2" t="s">
        <v>107</v>
      </c>
      <c r="N43" s="893"/>
      <c r="O43" s="893"/>
      <c r="P43" s="893" t="s">
        <v>108</v>
      </c>
      <c r="Q43" s="893"/>
      <c r="R43" s="894"/>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2" t="s">
        <v>109</v>
      </c>
      <c r="N44" s="933"/>
      <c r="O44" s="933"/>
      <c r="P44" s="933" t="s">
        <v>110</v>
      </c>
      <c r="Q44" s="933"/>
      <c r="R44" s="934"/>
    </row>
    <row r="45" spans="2:28" ht="13.5" thickBot="1" x14ac:dyDescent="0.25">
      <c r="B45" s="935" t="s">
        <v>111</v>
      </c>
      <c r="C45" s="936"/>
      <c r="D45" s="936"/>
      <c r="E45" s="936"/>
      <c r="F45" s="936"/>
      <c r="G45" s="936"/>
      <c r="H45" s="936"/>
      <c r="I45" s="936"/>
      <c r="J45" s="936"/>
      <c r="K45" s="936"/>
      <c r="L45" s="936"/>
      <c r="M45" s="936"/>
      <c r="N45" s="936"/>
      <c r="O45" s="936"/>
      <c r="P45" s="936"/>
      <c r="Q45" s="936"/>
      <c r="R45" s="937"/>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938" t="str">
        <f>"Custom Heart Rate Zones - "&amp;IF(L47,"% HR Reserve","% HRmax")</f>
        <v>Custom Heart Rate Zones - % HRmax</v>
      </c>
      <c r="E47" s="938"/>
      <c r="F47" s="938"/>
      <c r="G47" s="938"/>
      <c r="H47" s="938"/>
      <c r="I47" s="938"/>
      <c r="J47" s="938"/>
      <c r="K47" s="313"/>
      <c r="L47" s="314" t="b">
        <v>0</v>
      </c>
      <c r="M47" s="315" t="s">
        <v>113</v>
      </c>
      <c r="N47" s="939" t="s">
        <v>114</v>
      </c>
      <c r="O47" s="940"/>
      <c r="P47" s="940"/>
      <c r="Q47" s="316" t="b">
        <v>1</v>
      </c>
      <c r="R47" s="317">
        <v>25</v>
      </c>
      <c r="W47" s="941" t="s">
        <v>115</v>
      </c>
      <c r="X47" s="941"/>
      <c r="Y47" s="941" t="s">
        <v>116</v>
      </c>
      <c r="Z47" s="941"/>
      <c r="AA47" s="941"/>
      <c r="AB47" s="941"/>
    </row>
    <row r="48" spans="2:28" ht="13.5" thickBot="1" x14ac:dyDescent="0.25">
      <c r="B48" s="318">
        <f>E4</f>
        <v>54</v>
      </c>
      <c r="C48" s="954" t="s">
        <v>117</v>
      </c>
      <c r="D48" s="955"/>
      <c r="E48" s="956" t="s">
        <v>65</v>
      </c>
      <c r="F48" s="955"/>
      <c r="G48" s="956" t="s">
        <v>118</v>
      </c>
      <c r="H48" s="955"/>
      <c r="I48" s="956" t="s">
        <v>76</v>
      </c>
      <c r="J48" s="955"/>
      <c r="K48" s="956" t="s">
        <v>78</v>
      </c>
      <c r="L48" s="957"/>
      <c r="M48" s="319" t="s">
        <v>119</v>
      </c>
      <c r="N48" s="320" t="str">
        <f ca="1">"Age: "&amp;$E$5</f>
        <v>Age: 31</v>
      </c>
      <c r="O48" s="321"/>
      <c r="P48" s="322" t="str">
        <f>"Wght: "&amp;$C$3</f>
        <v>Wght: 160</v>
      </c>
      <c r="Q48" s="323" t="b">
        <v>1</v>
      </c>
      <c r="R48" s="324">
        <v>155</v>
      </c>
      <c r="S48" s="325"/>
      <c r="T48" s="958" t="s">
        <v>120</v>
      </c>
      <c r="U48" s="959"/>
      <c r="W48" s="326"/>
      <c r="X48" s="327" t="s">
        <v>121</v>
      </c>
      <c r="Y48" s="960" t="s">
        <v>122</v>
      </c>
      <c r="Z48" s="961"/>
      <c r="AA48" s="961" t="s">
        <v>123</v>
      </c>
      <c r="AB48" s="96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7" t="str">
        <f>IF($L$47,TEXT((($B$47-$B$48)*C49)+$B$48,0)&amp;"  -  "&amp;TEXT((($B$47-$B$48)*D49)+$B$48,0),TEXT($B$47*C49,0)&amp;"  -  "&amp;TEXT($B$47*D49,0))</f>
        <v>131  -  161</v>
      </c>
      <c r="D50" s="928"/>
      <c r="E50" s="929" t="str">
        <f>IF($L$47,TEXT((($B$47-$B$48)*E49)+$B$48,0)&amp;"  -  "&amp;TEXT((($B$47-$B$48)*F49)+$B$48,0),TEXT($B$47*E49,0)&amp;"  -  "&amp;TEXT($B$47*F49,0))</f>
        <v>161  -  179</v>
      </c>
      <c r="F50" s="930"/>
      <c r="G50" s="929" t="str">
        <f>IF($L$47,TEXT((($B$47-$B$48)*G49)+$B$48,0)&amp;"  -  "&amp;TEXT((($B$47-$B$48)*H49)+$B$48,0),TEXT($B$47*G49,0)&amp;"  -  "&amp;TEXT($B$47*H49,0))</f>
        <v>177  -  185</v>
      </c>
      <c r="H50" s="930"/>
      <c r="I50" s="929" t="str">
        <f>IF($L$47,TEXT((($B$47-$B$48)*I49)+$B$48,0)&amp;"  -  "&amp;TEXT((($B$47-$B$48)*J49)+$B$48,0),TEXT($B$47*I49,0)&amp;"  -  "&amp;TEXT($B$47*J49,0))</f>
        <v>185  -  193</v>
      </c>
      <c r="J50" s="930"/>
      <c r="K50" s="929" t="str">
        <f>IF($L$47,TEXT((($B$47-$B$48)*K49)+$B$48,0)&amp;"  -  "&amp;TEXT((($B$47-$B$48)*L49)+$B$48,0),TEXT($B$47*K49,0)&amp;"  -  "&amp;TEXT($B$47*L49,0))</f>
        <v>185  -  201</v>
      </c>
      <c r="L50" s="931"/>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3" t="s">
        <v>132</v>
      </c>
      <c r="D52" s="953"/>
      <c r="E52" s="953"/>
      <c r="F52" s="953"/>
      <c r="G52" s="953"/>
      <c r="H52" s="953"/>
      <c r="I52" s="953"/>
      <c r="J52" s="953"/>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976" t="s">
        <v>135</v>
      </c>
      <c r="C53" s="97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978" t="str">
        <f>IF($L$52,"Pace / km","Pace / mile")</f>
        <v>Pace / mile</v>
      </c>
      <c r="C54" s="97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980" t="s">
        <v>139</v>
      </c>
      <c r="C55" s="98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2" t="str">
        <f>"◄ "&amp;J80&amp;" - "&amp;LEFT(B81,LEN(B81)-3)&amp;IF(L52,"°C","°F")</f>
        <v>◄ J.Daniels - Temperature °F</v>
      </c>
      <c r="E56" s="983"/>
      <c r="F56" s="984"/>
      <c r="G56" s="985" t="s">
        <v>142</v>
      </c>
      <c r="H56" s="986"/>
      <c r="I56" s="986"/>
      <c r="J56" s="986"/>
      <c r="K56" s="986"/>
      <c r="L56" s="98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988" t="s">
        <v>143</v>
      </c>
      <c r="C57" s="989"/>
      <c r="D57" s="989"/>
      <c r="E57" s="989"/>
      <c r="F57" s="989"/>
      <c r="G57" s="989" t="s">
        <v>144</v>
      </c>
      <c r="H57" s="989"/>
      <c r="I57" s="989"/>
      <c r="J57" s="989"/>
      <c r="K57" s="989"/>
      <c r="L57" s="99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963" t="str">
        <f>"Interval Split Times In "&amp;IF(L58,"Metric","US/Imperial")&amp;" Distances (Daniels)"</f>
        <v>Interval Split Times In Metric Distances (Daniels)</v>
      </c>
      <c r="C58" s="964"/>
      <c r="D58" s="964"/>
      <c r="E58" s="964"/>
      <c r="F58" s="964"/>
      <c r="G58" s="964"/>
      <c r="H58" s="964"/>
      <c r="I58" s="964"/>
      <c r="J58" s="964"/>
      <c r="K58" s="965"/>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966" t="str">
        <f>"Pace per "&amp;IF($L$58,"/ km","/ mile")</f>
        <v>Pace per / km</v>
      </c>
      <c r="C59" s="967"/>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968">
        <f>B61-(IF(L58,1000,1609.344)/400) * TIME(0,0,6)</f>
        <v>2.1063461147120799E-3</v>
      </c>
      <c r="C60" s="96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970">
        <f>IF(AND($E$6&gt;0,$G$6&gt;0),(1/(29.54 + 5.000663 * ($I$6*0.98) - 0.007546 * ($I$6*0.98)^2)*IF($L$58,1000,1609.344)/1440),"-")</f>
        <v>2.2799572258231909E-3</v>
      </c>
      <c r="C61" s="97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972">
        <f>IF(AND($E$6&gt;0,$G$6&gt;0),(1/(29.54 + 5.000663 * ($I$6*0.88) - 0.007546 * ($I$6*0.88)^2)*IF($L$58,1000,1609.344)/1440),"-")</f>
        <v>2.4885662925217037E-3</v>
      </c>
      <c r="C62" s="97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974">
        <f>IF($L$58, R15,R14)</f>
        <v>2.1471161368400772E-3</v>
      </c>
      <c r="C63" s="97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005">
        <f>IF($L$58, P15,P14)</f>
        <v>2.2982369516722965E-3</v>
      </c>
      <c r="C64" s="1006"/>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007">
        <f>IF($L$58,N15,N14)</f>
        <v>2.3958333324182401E-3</v>
      </c>
      <c r="C65" s="1008"/>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009" t="s">
        <v>152</v>
      </c>
      <c r="C66" s="1010"/>
      <c r="D66" s="1010"/>
      <c r="E66" s="1010"/>
      <c r="F66" s="1010"/>
      <c r="G66" s="1010"/>
      <c r="H66" s="1010"/>
      <c r="I66" s="1010"/>
      <c r="J66" s="1010"/>
      <c r="K66" s="1010"/>
      <c r="L66" s="1011"/>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012" t="s">
        <v>156</v>
      </c>
      <c r="C68" s="1013"/>
      <c r="D68" s="1013"/>
      <c r="E68" s="1013"/>
      <c r="F68" s="1014" t="s">
        <v>157</v>
      </c>
      <c r="G68" s="1014"/>
      <c r="H68" s="1014"/>
      <c r="I68" s="1014"/>
      <c r="J68" s="1014"/>
      <c r="K68" s="1015"/>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966" t="s">
        <v>158</v>
      </c>
      <c r="C69" s="1016"/>
      <c r="D69" s="967"/>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991" t="s">
        <v>168</v>
      </c>
      <c r="C70" s="992"/>
      <c r="D70" s="993"/>
      <c r="E70" s="440" t="str">
        <f>IF($L$68,"1.6 k","Mile")</f>
        <v>Mile</v>
      </c>
      <c r="F70" s="440" t="s">
        <v>169</v>
      </c>
      <c r="G70" s="440" t="s">
        <v>170</v>
      </c>
      <c r="H70" s="440" t="s">
        <v>171</v>
      </c>
      <c r="I70" s="440" t="s">
        <v>172</v>
      </c>
      <c r="J70" s="440" t="s">
        <v>173</v>
      </c>
      <c r="K70" s="440" t="s">
        <v>174</v>
      </c>
      <c r="L70" s="441" t="s">
        <v>175</v>
      </c>
      <c r="M70" s="442">
        <v>0.13295138888888888</v>
      </c>
      <c r="N70" s="994" t="s">
        <v>176</v>
      </c>
      <c r="O70" s="995"/>
      <c r="P70" s="443" t="b">
        <v>0</v>
      </c>
      <c r="Q70" s="996" t="s">
        <v>177</v>
      </c>
      <c r="R70" s="997"/>
    </row>
    <row r="71" spans="2:28" ht="13.5" thickBot="1" x14ac:dyDescent="0.25">
      <c r="B71" s="998" t="str">
        <f>IF($L$68,"Pace / km","Pace / mile")</f>
        <v>Pace / mile</v>
      </c>
      <c r="C71" s="999"/>
      <c r="D71" s="1000"/>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1" t="s">
        <v>181</v>
      </c>
      <c r="R71" s="1002"/>
    </row>
    <row r="72" spans="2:28" ht="14.25" thickTop="1" thickBot="1" x14ac:dyDescent="0.25">
      <c r="B72" s="1003"/>
      <c r="C72" s="1004"/>
      <c r="D72" s="1004"/>
      <c r="E72" s="1004"/>
      <c r="F72" s="1004"/>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4" t="s">
        <v>182</v>
      </c>
      <c r="C73" s="1025"/>
      <c r="D73" s="1025"/>
      <c r="E73" s="1025"/>
      <c r="F73" s="1025"/>
      <c r="G73" s="1025"/>
      <c r="H73" s="1025"/>
      <c r="I73" s="1025"/>
      <c r="J73" s="1025"/>
      <c r="K73" s="1025"/>
      <c r="L73" s="1026"/>
      <c r="M73" s="1027" t="str">
        <f>"Entry Time Grading - "&amp;E6</f>
        <v>Entry Time Grading - 10k</v>
      </c>
      <c r="N73" s="1028"/>
      <c r="O73" s="1029"/>
      <c r="P73" s="1027" t="str">
        <f>IF(C4,"Male","Female")&amp;" Peak Potential - "&amp;$E$6</f>
        <v>Male Peak Potential - 10k</v>
      </c>
      <c r="Q73" s="1028"/>
      <c r="R73" s="1029"/>
      <c r="T73" s="458"/>
      <c r="U73" s="458"/>
      <c r="V73" s="33"/>
    </row>
    <row r="74" spans="2:28" ht="13.5" thickBot="1" x14ac:dyDescent="0.25">
      <c r="B74" s="1030" t="s">
        <v>183</v>
      </c>
      <c r="C74" s="1031"/>
      <c r="D74" s="1031"/>
      <c r="E74" s="1031"/>
      <c r="F74" s="1014" t="s">
        <v>184</v>
      </c>
      <c r="G74" s="1014"/>
      <c r="H74" s="1014"/>
      <c r="I74" s="1014"/>
      <c r="J74" s="1014"/>
      <c r="K74" s="1014"/>
      <c r="L74" s="459" t="b">
        <v>0</v>
      </c>
      <c r="M74" s="1032" t="str">
        <f ca="1">IF($C$4," Male ","Female ")&amp;IF(ISNUMBER($E$5),$E$5,"")</f>
        <v xml:space="preserve"> Male 31</v>
      </c>
      <c r="N74" s="1033"/>
      <c r="O74" s="1034">
        <f>$G$6</f>
        <v>2.3958333333333331E-2</v>
      </c>
      <c r="P74" s="460"/>
      <c r="Q74" s="461" t="s">
        <v>185</v>
      </c>
      <c r="R74" s="462">
        <f>IF(R72="No","No Std",LOOKUP($D$8,$S$50:$S$69,IF($C$4,$T$50:$T$69,$U$50:$U$69)))</f>
        <v>1.8553240740740742E-2</v>
      </c>
      <c r="T74" s="458"/>
      <c r="U74" s="458"/>
      <c r="V74" s="33"/>
      <c r="W74" s="33"/>
    </row>
    <row r="75" spans="2:28" ht="13.5" thickBot="1" x14ac:dyDescent="0.25">
      <c r="B75" s="966" t="s">
        <v>186</v>
      </c>
      <c r="C75" s="1016"/>
      <c r="D75" s="1016"/>
      <c r="E75" s="967"/>
      <c r="F75" s="463" t="s">
        <v>187</v>
      </c>
      <c r="G75" s="463" t="s">
        <v>188</v>
      </c>
      <c r="H75" s="463" t="s">
        <v>189</v>
      </c>
      <c r="I75" s="463" t="s">
        <v>190</v>
      </c>
      <c r="J75" s="463" t="s">
        <v>191</v>
      </c>
      <c r="K75" s="463" t="s">
        <v>192</v>
      </c>
      <c r="L75" s="464" t="s">
        <v>193</v>
      </c>
      <c r="M75" s="1017" t="str">
        <f>IF(O74=$G$6, "Current Entry Time","Manual Time")</f>
        <v>Current Entry Time</v>
      </c>
      <c r="N75" s="1018"/>
      <c r="O75" s="1035"/>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1" t="s">
        <v>194</v>
      </c>
      <c r="C76" s="992"/>
      <c r="D76" s="992"/>
      <c r="E76" s="993"/>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7"/>
      <c r="N76" s="1018"/>
      <c r="O76" s="470">
        <f>O74/IF(L80,F8/1000,D8)</f>
        <v>3.85572E-3</v>
      </c>
      <c r="P76" s="1019" t="s">
        <v>195</v>
      </c>
      <c r="Q76" s="1020"/>
      <c r="R76" s="471">
        <f ca="1">IF($O$85="Yes",$E$5,"Birthdate?")</f>
        <v>31</v>
      </c>
      <c r="T76" s="458"/>
      <c r="U76" s="458"/>
      <c r="V76" s="33"/>
      <c r="W76" s="33"/>
    </row>
    <row r="77" spans="2:28" ht="13.5" thickBot="1" x14ac:dyDescent="0.25">
      <c r="B77" s="998" t="str">
        <f>IF($L$74,"Zone Pace / km","Zone Pace / mile")</f>
        <v>Zone Pace / mile</v>
      </c>
      <c r="C77" s="999"/>
      <c r="D77" s="999"/>
      <c r="E77" s="1000"/>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1" t="s">
        <v>196</v>
      </c>
      <c r="N77" s="1022"/>
      <c r="O77" s="473" t="s">
        <v>101</v>
      </c>
      <c r="P77" s="1019" t="s">
        <v>197</v>
      </c>
      <c r="Q77" s="1023"/>
      <c r="R77" s="474">
        <f>IF(AND($C$2&gt;0,$C$3&gt;0),IF($B$4,$C$3 / ($C$2/100)^2,$C$3 / $C$2^2*703),"Wght / Hght?")</f>
        <v>22.313033128347552</v>
      </c>
      <c r="T77" s="458"/>
      <c r="U77" s="458"/>
      <c r="V77" s="33"/>
      <c r="W77" s="33"/>
    </row>
    <row r="78" spans="2:28" ht="13.5" thickBot="1" x14ac:dyDescent="0.25">
      <c r="B78" s="475" t="s">
        <v>198</v>
      </c>
      <c r="C78" s="476">
        <f>IF($E$3&lt;&gt;"",$E$3*0.9,"")</f>
        <v>180.9</v>
      </c>
      <c r="D78" s="1055" t="b">
        <v>0</v>
      </c>
      <c r="E78" s="1056"/>
      <c r="F78" s="477">
        <v>157</v>
      </c>
      <c r="G78" s="478"/>
      <c r="H78" s="479" t="s">
        <v>199</v>
      </c>
      <c r="I78" s="480">
        <f>+L6</f>
        <v>4.0049592314720488E-3</v>
      </c>
      <c r="J78" s="1055" t="b">
        <v>0</v>
      </c>
      <c r="K78" s="1056"/>
      <c r="L78" s="481">
        <v>0.30208333333333331</v>
      </c>
      <c r="M78" s="1057" t="s">
        <v>200</v>
      </c>
      <c r="N78" s="1058"/>
      <c r="O78" s="1059"/>
      <c r="P78" s="1060" t="str">
        <f>"current age, wght "&amp;ROUND($C$3,1)</f>
        <v>current age, wght 160</v>
      </c>
      <c r="Q78" s="1061"/>
      <c r="R78" s="482">
        <f ca="1">IF(R72="no","-",IF(AND($C$2&gt;0,$C$3&gt;0,$O$85="yes"),MAX($R$75*(C3/MIN(D98,F100))^$I$93,$R$75),"""?"))</f>
        <v>2.1699223478671283E-2</v>
      </c>
      <c r="T78" s="458"/>
      <c r="U78" s="458"/>
      <c r="V78" s="33"/>
      <c r="W78" s="33"/>
    </row>
    <row r="79" spans="2:28" ht="13.5" thickBot="1" x14ac:dyDescent="0.25">
      <c r="B79" s="483"/>
      <c r="M79" s="484"/>
      <c r="N79" s="24"/>
      <c r="O79" s="485"/>
      <c r="P79" s="1021" t="s">
        <v>201</v>
      </c>
      <c r="Q79" s="1022"/>
      <c r="R79" s="486">
        <f>IF(AND($C$2&gt;0,$P$80&gt;0),IF($B$4,$P$80 / ($C$2/100)^2,$P$80 / $C$2^2*703),"")</f>
        <v>18.498158078143003</v>
      </c>
      <c r="T79" s="458"/>
      <c r="U79" s="458"/>
      <c r="V79" s="33"/>
      <c r="W79" s="33"/>
    </row>
    <row r="80" spans="2:28" ht="13.5" thickBot="1" x14ac:dyDescent="0.25">
      <c r="B80" s="487"/>
      <c r="C80" s="964" t="str">
        <f>"Projected Impact of Temperature on "&amp;E6&amp;" Time "&amp;IF($D$85=4,IF($C$4,"- Male","- Female"),"")</f>
        <v xml:space="preserve">Projected Impact of Temperature on 10k Time </v>
      </c>
      <c r="D80" s="964"/>
      <c r="E80" s="964"/>
      <c r="F80" s="964"/>
      <c r="G80" s="964"/>
      <c r="H80" s="964"/>
      <c r="I80" s="964"/>
      <c r="J80" s="1062" t="str">
        <f>IF($D$85=1,HYPERLINK($AE$232,"J.Daniels"),IF($D$85=2,HYPERLINK($AE$236,"M.Hadley"),IF($D$85=3,HYPERLINK($AE$240,"Tinman"),IF($D$85=4,HYPERLINK($AE$244,"El Helou, et al")))))</f>
        <v>J.Daniels</v>
      </c>
      <c r="K80" s="106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6" t="str">
        <f>IF($D$85=1,W233,IF($D$85=2,W237,IF($D$85=3,W241,IF($D$85=4,W245))))</f>
        <v>Temperature  °F</v>
      </c>
      <c r="C81" s="1037"/>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8" t="s">
        <v>202</v>
      </c>
      <c r="N81" s="1039"/>
      <c r="O81" s="1040"/>
      <c r="P81" s="162"/>
      <c r="R81" s="492"/>
      <c r="T81" s="458"/>
      <c r="U81" s="458"/>
      <c r="V81" s="33"/>
      <c r="W81" s="33"/>
    </row>
    <row r="82" spans="2:23" ht="14.25" thickTop="1" thickBot="1" x14ac:dyDescent="0.25">
      <c r="B82" s="1041" t="s">
        <v>203</v>
      </c>
      <c r="C82" s="1042"/>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3" t="s">
        <v>204</v>
      </c>
      <c r="N82" s="1044"/>
      <c r="O82" s="495">
        <v>25</v>
      </c>
      <c r="P82" s="1045" t="s">
        <v>205</v>
      </c>
      <c r="Q82" s="1046"/>
      <c r="R82" s="1047"/>
    </row>
    <row r="83" spans="2:23" ht="13.5" thickTop="1" x14ac:dyDescent="0.2">
      <c r="B83" s="1048" t="str">
        <f>IF($L$80,"Adj Pace / km","Adj Pace / mile")</f>
        <v>Adj Pace / mile</v>
      </c>
      <c r="C83" s="1049"/>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50" t="s">
        <v>206</v>
      </c>
      <c r="N83" s="1051"/>
      <c r="O83" s="499">
        <f ca="1">ABS(IF($O$85="yes",$O$74-$O$84,0))</f>
        <v>2.4118055555556739E-5</v>
      </c>
      <c r="P83" s="1052" t="s">
        <v>207</v>
      </c>
      <c r="Q83" s="1053"/>
      <c r="R83" s="1054"/>
      <c r="T83" s="500"/>
    </row>
    <row r="84" spans="2:23" ht="13.5" thickBot="1" x14ac:dyDescent="0.25">
      <c r="B84" s="1070" t="str">
        <f>IF($L$80,"Drop in Seconds / km","Drop in Seconds / mile")</f>
        <v>Drop in Seconds / mile</v>
      </c>
      <c r="C84" s="1071"/>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2" t="str">
        <f>IF(M100,"Age Grade Equivalent","No Age Grading")</f>
        <v>Age Grade Equivalent</v>
      </c>
      <c r="N84" s="1073"/>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4" t="s">
        <v>209</v>
      </c>
      <c r="N85" s="1075"/>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6">
        <f>ROUND((-4.6 + 0.182258 * ((P85*IF(R86,1000,1))/Q85/1440*(IF(R86,1,1609.344))) + 0.000104 *((P85*IF(R86,1000,1))/Q85/1440*(IF(R86,1,1609.344)))^2)/R85,1)</f>
        <v>83.3</v>
      </c>
      <c r="Q86" s="1077"/>
      <c r="R86" s="520" t="b">
        <v>0</v>
      </c>
    </row>
    <row r="87" spans="2:23" ht="14.25" thickTop="1" thickBot="1" x14ac:dyDescent="0.25">
      <c r="B87" s="1078" t="str">
        <f>"Projected Impact of Weight Change on "&amp;$E$6&amp;" Time (Daniels)"</f>
        <v>Projected Impact of Weight Change on 10k Time (Daniels)</v>
      </c>
      <c r="C87" s="1079"/>
      <c r="D87" s="1079"/>
      <c r="E87" s="1079"/>
      <c r="F87" s="1079"/>
      <c r="G87" s="1079"/>
      <c r="H87" s="1079"/>
      <c r="I87" s="1079"/>
      <c r="J87" s="1079"/>
      <c r="K87" s="1079"/>
      <c r="L87" s="1080"/>
      <c r="M87" s="1038" t="s">
        <v>210</v>
      </c>
      <c r="N87" s="1039"/>
      <c r="O87" s="1040"/>
      <c r="P87" s="1081" t="s">
        <v>211</v>
      </c>
      <c r="Q87" s="1082"/>
      <c r="R87" s="1083"/>
    </row>
    <row r="88" spans="2:23" ht="13.5" thickBot="1" x14ac:dyDescent="0.25">
      <c r="B88" s="1097" t="str">
        <f>IF($C$4,"Male","Female")</f>
        <v>Male</v>
      </c>
      <c r="C88" s="1098"/>
      <c r="D88" s="521" t="s">
        <v>212</v>
      </c>
      <c r="E88" s="522">
        <f ca="1">$E$5</f>
        <v>31</v>
      </c>
      <c r="F88" s="1099" t="str">
        <f>IF($B$4,"Height (cm):","Height (in):")</f>
        <v>Height (in):</v>
      </c>
      <c r="G88" s="1100" t="str">
        <f>IF($B$4,"Height (cm):","Height (in):")</f>
        <v>Height (in):</v>
      </c>
      <c r="H88" s="523">
        <f>$C$2</f>
        <v>71</v>
      </c>
      <c r="I88" s="1101" t="str">
        <f>"Weight"&amp;IF($B$4," (kg):"," (lb):")</f>
        <v>Weight (lb):</v>
      </c>
      <c r="J88" s="1102" t="str">
        <f>"Weight"&amp;IF($B$4," (kg):"," (lb):")</f>
        <v>Weight (lb):</v>
      </c>
      <c r="K88" s="523">
        <f>$C$3</f>
        <v>160</v>
      </c>
      <c r="L88" s="524" t="b">
        <v>0</v>
      </c>
      <c r="M88" s="1103">
        <f>IF($C$3&gt;0,$C$3,"Current Weight?")</f>
        <v>160</v>
      </c>
      <c r="N88" s="1104"/>
      <c r="O88" s="1105">
        <f ca="1">IF(AND($N$89&gt;0,$N$90&gt;0,$N$90&lt;&gt;"",$M$101),ABS($O$84-$O$91),0)</f>
        <v>3.4493934814051122E-3</v>
      </c>
      <c r="P88" s="1063" t="s">
        <v>213</v>
      </c>
      <c r="Q88" s="1064"/>
      <c r="R88" s="1065"/>
    </row>
    <row r="89" spans="2:23" ht="14.25" thickTop="1" thickBot="1" x14ac:dyDescent="0.25">
      <c r="B89" s="1066" t="str">
        <f>"Projected Weight "&amp;IF(B4,"(kg)","(lb)")</f>
        <v>Projected Weight (lb)</v>
      </c>
      <c r="C89" s="1067"/>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6"/>
      <c r="P89" s="531" t="s">
        <v>215</v>
      </c>
      <c r="Q89" s="505" t="s">
        <v>99</v>
      </c>
      <c r="R89" s="532" t="s">
        <v>101</v>
      </c>
    </row>
    <row r="90" spans="2:23" ht="13.5" thickBot="1" x14ac:dyDescent="0.25">
      <c r="B90" s="1068" t="s">
        <v>216</v>
      </c>
      <c r="C90" s="1069"/>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7"/>
      <c r="P90" s="512">
        <v>26.218800000000002</v>
      </c>
      <c r="Q90" s="513">
        <v>0.17318287037037036</v>
      </c>
      <c r="R90" s="540">
        <f>Q90/P90</f>
        <v>6.6052935439596915E-3</v>
      </c>
    </row>
    <row r="91" spans="2:23" ht="13.5" thickBot="1" x14ac:dyDescent="0.25">
      <c r="B91" s="1084" t="s">
        <v>217</v>
      </c>
      <c r="C91" s="1085"/>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6" t="str">
        <f>IF(M101,"Weight Adjusted Time","No Weight Grading")</f>
        <v>Weight Adjusted Time</v>
      </c>
      <c r="N91" s="1087"/>
      <c r="O91" s="545">
        <f ca="1">IF(AND($N$89&gt;0,$N$90&gt;0,$N$90&lt;&gt;"",$M$101),$O$84*(IF(N89&gt;=MIN(D98,F100,C3),$N$89,MIN(F100,D98,C3))/C3)^$I$93,O84)</f>
        <v>2.0484821796372663E-2</v>
      </c>
      <c r="P91" s="546" t="s">
        <v>218</v>
      </c>
      <c r="Q91" s="547" t="s">
        <v>99</v>
      </c>
      <c r="R91" s="548" t="s">
        <v>101</v>
      </c>
    </row>
    <row r="92" spans="2:23" ht="13.5" thickBot="1" x14ac:dyDescent="0.25">
      <c r="B92" s="1088" t="str">
        <f>IF($L$88,"Est Pace / km","Est Pace / mile")</f>
        <v>Est Pace / mile</v>
      </c>
      <c r="C92" s="1089"/>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90" t="s">
        <v>219</v>
      </c>
      <c r="C93" s="1091"/>
      <c r="D93" s="1091"/>
      <c r="E93" s="1091"/>
      <c r="F93" s="1092"/>
      <c r="G93" s="1093"/>
      <c r="H93" s="559" t="s">
        <v>220</v>
      </c>
      <c r="I93" s="560">
        <v>0.83</v>
      </c>
      <c r="J93" s="1094" t="s">
        <v>221</v>
      </c>
      <c r="K93" s="1094"/>
      <c r="L93" s="561">
        <v>4.4999999999999998E-2</v>
      </c>
      <c r="M93" s="562"/>
      <c r="N93" s="1095" t="s">
        <v>222</v>
      </c>
      <c r="O93" s="1096"/>
      <c r="P93" s="1063" t="s">
        <v>223</v>
      </c>
      <c r="Q93" s="1064"/>
      <c r="R93" s="1065"/>
    </row>
    <row r="94" spans="2:23" ht="14.25" thickTop="1" thickBot="1" x14ac:dyDescent="0.25">
      <c r="B94" s="483"/>
      <c r="C94" s="1118" t="s">
        <v>224</v>
      </c>
      <c r="D94" s="1118"/>
      <c r="E94" s="1118"/>
      <c r="F94" s="1118"/>
      <c r="G94" s="1118"/>
      <c r="H94" s="1118"/>
      <c r="I94" s="1118"/>
      <c r="J94" s="1118"/>
      <c r="K94" s="1118"/>
      <c r="M94" s="1038" t="str">
        <f>IF($D$85=1,W233,IF($D$85=2,W237,IF($D$85=3,W241,IF($D$85=4,W245))))</f>
        <v>Temperature  °F</v>
      </c>
      <c r="N94" s="1039"/>
      <c r="O94" s="563"/>
      <c r="P94" s="531" t="s">
        <v>215</v>
      </c>
      <c r="Q94" s="505" t="s">
        <v>225</v>
      </c>
      <c r="R94" s="532" t="s">
        <v>99</v>
      </c>
    </row>
    <row r="95" spans="2:23" ht="13.5" thickBot="1" x14ac:dyDescent="0.25">
      <c r="B95" s="963" t="s">
        <v>226</v>
      </c>
      <c r="C95" s="964"/>
      <c r="D95" s="964"/>
      <c r="E95" s="964"/>
      <c r="F95" s="964"/>
      <c r="G95" s="564" t="str">
        <f>IF($C$4,"Male","Female")</f>
        <v>Male</v>
      </c>
      <c r="H95" s="565" t="str">
        <f ca="1">IF(ISNUMBER($E$5),"Age  "&amp;$E$5,"Birthdate?")</f>
        <v>Age  31</v>
      </c>
      <c r="I95" s="565" t="str">
        <f>"Hgt  "&amp;$C$2</f>
        <v>Hgt  71</v>
      </c>
      <c r="J95" s="566" t="str">
        <f>"Wgt  "&amp;$C$3</f>
        <v>Wgt  160</v>
      </c>
      <c r="K95" s="1119" t="str">
        <f>IF(AND(C2&gt;0,C3&gt;0),"Current BMI = " &amp;ROUND(IF($B$4,$C$3 / ($C$2/100)^2,$C$3 / $C$2^2*703),2),"Wght / Hght?")</f>
        <v>Current BMI = 22.31</v>
      </c>
      <c r="L95" s="1120"/>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1" t="str">
        <f>IF(M102,"Temp Adjusted Time","No Temp Grading")</f>
        <v>Temp Adjusted Time</v>
      </c>
      <c r="N96" s="1122"/>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3" t="s">
        <v>233</v>
      </c>
      <c r="Q98" s="1064"/>
      <c r="R98" s="1065"/>
    </row>
    <row r="99" spans="2:21" ht="14.25" thickTop="1" thickBot="1" x14ac:dyDescent="0.25">
      <c r="B99" s="1108" t="s">
        <v>234</v>
      </c>
      <c r="C99" s="1109"/>
      <c r="D99" s="1109"/>
      <c r="E99" s="1109"/>
      <c r="F99" s="591"/>
      <c r="G99" s="1110" t="s">
        <v>235</v>
      </c>
      <c r="H99" s="995"/>
      <c r="I99" s="1111" t="s">
        <v>236</v>
      </c>
      <c r="J99" s="995"/>
      <c r="K99" s="1111" t="s">
        <v>237</v>
      </c>
      <c r="L99" s="1112"/>
      <c r="M99" s="1113" t="s">
        <v>238</v>
      </c>
      <c r="N99" s="1114"/>
      <c r="O99" s="1115"/>
      <c r="P99" s="531" t="s">
        <v>62</v>
      </c>
      <c r="Q99" s="1116" t="s">
        <v>239</v>
      </c>
      <c r="R99" s="1117"/>
      <c r="U99" s="592"/>
    </row>
    <row r="100" spans="2:21" ht="13.5" thickBot="1" x14ac:dyDescent="0.25">
      <c r="B100" s="119"/>
      <c r="C100" s="593"/>
      <c r="D100" s="593"/>
      <c r="E100" s="593"/>
      <c r="F100" s="594">
        <v>144.92499999999998</v>
      </c>
      <c r="G100" s="1123" t="s">
        <v>240</v>
      </c>
      <c r="H100" s="1124"/>
      <c r="I100" s="1125" t="s">
        <v>241</v>
      </c>
      <c r="J100" s="1126"/>
      <c r="K100" s="1125" t="s">
        <v>242</v>
      </c>
      <c r="L100" s="1127"/>
      <c r="M100" s="1128" t="b">
        <v>1</v>
      </c>
      <c r="N100" s="1129" t="b">
        <v>1</v>
      </c>
      <c r="O100" s="569">
        <f ca="1">$O$83</f>
        <v>2.4118055555556739E-5</v>
      </c>
      <c r="P100" s="595">
        <v>0.7</v>
      </c>
      <c r="Q100" s="1130">
        <f>IF($C$8=4,(P100/(1+$C$9)-0.37182)/0.6463,IF($C$8=3,1.303*P100/(1+$C$9)-0.345,IF($C$8=2,1.3*P100/(1+$C$9)-0.293,(P100/(1+$C$9)-0.1578)/0.855)))</f>
        <v>0.6341520467836258</v>
      </c>
      <c r="R100" s="1131"/>
    </row>
    <row r="101" spans="2:21" x14ac:dyDescent="0.2">
      <c r="B101" s="1132" t="str">
        <f>"Based on a height of "&amp;IF($B$4,ROUND($C$2,3)&amp;" cm",INT($C$2/12)&amp;" ft "&amp;ROUND((($C$2/12)-INT($C$2/12))*12,1)&amp;" in")</f>
        <v>Based on a height of 5 ft 11 in</v>
      </c>
      <c r="C101" s="1133"/>
      <c r="D101" s="1134"/>
      <c r="E101" s="1135" t="str">
        <f>"Male       "&amp;IF(B4,"(kg)    ","(lb)    ")</f>
        <v xml:space="preserve">Male       (lb)    </v>
      </c>
      <c r="F101" s="1136"/>
      <c r="G101" s="1137">
        <f>IF($B$4,49.8952+(MAX($C$2,152.4)-152.4)/2.54*2.49476,110+(MAX($C$2,60)-60)*5.5)</f>
        <v>170.5</v>
      </c>
      <c r="H101" s="1138"/>
      <c r="I101" s="1139">
        <f>G101*0.88</f>
        <v>150.04</v>
      </c>
      <c r="J101" s="1140"/>
      <c r="K101" s="1139">
        <f>G101*0.85</f>
        <v>144.92499999999998</v>
      </c>
      <c r="L101" s="1141"/>
      <c r="M101" s="1142" t="b">
        <v>1</v>
      </c>
      <c r="N101" s="1143" t="b">
        <v>1</v>
      </c>
      <c r="O101" s="569">
        <f ca="1">$O$88</f>
        <v>3.4493934814051122E-3</v>
      </c>
      <c r="P101" s="546" t="s">
        <v>243</v>
      </c>
      <c r="Q101" s="1144" t="s">
        <v>239</v>
      </c>
      <c r="R101" s="1145"/>
      <c r="U101" s="592"/>
    </row>
    <row r="102" spans="2:21" ht="13.5" thickBot="1" x14ac:dyDescent="0.25">
      <c r="B102" s="1146" t="str">
        <f>IF($B$4,"(Minimum height is 152.4 cm)","(Minimum height is 5 ft, 0 inches)")</f>
        <v>(Minimum height is 5 ft, 0 inches)</v>
      </c>
      <c r="C102" s="1147"/>
      <c r="D102" s="1148"/>
      <c r="E102" s="1149" t="str">
        <f>"Female     "&amp;IF(B4,"(kg)    ","(lb)    ")</f>
        <v xml:space="preserve">Female     (lb)    </v>
      </c>
      <c r="F102" s="1150"/>
      <c r="G102" s="1151">
        <f>IF($B$4,45.3592+(MAX($C$2,152.4)-152.4)/2.54*2.26796,100+(MAX($C$2,60)-60)*5)</f>
        <v>155</v>
      </c>
      <c r="H102" s="1152"/>
      <c r="I102" s="1152">
        <f>G102*0.88</f>
        <v>136.4</v>
      </c>
      <c r="J102" s="1152"/>
      <c r="K102" s="1152">
        <f>G102*0.85</f>
        <v>131.75</v>
      </c>
      <c r="L102" s="1153"/>
      <c r="M102" s="1154" t="b">
        <v>1</v>
      </c>
      <c r="N102" s="1155" t="b">
        <v>1</v>
      </c>
      <c r="O102" s="569">
        <f ca="1">$O$95</f>
        <v>6.6384485996385633E-4</v>
      </c>
      <c r="P102" s="596">
        <v>0.57499999999999996</v>
      </c>
      <c r="Q102" s="1156">
        <f>IF($C$8=4,((P102/$E$3*($E$3-$E$4)+E$4/$E$3)/(1+$C$9)-0.37182)/0.6463,IF($C$8=3,1.303*(P102/$E$3*($E$3-$E$4)+E$4/$E$3)/(1+$C$9) - 0.345,IF($C$8=2,(1.3*(P102/$E$3*($E$3-$E$4)+E$4/$E$3)/(1+$C$9)-0.293),((P102/$E$3*($E$3-$E$4)+E$4/$E$3)/(1+$C$9)-0.1578)/0.855)))</f>
        <v>0.62149602862878595</v>
      </c>
      <c r="R102" s="1157"/>
    </row>
    <row r="103" spans="2:21" ht="13.5" thickBot="1" x14ac:dyDescent="0.25">
      <c r="B103" s="483"/>
      <c r="I103" s="597"/>
      <c r="J103" s="597"/>
      <c r="M103" s="1174" t="s">
        <v>244</v>
      </c>
      <c r="N103" s="1175"/>
      <c r="O103" s="598">
        <f ca="1">$O$74+IF(O84&lt;O74,-$O$100,$O$100)+IF($N$89&lt;$M$88,-$O$101,$O$101)+IF($M$97,$O$102,-$O$102)</f>
        <v>2.114866665633652E-2</v>
      </c>
      <c r="P103" s="1176" t="str">
        <f>"HR Profile "&amp;IF(AND(C8&gt;=1,C8&lt;=4),C8,1)</f>
        <v>HR Profile 1</v>
      </c>
      <c r="Q103" s="1177"/>
      <c r="R103" s="1178"/>
    </row>
    <row r="104" spans="2:21" ht="13.5" thickBot="1" x14ac:dyDescent="0.25">
      <c r="B104" s="1078" t="s">
        <v>245</v>
      </c>
      <c r="C104" s="1079"/>
      <c r="D104" s="1079"/>
      <c r="E104" s="1079"/>
      <c r="F104" s="599" t="str">
        <f>E6</f>
        <v>10k</v>
      </c>
      <c r="G104" s="1179">
        <f>$F$8</f>
        <v>10000</v>
      </c>
      <c r="H104" s="1179"/>
      <c r="I104" s="1180">
        <f>$G$6*1440</f>
        <v>34.5</v>
      </c>
      <c r="J104" s="1180"/>
      <c r="K104" s="1181">
        <f>G104/I104</f>
        <v>289.85507246376812</v>
      </c>
      <c r="L104" s="1182"/>
      <c r="M104" s="1183" t="str">
        <f>E6&amp;IF($L$80," Pace / km"," Pace / mile")</f>
        <v>10k Pace / mile</v>
      </c>
      <c r="N104" s="1184"/>
      <c r="O104" s="600">
        <f ca="1">O103/IF(L80,F8/1000,D8)</f>
        <v>3.4035479791375244E-3</v>
      </c>
      <c r="P104" s="1185" t="s">
        <v>246</v>
      </c>
      <c r="Q104" s="1186"/>
      <c r="R104" s="1187"/>
    </row>
    <row r="105" spans="2:21" ht="14.25" thickTop="1" thickBot="1" x14ac:dyDescent="0.25">
      <c r="B105" s="601" t="b">
        <v>0</v>
      </c>
      <c r="C105" s="602"/>
      <c r="D105" s="603"/>
      <c r="E105" s="604"/>
      <c r="F105" s="463" t="s">
        <v>123</v>
      </c>
      <c r="G105" s="463" t="s">
        <v>99</v>
      </c>
      <c r="H105" s="463" t="s">
        <v>101</v>
      </c>
      <c r="I105" s="463" t="s">
        <v>247</v>
      </c>
      <c r="J105" s="463" t="s">
        <v>122</v>
      </c>
      <c r="K105" s="1158" t="s">
        <v>248</v>
      </c>
      <c r="L105" s="1159"/>
      <c r="M105" s="1160" t="str">
        <f>IF($L$80,"Change in Pace / Km","Change in Pace / Mile")</f>
        <v>Change in Pace / Mile</v>
      </c>
      <c r="N105" s="1161"/>
      <c r="O105" s="605">
        <f ca="1">ABS((O76-O104))</f>
        <v>4.5217202086247563E-4</v>
      </c>
      <c r="P105" s="606">
        <v>3.1</v>
      </c>
      <c r="Q105" s="1162">
        <f>P105*1.609344</f>
        <v>4.9889664000000007</v>
      </c>
      <c r="R105" s="1163"/>
    </row>
    <row r="106" spans="2:21" x14ac:dyDescent="0.2">
      <c r="B106" s="1164" t="str">
        <f>"Entry Weight &amp; VDOT"</f>
        <v>Entry Weight &amp; VDOT</v>
      </c>
      <c r="C106" s="1165"/>
      <c r="D106" s="1166"/>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7">
        <f>P106/1.609344/60</f>
        <v>4.3150777238703747E-3</v>
      </c>
      <c r="R106" s="1168"/>
    </row>
    <row r="107" spans="2:21" ht="13.5" thickBot="1" x14ac:dyDescent="0.25">
      <c r="B107" s="1169" t="s">
        <v>249</v>
      </c>
      <c r="C107" s="1170"/>
      <c r="D107" s="1171"/>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2">
        <f>P107*0.45359237</f>
        <v>58.967008100000001</v>
      </c>
      <c r="R107" s="1173"/>
    </row>
    <row r="108" spans="2:21" ht="13.5" thickBot="1" x14ac:dyDescent="0.25">
      <c r="B108" s="627" t="s">
        <v>74</v>
      </c>
      <c r="C108" s="1199" t="s">
        <v>250</v>
      </c>
      <c r="D108" s="1200"/>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1">
        <f>P108*2.54</f>
        <v>187.96</v>
      </c>
      <c r="R108" s="1202"/>
    </row>
    <row r="109" spans="2:21" ht="13.5" thickBot="1" x14ac:dyDescent="0.25">
      <c r="B109" s="636" t="s">
        <v>76</v>
      </c>
      <c r="C109" s="1203" t="s">
        <v>251</v>
      </c>
      <c r="D109" s="1204"/>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5" t="s">
        <v>252</v>
      </c>
      <c r="Q109" s="1186"/>
      <c r="R109" s="1187"/>
    </row>
    <row r="110" spans="2:21" ht="13.5" thickBot="1" x14ac:dyDescent="0.25">
      <c r="B110" s="644" t="b">
        <v>1</v>
      </c>
      <c r="C110" s="1205" t="str">
        <f>"Elite "&amp;E6</f>
        <v>Elite 10k</v>
      </c>
      <c r="D110" s="1206"/>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7">
        <f>P110*0.621371192</f>
        <v>0.80778254960000007</v>
      </c>
      <c r="R110" s="1208"/>
    </row>
    <row r="111" spans="2:21" ht="14.25" thickTop="1" thickBot="1" x14ac:dyDescent="0.25">
      <c r="B111" s="654"/>
      <c r="C111" s="655"/>
      <c r="D111" s="655"/>
      <c r="E111" s="656"/>
      <c r="F111" s="657"/>
      <c r="G111" s="658"/>
      <c r="H111" s="659"/>
      <c r="I111" s="660"/>
      <c r="J111" s="661"/>
      <c r="K111" s="659"/>
      <c r="L111" s="662"/>
      <c r="O111" s="625"/>
      <c r="P111" s="663">
        <v>0.2590277777777778</v>
      </c>
      <c r="Q111" s="1188">
        <f>P111/0.62137117223/60</f>
        <v>6.947746890374965E-3</v>
      </c>
      <c r="R111" s="1189"/>
    </row>
    <row r="112" spans="2:21" ht="13.5" thickBot="1" x14ac:dyDescent="0.25">
      <c r="B112" s="664"/>
      <c r="C112" s="1190" t="s">
        <v>253</v>
      </c>
      <c r="D112" s="1190"/>
      <c r="E112" s="1190"/>
      <c r="F112" s="1190"/>
      <c r="G112" s="1190"/>
      <c r="H112" s="1190"/>
      <c r="I112" s="1191" t="s">
        <v>254</v>
      </c>
      <c r="J112" s="1191"/>
      <c r="K112" s="1191"/>
      <c r="L112" s="665"/>
      <c r="N112" s="625"/>
      <c r="O112" s="625"/>
      <c r="P112" s="666">
        <v>62</v>
      </c>
      <c r="Q112" s="1192">
        <f>P112*2.20462262</f>
        <v>136.68660244</v>
      </c>
      <c r="R112" s="1193"/>
    </row>
    <row r="113" spans="2:34" ht="13.5" thickBot="1" x14ac:dyDescent="0.25">
      <c r="B113" s="667" t="s">
        <v>53</v>
      </c>
      <c r="C113" s="668">
        <v>201</v>
      </c>
      <c r="D113" s="669" t="s">
        <v>255</v>
      </c>
      <c r="E113" s="668">
        <v>53</v>
      </c>
      <c r="F113" s="669" t="s">
        <v>256</v>
      </c>
      <c r="G113" s="668">
        <v>155</v>
      </c>
      <c r="H113" s="670" t="s">
        <v>17</v>
      </c>
      <c r="I113" s="671">
        <v>0.31597222222222221</v>
      </c>
      <c r="J113" s="1194" t="str">
        <f>"vVO2max  =  "&amp;TEXT(I113*(G113-E113)/(C113-E113),"h:mm")</f>
        <v>vVO2max  =  5:13</v>
      </c>
      <c r="K113" s="1195"/>
      <c r="L113" s="1196"/>
      <c r="N113" s="625"/>
      <c r="O113" s="625"/>
      <c r="P113" s="672">
        <v>188</v>
      </c>
      <c r="Q113" s="1197">
        <f>P113*0.393700787</f>
        <v>74.015747955999998</v>
      </c>
      <c r="R113" s="1198"/>
    </row>
    <row r="114" spans="2:34" ht="13.5" thickBot="1" x14ac:dyDescent="0.25">
      <c r="B114" s="673"/>
      <c r="C114" s="674"/>
      <c r="D114" s="674"/>
      <c r="E114" s="674"/>
      <c r="F114" s="674"/>
      <c r="G114" s="674"/>
      <c r="H114" s="674"/>
      <c r="I114" s="674"/>
      <c r="J114" s="674"/>
      <c r="K114" s="674"/>
      <c r="L114" s="675"/>
      <c r="N114" s="625"/>
      <c r="O114" s="625"/>
      <c r="P114" s="1216" t="s">
        <v>257</v>
      </c>
      <c r="Q114" s="1186"/>
      <c r="R114" s="1187"/>
    </row>
    <row r="115" spans="2:34" ht="14.25" thickTop="1" thickBot="1" x14ac:dyDescent="0.25">
      <c r="B115" s="1045" t="s">
        <v>258</v>
      </c>
      <c r="C115" s="1046"/>
      <c r="D115" s="1046"/>
      <c r="E115" s="1046"/>
      <c r="F115" s="1046"/>
      <c r="G115" s="1046"/>
      <c r="H115" s="1046"/>
      <c r="I115" s="1046"/>
      <c r="J115" s="1046"/>
      <c r="K115" s="1217"/>
      <c r="L115" s="1047"/>
      <c r="N115" s="625"/>
      <c r="O115" s="625"/>
      <c r="P115" s="616">
        <v>0.41666666666666669</v>
      </c>
      <c r="Q115" s="676">
        <f>P115*1440</f>
        <v>600</v>
      </c>
      <c r="R115" s="677">
        <f>60/P115/24</f>
        <v>6</v>
      </c>
    </row>
    <row r="116" spans="2:34" ht="13.5" thickBot="1" x14ac:dyDescent="0.25">
      <c r="B116" s="1218" t="s">
        <v>158</v>
      </c>
      <c r="C116" s="121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9" t="s">
        <v>267</v>
      </c>
      <c r="C117" s="1210"/>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1" t="s">
        <v>269</v>
      </c>
      <c r="C118" s="1212"/>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3" t="s">
        <v>272</v>
      </c>
      <c r="C119" s="1215"/>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9" t="s">
        <v>274</v>
      </c>
      <c r="C120" s="1210"/>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1" t="s">
        <v>277</v>
      </c>
      <c r="C121" s="1212"/>
      <c r="D121" s="714" t="s">
        <v>278</v>
      </c>
      <c r="E121" s="695"/>
      <c r="F121" s="695"/>
      <c r="G121" s="695">
        <v>2.6</v>
      </c>
      <c r="H121" s="695"/>
      <c r="I121" s="695"/>
      <c r="J121" s="695"/>
      <c r="K121" s="696"/>
      <c r="L121" s="697">
        <f>IF(SUM(E121:K121)&gt;0,SUM(E121:K121)/L126,"---")</f>
        <v>6.9892473118279563E-2</v>
      </c>
      <c r="M121" s="698" t="s">
        <v>279</v>
      </c>
      <c r="P121" s="1185" t="s">
        <v>280</v>
      </c>
      <c r="Q121" s="1186"/>
      <c r="R121" s="1187"/>
    </row>
    <row r="122" spans="2:34" ht="13.5" thickBot="1" x14ac:dyDescent="0.25">
      <c r="B122" s="1213" t="s">
        <v>281</v>
      </c>
      <c r="C122" s="1214"/>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9" t="s">
        <v>282</v>
      </c>
      <c r="C123" s="1210"/>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3" t="s">
        <v>285</v>
      </c>
      <c r="C124" s="1215"/>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3" t="s">
        <v>287</v>
      </c>
      <c r="C125" s="122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30" t="s">
        <v>290</v>
      </c>
      <c r="X131" s="1231"/>
      <c r="Y131" s="1231"/>
      <c r="Z131" s="1231"/>
      <c r="AA131" s="1231"/>
      <c r="AB131" s="1231"/>
      <c r="AC131" s="1231"/>
      <c r="AD131" s="1231"/>
      <c r="AE131" s="1231"/>
      <c r="AF131" s="1231"/>
      <c r="AG131" s="123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3" t="s">
        <v>291</v>
      </c>
      <c r="AE133" s="1234"/>
      <c r="AF133" s="123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6" t="s">
        <v>299</v>
      </c>
      <c r="X216" s="1236"/>
      <c r="Y216" s="1236"/>
      <c r="Z216" s="1236"/>
      <c r="AA216" s="1236"/>
      <c r="AB216" s="1236"/>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4" t="s">
        <v>300</v>
      </c>
      <c r="X232" s="1225"/>
      <c r="Y232" s="1226"/>
      <c r="Z232" s="1224" t="str">
        <f>"Projected Impact of Temperature on "&amp;$E$6&amp;" Time"</f>
        <v>Projected Impact of Temperature on 10k Time</v>
      </c>
      <c r="AA232" s="1225"/>
      <c r="AB232" s="1225"/>
      <c r="AC232" s="1225"/>
      <c r="AD232" s="1225"/>
      <c r="AE232" s="1227" t="s">
        <v>301</v>
      </c>
      <c r="AF232" s="1228"/>
      <c r="AG232" s="795" t="b">
        <v>0</v>
      </c>
    </row>
    <row r="233" spans="17:33" ht="13.5" thickBot="1" x14ac:dyDescent="0.25">
      <c r="W233" s="1220" t="str">
        <f>"Temperature  °"&amp;IF($L$80,"C","F")</f>
        <v>Temperature  °F</v>
      </c>
      <c r="X233" s="1221"/>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2" t="s">
        <v>203</v>
      </c>
      <c r="X234" s="1223"/>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1224" t="s">
        <v>302</v>
      </c>
      <c r="X236" s="1225"/>
      <c r="Y236" s="1226"/>
      <c r="Z236" s="1224" t="str">
        <f>"Projected Impact of Temperature on "&amp;$E$6&amp;" Time"</f>
        <v>Projected Impact of Temperature on 10k Time</v>
      </c>
      <c r="AA236" s="1225"/>
      <c r="AB236" s="1225"/>
      <c r="AC236" s="1225"/>
      <c r="AD236" s="1225"/>
      <c r="AE236" s="1227" t="s">
        <v>303</v>
      </c>
      <c r="AF236" s="1228"/>
      <c r="AG236" s="795" t="b">
        <v>0</v>
      </c>
    </row>
    <row r="237" spans="17:33" ht="13.5" thickBot="1" x14ac:dyDescent="0.25">
      <c r="W237" s="1220" t="str">
        <f>"Temp + Dew Point  °"&amp;IF($L$80,"C","F")</f>
        <v>Temp + Dew Point  °F</v>
      </c>
      <c r="X237" s="1221"/>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2" t="s">
        <v>203</v>
      </c>
      <c r="X238" s="1223"/>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1224" t="s">
        <v>304</v>
      </c>
      <c r="X240" s="1225"/>
      <c r="Y240" s="1226"/>
      <c r="Z240" s="1224" t="str">
        <f>"Projected Impact of Temperature on "&amp;$E$6&amp;" Time"</f>
        <v>Projected Impact of Temperature on 10k Time</v>
      </c>
      <c r="AA240" s="1225"/>
      <c r="AB240" s="1225"/>
      <c r="AC240" s="1225"/>
      <c r="AD240" s="1225"/>
      <c r="AE240" s="1227" t="s">
        <v>305</v>
      </c>
      <c r="AF240" s="1228"/>
      <c r="AG240" s="795" t="b">
        <v>0</v>
      </c>
    </row>
    <row r="241" spans="23:33" ht="13.5" thickBot="1" x14ac:dyDescent="0.25">
      <c r="W241" s="1220" t="str">
        <f>"Heat Index  °"&amp;IF($L$80,"C","F")</f>
        <v>Heat Index  °F</v>
      </c>
      <c r="X241" s="1221"/>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2" t="s">
        <v>203</v>
      </c>
      <c r="X242" s="1223"/>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1224" t="s">
        <v>306</v>
      </c>
      <c r="X244" s="1225"/>
      <c r="Y244" s="1226"/>
      <c r="Z244" s="1224" t="str">
        <f>"Projected Impact of Temperature on "&amp;$E$6&amp;" Time"</f>
        <v>Projected Impact of Temperature on 10k Time</v>
      </c>
      <c r="AA244" s="1225"/>
      <c r="AB244" s="1225"/>
      <c r="AC244" s="1225"/>
      <c r="AD244" s="1225"/>
      <c r="AE244" s="1237" t="s">
        <v>307</v>
      </c>
      <c r="AF244" s="1238"/>
      <c r="AG244" s="795" t="b">
        <v>0</v>
      </c>
    </row>
    <row r="245" spans="23:33" ht="13.5" thickBot="1" x14ac:dyDescent="0.25">
      <c r="W245" s="1220" t="str">
        <f>"Temperature  °"&amp;IF($L$80,"C","F")</f>
        <v>Temperature  °F</v>
      </c>
      <c r="X245" s="1221"/>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2" t="s">
        <v>203</v>
      </c>
      <c r="X246" s="1223"/>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1224" t="s">
        <v>308</v>
      </c>
      <c r="X248" s="1225"/>
      <c r="Y248" s="1226"/>
      <c r="Z248" s="1224" t="str">
        <f>"Projected Impact of Temperature on "&amp;$E$6&amp;" Time"</f>
        <v>Projected Impact of Temperature on 10k Time</v>
      </c>
      <c r="AA248" s="1225"/>
      <c r="AB248" s="1225"/>
      <c r="AC248" s="1225"/>
      <c r="AD248" s="1225"/>
      <c r="AE248" s="1237" t="s">
        <v>307</v>
      </c>
      <c r="AF248" s="1238"/>
      <c r="AG248" s="795" t="b">
        <v>0</v>
      </c>
    </row>
    <row r="249" spans="23:33" ht="13.5" thickBot="1" x14ac:dyDescent="0.25">
      <c r="W249" s="1220" t="str">
        <f>"Temperature  °"&amp;IF($L$80,"C","F")</f>
        <v>Temperature  °F</v>
      </c>
      <c r="X249" s="1221"/>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2" t="s">
        <v>203</v>
      </c>
      <c r="X250" s="1223"/>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1236" t="s">
        <v>310</v>
      </c>
      <c r="AG252" s="1236"/>
    </row>
    <row r="253" spans="23:33" x14ac:dyDescent="0.2">
      <c r="Y253" s="1236" t="s">
        <v>311</v>
      </c>
      <c r="Z253" s="1236"/>
      <c r="AA253" s="1236" t="s">
        <v>312</v>
      </c>
      <c r="AB253" s="1236"/>
      <c r="AE253" s="805" t="s">
        <v>313</v>
      </c>
      <c r="AF253" s="806">
        <f>0.0015437*IF($L$80,($N$95*9/5)+32,$N$95)-0.09108933</f>
        <v>3.2406670000000012E-2</v>
      </c>
      <c r="AG253" s="807">
        <f ca="1">IF($M$102,MAX(AF253*$O$91,0),0)</f>
        <v>6.6384485996385633E-4</v>
      </c>
    </row>
    <row r="254" spans="23:33" x14ac:dyDescent="0.2">
      <c r="W254" s="1239"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40"/>
      <c r="X255" s="812" t="s">
        <v>317</v>
      </c>
      <c r="Y255" s="812">
        <v>1.01</v>
      </c>
      <c r="Z255" s="813">
        <f t="shared" si="46"/>
        <v>33.817999999999998</v>
      </c>
      <c r="AA255" s="814">
        <v>8.2000000000000007E-3</v>
      </c>
      <c r="AB255" s="812">
        <v>1.85</v>
      </c>
      <c r="AC255" s="812">
        <f t="shared" si="47"/>
        <v>35.33</v>
      </c>
      <c r="AD255" s="814">
        <v>6.3E-3</v>
      </c>
      <c r="AE255" s="815"/>
      <c r="AF255" s="1236" t="s">
        <v>318</v>
      </c>
      <c r="AG255" s="1236"/>
    </row>
    <row r="256" spans="23:33" x14ac:dyDescent="0.2">
      <c r="W256" s="1240"/>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40"/>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40"/>
      <c r="X258" s="812" t="s">
        <v>321</v>
      </c>
      <c r="Y258" s="812">
        <v>16.02</v>
      </c>
      <c r="Z258" s="813">
        <f t="shared" si="46"/>
        <v>60.835999999999999</v>
      </c>
      <c r="AA258" s="814">
        <v>3.3799999999999997E-2</v>
      </c>
      <c r="AB258" s="812">
        <v>16.850000000000001</v>
      </c>
      <c r="AC258" s="812">
        <f t="shared" si="47"/>
        <v>62.33</v>
      </c>
      <c r="AD258" s="814">
        <v>2.58E-2</v>
      </c>
      <c r="AE258" s="815"/>
      <c r="AF258" s="1236" t="s">
        <v>304</v>
      </c>
      <c r="AG258" s="1236"/>
    </row>
    <row r="259" spans="23:33" x14ac:dyDescent="0.2">
      <c r="W259" s="1240"/>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1241"/>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6" t="s">
        <v>324</v>
      </c>
      <c r="AG261" s="1236"/>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6" t="s">
        <v>329</v>
      </c>
      <c r="AG264" s="1236"/>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6" t="s">
        <v>1</v>
      </c>
      <c r="D1" s="875"/>
      <c r="E1" s="876"/>
      <c r="F1" s="3" t="s">
        <v>382</v>
      </c>
      <c r="G1" s="873" t="s">
        <v>453</v>
      </c>
      <c r="H1" s="873"/>
      <c r="I1" s="23" t="s">
        <v>2</v>
      </c>
      <c r="J1" s="873" t="s">
        <v>451</v>
      </c>
      <c r="K1" s="873"/>
      <c r="L1" s="1242"/>
      <c r="M1" s="875"/>
      <c r="N1" s="876"/>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1" t="s">
        <v>5</v>
      </c>
      <c r="D2" s="877"/>
      <c r="E2" s="878"/>
      <c r="F2" s="7" t="s">
        <v>33</v>
      </c>
      <c r="G2" s="873" t="s">
        <v>452</v>
      </c>
      <c r="H2" s="873"/>
      <c r="I2" s="6"/>
      <c r="J2" s="4"/>
      <c r="L2" s="877"/>
      <c r="M2" s="877"/>
      <c r="N2" s="878"/>
      <c r="O2" s="16"/>
      <c r="P2" s="8"/>
      <c r="Q2" s="9"/>
      <c r="R2" s="4"/>
      <c r="S2" s="4"/>
      <c r="T2" s="4"/>
      <c r="U2" s="4"/>
      <c r="V2" s="4"/>
      <c r="W2" s="4"/>
      <c r="X2" s="4"/>
      <c r="Y2" s="4"/>
      <c r="Z2" s="4"/>
      <c r="AA2" s="4"/>
    </row>
    <row r="3" spans="1:27" ht="15.75" customHeight="1" x14ac:dyDescent="0.2">
      <c r="A3" s="10" t="s">
        <v>6</v>
      </c>
      <c r="B3" s="11">
        <v>45963</v>
      </c>
      <c r="C3" s="882" t="s">
        <v>7</v>
      </c>
      <c r="D3" s="879"/>
      <c r="E3" s="880"/>
      <c r="F3" s="7" t="s">
        <v>34</v>
      </c>
      <c r="G3" s="873" t="s">
        <v>449</v>
      </c>
      <c r="H3" s="873"/>
      <c r="I3" s="6"/>
      <c r="J3" s="4"/>
      <c r="L3" s="877"/>
      <c r="M3" s="877"/>
      <c r="N3" s="878"/>
      <c r="O3" s="16"/>
      <c r="P3" s="6"/>
      <c r="Q3" s="4"/>
      <c r="R3" s="4"/>
      <c r="S3" s="4"/>
      <c r="T3" s="4"/>
      <c r="U3" s="4"/>
      <c r="V3" s="4"/>
      <c r="W3" s="4"/>
      <c r="X3" s="4"/>
      <c r="Y3" s="4"/>
      <c r="Z3" s="4"/>
      <c r="AA3" s="4"/>
    </row>
    <row r="4" spans="1:27" ht="15.75" customHeight="1" x14ac:dyDescent="0.2">
      <c r="A4" s="16"/>
      <c r="B4" s="6"/>
      <c r="C4" s="6"/>
      <c r="D4" s="6"/>
      <c r="E4" s="4"/>
      <c r="F4" s="12" t="s">
        <v>383</v>
      </c>
      <c r="G4" s="883" t="s">
        <v>450</v>
      </c>
      <c r="H4" s="883"/>
      <c r="I4" s="13"/>
      <c r="J4" s="850"/>
      <c r="K4" s="851"/>
      <c r="L4" s="879"/>
      <c r="M4" s="879"/>
      <c r="N4" s="880"/>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7" t="s">
        <v>9</v>
      </c>
      <c r="F6" s="877"/>
      <c r="G6" s="877"/>
      <c r="H6" s="877"/>
      <c r="I6" s="877"/>
      <c r="J6" s="877"/>
      <c r="K6" s="877"/>
      <c r="L6" s="877"/>
      <c r="M6" s="877"/>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3"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3"/>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3"/>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3"/>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3"/>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3"/>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3"/>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3"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3"/>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3"/>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3"/>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3"/>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3"/>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3"/>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3"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3"/>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3"/>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3"/>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3"/>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3"/>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3"/>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3"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3"/>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3"/>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3"/>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3"/>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3"/>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3"/>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3"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3"/>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3"/>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3"/>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3"/>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3"/>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3"/>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3"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3"/>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3"/>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3"/>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3"/>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3"/>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3"/>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3"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3"/>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3"/>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3"/>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3"/>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3"/>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3"/>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3"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3"/>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3"/>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3"/>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3"/>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3"/>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3"/>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3"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3"/>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3"/>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3"/>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3"/>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3"/>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3"/>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3"/>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2025-08-13T18:55:25Z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