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1769B630-AD05-464A-A1BD-9C0419DB993D}" xr6:coauthVersionLast="47" xr6:coauthVersionMax="47" xr10:uidLastSave="{00000000-0000-0000-0000-000000000000}"/>
  <bookViews>
    <workbookView xWindow="4035" yWindow="2355" windowWidth="21600" windowHeight="13425"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0" i="9" l="1"/>
  <c r="J90" i="9"/>
  <c r="K88" i="9"/>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91" i="9"/>
  <c r="AB91" i="9" s="1"/>
  <c r="AA92" i="9"/>
  <c r="AB92" i="9" s="1"/>
  <c r="AA93" i="9"/>
  <c r="AB93" i="9"/>
  <c r="AA94" i="9"/>
  <c r="AB94" i="9"/>
  <c r="AA95" i="9"/>
  <c r="AB95" i="9" s="1"/>
  <c r="AA96" i="9"/>
  <c r="AB96" i="9"/>
  <c r="AA97" i="9"/>
  <c r="AB97" i="9" s="1"/>
  <c r="AA98" i="9"/>
  <c r="AB98" i="9" s="1"/>
  <c r="AA99" i="9"/>
  <c r="AB99" i="9" s="1"/>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D111" i="9" s="1"/>
  <c r="AC126" i="9"/>
  <c r="AC125" i="9"/>
  <c r="AC103" i="9"/>
  <c r="AC116" i="9"/>
  <c r="AC135" i="9"/>
  <c r="AC112" i="9"/>
  <c r="AC133" i="9"/>
  <c r="AC102" i="9"/>
  <c r="AD108" i="9" s="1"/>
  <c r="AC101" i="9"/>
  <c r="AC121" i="9"/>
  <c r="AC120" i="9"/>
  <c r="AC107" i="9"/>
  <c r="AC109" i="9"/>
  <c r="AC119" i="9"/>
  <c r="AC100" i="9"/>
  <c r="AC108" i="9"/>
  <c r="AC106" i="9"/>
  <c r="AC111" i="9"/>
  <c r="AC110" i="9"/>
  <c r="AC128" i="9"/>
  <c r="AC118" i="9"/>
  <c r="AC134" i="9"/>
  <c r="AC132" i="9"/>
  <c r="AC122" i="9"/>
  <c r="AC99" i="9"/>
  <c r="AC130" i="9"/>
  <c r="AC117" i="9"/>
  <c r="AC97" i="9"/>
  <c r="AC131" i="9"/>
  <c r="AC127" i="9"/>
  <c r="AC98" i="9"/>
  <c r="AC104"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0" i="9" l="1"/>
  <c r="AD106" i="9"/>
  <c r="AD103" i="9"/>
  <c r="AD104" i="9"/>
  <c r="AD105" i="9"/>
  <c r="AD107" i="9"/>
  <c r="AD109" i="9"/>
  <c r="AE113" i="9"/>
  <c r="AE106" i="9"/>
  <c r="AE99"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AA86" i="9" s="1"/>
  <c r="AB86" i="9" s="1"/>
  <c r="Z106" i="9"/>
  <c r="Z95" i="9"/>
  <c r="Z18" i="9"/>
  <c r="AA18" i="9" s="1"/>
  <c r="AB18" i="9" s="1"/>
  <c r="AC24" i="9" s="1"/>
  <c r="Z68" i="9"/>
  <c r="AA68" i="9" s="1"/>
  <c r="AB68" i="9" s="1"/>
  <c r="Z97" i="9"/>
  <c r="Z125" i="9"/>
  <c r="Z85" i="9"/>
  <c r="AA85" i="9" s="1"/>
  <c r="AB85" i="9" s="1"/>
  <c r="Z64" i="9"/>
  <c r="AA64" i="9" s="1"/>
  <c r="AB64" i="9" s="1"/>
  <c r="Z88" i="9"/>
  <c r="AA88" i="9" s="1"/>
  <c r="AB88" i="9" s="1"/>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Z132" i="9"/>
  <c r="Z111" i="9"/>
  <c r="Z11" i="9"/>
  <c r="AA11" i="9" s="1"/>
  <c r="AB11" i="9" s="1"/>
  <c r="AC17" i="9" s="1"/>
  <c r="Z89" i="9"/>
  <c r="AA89" i="9" s="1"/>
  <c r="AB89" i="9" s="1"/>
  <c r="AC95" i="9" s="1"/>
  <c r="AD101" i="9" s="1"/>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AA90" i="9" s="1"/>
  <c r="AB90" i="9" s="1"/>
  <c r="AC96" i="9" s="1"/>
  <c r="AD102" i="9" s="1"/>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94" i="9" l="1"/>
  <c r="AD100" i="9" s="1"/>
  <c r="AC93" i="9"/>
  <c r="AC91" i="9"/>
  <c r="AC92" i="9"/>
  <c r="AD97" i="9" s="1"/>
  <c r="AC90" i="9"/>
  <c r="AD98" i="9"/>
  <c r="AE92" i="9"/>
  <c r="AD96" i="9"/>
  <c r="AC88" i="9"/>
  <c r="AC89" i="9"/>
  <c r="AD95" i="9" s="1"/>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9" i="9" l="1"/>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<sst xmlns="http://schemas.openxmlformats.org/spreadsheetml/2006/main" count="1246" uniqueCount="504">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</sst>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49.600000000000009</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67.63000000000001</c:v>
                </c:pt>
                <c:pt idx="84">
                  <c:v>49.600000000000009</c:v>
                </c:pt>
                <c:pt idx="85">
                  <c:v>41.4</c:v>
                </c:pt>
                <c:pt idx="86">
                  <c:v>35.379999999999995</c:v>
                </c:pt>
                <c:pt idx="87">
                  <c:v>23.64</c:v>
                </c:pt>
                <c:pt idx="88">
                  <c:v>15.09</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72.349999999999994</c:v>
                </c:pt>
                <c:pt idx="84" formatCode="0">
                  <c:v>68.894285714285715</c:v>
                </c:pt>
                <c:pt idx="85" formatCode="0">
                  <c:v>63.767142857142858</c:v>
                </c:pt>
                <c:pt idx="86" formatCode="0">
                  <c:v>58.442857142857143</c:v>
                </c:pt>
                <c:pt idx="87" formatCode="0">
                  <c:v>52.054285714285712</c:v>
                </c:pt>
                <c:pt idx="88" formatCode="0">
                  <c:v>44.37</c:v>
                </c:pt>
                <c:pt idx="89" formatCode="0">
                  <c:v>33.248571428571431</c:v>
                </c:pt>
                <c:pt idx="90" formatCode="0">
                  <c:v>23.587142857142855</c:v>
                </c:pt>
                <c:pt idx="91" formatCode="0">
                  <c:v>16.501428571428573</c:v>
                </c:pt>
                <c:pt idx="92" formatCode="0">
                  <c:v>10.587142857142856</c:v>
                </c:pt>
                <c:pt idx="93" formatCode="0">
                  <c:v>5.5328571428571438</c:v>
                </c:pt>
                <c:pt idx="94" formatCode="0">
                  <c:v>2.1557142857142857</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67.63000000000001</c:v>
                      </c:pt>
                      <c:pt idx="84">
                        <c:v>49.600000000000009</c:v>
                      </c:pt>
                      <c:pt idx="85">
                        <c:v>41.4</c:v>
                      </c:pt>
                      <c:pt idx="86">
                        <c:v>35.379999999999995</c:v>
                      </c:pt>
                      <c:pt idx="87">
                        <c:v>23.64</c:v>
                      </c:pt>
                      <c:pt idx="88">
                        <c:v>15.09</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100.05167500000002</c:v>
                </c:pt>
                <c:pt idx="76">
                  <c:v>136.31537500000002</c:v>
                </c:pt>
                <c:pt idx="77">
                  <c:v>127.10497500000001</c:v>
                </c:pt>
                <c:pt idx="78">
                  <c:v>88.169974999999994</c:v>
                </c:pt>
                <c:pt idx="79">
                  <c:v>81.509974999999997</c:v>
                </c:pt>
                <c:pt idx="80">
                  <c:v>72.468025000000011</c:v>
                </c:pt>
                <c:pt idx="81">
                  <c:v>51.943024999999999</c:v>
                </c:pt>
                <c:pt idx="82">
                  <c:v>41.7911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67.63000000000001</c:v>
                </c:pt>
                <c:pt idx="84">
                  <c:v>49.600000000000009</c:v>
                </c:pt>
                <c:pt idx="85">
                  <c:v>41.4</c:v>
                </c:pt>
                <c:pt idx="86">
                  <c:v>35.379999999999995</c:v>
                </c:pt>
                <c:pt idx="87">
                  <c:v>23.64</c:v>
                </c:pt>
                <c:pt idx="88">
                  <c:v>15.09</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100.05167500000002</c:v>
                </c:pt>
                <c:pt idx="82" formatCode="0.0">
                  <c:v>136.31537500000002</c:v>
                </c:pt>
                <c:pt idx="83" formatCode="0.0">
                  <c:v>127.10497500000001</c:v>
                </c:pt>
                <c:pt idx="84" formatCode="0.0">
                  <c:v>88.169974999999994</c:v>
                </c:pt>
                <c:pt idx="85" formatCode="0.0">
                  <c:v>81.509974999999997</c:v>
                </c:pt>
                <c:pt idx="86" formatCode="0.0">
                  <c:v>72.468025000000011</c:v>
                </c:pt>
                <c:pt idx="87" formatCode="0.0">
                  <c:v>51.943024999999999</c:v>
                </c:pt>
                <c:pt idx="88" formatCode="0.0">
                  <c:v>41.7911</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83" activePane="bottomLeft" state="frozen"/>
      <selection pane="bottomLeft" activeCell="E89" sqref="E89"/>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
      <c r="A55" s="87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
      <c r="A56" s="87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
      <c r="A57" s="87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
      <c r="A58" s="87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
      <c r="A59" s="87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
      <c r="A60" s="87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
      <c r="A61" s="87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
      <c r="A62" s="87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
      <c r="A63" s="87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
      <c r="A64" s="87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
      <c r="A65" s="87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
      <c r="A66" s="87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
      <c r="A67" s="87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
      <c r="A68" s="87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
      <c r="A69" s="87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
      <c r="A70" s="87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
      <c r="A71" s="87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
      <c r="A72" s="87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
      <c r="A73" s="87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
      <c r="A74" s="87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
      <c r="A75" s="87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
      <c r="A76" s="87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
      <c r="A77" s="87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
      <c r="A78" s="87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
      <c r="A79" s="87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
      <c r="A80" s="87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
      <c r="A81" s="87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
      <c r="A82" s="87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
      <c r="A83" s="87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
      <c r="A84" s="87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
      <c r="A85" s="87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
      <c r="A86" s="875"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
      <c r="A87" s="875"/>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
      <c r="A88" s="875"/>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
      <c r="A89" s="875"/>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0.63714953112580963</v>
      </c>
      <c r="AA89" s="4">
        <f>IF(H89*G89,LOOKUP(Z89,'Daniel''s Tables'!$Z$135:$Z$214,'Daniel''s Tables'!$AB$135:$AB$214),0)</f>
        <v>0.1585</v>
      </c>
      <c r="AB89" s="869">
        <f t="shared" si="22"/>
        <v>10.151925</v>
      </c>
      <c r="AC89" s="871">
        <f t="shared" si="16"/>
        <v>100.05167500000002</v>
      </c>
      <c r="AD89" s="838">
        <f t="shared" si="17"/>
        <v>88.975510714285718</v>
      </c>
      <c r="AE89" s="838"/>
    </row>
    <row r="90" spans="1:31" ht="15.75" customHeight="1" x14ac:dyDescent="0.2">
      <c r="A90" s="875"/>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4.1183217592592598</v>
      </c>
      <c r="Q90" s="865"/>
      <c r="R90" s="4"/>
      <c r="S90" s="4"/>
      <c r="T90" s="16">
        <f t="shared" si="15"/>
        <v>77.850000000000009</v>
      </c>
      <c r="U90" s="868">
        <f t="shared" si="18"/>
        <v>70.65428571428572</v>
      </c>
      <c r="V90" s="4">
        <v>70</v>
      </c>
      <c r="W90" s="4">
        <f t="shared" si="19"/>
        <v>71</v>
      </c>
      <c r="X90" s="868">
        <f t="shared" si="20"/>
        <v>70.428571428571431</v>
      </c>
      <c r="Y90" s="4"/>
      <c r="Z90" s="869">
        <f t="shared" si="21"/>
        <v>0.7945045042482074</v>
      </c>
      <c r="AA90" s="4">
        <f>IF(H90*G90,LOOKUP(Z90,'Daniel''s Tables'!$Z$135:$Z$214,'Daniel''s Tables'!$AB$135:$AB$214),0)</f>
        <v>0.442</v>
      </c>
      <c r="AB90" s="869">
        <f t="shared" si="22"/>
        <v>41.7911</v>
      </c>
      <c r="AC90" s="871">
        <f t="shared" si="16"/>
        <v>136.31537500000002</v>
      </c>
      <c r="AD90" s="838">
        <f t="shared" si="17"/>
        <v>100.11648571428573</v>
      </c>
      <c r="AE90" s="838"/>
    </row>
    <row r="91" spans="1:31" ht="15.75" customHeight="1" x14ac:dyDescent="0.2">
      <c r="A91" s="87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0.24351851851851852</v>
      </c>
      <c r="O91" s="16"/>
      <c r="P91" s="863">
        <f>N92+P84</f>
        <v>802.19999999999993</v>
      </c>
      <c r="Q91" s="866"/>
      <c r="R91" s="4"/>
      <c r="S91" s="6"/>
      <c r="T91" s="16">
        <f t="shared" si="15"/>
        <v>67.63000000000001</v>
      </c>
      <c r="U91" s="868">
        <f t="shared" si="18"/>
        <v>72.349999999999994</v>
      </c>
      <c r="V91" s="4">
        <v>70</v>
      </c>
      <c r="W91" s="4">
        <f t="shared" si="19"/>
        <v>69</v>
      </c>
      <c r="X91" s="868">
        <f t="shared" si="20"/>
        <v>71.142857142857139</v>
      </c>
      <c r="Y91" s="4"/>
      <c r="Z91" s="869" t="e">
        <f t="shared" si="21"/>
        <v>#DIV/0!</v>
      </c>
      <c r="AA91" s="4">
        <f>IF(H91*G91,LOOKUP(Z91,'Daniel''s Tables'!$Z$135:$Z$214,'Daniel''s Tables'!$AB$135:$AB$214),0)</f>
        <v>0</v>
      </c>
      <c r="AB91" s="869">
        <f t="shared" si="22"/>
        <v>0</v>
      </c>
      <c r="AC91" s="871">
        <f t="shared" si="16"/>
        <v>127.10497500000001</v>
      </c>
      <c r="AD91" s="838">
        <f t="shared" si="17"/>
        <v>109.46496547619049</v>
      </c>
      <c r="AE91" s="838"/>
    </row>
    <row r="92" spans="1:31" ht="15.75" customHeight="1" x14ac:dyDescent="0.2">
      <c r="A92" s="875"/>
      <c r="B92" s="6">
        <v>43</v>
      </c>
      <c r="C92" s="17">
        <f t="shared" si="0"/>
        <v>45899</v>
      </c>
      <c r="D92" s="6" t="s">
        <v>30</v>
      </c>
      <c r="E92" s="4" t="s">
        <v>411</v>
      </c>
      <c r="F92" s="6">
        <v>20</v>
      </c>
      <c r="G92" s="6"/>
      <c r="H92" s="29"/>
      <c r="I92" s="6" t="str">
        <f t="shared" si="14"/>
        <v>0:00</v>
      </c>
      <c r="J92" s="29"/>
      <c r="K92" s="6"/>
      <c r="L92" s="6" t="str">
        <f t="shared" si="2"/>
        <v>0:00</v>
      </c>
      <c r="M92" s="4">
        <f>SUM(F86:F92)</f>
        <v>71</v>
      </c>
      <c r="N92" s="6">
        <f>SUM(G86:G92)</f>
        <v>49.600000000000009</v>
      </c>
      <c r="O92" s="16"/>
      <c r="P92" s="863">
        <f>M92+P85</f>
        <v>867</v>
      </c>
      <c r="Q92" s="862">
        <f>P91/P92</f>
        <v>0.92525951557093422</v>
      </c>
      <c r="R92" s="4"/>
      <c r="S92" s="6"/>
      <c r="T92" s="16">
        <f t="shared" si="15"/>
        <v>49.600000000000009</v>
      </c>
      <c r="U92" s="868">
        <f t="shared" si="18"/>
        <v>68.894285714285715</v>
      </c>
      <c r="V92" s="4">
        <v>70</v>
      </c>
      <c r="W92" s="4">
        <f t="shared" si="19"/>
        <v>71</v>
      </c>
      <c r="X92" s="868">
        <f t="shared" si="20"/>
        <v>70.714285714285708</v>
      </c>
      <c r="Y92" s="4"/>
      <c r="Z92" s="869" t="e">
        <f t="shared" si="21"/>
        <v>#DIV/0!</v>
      </c>
      <c r="AA92" s="4">
        <f>IF(H92*G92,LOOKUP(Z92,'Daniel''s Tables'!$Z$135:$Z$214,'Daniel''s Tables'!$AB$135:$AB$214),0)</f>
        <v>0</v>
      </c>
      <c r="AB92" s="869">
        <f t="shared" si="22"/>
        <v>0</v>
      </c>
      <c r="AC92" s="871">
        <f t="shared" si="16"/>
        <v>88.169974999999994</v>
      </c>
      <c r="AD92" s="838">
        <f t="shared" si="17"/>
        <v>107.68915952380952</v>
      </c>
      <c r="AE92" s="838">
        <f>AC92</f>
        <v>88.169974999999994</v>
      </c>
    </row>
    <row r="93" spans="1:31" ht="15.75" customHeight="1" x14ac:dyDescent="0.2">
      <c r="A93" s="87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41.4</v>
      </c>
      <c r="U93" s="868">
        <f t="shared" si="18"/>
        <v>63.767142857142858</v>
      </c>
      <c r="V93" s="4">
        <v>70</v>
      </c>
      <c r="W93" s="4">
        <f t="shared" si="19"/>
        <v>71</v>
      </c>
      <c r="X93" s="868">
        <f t="shared" si="20"/>
        <v>70.142857142857139</v>
      </c>
      <c r="Y93" s="4"/>
      <c r="Z93" s="869" t="e">
        <f t="shared" si="21"/>
        <v>#DIV/0!</v>
      </c>
      <c r="AA93" s="4">
        <f>IF(H93*G93,LOOKUP(Z93,'Daniel''s Tables'!$Z$135:$Z$214,'Daniel''s Tables'!$AB$135:$AB$214),0)</f>
        <v>0</v>
      </c>
      <c r="AB93" s="869">
        <f t="shared" si="22"/>
        <v>0</v>
      </c>
      <c r="AC93" s="871">
        <f t="shared" si="16"/>
        <v>81.509974999999997</v>
      </c>
      <c r="AD93" s="838">
        <f t="shared" si="17"/>
        <v>104.54954404761907</v>
      </c>
      <c r="AE93" s="838"/>
    </row>
    <row r="94" spans="1:31" ht="15.75" customHeight="1" x14ac:dyDescent="0.2">
      <c r="A94" s="87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35.379999999999995</v>
      </c>
      <c r="U94" s="868">
        <f t="shared" si="18"/>
        <v>58.442857142857143</v>
      </c>
      <c r="V94" s="4">
        <v>70</v>
      </c>
      <c r="W94" s="4">
        <f t="shared" si="19"/>
        <v>73</v>
      </c>
      <c r="X94" s="868">
        <f t="shared" si="20"/>
        <v>69.857142857142861</v>
      </c>
      <c r="Y94" s="4"/>
      <c r="Z94" s="869" t="e">
        <f t="shared" si="21"/>
        <v>#DIV/0!</v>
      </c>
      <c r="AA94" s="4">
        <f>IF(H94*G94,LOOKUP(Z94,'Daniel''s Tables'!$Z$135:$Z$214,'Daniel''s Tables'!$AB$135:$AB$214),0)</f>
        <v>0</v>
      </c>
      <c r="AB94" s="869">
        <f t="shared" si="22"/>
        <v>0</v>
      </c>
      <c r="AC94" s="871">
        <f t="shared" si="16"/>
        <v>72.468025000000011</v>
      </c>
      <c r="AD94" s="838">
        <f t="shared" si="17"/>
        <v>100.39733571428573</v>
      </c>
      <c r="AE94" s="838"/>
    </row>
    <row r="95" spans="1:31" ht="15.75" customHeight="1" x14ac:dyDescent="0.2">
      <c r="A95" s="87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23.64</v>
      </c>
      <c r="U95" s="868">
        <f t="shared" si="18"/>
        <v>52.054285714285712</v>
      </c>
      <c r="V95" s="4">
        <v>70</v>
      </c>
      <c r="W95" s="4">
        <f t="shared" si="19"/>
        <v>77</v>
      </c>
      <c r="X95" s="868">
        <f t="shared" si="20"/>
        <v>71.142857142857139</v>
      </c>
      <c r="Y95" s="4"/>
      <c r="Z95" s="869" t="e">
        <f t="shared" si="21"/>
        <v>#DIV/0!</v>
      </c>
      <c r="AA95" s="4">
        <f>IF(H95*G95,LOOKUP(Z95,'Daniel''s Tables'!$Z$135:$Z$214,'Daniel''s Tables'!$AB$135:$AB$214),0)</f>
        <v>0</v>
      </c>
      <c r="AB95" s="869">
        <f t="shared" si="22"/>
        <v>0</v>
      </c>
      <c r="AC95" s="871">
        <f t="shared" si="16"/>
        <v>51.943024999999999</v>
      </c>
      <c r="AD95" s="838">
        <f t="shared" si="17"/>
        <v>93.93757500000001</v>
      </c>
      <c r="AE95" s="838"/>
    </row>
    <row r="96" spans="1:31" ht="15.75" customHeight="1" x14ac:dyDescent="0.2">
      <c r="A96" s="87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15.09</v>
      </c>
      <c r="U96" s="868">
        <f t="shared" si="18"/>
        <v>44.37</v>
      </c>
      <c r="V96" s="4">
        <v>70</v>
      </c>
      <c r="W96" s="4">
        <f t="shared" si="19"/>
        <v>82</v>
      </c>
      <c r="X96" s="868">
        <f t="shared" si="20"/>
        <v>73.428571428571431</v>
      </c>
      <c r="Y96" s="4"/>
      <c r="Z96" s="869" t="e">
        <f t="shared" si="21"/>
        <v>#DIV/0!</v>
      </c>
      <c r="AA96" s="4">
        <f>IF(H96*G96,LOOKUP(Z96,'Daniel''s Tables'!$Z$135:$Z$214,'Daniel''s Tables'!$AB$135:$AB$214),0)</f>
        <v>0</v>
      </c>
      <c r="AB96" s="869">
        <f t="shared" si="22"/>
        <v>0</v>
      </c>
      <c r="AC96" s="871">
        <f t="shared" si="16"/>
        <v>41.7911</v>
      </c>
      <c r="AD96" s="838">
        <f t="shared" si="17"/>
        <v>85.614635714285711</v>
      </c>
      <c r="AE96" s="838"/>
    </row>
    <row r="97" spans="1:31" ht="15.75" customHeight="1" x14ac:dyDescent="0.2">
      <c r="A97" s="87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4.1183217592592598</v>
      </c>
      <c r="Q97" s="865"/>
      <c r="R97" s="4"/>
      <c r="S97" s="4"/>
      <c r="T97" s="16">
        <f t="shared" si="15"/>
        <v>0</v>
      </c>
      <c r="U97" s="868">
        <f t="shared" si="18"/>
        <v>33.248571428571431</v>
      </c>
      <c r="V97" s="4">
        <v>70</v>
      </c>
      <c r="W97" s="4">
        <f t="shared" si="19"/>
        <v>79</v>
      </c>
      <c r="X97" s="868">
        <f t="shared" si="20"/>
        <v>74.571428571428569</v>
      </c>
      <c r="Y97" s="4"/>
      <c r="Z97" s="869" t="e">
        <f t="shared" si="21"/>
        <v>#DIV/0!</v>
      </c>
      <c r="AA97" s="4">
        <f>IF(H97*G97,LOOKUP(Z97,'Daniel''s Tables'!$Z$135:$Z$214,'Daniel''s Tables'!$AB$135:$AB$214),0)</f>
        <v>0</v>
      </c>
      <c r="AB97" s="869">
        <f t="shared" si="22"/>
        <v>0</v>
      </c>
      <c r="AC97" s="871">
        <f t="shared" si="16"/>
        <v>0</v>
      </c>
      <c r="AD97" s="838">
        <f t="shared" si="17"/>
        <v>66.141010714285713</v>
      </c>
      <c r="AE97" s="838"/>
    </row>
    <row r="98" spans="1:31" ht="15.75" customHeight="1" x14ac:dyDescent="0.2">
      <c r="A98" s="87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802.19999999999993</v>
      </c>
      <c r="Q98" s="866"/>
      <c r="R98" s="4"/>
      <c r="S98" s="4"/>
      <c r="T98" s="16">
        <f t="shared" si="15"/>
        <v>0</v>
      </c>
      <c r="U98" s="868">
        <f t="shared" si="18"/>
        <v>23.587142857142855</v>
      </c>
      <c r="V98" s="4">
        <v>70</v>
      </c>
      <c r="W98" s="4">
        <f t="shared" si="19"/>
        <v>82</v>
      </c>
      <c r="X98" s="868">
        <f t="shared" si="20"/>
        <v>76.428571428571431</v>
      </c>
      <c r="Y98" s="4"/>
      <c r="Z98" s="869" t="e">
        <f t="shared" si="21"/>
        <v>#DIV/0!</v>
      </c>
      <c r="AA98" s="4">
        <f>IF(H98*G98,LOOKUP(Z98,'Daniel''s Tables'!$Z$135:$Z$214,'Daniel''s Tables'!$AB$135:$AB$214),0)</f>
        <v>0</v>
      </c>
      <c r="AB98" s="869">
        <f t="shared" si="22"/>
        <v>0</v>
      </c>
      <c r="AC98" s="871">
        <f t="shared" si="16"/>
        <v>0</v>
      </c>
      <c r="AD98" s="838">
        <f t="shared" si="17"/>
        <v>47.983157142857145</v>
      </c>
      <c r="AE98" s="838"/>
    </row>
    <row r="99" spans="1:31" ht="15.75" customHeight="1" x14ac:dyDescent="0.2">
      <c r="A99" s="87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947</v>
      </c>
      <c r="Q99" s="862">
        <f>P98/P99</f>
        <v>0.8470960929250263</v>
      </c>
      <c r="R99" s="4"/>
      <c r="S99" s="4"/>
      <c r="T99" s="16">
        <f t="shared" si="15"/>
        <v>0</v>
      </c>
      <c r="U99" s="868">
        <f t="shared" si="18"/>
        <v>16.501428571428573</v>
      </c>
      <c r="V99" s="4">
        <v>70</v>
      </c>
      <c r="W99" s="4">
        <f t="shared" si="19"/>
        <v>80</v>
      </c>
      <c r="X99" s="868">
        <f t="shared" si="20"/>
        <v>77.714285714285708</v>
      </c>
      <c r="Y99" s="4"/>
      <c r="Z99" s="869" t="e">
        <f t="shared" si="21"/>
        <v>#DIV/0!</v>
      </c>
      <c r="AA99" s="4">
        <f>IF(H99*G99,LOOKUP(Z99,'Daniel''s Tables'!$Z$135:$Z$214,'Daniel''s Tables'!$AB$135:$AB$214),0)</f>
        <v>0</v>
      </c>
      <c r="AB99" s="869">
        <f t="shared" si="22"/>
        <v>0</v>
      </c>
      <c r="AC99" s="871">
        <f t="shared" si="16"/>
        <v>0</v>
      </c>
      <c r="AD99" s="838">
        <f t="shared" si="17"/>
        <v>35.38744642857143</v>
      </c>
      <c r="AE99" s="838">
        <f>AC99</f>
        <v>0</v>
      </c>
    </row>
    <row r="100" spans="1:31" ht="15.75" customHeight="1" x14ac:dyDescent="0.2">
      <c r="A100" s="87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10.587142857142856</v>
      </c>
      <c r="V100" s="4">
        <v>70</v>
      </c>
      <c r="W100" s="4">
        <f t="shared" si="19"/>
        <v>82</v>
      </c>
      <c r="X100" s="868">
        <f t="shared" si="20"/>
        <v>79.285714285714292</v>
      </c>
      <c r="Y100" s="4"/>
      <c r="Z100" s="869" t="e">
        <f t="shared" si="21"/>
        <v>#DIV/0!</v>
      </c>
      <c r="AA100" s="4">
        <f>IF(H100*G100,LOOKUP(Z100,'Daniel''s Tables'!$Z$135:$Z$214,'Daniel''s Tables'!$AB$135:$AB$214),0)</f>
        <v>0</v>
      </c>
      <c r="AB100" s="869">
        <f t="shared" si="22"/>
        <v>0</v>
      </c>
      <c r="AC100" s="871">
        <f t="shared" si="16"/>
        <v>0</v>
      </c>
      <c r="AD100" s="838">
        <f t="shared" si="17"/>
        <v>23.74316428571429</v>
      </c>
      <c r="AE100" s="838"/>
    </row>
    <row r="101" spans="1:31" ht="15.75" customHeight="1" x14ac:dyDescent="0.2">
      <c r="A101" s="87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5.5328571428571438</v>
      </c>
      <c r="V101" s="4">
        <v>70</v>
      </c>
      <c r="W101" s="4">
        <f t="shared" si="19"/>
        <v>80</v>
      </c>
      <c r="X101" s="868">
        <f t="shared" si="20"/>
        <v>80.285714285714292</v>
      </c>
      <c r="Y101" s="4"/>
      <c r="Z101" s="869" t="e">
        <f t="shared" si="21"/>
        <v>#DIV/0!</v>
      </c>
      <c r="AA101" s="4">
        <f>IF(H101*G101,LOOKUP(Z101,'Daniel''s Tables'!$Z$135:$Z$214,'Daniel''s Tables'!$AB$135:$AB$214),0)</f>
        <v>0</v>
      </c>
      <c r="AB101" s="869">
        <f t="shared" si="22"/>
        <v>0</v>
      </c>
      <c r="AC101" s="871">
        <f t="shared" si="16"/>
        <v>0</v>
      </c>
      <c r="AD101" s="838">
        <f t="shared" si="17"/>
        <v>13.390589285714286</v>
      </c>
      <c r="AE101" s="838"/>
    </row>
    <row r="102" spans="1:31" ht="15.75" customHeight="1" x14ac:dyDescent="0.2">
      <c r="A102" s="87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2.1557142857142857</v>
      </c>
      <c r="V102" s="4">
        <v>70</v>
      </c>
      <c r="W102" s="4">
        <f t="shared" si="19"/>
        <v>80</v>
      </c>
      <c r="X102" s="868">
        <f t="shared" si="20"/>
        <v>80.714285714285708</v>
      </c>
      <c r="Y102" s="4"/>
      <c r="Z102" s="869" t="e">
        <f t="shared" si="21"/>
        <v>#DIV/0!</v>
      </c>
      <c r="AA102" s="4">
        <f>IF(H102*G102,LOOKUP(Z102,'Daniel''s Tables'!$Z$135:$Z$214,'Daniel''s Tables'!$AB$135:$AB$214),0)</f>
        <v>0</v>
      </c>
      <c r="AB102" s="869">
        <f t="shared" si="22"/>
        <v>0</v>
      </c>
      <c r="AC102" s="871">
        <f t="shared" si="16"/>
        <v>0</v>
      </c>
      <c r="AD102" s="838">
        <f t="shared" si="17"/>
        <v>5.9701571428571425</v>
      </c>
      <c r="AE102" s="838"/>
    </row>
    <row r="103" spans="1:31" ht="15.75" customHeight="1" x14ac:dyDescent="0.2">
      <c r="A103" s="87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4.1183217592592598</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802.19999999999993</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1021</v>
      </c>
      <c r="Q106" s="862">
        <f>P105/P106</f>
        <v>0.78570029382957873</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4.1183217592592598</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802.19999999999993</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1089</v>
      </c>
      <c r="Q113" s="862">
        <f>P112/P113</f>
        <v>0.73663911845730023</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4.1183217592592598</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802.19999999999993</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1155</v>
      </c>
      <c r="Q120" s="862">
        <f>P119/P120</f>
        <v>0.69454545454545447</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4.1183217592592598</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802.19999999999993</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0.66133553173948878</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4.1183217592592598</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802.19999999999993</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0.63767885532591406</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48" workbookViewId="0">
      <selection activeCell="K28" sqref="K28"/>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49.600000000000009</v>
      </c>
      <c r="L14" s="838">
        <f>(K14-K13)/((K14+K13)/2)*100</f>
        <v>-39.209012075532833</v>
      </c>
    </row>
    <row r="15" spans="1:12" x14ac:dyDescent="0.2">
      <c r="A15">
        <v>13</v>
      </c>
      <c r="B15">
        <v>6</v>
      </c>
      <c r="C15" s="825">
        <v>1</v>
      </c>
      <c r="D15" s="825">
        <v>1</v>
      </c>
      <c r="E15" s="825">
        <v>1</v>
      </c>
      <c r="F15" s="825"/>
      <c r="G15">
        <f t="shared" si="1"/>
        <v>55</v>
      </c>
      <c r="H15">
        <f t="shared" si="0"/>
        <v>70</v>
      </c>
      <c r="I15">
        <f t="shared" si="2"/>
        <v>80</v>
      </c>
      <c r="J15">
        <f t="shared" si="3"/>
        <v>85</v>
      </c>
      <c r="K15">
        <f>'2Q - 80'!N99</f>
        <v>0</v>
      </c>
      <c r="L15" s="838">
        <f>(K15-K14)/((K15+K14)/2)*100</f>
        <v>-200</v>
      </c>
    </row>
    <row r="16" spans="1:12" x14ac:dyDescent="0.2">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
      <c r="A4" s="891"/>
      <c r="B4" s="825" t="s">
        <v>335</v>
      </c>
      <c r="C4" s="825" t="s">
        <v>337</v>
      </c>
      <c r="D4" s="838">
        <f>8+3+2+3</f>
        <v>16</v>
      </c>
      <c r="E4">
        <v>15</v>
      </c>
      <c r="F4" s="891"/>
      <c r="I4" s="891"/>
      <c r="J4" s="825" t="s">
        <v>335</v>
      </c>
      <c r="K4" s="825" t="s">
        <v>391</v>
      </c>
      <c r="L4">
        <v>17</v>
      </c>
      <c r="M4" s="891"/>
    </row>
    <row r="5" spans="1:13" x14ac:dyDescent="0.2">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
      <c r="A6" s="891"/>
      <c r="B6" s="825" t="s">
        <v>335</v>
      </c>
      <c r="C6" s="825" t="s">
        <v>354</v>
      </c>
      <c r="D6" s="838">
        <f>4+ (5*(1000/1600)) + (4*(400/1600)) +2</f>
        <v>10.125</v>
      </c>
      <c r="E6">
        <v>13</v>
      </c>
      <c r="F6" s="891"/>
      <c r="I6" s="891"/>
      <c r="J6" s="825" t="s">
        <v>335</v>
      </c>
      <c r="K6" s="825" t="s">
        <v>396</v>
      </c>
      <c r="L6">
        <v>15</v>
      </c>
      <c r="M6" s="890"/>
    </row>
    <row r="7" spans="1:13" x14ac:dyDescent="0.2">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
      <c r="A8" s="891"/>
      <c r="B8" s="825" t="s">
        <v>335</v>
      </c>
      <c r="C8" s="825" t="s">
        <v>341</v>
      </c>
      <c r="D8" s="838">
        <f>6+3+2+1+1</f>
        <v>13</v>
      </c>
      <c r="E8">
        <v>14</v>
      </c>
      <c r="F8" s="891"/>
      <c r="I8" s="891"/>
      <c r="J8" s="825" t="s">
        <v>335</v>
      </c>
      <c r="K8" s="825" t="s">
        <v>394</v>
      </c>
      <c r="L8">
        <v>17</v>
      </c>
      <c r="M8" s="891"/>
    </row>
    <row r="9" spans="1:13" x14ac:dyDescent="0.2">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
      <c r="A10" s="891"/>
      <c r="B10" s="825" t="s">
        <v>335</v>
      </c>
      <c r="C10" s="825" t="s">
        <v>342</v>
      </c>
      <c r="D10" s="839">
        <f>(40/7.5) + (3*2) + (2*1) + 1</f>
        <v>14.333333333333332</v>
      </c>
      <c r="E10">
        <v>15</v>
      </c>
      <c r="F10" s="891"/>
      <c r="I10" s="891"/>
      <c r="J10" s="825" t="s">
        <v>335</v>
      </c>
      <c r="K10" s="825" t="s">
        <v>399</v>
      </c>
      <c r="L10">
        <v>16</v>
      </c>
      <c r="M10" s="891"/>
    </row>
    <row r="11" spans="1:13" x14ac:dyDescent="0.2">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
      <c r="A12" s="891"/>
      <c r="B12" s="825" t="s">
        <v>335</v>
      </c>
      <c r="C12" s="825" t="s">
        <v>348</v>
      </c>
      <c r="D12" s="838">
        <f xml:space="preserve"> 8+(6*(1/1.6))+2</f>
        <v>13.75</v>
      </c>
      <c r="E12">
        <v>14</v>
      </c>
      <c r="F12" s="891"/>
      <c r="I12" s="891"/>
      <c r="J12" s="825" t="s">
        <v>335</v>
      </c>
      <c r="K12" s="825" t="s">
        <v>401</v>
      </c>
      <c r="L12">
        <v>17</v>
      </c>
      <c r="M12" s="891"/>
    </row>
    <row r="13" spans="1:13" x14ac:dyDescent="0.2">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
      <c r="A14" s="891"/>
      <c r="B14" s="825" t="s">
        <v>335</v>
      </c>
      <c r="C14" s="825" t="s">
        <v>351</v>
      </c>
      <c r="D14" s="838">
        <f>(40/7.5)+3+(2*2)+2</f>
        <v>14.333333333333332</v>
      </c>
      <c r="E14">
        <v>15</v>
      </c>
      <c r="F14" s="891"/>
      <c r="I14" s="891"/>
      <c r="J14" s="825" t="s">
        <v>335</v>
      </c>
      <c r="K14" s="825" t="s">
        <v>398</v>
      </c>
      <c r="L14">
        <v>17</v>
      </c>
      <c r="M14" s="891"/>
    </row>
    <row r="15" spans="1:13" x14ac:dyDescent="0.2">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
      <c r="A16" s="891"/>
      <c r="B16" s="825" t="s">
        <v>335</v>
      </c>
      <c r="C16" s="825" t="s">
        <v>352</v>
      </c>
      <c r="D16" s="838">
        <f>4+3+2+2+1+2</f>
        <v>14</v>
      </c>
      <c r="E16">
        <v>14</v>
      </c>
      <c r="F16" s="891"/>
      <c r="I16" s="891"/>
      <c r="J16" s="825" t="s">
        <v>335</v>
      </c>
      <c r="K16" s="825" t="s">
        <v>403</v>
      </c>
      <c r="L16">
        <v>15</v>
      </c>
      <c r="M16" s="891"/>
    </row>
    <row r="17" spans="1:13" x14ac:dyDescent="0.2">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
      <c r="A18" s="891"/>
      <c r="B18" s="825" t="s">
        <v>335</v>
      </c>
      <c r="C18" s="825" t="s">
        <v>355</v>
      </c>
      <c r="D18" s="838">
        <f>8+(5*(1/1.6))+(4*0.25)+1</f>
        <v>13.125</v>
      </c>
      <c r="E18">
        <v>15</v>
      </c>
      <c r="F18" s="891"/>
      <c r="I18" s="891"/>
      <c r="J18" s="825" t="s">
        <v>335</v>
      </c>
      <c r="K18" s="825" t="s">
        <v>405</v>
      </c>
      <c r="L18">
        <v>17</v>
      </c>
      <c r="M18" s="891"/>
    </row>
    <row r="19" spans="1:13" x14ac:dyDescent="0.2">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
      <c r="A20" s="891"/>
      <c r="B20" s="825" t="s">
        <v>335</v>
      </c>
      <c r="C20" s="825" t="s">
        <v>358</v>
      </c>
      <c r="D20" s="838">
        <f>2+12+2</f>
        <v>16</v>
      </c>
      <c r="E20">
        <v>16</v>
      </c>
      <c r="F20" s="891"/>
      <c r="I20" s="891"/>
      <c r="J20" s="825" t="s">
        <v>335</v>
      </c>
      <c r="K20" s="825" t="s">
        <v>406</v>
      </c>
      <c r="L20">
        <v>18</v>
      </c>
      <c r="M20" s="891"/>
    </row>
    <row r="21" spans="1:13" x14ac:dyDescent="0.2">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
      <c r="A22" s="891"/>
      <c r="B22" s="825" t="s">
        <v>335</v>
      </c>
      <c r="C22" s="825" t="s">
        <v>360</v>
      </c>
      <c r="D22" s="838">
        <f>5+(4*2)+2</f>
        <v>15</v>
      </c>
      <c r="E22">
        <v>15</v>
      </c>
      <c r="F22" s="891"/>
      <c r="I22" s="891"/>
      <c r="J22" s="825" t="s">
        <v>335</v>
      </c>
      <c r="K22" s="825" t="s">
        <v>408</v>
      </c>
      <c r="L22">
        <v>16</v>
      </c>
      <c r="M22" s="891"/>
    </row>
    <row r="23" spans="1:13" x14ac:dyDescent="0.2">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
      <c r="A24" s="891"/>
      <c r="B24" s="825" t="s">
        <v>335</v>
      </c>
      <c r="C24" s="825" t="s">
        <v>348</v>
      </c>
      <c r="D24" s="838">
        <f xml:space="preserve"> 8+(6*(1/1.6))+2</f>
        <v>13.75</v>
      </c>
      <c r="E24">
        <v>16</v>
      </c>
      <c r="F24" s="891"/>
      <c r="I24" s="891"/>
      <c r="J24" s="825" t="s">
        <v>335</v>
      </c>
      <c r="K24" s="825" t="s">
        <v>410</v>
      </c>
      <c r="L24">
        <v>17</v>
      </c>
      <c r="M24" s="891"/>
    </row>
    <row r="25" spans="1:13" x14ac:dyDescent="0.2">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
      <c r="A26" s="891"/>
      <c r="B26" s="825" t="s">
        <v>335</v>
      </c>
      <c r="C26" s="825" t="s">
        <v>365</v>
      </c>
      <c r="D26" s="838">
        <f>2+8+(2*2)+2</f>
        <v>16</v>
      </c>
      <c r="E26">
        <v>16</v>
      </c>
      <c r="F26" s="891"/>
      <c r="I26" s="891"/>
      <c r="J26" s="825" t="s">
        <v>335</v>
      </c>
      <c r="K26" s="825" t="s">
        <v>412</v>
      </c>
      <c r="L26">
        <v>15</v>
      </c>
      <c r="M26" s="891"/>
    </row>
    <row r="27" spans="1:13" x14ac:dyDescent="0.2">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
      <c r="A28" s="891"/>
      <c r="B28" s="825" t="s">
        <v>335</v>
      </c>
      <c r="C28" s="825" t="s">
        <v>367</v>
      </c>
      <c r="D28" s="839">
        <f>(40/7.5) + (4*2) + (2*1) + 1</f>
        <v>16.333333333333332</v>
      </c>
      <c r="E28">
        <v>17</v>
      </c>
      <c r="F28" s="891"/>
      <c r="I28" s="891"/>
      <c r="J28" s="825" t="s">
        <v>335</v>
      </c>
      <c r="K28" s="825" t="s">
        <v>414</v>
      </c>
      <c r="L28">
        <v>14</v>
      </c>
      <c r="M28" s="891"/>
    </row>
    <row r="29" spans="1:13" x14ac:dyDescent="0.2">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
      <c r="A30" s="891"/>
      <c r="B30" s="825" t="s">
        <v>335</v>
      </c>
      <c r="C30" s="825" t="s">
        <v>369</v>
      </c>
      <c r="D30" s="838">
        <f>8+(5*(1/1.6))+(6*0.125)+1</f>
        <v>12.875</v>
      </c>
      <c r="E30">
        <v>16</v>
      </c>
      <c r="F30" s="891"/>
      <c r="I30" s="891"/>
      <c r="J30" s="825" t="s">
        <v>335</v>
      </c>
      <c r="K30" s="825" t="s">
        <v>416</v>
      </c>
      <c r="L30">
        <v>14</v>
      </c>
      <c r="M30" s="891"/>
    </row>
    <row r="31" spans="1:13" x14ac:dyDescent="0.2">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
      <c r="A32" s="891"/>
      <c r="B32" s="825" t="s">
        <v>335</v>
      </c>
      <c r="C32" s="825" t="s">
        <v>371</v>
      </c>
      <c r="D32" s="838">
        <f>6+(5*(1/1.6))+4</f>
        <v>13.125</v>
      </c>
      <c r="E32">
        <v>15</v>
      </c>
      <c r="F32" s="891"/>
      <c r="I32" s="891"/>
      <c r="J32" s="825" t="s">
        <v>335</v>
      </c>
      <c r="K32" s="825" t="s">
        <v>417</v>
      </c>
      <c r="L32">
        <v>12</v>
      </c>
      <c r="M32" s="891"/>
    </row>
    <row r="33" spans="1:13" x14ac:dyDescent="0.2">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
      <c r="A34" s="891"/>
      <c r="B34" s="825" t="s">
        <v>335</v>
      </c>
      <c r="C34" s="825" t="s">
        <v>373</v>
      </c>
      <c r="D34" s="838">
        <f>2+(4*2)+2</f>
        <v>12</v>
      </c>
      <c r="E34">
        <v>12</v>
      </c>
      <c r="F34" s="891"/>
      <c r="I34" s="891"/>
      <c r="J34" s="825" t="s">
        <v>335</v>
      </c>
      <c r="K34" s="825" t="s">
        <v>420</v>
      </c>
      <c r="L34">
        <v>12</v>
      </c>
      <c r="M34" s="891"/>
    </row>
    <row r="35" spans="1:13" x14ac:dyDescent="0.2">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
      <c r="A36" s="891"/>
      <c r="B36" s="825" t="s">
        <v>335</v>
      </c>
      <c r="C36" s="825" t="s">
        <v>375</v>
      </c>
      <c r="D36" s="838">
        <f>3+1+2+1+2+2</f>
        <v>11</v>
      </c>
      <c r="E36">
        <v>11</v>
      </c>
      <c r="F36" s="891"/>
      <c r="I36" s="891"/>
      <c r="J36" s="825" t="s">
        <v>335</v>
      </c>
      <c r="K36" s="825" t="s">
        <v>421</v>
      </c>
      <c r="L36">
        <v>12</v>
      </c>
      <c r="M36" s="891"/>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5" thickBot="1" x14ac:dyDescent="0.25">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5" thickBot="1" x14ac:dyDescent="0.25">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25" thickTop="1" thickBot="1" x14ac:dyDescent="0.25">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5" thickBot="1" x14ac:dyDescent="0.25">
      <c r="B45" s="1204" t="s">
        <v>111</v>
      </c>
      <c r="C45" s="1205"/>
      <c r="D45" s="1205"/>
      <c r="E45" s="1205"/>
      <c r="F45" s="1205"/>
      <c r="G45" s="1205"/>
      <c r="H45" s="1205"/>
      <c r="I45" s="1205"/>
      <c r="J45" s="1205"/>
      <c r="K45" s="1205"/>
      <c r="L45" s="1205"/>
      <c r="M45" s="1205"/>
      <c r="N45" s="1205"/>
      <c r="O45" s="1205"/>
      <c r="P45" s="1205"/>
      <c r="Q45" s="1205"/>
      <c r="R45" s="120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5" thickBot="1" x14ac:dyDescent="0.25">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5" thickBot="1" x14ac:dyDescent="0.25">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25" thickTop="1" thickBot="1" x14ac:dyDescent="0.25">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5" thickBot="1" x14ac:dyDescent="0.25">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5" thickBot="1" x14ac:dyDescent="0.25">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5" thickBot="1" x14ac:dyDescent="0.25">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5" thickBot="1" x14ac:dyDescent="0.25">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5" thickBot="1" x14ac:dyDescent="0.25">
      <c r="B79" s="483"/>
      <c r="M79" s="484"/>
      <c r="N79" s="24"/>
      <c r="O79" s="485"/>
      <c r="P79" s="1101" t="s">
        <v>201</v>
      </c>
      <c r="Q79" s="1102"/>
      <c r="R79" s="486">
        <f>IF(AND($C$2&gt;0,$P$80&gt;0),IF($B$4,$P$80 / ($C$2/100)^2,$P$80 / $C$2^2*703),"")</f>
        <v>18.498158078143003</v>
      </c>
      <c r="T79" s="458"/>
      <c r="U79" s="458"/>
      <c r="V79" s="33"/>
      <c r="W79" s="33"/>
    </row>
    <row r="80" spans="2:28" ht="13.5" thickBot="1" x14ac:dyDescent="0.25">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25" thickTop="1" thickBot="1" x14ac:dyDescent="0.25">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5" thickTop="1" x14ac:dyDescent="0.2">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5" thickBot="1" x14ac:dyDescent="0.25">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4">
        <f>ROUND((-4.6 + 0.182258 * ((P85*IF(R86,1000,1))/Q85/1440*(IF(R86,1,1609.344))) + 0.000104 *((P85*IF(R86,1000,1))/Q85/1440*(IF(R86,1,1609.344)))^2)/R85,1)</f>
        <v>83.3</v>
      </c>
      <c r="Q86" s="1075"/>
      <c r="R86" s="520" t="b">
        <v>0</v>
      </c>
    </row>
    <row r="87" spans="2:23" ht="14.25" thickTop="1" thickBot="1" x14ac:dyDescent="0.25">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5" thickBot="1" x14ac:dyDescent="0.25">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25" thickTop="1" thickBot="1" x14ac:dyDescent="0.25">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5" thickBot="1" x14ac:dyDescent="0.25">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5" thickBot="1" x14ac:dyDescent="0.25">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5" thickBot="1" x14ac:dyDescent="0.25">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25" thickTop="1" thickBot="1" x14ac:dyDescent="0.25">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5" thickBot="1" x14ac:dyDescent="0.25">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25" thickTop="1" thickBot="1" x14ac:dyDescent="0.25">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5" thickBot="1" x14ac:dyDescent="0.25">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5" thickBot="1" x14ac:dyDescent="0.25">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5" thickBot="1" x14ac:dyDescent="0.25">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5" thickBot="1" x14ac:dyDescent="0.25">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25" thickTop="1" thickBot="1" x14ac:dyDescent="0.25">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5" thickBot="1" x14ac:dyDescent="0.25">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5" thickBot="1" x14ac:dyDescent="0.25">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5" thickBot="1" x14ac:dyDescent="0.25">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5" thickBot="1" x14ac:dyDescent="0.25">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25" thickTop="1" thickBot="1" x14ac:dyDescent="0.25">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5" thickBot="1" x14ac:dyDescent="0.25">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5" thickBot="1" x14ac:dyDescent="0.25">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5" thickBot="1" x14ac:dyDescent="0.25">
      <c r="B114" s="673"/>
      <c r="C114" s="674"/>
      <c r="D114" s="674"/>
      <c r="E114" s="674"/>
      <c r="F114" s="674"/>
      <c r="G114" s="674"/>
      <c r="H114" s="674"/>
      <c r="I114" s="674"/>
      <c r="J114" s="674"/>
      <c r="K114" s="674"/>
      <c r="L114" s="675"/>
      <c r="N114" s="625"/>
      <c r="O114" s="625"/>
      <c r="P114" s="925" t="s">
        <v>257</v>
      </c>
      <c r="Q114" s="921"/>
      <c r="R114" s="922"/>
    </row>
    <row r="115" spans="2:34" ht="14.25" thickTop="1" thickBot="1" x14ac:dyDescent="0.25">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5" thickBot="1" x14ac:dyDescent="0.25">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5" thickBot="1" x14ac:dyDescent="0.25">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0" t="s">
        <v>290</v>
      </c>
      <c r="X131" s="911"/>
      <c r="Y131" s="911"/>
      <c r="Z131" s="911"/>
      <c r="AA131" s="911"/>
      <c r="AB131" s="911"/>
      <c r="AC131" s="911"/>
      <c r="AD131" s="911"/>
      <c r="AE131" s="911"/>
      <c r="AF131" s="911"/>
      <c r="AG131" s="91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3" t="s">
        <v>291</v>
      </c>
      <c r="AE133" s="914"/>
      <c r="AF133" s="91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5" thickBot="1" x14ac:dyDescent="0.25">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5" thickBot="1" x14ac:dyDescent="0.25">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5" thickBot="1" x14ac:dyDescent="0.25">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5" thickBot="1" x14ac:dyDescent="0.25">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5" thickBot="1" x14ac:dyDescent="0.25">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3" t="s">
        <v>310</v>
      </c>
      <c r="AG252" s="893"/>
    </row>
    <row r="253" spans="23:33" x14ac:dyDescent="0.2">
      <c r="Y253" s="893" t="s">
        <v>311</v>
      </c>
      <c r="Z253" s="893"/>
      <c r="AA253" s="893" t="s">
        <v>312</v>
      </c>
      <c r="AB253" s="893"/>
      <c r="AE253" s="805" t="s">
        <v>313</v>
      </c>
      <c r="AF253" s="806">
        <f>0.0015437*IF($L$80,($N$95*9/5)+32,$N$95)-0.09108933</f>
        <v>3.2406670000000012E-2</v>
      </c>
      <c r="AG253" s="807">
        <f ca="1">IF($M$102,MAX(AF253*$O$91,0),0)</f>
        <v>6.6384485996385633E-4</v>
      </c>
    </row>
    <row r="254" spans="23:33" x14ac:dyDescent="0.2">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3" t="s">
        <v>324</v>
      </c>
      <c r="AG261" s="893"/>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2025-08-29T18:06:55Z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